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60" windowWidth="20055" windowHeight="7950"/>
  </bookViews>
  <sheets>
    <sheet name="Sheet3" sheetId="1" r:id="rId1"/>
  </sheets>
  <calcPr calcId="125725"/>
</workbook>
</file>

<file path=xl/calcChain.xml><?xml version="1.0" encoding="utf-8"?>
<calcChain xmlns="http://schemas.openxmlformats.org/spreadsheetml/2006/main">
  <c r="W3747" i="1"/>
  <c r="R3747"/>
  <c r="M3747"/>
  <c r="O3747" s="1"/>
  <c r="Y3746"/>
  <c r="W3746"/>
  <c r="R3746"/>
  <c r="Z3746" s="1"/>
  <c r="O3746"/>
  <c r="M3746"/>
  <c r="X3745"/>
  <c r="W3745"/>
  <c r="R3745"/>
  <c r="Y3745" s="1"/>
  <c r="M3745"/>
  <c r="O3745" s="1"/>
  <c r="U3745" s="1"/>
  <c r="V3745" s="1"/>
  <c r="Y3744"/>
  <c r="X3744"/>
  <c r="W3744"/>
  <c r="S3744"/>
  <c r="T3744" s="1"/>
  <c r="R3744"/>
  <c r="AB3744" s="1"/>
  <c r="AC3744" s="1"/>
  <c r="M3744"/>
  <c r="O3744" s="1"/>
  <c r="W3743"/>
  <c r="R3743"/>
  <c r="M3743"/>
  <c r="O3743" s="1"/>
  <c r="U3743" s="1"/>
  <c r="V3743" s="1"/>
  <c r="Y3742"/>
  <c r="W3742"/>
  <c r="R3742"/>
  <c r="Z3742" s="1"/>
  <c r="O3742"/>
  <c r="U3742" s="1"/>
  <c r="V3742" s="1"/>
  <c r="M3742"/>
  <c r="AB3741"/>
  <c r="AC3741" s="1"/>
  <c r="X3741"/>
  <c r="W3741"/>
  <c r="R3741"/>
  <c r="Y3741" s="1"/>
  <c r="M3741"/>
  <c r="O3741" s="1"/>
  <c r="U3741" s="1"/>
  <c r="V3741" s="1"/>
  <c r="X3740"/>
  <c r="W3740"/>
  <c r="S3740"/>
  <c r="T3740" s="1"/>
  <c r="R3740"/>
  <c r="AB3740" s="1"/>
  <c r="AC3740" s="1"/>
  <c r="M3740"/>
  <c r="O3740" s="1"/>
  <c r="U3740" s="1"/>
  <c r="V3740" s="1"/>
  <c r="W3739"/>
  <c r="R3739"/>
  <c r="M3739"/>
  <c r="O3739" s="1"/>
  <c r="U3739" s="1"/>
  <c r="V3739" s="1"/>
  <c r="Y3738"/>
  <c r="W3738"/>
  <c r="R3738"/>
  <c r="Z3738" s="1"/>
  <c r="O3738"/>
  <c r="U3738" s="1"/>
  <c r="V3738" s="1"/>
  <c r="M3738"/>
  <c r="AB3737"/>
  <c r="AC3737" s="1"/>
  <c r="X3737"/>
  <c r="W3737"/>
  <c r="R3737"/>
  <c r="Y3737" s="1"/>
  <c r="M3737"/>
  <c r="O3737" s="1"/>
  <c r="U3737" s="1"/>
  <c r="V3737" s="1"/>
  <c r="X3736"/>
  <c r="W3736"/>
  <c r="S3736"/>
  <c r="T3736" s="1"/>
  <c r="R3736"/>
  <c r="AB3736" s="1"/>
  <c r="AC3736" s="1"/>
  <c r="M3736"/>
  <c r="O3736" s="1"/>
  <c r="U3736" s="1"/>
  <c r="V3736" s="1"/>
  <c r="W3735"/>
  <c r="R3735"/>
  <c r="M3735"/>
  <c r="O3735" s="1"/>
  <c r="U3735" s="1"/>
  <c r="V3735" s="1"/>
  <c r="Y3734"/>
  <c r="W3734"/>
  <c r="R3734"/>
  <c r="Z3734" s="1"/>
  <c r="O3734"/>
  <c r="U3734" s="1"/>
  <c r="V3734" s="1"/>
  <c r="M3734"/>
  <c r="AB3733"/>
  <c r="AC3733" s="1"/>
  <c r="X3733"/>
  <c r="W3733"/>
  <c r="R3733"/>
  <c r="Y3733" s="1"/>
  <c r="M3733"/>
  <c r="O3733" s="1"/>
  <c r="U3733" s="1"/>
  <c r="V3733" s="1"/>
  <c r="X3732"/>
  <c r="W3732"/>
  <c r="S3732"/>
  <c r="T3732" s="1"/>
  <c r="R3732"/>
  <c r="AB3732" s="1"/>
  <c r="AC3732" s="1"/>
  <c r="M3732"/>
  <c r="O3732" s="1"/>
  <c r="U3732" s="1"/>
  <c r="V3732" s="1"/>
  <c r="W3731"/>
  <c r="R3731"/>
  <c r="M3731"/>
  <c r="O3731" s="1"/>
  <c r="U3731" s="1"/>
  <c r="V3731" s="1"/>
  <c r="Y3730"/>
  <c r="W3730"/>
  <c r="R3730"/>
  <c r="Z3730" s="1"/>
  <c r="O3730"/>
  <c r="U3730" s="1"/>
  <c r="V3730" s="1"/>
  <c r="M3730"/>
  <c r="AB3729"/>
  <c r="AC3729" s="1"/>
  <c r="X3729"/>
  <c r="W3729"/>
  <c r="R3729"/>
  <c r="Y3729" s="1"/>
  <c r="M3729"/>
  <c r="O3729" s="1"/>
  <c r="U3729" s="1"/>
  <c r="V3729" s="1"/>
  <c r="X3728"/>
  <c r="W3728"/>
  <c r="S3728"/>
  <c r="T3728" s="1"/>
  <c r="R3728"/>
  <c r="AB3728" s="1"/>
  <c r="AC3728" s="1"/>
  <c r="M3728"/>
  <c r="O3728" s="1"/>
  <c r="U3728" s="1"/>
  <c r="V3728" s="1"/>
  <c r="W3727"/>
  <c r="R3727"/>
  <c r="M3727"/>
  <c r="O3727" s="1"/>
  <c r="U3727" s="1"/>
  <c r="V3727" s="1"/>
  <c r="Y3726"/>
  <c r="W3726"/>
  <c r="R3726"/>
  <c r="Z3726" s="1"/>
  <c r="O3726"/>
  <c r="M3726"/>
  <c r="AB3725"/>
  <c r="AC3725" s="1"/>
  <c r="X3725"/>
  <c r="W3725"/>
  <c r="R3725"/>
  <c r="Y3725" s="1"/>
  <c r="M3725"/>
  <c r="O3725" s="1"/>
  <c r="U3725" s="1"/>
  <c r="V3725" s="1"/>
  <c r="X3724"/>
  <c r="W3724"/>
  <c r="S3724"/>
  <c r="T3724" s="1"/>
  <c r="R3724"/>
  <c r="AB3724" s="1"/>
  <c r="AC3724" s="1"/>
  <c r="M3724"/>
  <c r="O3724" s="1"/>
  <c r="U3724" s="1"/>
  <c r="V3724" s="1"/>
  <c r="W3723"/>
  <c r="R3723"/>
  <c r="M3723"/>
  <c r="O3723" s="1"/>
  <c r="U3723" s="1"/>
  <c r="V3723" s="1"/>
  <c r="Y3722"/>
  <c r="W3722"/>
  <c r="R3722"/>
  <c r="Z3722" s="1"/>
  <c r="O3722"/>
  <c r="U3722" s="1"/>
  <c r="V3722" s="1"/>
  <c r="M3722"/>
  <c r="AB3721"/>
  <c r="AC3721" s="1"/>
  <c r="X3721"/>
  <c r="W3721"/>
  <c r="R3721"/>
  <c r="Y3721" s="1"/>
  <c r="M3721"/>
  <c r="O3721" s="1"/>
  <c r="U3721" s="1"/>
  <c r="V3721" s="1"/>
  <c r="X3720"/>
  <c r="W3720"/>
  <c r="S3720"/>
  <c r="T3720" s="1"/>
  <c r="R3720"/>
  <c r="AB3720" s="1"/>
  <c r="AC3720" s="1"/>
  <c r="M3720"/>
  <c r="O3720" s="1"/>
  <c r="U3720" s="1"/>
  <c r="V3720" s="1"/>
  <c r="W3719"/>
  <c r="R3719"/>
  <c r="M3719"/>
  <c r="O3719" s="1"/>
  <c r="U3719" s="1"/>
  <c r="V3719" s="1"/>
  <c r="Y3718"/>
  <c r="W3718"/>
  <c r="R3718"/>
  <c r="Z3718" s="1"/>
  <c r="O3718"/>
  <c r="U3718" s="1"/>
  <c r="V3718" s="1"/>
  <c r="M3718"/>
  <c r="AB3717"/>
  <c r="AC3717" s="1"/>
  <c r="X3717"/>
  <c r="W3717"/>
  <c r="R3717"/>
  <c r="Y3717" s="1"/>
  <c r="M3717"/>
  <c r="O3717" s="1"/>
  <c r="U3717" s="1"/>
  <c r="V3717" s="1"/>
  <c r="X3716"/>
  <c r="W3716"/>
  <c r="S3716"/>
  <c r="T3716" s="1"/>
  <c r="R3716"/>
  <c r="AB3716" s="1"/>
  <c r="AC3716" s="1"/>
  <c r="M3716"/>
  <c r="O3716" s="1"/>
  <c r="W3715"/>
  <c r="R3715"/>
  <c r="M3715"/>
  <c r="O3715" s="1"/>
  <c r="U3715" s="1"/>
  <c r="V3715" s="1"/>
  <c r="Y3714"/>
  <c r="W3714"/>
  <c r="R3714"/>
  <c r="Z3714" s="1"/>
  <c r="O3714"/>
  <c r="U3714" s="1"/>
  <c r="V3714" s="1"/>
  <c r="M3714"/>
  <c r="AB3713"/>
  <c r="AC3713" s="1"/>
  <c r="X3713"/>
  <c r="W3713"/>
  <c r="R3713"/>
  <c r="Y3713" s="1"/>
  <c r="M3713"/>
  <c r="O3713" s="1"/>
  <c r="U3713" s="1"/>
  <c r="V3713" s="1"/>
  <c r="X3712"/>
  <c r="W3712"/>
  <c r="S3712"/>
  <c r="T3712" s="1"/>
  <c r="R3712"/>
  <c r="AB3712" s="1"/>
  <c r="AC3712" s="1"/>
  <c r="M3712"/>
  <c r="O3712" s="1"/>
  <c r="U3712" s="1"/>
  <c r="V3712" s="1"/>
  <c r="W3711"/>
  <c r="R3711"/>
  <c r="M3711"/>
  <c r="O3711" s="1"/>
  <c r="Y3710"/>
  <c r="W3710"/>
  <c r="R3710"/>
  <c r="Z3710" s="1"/>
  <c r="O3710"/>
  <c r="U3710" s="1"/>
  <c r="V3710" s="1"/>
  <c r="M3710"/>
  <c r="AB3709"/>
  <c r="AC3709" s="1"/>
  <c r="X3709"/>
  <c r="W3709"/>
  <c r="R3709"/>
  <c r="Y3709" s="1"/>
  <c r="M3709"/>
  <c r="O3709" s="1"/>
  <c r="U3709" s="1"/>
  <c r="V3709" s="1"/>
  <c r="X3708"/>
  <c r="W3708"/>
  <c r="S3708"/>
  <c r="T3708" s="1"/>
  <c r="R3708"/>
  <c r="AB3708" s="1"/>
  <c r="AC3708" s="1"/>
  <c r="M3708"/>
  <c r="O3708" s="1"/>
  <c r="U3708" s="1"/>
  <c r="V3708" s="1"/>
  <c r="W3707"/>
  <c r="R3707"/>
  <c r="M3707"/>
  <c r="O3707" s="1"/>
  <c r="U3707" s="1"/>
  <c r="V3707" s="1"/>
  <c r="Y3706"/>
  <c r="W3706"/>
  <c r="R3706"/>
  <c r="Z3706" s="1"/>
  <c r="O3706"/>
  <c r="U3706" s="1"/>
  <c r="V3706" s="1"/>
  <c r="M3706"/>
  <c r="AB3705"/>
  <c r="AC3705" s="1"/>
  <c r="Y3705"/>
  <c r="X3705"/>
  <c r="W3705"/>
  <c r="R3705"/>
  <c r="Z3705" s="1"/>
  <c r="M3705"/>
  <c r="O3705" s="1"/>
  <c r="U3705" s="1"/>
  <c r="V3705" s="1"/>
  <c r="AB3704"/>
  <c r="AC3704" s="1"/>
  <c r="X3704"/>
  <c r="W3704"/>
  <c r="S3704"/>
  <c r="T3704" s="1"/>
  <c r="R3704"/>
  <c r="Y3704" s="1"/>
  <c r="M3704"/>
  <c r="O3704" s="1"/>
  <c r="U3704" s="1"/>
  <c r="V3704" s="1"/>
  <c r="W3703"/>
  <c r="R3703"/>
  <c r="M3703"/>
  <c r="O3703" s="1"/>
  <c r="Y3702"/>
  <c r="W3702"/>
  <c r="R3702"/>
  <c r="Z3702" s="1"/>
  <c r="O3702"/>
  <c r="U3702" s="1"/>
  <c r="V3702" s="1"/>
  <c r="M3702"/>
  <c r="AB3701"/>
  <c r="AC3701" s="1"/>
  <c r="Y3701"/>
  <c r="X3701"/>
  <c r="W3701"/>
  <c r="R3701"/>
  <c r="Z3701" s="1"/>
  <c r="M3701"/>
  <c r="O3701" s="1"/>
  <c r="U3701" s="1"/>
  <c r="V3701" s="1"/>
  <c r="X3700"/>
  <c r="W3700"/>
  <c r="S3700"/>
  <c r="T3700" s="1"/>
  <c r="R3700"/>
  <c r="AB3700" s="1"/>
  <c r="AC3700" s="1"/>
  <c r="M3700"/>
  <c r="O3700" s="1"/>
  <c r="U3700" s="1"/>
  <c r="V3700" s="1"/>
  <c r="W3699"/>
  <c r="R3699"/>
  <c r="M3699"/>
  <c r="O3699" s="1"/>
  <c r="U3699" s="1"/>
  <c r="V3699" s="1"/>
  <c r="Y3698"/>
  <c r="W3698"/>
  <c r="R3698"/>
  <c r="Z3698" s="1"/>
  <c r="O3698"/>
  <c r="U3698" s="1"/>
  <c r="V3698" s="1"/>
  <c r="M3698"/>
  <c r="AB3697"/>
  <c r="AC3697" s="1"/>
  <c r="Y3697"/>
  <c r="X3697"/>
  <c r="W3697"/>
  <c r="R3697"/>
  <c r="Z3697" s="1"/>
  <c r="M3697"/>
  <c r="O3697" s="1"/>
  <c r="U3697" s="1"/>
  <c r="V3697" s="1"/>
  <c r="X3696"/>
  <c r="W3696"/>
  <c r="S3696"/>
  <c r="T3696" s="1"/>
  <c r="R3696"/>
  <c r="AB3696" s="1"/>
  <c r="AC3696" s="1"/>
  <c r="M3696"/>
  <c r="O3696" s="1"/>
  <c r="U3696" s="1"/>
  <c r="V3696" s="1"/>
  <c r="W3695"/>
  <c r="R3695"/>
  <c r="M3695"/>
  <c r="O3695" s="1"/>
  <c r="U3695" s="1"/>
  <c r="V3695" s="1"/>
  <c r="Y3694"/>
  <c r="W3694"/>
  <c r="R3694"/>
  <c r="Z3694" s="1"/>
  <c r="O3694"/>
  <c r="U3694" s="1"/>
  <c r="V3694" s="1"/>
  <c r="M3694"/>
  <c r="AB3693"/>
  <c r="AC3693" s="1"/>
  <c r="Y3693"/>
  <c r="X3693"/>
  <c r="W3693"/>
  <c r="R3693"/>
  <c r="Z3693" s="1"/>
  <c r="M3693"/>
  <c r="O3693" s="1"/>
  <c r="U3693" s="1"/>
  <c r="V3693" s="1"/>
  <c r="X3692"/>
  <c r="W3692"/>
  <c r="S3692"/>
  <c r="T3692" s="1"/>
  <c r="R3692"/>
  <c r="AB3692" s="1"/>
  <c r="AC3692" s="1"/>
  <c r="M3692"/>
  <c r="O3692" s="1"/>
  <c r="U3692" s="1"/>
  <c r="V3692" s="1"/>
  <c r="W3691"/>
  <c r="R3691"/>
  <c r="M3691"/>
  <c r="O3691" s="1"/>
  <c r="Y3690"/>
  <c r="W3690"/>
  <c r="R3690"/>
  <c r="Z3690" s="1"/>
  <c r="O3690"/>
  <c r="U3690" s="1"/>
  <c r="V3690" s="1"/>
  <c r="M3690"/>
  <c r="AB3689"/>
  <c r="AC3689" s="1"/>
  <c r="Y3689"/>
  <c r="X3689"/>
  <c r="W3689"/>
  <c r="R3689"/>
  <c r="Z3689" s="1"/>
  <c r="M3689"/>
  <c r="O3689" s="1"/>
  <c r="U3689" s="1"/>
  <c r="V3689" s="1"/>
  <c r="X3688"/>
  <c r="W3688"/>
  <c r="S3688"/>
  <c r="T3688" s="1"/>
  <c r="R3688"/>
  <c r="AB3688" s="1"/>
  <c r="AC3688" s="1"/>
  <c r="M3688"/>
  <c r="O3688" s="1"/>
  <c r="U3688" s="1"/>
  <c r="V3688" s="1"/>
  <c r="W3687"/>
  <c r="R3687"/>
  <c r="M3687"/>
  <c r="O3687" s="1"/>
  <c r="U3687" s="1"/>
  <c r="V3687" s="1"/>
  <c r="Y3686"/>
  <c r="W3686"/>
  <c r="R3686"/>
  <c r="Z3686" s="1"/>
  <c r="O3686"/>
  <c r="U3686" s="1"/>
  <c r="V3686" s="1"/>
  <c r="M3686"/>
  <c r="AB3685"/>
  <c r="AC3685" s="1"/>
  <c r="Y3685"/>
  <c r="X3685"/>
  <c r="W3685"/>
  <c r="R3685"/>
  <c r="Z3685" s="1"/>
  <c r="M3685"/>
  <c r="O3685" s="1"/>
  <c r="U3685" s="1"/>
  <c r="V3685" s="1"/>
  <c r="X3684"/>
  <c r="W3684"/>
  <c r="S3684"/>
  <c r="T3684" s="1"/>
  <c r="R3684"/>
  <c r="AB3684" s="1"/>
  <c r="AC3684" s="1"/>
  <c r="M3684"/>
  <c r="O3684" s="1"/>
  <c r="U3684" s="1"/>
  <c r="V3684" s="1"/>
  <c r="W3683"/>
  <c r="R3683"/>
  <c r="M3683"/>
  <c r="O3683" s="1"/>
  <c r="U3683" s="1"/>
  <c r="V3683" s="1"/>
  <c r="Y3682"/>
  <c r="W3682"/>
  <c r="R3682"/>
  <c r="Z3682" s="1"/>
  <c r="O3682"/>
  <c r="U3682" s="1"/>
  <c r="V3682" s="1"/>
  <c r="M3682"/>
  <c r="AB3681"/>
  <c r="AC3681" s="1"/>
  <c r="Y3681"/>
  <c r="X3681"/>
  <c r="W3681"/>
  <c r="R3681"/>
  <c r="Z3681" s="1"/>
  <c r="M3681"/>
  <c r="O3681" s="1"/>
  <c r="U3681" s="1"/>
  <c r="V3681" s="1"/>
  <c r="X3680"/>
  <c r="W3680"/>
  <c r="S3680"/>
  <c r="T3680" s="1"/>
  <c r="R3680"/>
  <c r="AB3680" s="1"/>
  <c r="AC3680" s="1"/>
  <c r="M3680"/>
  <c r="O3680" s="1"/>
  <c r="U3680" s="1"/>
  <c r="V3680" s="1"/>
  <c r="W3679"/>
  <c r="R3679"/>
  <c r="M3679"/>
  <c r="O3679" s="1"/>
  <c r="U3679" s="1"/>
  <c r="V3679" s="1"/>
  <c r="Y3678"/>
  <c r="W3678"/>
  <c r="R3678"/>
  <c r="Z3678" s="1"/>
  <c r="O3678"/>
  <c r="U3678" s="1"/>
  <c r="V3678" s="1"/>
  <c r="M3678"/>
  <c r="AB3677"/>
  <c r="AC3677" s="1"/>
  <c r="Y3677"/>
  <c r="X3677"/>
  <c r="W3677"/>
  <c r="R3677"/>
  <c r="Z3677" s="1"/>
  <c r="M3677"/>
  <c r="O3677" s="1"/>
  <c r="U3677" s="1"/>
  <c r="V3677" s="1"/>
  <c r="X3676"/>
  <c r="W3676"/>
  <c r="S3676"/>
  <c r="T3676" s="1"/>
  <c r="R3676"/>
  <c r="AB3676" s="1"/>
  <c r="AC3676" s="1"/>
  <c r="M3676"/>
  <c r="O3676" s="1"/>
  <c r="U3676" s="1"/>
  <c r="V3676" s="1"/>
  <c r="W3675"/>
  <c r="R3675"/>
  <c r="M3675"/>
  <c r="O3675" s="1"/>
  <c r="U3675" s="1"/>
  <c r="V3675" s="1"/>
  <c r="Y3674"/>
  <c r="W3674"/>
  <c r="R3674"/>
  <c r="Z3674" s="1"/>
  <c r="O3674"/>
  <c r="U3674" s="1"/>
  <c r="V3674" s="1"/>
  <c r="M3674"/>
  <c r="AB3673"/>
  <c r="AC3673" s="1"/>
  <c r="X3673"/>
  <c r="W3673"/>
  <c r="R3673"/>
  <c r="Y3673" s="1"/>
  <c r="M3673"/>
  <c r="O3673" s="1"/>
  <c r="U3673" s="1"/>
  <c r="V3673" s="1"/>
  <c r="X3672"/>
  <c r="W3672"/>
  <c r="S3672"/>
  <c r="T3672" s="1"/>
  <c r="R3672"/>
  <c r="AB3672" s="1"/>
  <c r="AC3672" s="1"/>
  <c r="M3672"/>
  <c r="O3672" s="1"/>
  <c r="W3671"/>
  <c r="R3671"/>
  <c r="M3671"/>
  <c r="O3671" s="1"/>
  <c r="Y3670"/>
  <c r="W3670"/>
  <c r="R3670"/>
  <c r="Z3670" s="1"/>
  <c r="O3670"/>
  <c r="M3670"/>
  <c r="AB3669"/>
  <c r="AC3669" s="1"/>
  <c r="X3669"/>
  <c r="W3669"/>
  <c r="R3669"/>
  <c r="Y3669" s="1"/>
  <c r="M3669"/>
  <c r="O3669" s="1"/>
  <c r="U3669" s="1"/>
  <c r="V3669" s="1"/>
  <c r="X3668"/>
  <c r="W3668"/>
  <c r="S3668"/>
  <c r="T3668" s="1"/>
  <c r="R3668"/>
  <c r="AB3668" s="1"/>
  <c r="AC3668" s="1"/>
  <c r="M3668"/>
  <c r="O3668" s="1"/>
  <c r="U3668" s="1"/>
  <c r="V3668" s="1"/>
  <c r="W3667"/>
  <c r="R3667"/>
  <c r="M3667"/>
  <c r="O3667" s="1"/>
  <c r="U3667" s="1"/>
  <c r="V3667" s="1"/>
  <c r="Y3666"/>
  <c r="W3666"/>
  <c r="R3666"/>
  <c r="Z3666" s="1"/>
  <c r="O3666"/>
  <c r="U3666" s="1"/>
  <c r="V3666" s="1"/>
  <c r="M3666"/>
  <c r="AB3665"/>
  <c r="AC3665" s="1"/>
  <c r="Y3665"/>
  <c r="X3665"/>
  <c r="W3665"/>
  <c r="R3665"/>
  <c r="Z3665" s="1"/>
  <c r="M3665"/>
  <c r="O3665" s="1"/>
  <c r="U3665" s="1"/>
  <c r="V3665" s="1"/>
  <c r="X3664"/>
  <c r="W3664"/>
  <c r="S3664"/>
  <c r="T3664" s="1"/>
  <c r="R3664"/>
  <c r="AB3664" s="1"/>
  <c r="AC3664" s="1"/>
  <c r="M3664"/>
  <c r="O3664" s="1"/>
  <c r="U3664" s="1"/>
  <c r="V3664" s="1"/>
  <c r="W3663"/>
  <c r="S3663"/>
  <c r="T3663" s="1"/>
  <c r="R3663"/>
  <c r="M3663"/>
  <c r="O3663" s="1"/>
  <c r="W3662"/>
  <c r="R3662"/>
  <c r="AB3662" s="1"/>
  <c r="AC3662" s="1"/>
  <c r="O3662"/>
  <c r="U3662" s="1"/>
  <c r="V3662" s="1"/>
  <c r="M3662"/>
  <c r="AC3661"/>
  <c r="AB3661"/>
  <c r="Y3661"/>
  <c r="X3661"/>
  <c r="W3661"/>
  <c r="S3661"/>
  <c r="R3661"/>
  <c r="Z3661" s="1"/>
  <c r="AA3661" s="1"/>
  <c r="O3661"/>
  <c r="U3661" s="1"/>
  <c r="V3661" s="1"/>
  <c r="M3661"/>
  <c r="T3661" s="1"/>
  <c r="AB3660"/>
  <c r="AC3660" s="1"/>
  <c r="X3660"/>
  <c r="W3660"/>
  <c r="S3660"/>
  <c r="R3660"/>
  <c r="Z3660" s="1"/>
  <c r="AA3660" s="1"/>
  <c r="M3660"/>
  <c r="T3660" s="1"/>
  <c r="W3659"/>
  <c r="R3659"/>
  <c r="Y3659" s="1"/>
  <c r="O3659"/>
  <c r="U3659" s="1"/>
  <c r="V3659" s="1"/>
  <c r="M3659"/>
  <c r="W3658"/>
  <c r="R3658"/>
  <c r="AB3658" s="1"/>
  <c r="AC3658" s="1"/>
  <c r="O3658"/>
  <c r="U3658" s="1"/>
  <c r="V3658" s="1"/>
  <c r="M3658"/>
  <c r="AB3657"/>
  <c r="AC3657" s="1"/>
  <c r="Y3657"/>
  <c r="X3657"/>
  <c r="W3657"/>
  <c r="R3657"/>
  <c r="M3657"/>
  <c r="O3657" s="1"/>
  <c r="U3657" s="1"/>
  <c r="V3657" s="1"/>
  <c r="AB3656"/>
  <c r="AC3656" s="1"/>
  <c r="X3656"/>
  <c r="W3656"/>
  <c r="S3656"/>
  <c r="T3656" s="1"/>
  <c r="R3656"/>
  <c r="Z3656" s="1"/>
  <c r="AA3656" s="1"/>
  <c r="M3656"/>
  <c r="O3656" s="1"/>
  <c r="U3656" s="1"/>
  <c r="V3656" s="1"/>
  <c r="W3655"/>
  <c r="R3655"/>
  <c r="Y3655" s="1"/>
  <c r="O3655"/>
  <c r="U3655" s="1"/>
  <c r="V3655" s="1"/>
  <c r="M3655"/>
  <c r="W3654"/>
  <c r="R3654"/>
  <c r="AB3654" s="1"/>
  <c r="AC3654" s="1"/>
  <c r="O3654"/>
  <c r="U3654" s="1"/>
  <c r="V3654" s="1"/>
  <c r="M3654"/>
  <c r="AB3653"/>
  <c r="AC3653" s="1"/>
  <c r="Y3653"/>
  <c r="X3653"/>
  <c r="W3653"/>
  <c r="R3653"/>
  <c r="M3653"/>
  <c r="O3653" s="1"/>
  <c r="U3653" s="1"/>
  <c r="V3653" s="1"/>
  <c r="AB3652"/>
  <c r="AC3652" s="1"/>
  <c r="X3652"/>
  <c r="W3652"/>
  <c r="S3652"/>
  <c r="T3652" s="1"/>
  <c r="R3652"/>
  <c r="Z3652" s="1"/>
  <c r="AA3652" s="1"/>
  <c r="M3652"/>
  <c r="O3652" s="1"/>
  <c r="U3652" s="1"/>
  <c r="V3652" s="1"/>
  <c r="W3651"/>
  <c r="R3651"/>
  <c r="Y3651" s="1"/>
  <c r="O3651"/>
  <c r="U3651" s="1"/>
  <c r="V3651" s="1"/>
  <c r="M3651"/>
  <c r="W3650"/>
  <c r="R3650"/>
  <c r="AB3650" s="1"/>
  <c r="AC3650" s="1"/>
  <c r="O3650"/>
  <c r="U3650" s="1"/>
  <c r="V3650" s="1"/>
  <c r="M3650"/>
  <c r="AB3649"/>
  <c r="AC3649" s="1"/>
  <c r="Y3649"/>
  <c r="X3649"/>
  <c r="W3649"/>
  <c r="R3649"/>
  <c r="M3649"/>
  <c r="O3649" s="1"/>
  <c r="U3649" s="1"/>
  <c r="V3649" s="1"/>
  <c r="AB3648"/>
  <c r="AC3648" s="1"/>
  <c r="X3648"/>
  <c r="W3648"/>
  <c r="S3648"/>
  <c r="T3648" s="1"/>
  <c r="R3648"/>
  <c r="Z3648" s="1"/>
  <c r="AA3648" s="1"/>
  <c r="M3648"/>
  <c r="O3648" s="1"/>
  <c r="U3648" s="1"/>
  <c r="V3648" s="1"/>
  <c r="W3647"/>
  <c r="R3647"/>
  <c r="Y3647" s="1"/>
  <c r="O3647"/>
  <c r="U3647" s="1"/>
  <c r="V3647" s="1"/>
  <c r="M3647"/>
  <c r="W3646"/>
  <c r="R3646"/>
  <c r="AB3646" s="1"/>
  <c r="AC3646" s="1"/>
  <c r="O3646"/>
  <c r="U3646" s="1"/>
  <c r="V3646" s="1"/>
  <c r="M3646"/>
  <c r="AB3645"/>
  <c r="AC3645" s="1"/>
  <c r="Y3645"/>
  <c r="X3645"/>
  <c r="W3645"/>
  <c r="R3645"/>
  <c r="M3645"/>
  <c r="O3645" s="1"/>
  <c r="U3645" s="1"/>
  <c r="V3645" s="1"/>
  <c r="AB3644"/>
  <c r="AC3644" s="1"/>
  <c r="X3644"/>
  <c r="W3644"/>
  <c r="S3644"/>
  <c r="T3644" s="1"/>
  <c r="R3644"/>
  <c r="Z3644" s="1"/>
  <c r="AA3644" s="1"/>
  <c r="M3644"/>
  <c r="O3644" s="1"/>
  <c r="U3644" s="1"/>
  <c r="V3644" s="1"/>
  <c r="W3643"/>
  <c r="R3643"/>
  <c r="Y3643" s="1"/>
  <c r="O3643"/>
  <c r="U3643" s="1"/>
  <c r="V3643" s="1"/>
  <c r="M3643"/>
  <c r="W3642"/>
  <c r="R3642"/>
  <c r="AB3642" s="1"/>
  <c r="AC3642" s="1"/>
  <c r="O3642"/>
  <c r="U3642" s="1"/>
  <c r="V3642" s="1"/>
  <c r="M3642"/>
  <c r="AB3641"/>
  <c r="AC3641" s="1"/>
  <c r="Y3641"/>
  <c r="X3641"/>
  <c r="W3641"/>
  <c r="R3641"/>
  <c r="M3641"/>
  <c r="O3641" s="1"/>
  <c r="U3641" s="1"/>
  <c r="V3641" s="1"/>
  <c r="AB3640"/>
  <c r="AC3640" s="1"/>
  <c r="X3640"/>
  <c r="W3640"/>
  <c r="S3640"/>
  <c r="T3640" s="1"/>
  <c r="R3640"/>
  <c r="Z3640" s="1"/>
  <c r="AA3640" s="1"/>
  <c r="M3640"/>
  <c r="O3640" s="1"/>
  <c r="U3640" s="1"/>
  <c r="V3640" s="1"/>
  <c r="W3639"/>
  <c r="R3639"/>
  <c r="Y3639" s="1"/>
  <c r="M3639"/>
  <c r="O3639" s="1"/>
  <c r="U3639" s="1"/>
  <c r="V3639" s="1"/>
  <c r="W3638"/>
  <c r="R3638"/>
  <c r="AB3638" s="1"/>
  <c r="AC3638" s="1"/>
  <c r="O3638"/>
  <c r="U3638" s="1"/>
  <c r="V3638" s="1"/>
  <c r="M3638"/>
  <c r="AB3637"/>
  <c r="AC3637" s="1"/>
  <c r="Y3637"/>
  <c r="X3637"/>
  <c r="W3637"/>
  <c r="R3637"/>
  <c r="M3637"/>
  <c r="O3637" s="1"/>
  <c r="AB3636"/>
  <c r="AC3636" s="1"/>
  <c r="X3636"/>
  <c r="W3636"/>
  <c r="S3636"/>
  <c r="T3636" s="1"/>
  <c r="R3636"/>
  <c r="Z3636" s="1"/>
  <c r="AA3636" s="1"/>
  <c r="M3636"/>
  <c r="O3636" s="1"/>
  <c r="W3635"/>
  <c r="R3635"/>
  <c r="Y3635" s="1"/>
  <c r="M3635"/>
  <c r="O3635" s="1"/>
  <c r="W3634"/>
  <c r="R3634"/>
  <c r="AB3634" s="1"/>
  <c r="AC3634" s="1"/>
  <c r="O3634"/>
  <c r="U3634" s="1"/>
  <c r="M3634"/>
  <c r="AC3633"/>
  <c r="AB3633"/>
  <c r="Y3633"/>
  <c r="X3633"/>
  <c r="W3633"/>
  <c r="R3633"/>
  <c r="O3633"/>
  <c r="U3633" s="1"/>
  <c r="M3633"/>
  <c r="AB3632"/>
  <c r="AC3632" s="1"/>
  <c r="X3632"/>
  <c r="W3632"/>
  <c r="S3632"/>
  <c r="R3632"/>
  <c r="Z3632" s="1"/>
  <c r="AA3632" s="1"/>
  <c r="M3632"/>
  <c r="T3632" s="1"/>
  <c r="W3631"/>
  <c r="S3631"/>
  <c r="T3631" s="1"/>
  <c r="R3631"/>
  <c r="Y3631" s="1"/>
  <c r="M3631"/>
  <c r="O3631" s="1"/>
  <c r="W3630"/>
  <c r="R3630"/>
  <c r="AB3630" s="1"/>
  <c r="AC3630" s="1"/>
  <c r="O3630"/>
  <c r="U3630" s="1"/>
  <c r="V3630" s="1"/>
  <c r="M3630"/>
  <c r="AC3629"/>
  <c r="AB3629"/>
  <c r="Y3629"/>
  <c r="X3629"/>
  <c r="W3629"/>
  <c r="R3629"/>
  <c r="O3629"/>
  <c r="U3629" s="1"/>
  <c r="V3629" s="1"/>
  <c r="M3629"/>
  <c r="AB3628"/>
  <c r="AC3628" s="1"/>
  <c r="X3628"/>
  <c r="W3628"/>
  <c r="S3628"/>
  <c r="R3628"/>
  <c r="Z3628" s="1"/>
  <c r="AA3628" s="1"/>
  <c r="M3628"/>
  <c r="T3628" s="1"/>
  <c r="W3627"/>
  <c r="S3627"/>
  <c r="T3627" s="1"/>
  <c r="R3627"/>
  <c r="Y3627" s="1"/>
  <c r="O3627"/>
  <c r="U3627" s="1"/>
  <c r="V3627" s="1"/>
  <c r="M3627"/>
  <c r="W3626"/>
  <c r="R3626"/>
  <c r="AB3626" s="1"/>
  <c r="AC3626" s="1"/>
  <c r="O3626"/>
  <c r="U3626" s="1"/>
  <c r="V3626" s="1"/>
  <c r="M3626"/>
  <c r="AC3625"/>
  <c r="AB3625"/>
  <c r="Y3625"/>
  <c r="X3625"/>
  <c r="W3625"/>
  <c r="S3625"/>
  <c r="R3625"/>
  <c r="Z3625" s="1"/>
  <c r="AA3625" s="1"/>
  <c r="O3625"/>
  <c r="U3625" s="1"/>
  <c r="V3625" s="1"/>
  <c r="M3625"/>
  <c r="T3625" s="1"/>
  <c r="AB3624"/>
  <c r="AC3624" s="1"/>
  <c r="X3624"/>
  <c r="W3624"/>
  <c r="S3624"/>
  <c r="R3624"/>
  <c r="Z3624" s="1"/>
  <c r="AA3624" s="1"/>
  <c r="M3624"/>
  <c r="T3624" s="1"/>
  <c r="W3623"/>
  <c r="S3623"/>
  <c r="T3623" s="1"/>
  <c r="R3623"/>
  <c r="Y3623" s="1"/>
  <c r="O3623"/>
  <c r="U3623" s="1"/>
  <c r="V3623" s="1"/>
  <c r="M3623"/>
  <c r="W3622"/>
  <c r="R3622"/>
  <c r="AB3622" s="1"/>
  <c r="AC3622" s="1"/>
  <c r="O3622"/>
  <c r="U3622" s="1"/>
  <c r="V3622" s="1"/>
  <c r="M3622"/>
  <c r="AC3621"/>
  <c r="AB3621"/>
  <c r="Y3621"/>
  <c r="X3621"/>
  <c r="W3621"/>
  <c r="S3621"/>
  <c r="R3621"/>
  <c r="Z3621" s="1"/>
  <c r="AA3621" s="1"/>
  <c r="O3621"/>
  <c r="U3621" s="1"/>
  <c r="V3621" s="1"/>
  <c r="M3621"/>
  <c r="T3621" s="1"/>
  <c r="AB3620"/>
  <c r="AC3620" s="1"/>
  <c r="X3620"/>
  <c r="W3620"/>
  <c r="S3620"/>
  <c r="R3620"/>
  <c r="Z3620" s="1"/>
  <c r="AA3620" s="1"/>
  <c r="M3620"/>
  <c r="T3620" s="1"/>
  <c r="W3619"/>
  <c r="S3619"/>
  <c r="T3619" s="1"/>
  <c r="R3619"/>
  <c r="Y3619" s="1"/>
  <c r="O3619"/>
  <c r="U3619" s="1"/>
  <c r="V3619" s="1"/>
  <c r="M3619"/>
  <c r="W3618"/>
  <c r="R3618"/>
  <c r="AB3618" s="1"/>
  <c r="AC3618" s="1"/>
  <c r="O3618"/>
  <c r="U3618" s="1"/>
  <c r="V3618" s="1"/>
  <c r="M3618"/>
  <c r="AC3617"/>
  <c r="AB3617"/>
  <c r="Y3617"/>
  <c r="X3617"/>
  <c r="W3617"/>
  <c r="S3617"/>
  <c r="R3617"/>
  <c r="Z3617" s="1"/>
  <c r="AA3617" s="1"/>
  <c r="O3617"/>
  <c r="U3617" s="1"/>
  <c r="V3617" s="1"/>
  <c r="M3617"/>
  <c r="T3617" s="1"/>
  <c r="AB3616"/>
  <c r="AC3616" s="1"/>
  <c r="X3616"/>
  <c r="W3616"/>
  <c r="S3616"/>
  <c r="R3616"/>
  <c r="Z3616" s="1"/>
  <c r="AA3616" s="1"/>
  <c r="M3616"/>
  <c r="O3616" s="1"/>
  <c r="U3616" s="1"/>
  <c r="V3616" s="1"/>
  <c r="W3615"/>
  <c r="S3615"/>
  <c r="T3615" s="1"/>
  <c r="R3615"/>
  <c r="Y3615" s="1"/>
  <c r="O3615"/>
  <c r="U3615" s="1"/>
  <c r="V3615" s="1"/>
  <c r="M3615"/>
  <c r="W3614"/>
  <c r="R3614"/>
  <c r="O3614"/>
  <c r="M3614"/>
  <c r="AC3613"/>
  <c r="AB3613"/>
  <c r="Y3613"/>
  <c r="X3613"/>
  <c r="W3613"/>
  <c r="U3613"/>
  <c r="S3613"/>
  <c r="R3613"/>
  <c r="Z3613" s="1"/>
  <c r="AA3613" s="1"/>
  <c r="O3613"/>
  <c r="M3613"/>
  <c r="T3613" s="1"/>
  <c r="AB3612"/>
  <c r="AC3612" s="1"/>
  <c r="X3612"/>
  <c r="W3612"/>
  <c r="T3612"/>
  <c r="S3612"/>
  <c r="R3612"/>
  <c r="Z3612" s="1"/>
  <c r="AA3612" s="1"/>
  <c r="M3612"/>
  <c r="O3612" s="1"/>
  <c r="U3612" s="1"/>
  <c r="V3612" s="1"/>
  <c r="W3611"/>
  <c r="S3611"/>
  <c r="T3611" s="1"/>
  <c r="R3611"/>
  <c r="Y3611" s="1"/>
  <c r="O3611"/>
  <c r="U3611" s="1"/>
  <c r="V3611" s="1"/>
  <c r="M3611"/>
  <c r="Z3610"/>
  <c r="W3610"/>
  <c r="R3610"/>
  <c r="O3610"/>
  <c r="U3610" s="1"/>
  <c r="V3610" s="1"/>
  <c r="M3610"/>
  <c r="AC3609"/>
  <c r="AB3609"/>
  <c r="Y3609"/>
  <c r="X3609"/>
  <c r="W3609"/>
  <c r="S3609"/>
  <c r="R3609"/>
  <c r="Z3609" s="1"/>
  <c r="AA3609" s="1"/>
  <c r="O3609"/>
  <c r="U3609" s="1"/>
  <c r="V3609" s="1"/>
  <c r="M3609"/>
  <c r="T3609" s="1"/>
  <c r="AB3608"/>
  <c r="AC3608" s="1"/>
  <c r="X3608"/>
  <c r="W3608"/>
  <c r="S3608"/>
  <c r="R3608"/>
  <c r="Z3608" s="1"/>
  <c r="AA3608" s="1"/>
  <c r="M3608"/>
  <c r="O3608" s="1"/>
  <c r="U3608" s="1"/>
  <c r="V3608" s="1"/>
  <c r="W3607"/>
  <c r="S3607"/>
  <c r="T3607" s="1"/>
  <c r="R3607"/>
  <c r="Y3607" s="1"/>
  <c r="O3607"/>
  <c r="U3607" s="1"/>
  <c r="V3607" s="1"/>
  <c r="M3607"/>
  <c r="W3606"/>
  <c r="R3606"/>
  <c r="O3606"/>
  <c r="M3606"/>
  <c r="AC3605"/>
  <c r="AB3605"/>
  <c r="Y3605"/>
  <c r="X3605"/>
  <c r="W3605"/>
  <c r="U3605"/>
  <c r="V3605" s="1"/>
  <c r="S3605"/>
  <c r="R3605"/>
  <c r="Z3605" s="1"/>
  <c r="AA3605" s="1"/>
  <c r="O3605"/>
  <c r="M3605"/>
  <c r="T3605" s="1"/>
  <c r="AD3605" s="1"/>
  <c r="AB3604"/>
  <c r="AC3604" s="1"/>
  <c r="X3604"/>
  <c r="W3604"/>
  <c r="T3604"/>
  <c r="S3604"/>
  <c r="R3604"/>
  <c r="Z3604" s="1"/>
  <c r="AA3604" s="1"/>
  <c r="M3604"/>
  <c r="O3604" s="1"/>
  <c r="U3604" s="1"/>
  <c r="V3604" s="1"/>
  <c r="W3603"/>
  <c r="S3603"/>
  <c r="T3603" s="1"/>
  <c r="R3603"/>
  <c r="Y3603" s="1"/>
  <c r="O3603"/>
  <c r="U3603" s="1"/>
  <c r="V3603" s="1"/>
  <c r="M3603"/>
  <c r="Z3602"/>
  <c r="W3602"/>
  <c r="R3602"/>
  <c r="O3602"/>
  <c r="U3602" s="1"/>
  <c r="V3602" s="1"/>
  <c r="M3602"/>
  <c r="AC3601"/>
  <c r="AB3601"/>
  <c r="Y3601"/>
  <c r="X3601"/>
  <c r="W3601"/>
  <c r="S3601"/>
  <c r="R3601"/>
  <c r="Z3601" s="1"/>
  <c r="AA3601" s="1"/>
  <c r="O3601"/>
  <c r="U3601" s="1"/>
  <c r="V3601" s="1"/>
  <c r="M3601"/>
  <c r="T3601" s="1"/>
  <c r="AB3600"/>
  <c r="AC3600" s="1"/>
  <c r="X3600"/>
  <c r="W3600"/>
  <c r="S3600"/>
  <c r="R3600"/>
  <c r="Z3600" s="1"/>
  <c r="AA3600" s="1"/>
  <c r="M3600"/>
  <c r="O3600" s="1"/>
  <c r="U3600" s="1"/>
  <c r="V3600" s="1"/>
  <c r="W3599"/>
  <c r="S3599"/>
  <c r="T3599" s="1"/>
  <c r="R3599"/>
  <c r="Y3599" s="1"/>
  <c r="O3599"/>
  <c r="U3599" s="1"/>
  <c r="V3599" s="1"/>
  <c r="M3599"/>
  <c r="Z3598"/>
  <c r="W3598"/>
  <c r="V3598"/>
  <c r="U3598"/>
  <c r="R3598"/>
  <c r="O3598"/>
  <c r="M3598"/>
  <c r="AC3597"/>
  <c r="AB3597"/>
  <c r="Y3597"/>
  <c r="X3597"/>
  <c r="W3597"/>
  <c r="S3597"/>
  <c r="R3597"/>
  <c r="Z3597" s="1"/>
  <c r="AA3597" s="1"/>
  <c r="M3597"/>
  <c r="O3597" s="1"/>
  <c r="AB3596"/>
  <c r="AC3596" s="1"/>
  <c r="AA3596"/>
  <c r="X3596"/>
  <c r="W3596"/>
  <c r="T3596"/>
  <c r="S3596"/>
  <c r="R3596"/>
  <c r="Z3596" s="1"/>
  <c r="M3596"/>
  <c r="O3596" s="1"/>
  <c r="U3596" s="1"/>
  <c r="V3596" s="1"/>
  <c r="W3595"/>
  <c r="V3595"/>
  <c r="S3595"/>
  <c r="T3595" s="1"/>
  <c r="R3595"/>
  <c r="O3595"/>
  <c r="U3595" s="1"/>
  <c r="M3595"/>
  <c r="W3594"/>
  <c r="R3594"/>
  <c r="Z3594" s="1"/>
  <c r="O3594"/>
  <c r="U3594" s="1"/>
  <c r="V3594" s="1"/>
  <c r="M3594"/>
  <c r="AB3593"/>
  <c r="AC3593" s="1"/>
  <c r="Y3593"/>
  <c r="X3593"/>
  <c r="W3593"/>
  <c r="S3593"/>
  <c r="R3593"/>
  <c r="Z3593" s="1"/>
  <c r="AA3593" s="1"/>
  <c r="O3593"/>
  <c r="U3593" s="1"/>
  <c r="V3593" s="1"/>
  <c r="M3593"/>
  <c r="T3593" s="1"/>
  <c r="AB3592"/>
  <c r="AC3592" s="1"/>
  <c r="X3592"/>
  <c r="W3592"/>
  <c r="S3592"/>
  <c r="T3592" s="1"/>
  <c r="R3592"/>
  <c r="Z3592" s="1"/>
  <c r="AA3592" s="1"/>
  <c r="M3592"/>
  <c r="O3592" s="1"/>
  <c r="U3592" s="1"/>
  <c r="V3592" s="1"/>
  <c r="W3591"/>
  <c r="R3591"/>
  <c r="O3591"/>
  <c r="M3591"/>
  <c r="Z3590"/>
  <c r="W3590"/>
  <c r="V3590"/>
  <c r="U3590"/>
  <c r="R3590"/>
  <c r="O3590"/>
  <c r="M3590"/>
  <c r="AC3589"/>
  <c r="AB3589"/>
  <c r="Y3589"/>
  <c r="X3589"/>
  <c r="W3589"/>
  <c r="S3589"/>
  <c r="R3589"/>
  <c r="Z3589" s="1"/>
  <c r="AA3589" s="1"/>
  <c r="M3589"/>
  <c r="O3589" s="1"/>
  <c r="U3589" s="1"/>
  <c r="V3589" s="1"/>
  <c r="AB3588"/>
  <c r="AC3588" s="1"/>
  <c r="AA3588"/>
  <c r="X3588"/>
  <c r="W3588"/>
  <c r="T3588"/>
  <c r="S3588"/>
  <c r="R3588"/>
  <c r="Z3588" s="1"/>
  <c r="M3588"/>
  <c r="O3588" s="1"/>
  <c r="W3587"/>
  <c r="S3587"/>
  <c r="T3587" s="1"/>
  <c r="R3587"/>
  <c r="O3587"/>
  <c r="M3587"/>
  <c r="W3586"/>
  <c r="R3586"/>
  <c r="Z3586" s="1"/>
  <c r="O3586"/>
  <c r="U3586" s="1"/>
  <c r="V3586" s="1"/>
  <c r="M3586"/>
  <c r="AB3585"/>
  <c r="AC3585" s="1"/>
  <c r="Y3585"/>
  <c r="X3585"/>
  <c r="W3585"/>
  <c r="S3585"/>
  <c r="R3585"/>
  <c r="Z3585" s="1"/>
  <c r="AA3585" s="1"/>
  <c r="O3585"/>
  <c r="U3585" s="1"/>
  <c r="V3585" s="1"/>
  <c r="M3585"/>
  <c r="T3585" s="1"/>
  <c r="AB3584"/>
  <c r="AC3584" s="1"/>
  <c r="X3584"/>
  <c r="W3584"/>
  <c r="S3584"/>
  <c r="R3584"/>
  <c r="Z3584" s="1"/>
  <c r="AA3584" s="1"/>
  <c r="M3584"/>
  <c r="O3584" s="1"/>
  <c r="U3584" s="1"/>
  <c r="V3584" s="1"/>
  <c r="AA3583"/>
  <c r="Z3583"/>
  <c r="W3583"/>
  <c r="R3583"/>
  <c r="O3583"/>
  <c r="U3583" s="1"/>
  <c r="M3583"/>
  <c r="W3582"/>
  <c r="R3582"/>
  <c r="X3582" s="1"/>
  <c r="O3582"/>
  <c r="U3582" s="1"/>
  <c r="V3582" s="1"/>
  <c r="M3582"/>
  <c r="AB3581"/>
  <c r="AC3581" s="1"/>
  <c r="Y3581"/>
  <c r="X3581"/>
  <c r="W3581"/>
  <c r="S3581"/>
  <c r="T3581" s="1"/>
  <c r="R3581"/>
  <c r="Z3581" s="1"/>
  <c r="AA3581" s="1"/>
  <c r="O3581"/>
  <c r="U3581" s="1"/>
  <c r="V3581" s="1"/>
  <c r="M3581"/>
  <c r="W3580"/>
  <c r="R3580"/>
  <c r="Y3580" s="1"/>
  <c r="O3580"/>
  <c r="M3580"/>
  <c r="Y3579"/>
  <c r="W3579"/>
  <c r="R3579"/>
  <c r="O3579"/>
  <c r="U3579" s="1"/>
  <c r="V3579" s="1"/>
  <c r="M3579"/>
  <c r="AB3578"/>
  <c r="AC3578" s="1"/>
  <c r="Y3578"/>
  <c r="X3578"/>
  <c r="W3578"/>
  <c r="S3578"/>
  <c r="R3578"/>
  <c r="Z3578" s="1"/>
  <c r="AA3578" s="1"/>
  <c r="M3578"/>
  <c r="T3578" s="1"/>
  <c r="W3577"/>
  <c r="S3577"/>
  <c r="T3577" s="1"/>
  <c r="R3577"/>
  <c r="Y3577" s="1"/>
  <c r="M3577"/>
  <c r="O3577" s="1"/>
  <c r="U3577" s="1"/>
  <c r="V3577" s="1"/>
  <c r="W3576"/>
  <c r="R3576"/>
  <c r="AB3576" s="1"/>
  <c r="AC3576" s="1"/>
  <c r="O3576"/>
  <c r="U3576" s="1"/>
  <c r="V3576" s="1"/>
  <c r="M3576"/>
  <c r="AC3575"/>
  <c r="AB3575"/>
  <c r="Y3575"/>
  <c r="X3575"/>
  <c r="W3575"/>
  <c r="R3575"/>
  <c r="O3575"/>
  <c r="U3575" s="1"/>
  <c r="V3575" s="1"/>
  <c r="M3575"/>
  <c r="AB3574"/>
  <c r="AC3574" s="1"/>
  <c r="Y3574"/>
  <c r="X3574"/>
  <c r="W3574"/>
  <c r="S3574"/>
  <c r="R3574"/>
  <c r="Z3574" s="1"/>
  <c r="AA3574" s="1"/>
  <c r="M3574"/>
  <c r="T3574" s="1"/>
  <c r="W3573"/>
  <c r="S3573"/>
  <c r="T3573" s="1"/>
  <c r="R3573"/>
  <c r="Y3573" s="1"/>
  <c r="M3573"/>
  <c r="O3573" s="1"/>
  <c r="U3573" s="1"/>
  <c r="V3573" s="1"/>
  <c r="W3572"/>
  <c r="R3572"/>
  <c r="AB3572" s="1"/>
  <c r="AC3572" s="1"/>
  <c r="O3572"/>
  <c r="U3572" s="1"/>
  <c r="V3572" s="1"/>
  <c r="M3572"/>
  <c r="AC3571"/>
  <c r="AB3571"/>
  <c r="Y3571"/>
  <c r="X3571"/>
  <c r="W3571"/>
  <c r="R3571"/>
  <c r="O3571"/>
  <c r="U3571" s="1"/>
  <c r="M3571"/>
  <c r="AB3570"/>
  <c r="AC3570" s="1"/>
  <c r="Y3570"/>
  <c r="X3570"/>
  <c r="W3570"/>
  <c r="S3570"/>
  <c r="R3570"/>
  <c r="Z3570" s="1"/>
  <c r="AA3570" s="1"/>
  <c r="M3570"/>
  <c r="T3570" s="1"/>
  <c r="W3569"/>
  <c r="S3569"/>
  <c r="T3569" s="1"/>
  <c r="R3569"/>
  <c r="Y3569" s="1"/>
  <c r="M3569"/>
  <c r="O3569" s="1"/>
  <c r="W3568"/>
  <c r="R3568"/>
  <c r="AB3568" s="1"/>
  <c r="AC3568" s="1"/>
  <c r="O3568"/>
  <c r="U3568" s="1"/>
  <c r="V3568" s="1"/>
  <c r="M3568"/>
  <c r="AC3567"/>
  <c r="AB3567"/>
  <c r="Y3567"/>
  <c r="X3567"/>
  <c r="W3567"/>
  <c r="R3567"/>
  <c r="O3567"/>
  <c r="U3567" s="1"/>
  <c r="V3567" s="1"/>
  <c r="M3567"/>
  <c r="AB3566"/>
  <c r="AC3566" s="1"/>
  <c r="Y3566"/>
  <c r="X3566"/>
  <c r="W3566"/>
  <c r="S3566"/>
  <c r="R3566"/>
  <c r="Z3566" s="1"/>
  <c r="AA3566" s="1"/>
  <c r="M3566"/>
  <c r="T3566" s="1"/>
  <c r="W3565"/>
  <c r="S3565"/>
  <c r="T3565" s="1"/>
  <c r="R3565"/>
  <c r="Y3565" s="1"/>
  <c r="M3565"/>
  <c r="O3565" s="1"/>
  <c r="U3565" s="1"/>
  <c r="V3565" s="1"/>
  <c r="W3564"/>
  <c r="R3564"/>
  <c r="AB3564" s="1"/>
  <c r="AC3564" s="1"/>
  <c r="O3564"/>
  <c r="U3564" s="1"/>
  <c r="V3564" s="1"/>
  <c r="M3564"/>
  <c r="AC3563"/>
  <c r="AB3563"/>
  <c r="Y3563"/>
  <c r="X3563"/>
  <c r="W3563"/>
  <c r="R3563"/>
  <c r="O3563"/>
  <c r="U3563" s="1"/>
  <c r="V3563" s="1"/>
  <c r="M3563"/>
  <c r="AB3562"/>
  <c r="AC3562" s="1"/>
  <c r="Y3562"/>
  <c r="X3562"/>
  <c r="W3562"/>
  <c r="S3562"/>
  <c r="R3562"/>
  <c r="Z3562" s="1"/>
  <c r="AA3562" s="1"/>
  <c r="M3562"/>
  <c r="T3562" s="1"/>
  <c r="W3561"/>
  <c r="S3561"/>
  <c r="T3561" s="1"/>
  <c r="R3561"/>
  <c r="Y3561" s="1"/>
  <c r="M3561"/>
  <c r="O3561" s="1"/>
  <c r="U3561" s="1"/>
  <c r="V3561" s="1"/>
  <c r="W3560"/>
  <c r="R3560"/>
  <c r="AB3560" s="1"/>
  <c r="AC3560" s="1"/>
  <c r="O3560"/>
  <c r="U3560" s="1"/>
  <c r="V3560" s="1"/>
  <c r="M3560"/>
  <c r="AC3559"/>
  <c r="AB3559"/>
  <c r="Y3559"/>
  <c r="X3559"/>
  <c r="W3559"/>
  <c r="R3559"/>
  <c r="O3559"/>
  <c r="U3559" s="1"/>
  <c r="M3559"/>
  <c r="AB3558"/>
  <c r="AC3558" s="1"/>
  <c r="X3558"/>
  <c r="W3558"/>
  <c r="S3558"/>
  <c r="R3558"/>
  <c r="Z3558" s="1"/>
  <c r="AA3558" s="1"/>
  <c r="M3558"/>
  <c r="T3558" s="1"/>
  <c r="W3557"/>
  <c r="S3557"/>
  <c r="T3557" s="1"/>
  <c r="R3557"/>
  <c r="Y3557" s="1"/>
  <c r="M3557"/>
  <c r="O3557" s="1"/>
  <c r="W3556"/>
  <c r="R3556"/>
  <c r="AB3556" s="1"/>
  <c r="AC3556" s="1"/>
  <c r="O3556"/>
  <c r="U3556" s="1"/>
  <c r="V3556" s="1"/>
  <c r="M3556"/>
  <c r="AC3555"/>
  <c r="AB3555"/>
  <c r="Y3555"/>
  <c r="X3555"/>
  <c r="W3555"/>
  <c r="R3555"/>
  <c r="O3555"/>
  <c r="U3555" s="1"/>
  <c r="M3555"/>
  <c r="AB3554"/>
  <c r="AC3554" s="1"/>
  <c r="X3554"/>
  <c r="W3554"/>
  <c r="S3554"/>
  <c r="R3554"/>
  <c r="Z3554" s="1"/>
  <c r="AA3554" s="1"/>
  <c r="M3554"/>
  <c r="T3554" s="1"/>
  <c r="W3553"/>
  <c r="S3553"/>
  <c r="T3553" s="1"/>
  <c r="R3553"/>
  <c r="Y3553" s="1"/>
  <c r="M3553"/>
  <c r="O3553" s="1"/>
  <c r="W3552"/>
  <c r="R3552"/>
  <c r="AB3552" s="1"/>
  <c r="AC3552" s="1"/>
  <c r="O3552"/>
  <c r="U3552" s="1"/>
  <c r="V3552" s="1"/>
  <c r="M3552"/>
  <c r="AC3551"/>
  <c r="AB3551"/>
  <c r="Y3551"/>
  <c r="X3551"/>
  <c r="W3551"/>
  <c r="R3551"/>
  <c r="O3551"/>
  <c r="U3551" s="1"/>
  <c r="M3551"/>
  <c r="AB3550"/>
  <c r="AC3550" s="1"/>
  <c r="X3550"/>
  <c r="W3550"/>
  <c r="S3550"/>
  <c r="R3550"/>
  <c r="Z3550" s="1"/>
  <c r="AA3550" s="1"/>
  <c r="M3550"/>
  <c r="T3550" s="1"/>
  <c r="W3549"/>
  <c r="S3549"/>
  <c r="T3549" s="1"/>
  <c r="R3549"/>
  <c r="Y3549" s="1"/>
  <c r="M3549"/>
  <c r="O3549" s="1"/>
  <c r="W3548"/>
  <c r="R3548"/>
  <c r="AB3548" s="1"/>
  <c r="AC3548" s="1"/>
  <c r="O3548"/>
  <c r="U3548" s="1"/>
  <c r="V3548" s="1"/>
  <c r="M3548"/>
  <c r="AC3547"/>
  <c r="AB3547"/>
  <c r="Y3547"/>
  <c r="X3547"/>
  <c r="W3547"/>
  <c r="R3547"/>
  <c r="O3547"/>
  <c r="U3547" s="1"/>
  <c r="M3547"/>
  <c r="AB3546"/>
  <c r="AC3546" s="1"/>
  <c r="X3546"/>
  <c r="W3546"/>
  <c r="S3546"/>
  <c r="R3546"/>
  <c r="Z3546" s="1"/>
  <c r="AA3546" s="1"/>
  <c r="M3546"/>
  <c r="T3546" s="1"/>
  <c r="W3545"/>
  <c r="S3545"/>
  <c r="T3545" s="1"/>
  <c r="R3545"/>
  <c r="Y3545" s="1"/>
  <c r="M3545"/>
  <c r="O3545" s="1"/>
  <c r="W3544"/>
  <c r="R3544"/>
  <c r="AB3544" s="1"/>
  <c r="AC3544" s="1"/>
  <c r="O3544"/>
  <c r="U3544" s="1"/>
  <c r="V3544" s="1"/>
  <c r="M3544"/>
  <c r="AC3543"/>
  <c r="AB3543"/>
  <c r="Y3543"/>
  <c r="X3543"/>
  <c r="W3543"/>
  <c r="R3543"/>
  <c r="O3543"/>
  <c r="U3543" s="1"/>
  <c r="M3543"/>
  <c r="AB3542"/>
  <c r="AC3542" s="1"/>
  <c r="X3542"/>
  <c r="W3542"/>
  <c r="S3542"/>
  <c r="R3542"/>
  <c r="Z3542" s="1"/>
  <c r="AA3542" s="1"/>
  <c r="M3542"/>
  <c r="T3542" s="1"/>
  <c r="W3541"/>
  <c r="S3541"/>
  <c r="T3541" s="1"/>
  <c r="R3541"/>
  <c r="Y3541" s="1"/>
  <c r="M3541"/>
  <c r="O3541" s="1"/>
  <c r="W3540"/>
  <c r="R3540"/>
  <c r="AB3540" s="1"/>
  <c r="AC3540" s="1"/>
  <c r="O3540"/>
  <c r="U3540" s="1"/>
  <c r="V3540" s="1"/>
  <c r="M3540"/>
  <c r="AC3539"/>
  <c r="AB3539"/>
  <c r="Y3539"/>
  <c r="X3539"/>
  <c r="W3539"/>
  <c r="R3539"/>
  <c r="O3539"/>
  <c r="U3539" s="1"/>
  <c r="M3539"/>
  <c r="AB3538"/>
  <c r="AC3538" s="1"/>
  <c r="Y3538"/>
  <c r="X3538"/>
  <c r="W3538"/>
  <c r="T3538"/>
  <c r="AD3538" s="1"/>
  <c r="S3538"/>
  <c r="R3538"/>
  <c r="Z3538" s="1"/>
  <c r="AA3538" s="1"/>
  <c r="M3538"/>
  <c r="O3538" s="1"/>
  <c r="U3538" s="1"/>
  <c r="V3538" s="1"/>
  <c r="W3537"/>
  <c r="S3537"/>
  <c r="T3537" s="1"/>
  <c r="R3537"/>
  <c r="Y3537" s="1"/>
  <c r="M3537"/>
  <c r="O3537" s="1"/>
  <c r="U3537" s="1"/>
  <c r="V3537" s="1"/>
  <c r="W3536"/>
  <c r="R3536"/>
  <c r="O3536"/>
  <c r="M3536"/>
  <c r="AC3535"/>
  <c r="AB3535"/>
  <c r="Y3535"/>
  <c r="X3535"/>
  <c r="W3535"/>
  <c r="U3535"/>
  <c r="V3535" s="1"/>
  <c r="R3535"/>
  <c r="O3535"/>
  <c r="M3535"/>
  <c r="AB3534"/>
  <c r="AC3534" s="1"/>
  <c r="X3534"/>
  <c r="W3534"/>
  <c r="T3534"/>
  <c r="S3534"/>
  <c r="R3534"/>
  <c r="Z3534" s="1"/>
  <c r="AA3534" s="1"/>
  <c r="M3534"/>
  <c r="O3534" s="1"/>
  <c r="U3534" s="1"/>
  <c r="V3534" s="1"/>
  <c r="W3533"/>
  <c r="S3533"/>
  <c r="T3533" s="1"/>
  <c r="R3533"/>
  <c r="Y3533" s="1"/>
  <c r="M3533"/>
  <c r="O3533" s="1"/>
  <c r="U3533" s="1"/>
  <c r="V3533" s="1"/>
  <c r="W3532"/>
  <c r="R3532"/>
  <c r="O3532"/>
  <c r="M3532"/>
  <c r="AC3531"/>
  <c r="AB3531"/>
  <c r="Y3531"/>
  <c r="X3531"/>
  <c r="W3531"/>
  <c r="U3531"/>
  <c r="V3531" s="1"/>
  <c r="R3531"/>
  <c r="O3531"/>
  <c r="M3531"/>
  <c r="AB3530"/>
  <c r="AC3530" s="1"/>
  <c r="X3530"/>
  <c r="W3530"/>
  <c r="T3530"/>
  <c r="S3530"/>
  <c r="R3530"/>
  <c r="Z3530" s="1"/>
  <c r="AA3530" s="1"/>
  <c r="M3530"/>
  <c r="O3530" s="1"/>
  <c r="U3530" s="1"/>
  <c r="V3530" s="1"/>
  <c r="W3529"/>
  <c r="S3529"/>
  <c r="T3529" s="1"/>
  <c r="R3529"/>
  <c r="Y3529" s="1"/>
  <c r="M3529"/>
  <c r="O3529" s="1"/>
  <c r="U3529" s="1"/>
  <c r="V3529" s="1"/>
  <c r="W3528"/>
  <c r="R3528"/>
  <c r="O3528"/>
  <c r="M3528"/>
  <c r="AC3527"/>
  <c r="AB3527"/>
  <c r="Y3527"/>
  <c r="X3527"/>
  <c r="W3527"/>
  <c r="R3527"/>
  <c r="M3527"/>
  <c r="O3527" s="1"/>
  <c r="U3527" s="1"/>
  <c r="V3527" s="1"/>
  <c r="AB3526"/>
  <c r="AC3526" s="1"/>
  <c r="AA3526"/>
  <c r="X3526"/>
  <c r="W3526"/>
  <c r="T3526"/>
  <c r="S3526"/>
  <c r="R3526"/>
  <c r="Z3526" s="1"/>
  <c r="M3526"/>
  <c r="O3526" s="1"/>
  <c r="U3526" s="1"/>
  <c r="V3526" s="1"/>
  <c r="W3525"/>
  <c r="S3525"/>
  <c r="T3525" s="1"/>
  <c r="R3525"/>
  <c r="M3525"/>
  <c r="O3525" s="1"/>
  <c r="U3525" s="1"/>
  <c r="V3525" s="1"/>
  <c r="W3524"/>
  <c r="R3524"/>
  <c r="Z3524" s="1"/>
  <c r="O3524"/>
  <c r="U3524" s="1"/>
  <c r="V3524" s="1"/>
  <c r="M3524"/>
  <c r="AB3523"/>
  <c r="AC3523" s="1"/>
  <c r="Y3523"/>
  <c r="X3523"/>
  <c r="W3523"/>
  <c r="R3523"/>
  <c r="M3523"/>
  <c r="O3523" s="1"/>
  <c r="U3523" s="1"/>
  <c r="V3523" s="1"/>
  <c r="AB3522"/>
  <c r="AC3522" s="1"/>
  <c r="AA3522"/>
  <c r="X3522"/>
  <c r="W3522"/>
  <c r="S3522"/>
  <c r="R3522"/>
  <c r="Z3522" s="1"/>
  <c r="M3522"/>
  <c r="O3522" s="1"/>
  <c r="U3522" s="1"/>
  <c r="V3522" s="1"/>
  <c r="W3521"/>
  <c r="S3521"/>
  <c r="T3521" s="1"/>
  <c r="R3521"/>
  <c r="M3521"/>
  <c r="O3521" s="1"/>
  <c r="U3521" s="1"/>
  <c r="V3521" s="1"/>
  <c r="W3520"/>
  <c r="R3520"/>
  <c r="Z3520" s="1"/>
  <c r="O3520"/>
  <c r="U3520" s="1"/>
  <c r="V3520" s="1"/>
  <c r="M3520"/>
  <c r="AB3519"/>
  <c r="AC3519" s="1"/>
  <c r="Y3519"/>
  <c r="X3519"/>
  <c r="W3519"/>
  <c r="R3519"/>
  <c r="M3519"/>
  <c r="O3519" s="1"/>
  <c r="U3519" s="1"/>
  <c r="V3519" s="1"/>
  <c r="AB3518"/>
  <c r="AC3518" s="1"/>
  <c r="AA3518"/>
  <c r="X3518"/>
  <c r="W3518"/>
  <c r="S3518"/>
  <c r="R3518"/>
  <c r="Z3518" s="1"/>
  <c r="M3518"/>
  <c r="O3518" s="1"/>
  <c r="U3518" s="1"/>
  <c r="V3518" s="1"/>
  <c r="W3517"/>
  <c r="R3517"/>
  <c r="M3517"/>
  <c r="O3517" s="1"/>
  <c r="U3517" s="1"/>
  <c r="V3517" s="1"/>
  <c r="W3516"/>
  <c r="R3516"/>
  <c r="Z3516" s="1"/>
  <c r="O3516"/>
  <c r="U3516" s="1"/>
  <c r="V3516" s="1"/>
  <c r="M3516"/>
  <c r="AB3515"/>
  <c r="AC3515" s="1"/>
  <c r="Y3515"/>
  <c r="X3515"/>
  <c r="W3515"/>
  <c r="R3515"/>
  <c r="M3515"/>
  <c r="O3515" s="1"/>
  <c r="U3515" s="1"/>
  <c r="V3515" s="1"/>
  <c r="AB3514"/>
  <c r="AC3514" s="1"/>
  <c r="AA3514"/>
  <c r="X3514"/>
  <c r="W3514"/>
  <c r="S3514"/>
  <c r="R3514"/>
  <c r="Z3514" s="1"/>
  <c r="M3514"/>
  <c r="O3514" s="1"/>
  <c r="U3514" s="1"/>
  <c r="V3514" s="1"/>
  <c r="W3513"/>
  <c r="R3513"/>
  <c r="M3513"/>
  <c r="O3513" s="1"/>
  <c r="U3513" s="1"/>
  <c r="V3513" s="1"/>
  <c r="W3512"/>
  <c r="R3512"/>
  <c r="Z3512" s="1"/>
  <c r="O3512"/>
  <c r="U3512" s="1"/>
  <c r="V3512" s="1"/>
  <c r="M3512"/>
  <c r="AB3511"/>
  <c r="AC3511" s="1"/>
  <c r="Y3511"/>
  <c r="X3511"/>
  <c r="W3511"/>
  <c r="R3511"/>
  <c r="M3511"/>
  <c r="O3511" s="1"/>
  <c r="U3511" s="1"/>
  <c r="V3511" s="1"/>
  <c r="Y3510"/>
  <c r="X3510"/>
  <c r="W3510"/>
  <c r="S3510"/>
  <c r="R3510"/>
  <c r="Z3510" s="1"/>
  <c r="M3510"/>
  <c r="T3510" s="1"/>
  <c r="W3509"/>
  <c r="S3509"/>
  <c r="T3509" s="1"/>
  <c r="R3509"/>
  <c r="Y3509" s="1"/>
  <c r="O3509"/>
  <c r="U3509" s="1"/>
  <c r="V3509" s="1"/>
  <c r="M3509"/>
  <c r="W3508"/>
  <c r="R3508"/>
  <c r="AB3508" s="1"/>
  <c r="AC3508" s="1"/>
  <c r="O3508"/>
  <c r="U3508" s="1"/>
  <c r="V3508" s="1"/>
  <c r="M3508"/>
  <c r="AC3507"/>
  <c r="AB3507"/>
  <c r="Y3507"/>
  <c r="X3507"/>
  <c r="W3507"/>
  <c r="S3507"/>
  <c r="R3507"/>
  <c r="Z3507" s="1"/>
  <c r="AA3507" s="1"/>
  <c r="O3507"/>
  <c r="U3507" s="1"/>
  <c r="V3507" s="1"/>
  <c r="M3507"/>
  <c r="T3507" s="1"/>
  <c r="AB3506"/>
  <c r="AC3506" s="1"/>
  <c r="X3506"/>
  <c r="W3506"/>
  <c r="S3506"/>
  <c r="R3506"/>
  <c r="Z3506" s="1"/>
  <c r="AA3506" s="1"/>
  <c r="M3506"/>
  <c r="T3506" s="1"/>
  <c r="W3505"/>
  <c r="S3505"/>
  <c r="T3505" s="1"/>
  <c r="R3505"/>
  <c r="Y3505" s="1"/>
  <c r="O3505"/>
  <c r="U3505" s="1"/>
  <c r="V3505" s="1"/>
  <c r="M3505"/>
  <c r="W3504"/>
  <c r="R3504"/>
  <c r="AB3504" s="1"/>
  <c r="AC3504" s="1"/>
  <c r="O3504"/>
  <c r="U3504" s="1"/>
  <c r="V3504" s="1"/>
  <c r="M3504"/>
  <c r="AC3503"/>
  <c r="AB3503"/>
  <c r="Y3503"/>
  <c r="X3503"/>
  <c r="W3503"/>
  <c r="S3503"/>
  <c r="R3503"/>
  <c r="Z3503" s="1"/>
  <c r="AA3503" s="1"/>
  <c r="O3503"/>
  <c r="U3503" s="1"/>
  <c r="V3503" s="1"/>
  <c r="M3503"/>
  <c r="T3503" s="1"/>
  <c r="AB3502"/>
  <c r="AC3502" s="1"/>
  <c r="X3502"/>
  <c r="W3502"/>
  <c r="S3502"/>
  <c r="R3502"/>
  <c r="Z3502" s="1"/>
  <c r="AA3502" s="1"/>
  <c r="M3502"/>
  <c r="T3502" s="1"/>
  <c r="W3501"/>
  <c r="S3501"/>
  <c r="T3501" s="1"/>
  <c r="R3501"/>
  <c r="Y3501" s="1"/>
  <c r="O3501"/>
  <c r="U3501" s="1"/>
  <c r="V3501" s="1"/>
  <c r="M3501"/>
  <c r="W3500"/>
  <c r="R3500"/>
  <c r="AB3500" s="1"/>
  <c r="AC3500" s="1"/>
  <c r="O3500"/>
  <c r="U3500" s="1"/>
  <c r="V3500" s="1"/>
  <c r="M3500"/>
  <c r="AC3499"/>
  <c r="AB3499"/>
  <c r="Y3499"/>
  <c r="X3499"/>
  <c r="W3499"/>
  <c r="R3499"/>
  <c r="O3499"/>
  <c r="U3499" s="1"/>
  <c r="V3499" s="1"/>
  <c r="M3499"/>
  <c r="AB3498"/>
  <c r="AC3498" s="1"/>
  <c r="X3498"/>
  <c r="W3498"/>
  <c r="S3498"/>
  <c r="R3498"/>
  <c r="Z3498" s="1"/>
  <c r="AA3498" s="1"/>
  <c r="M3498"/>
  <c r="T3498" s="1"/>
  <c r="W3497"/>
  <c r="S3497"/>
  <c r="T3497" s="1"/>
  <c r="R3497"/>
  <c r="Y3497" s="1"/>
  <c r="O3497"/>
  <c r="U3497" s="1"/>
  <c r="V3497" s="1"/>
  <c r="M3497"/>
  <c r="W3496"/>
  <c r="R3496"/>
  <c r="AB3496" s="1"/>
  <c r="AC3496" s="1"/>
  <c r="O3496"/>
  <c r="U3496" s="1"/>
  <c r="V3496" s="1"/>
  <c r="M3496"/>
  <c r="AC3495"/>
  <c r="AB3495"/>
  <c r="Y3495"/>
  <c r="X3495"/>
  <c r="W3495"/>
  <c r="R3495"/>
  <c r="O3495"/>
  <c r="U3495" s="1"/>
  <c r="V3495" s="1"/>
  <c r="M3495"/>
  <c r="AB3494"/>
  <c r="AC3494" s="1"/>
  <c r="X3494"/>
  <c r="W3494"/>
  <c r="S3494"/>
  <c r="R3494"/>
  <c r="Z3494" s="1"/>
  <c r="AA3494" s="1"/>
  <c r="M3494"/>
  <c r="T3494" s="1"/>
  <c r="W3493"/>
  <c r="S3493"/>
  <c r="T3493" s="1"/>
  <c r="R3493"/>
  <c r="Y3493" s="1"/>
  <c r="O3493"/>
  <c r="U3493" s="1"/>
  <c r="V3493" s="1"/>
  <c r="M3493"/>
  <c r="W3492"/>
  <c r="R3492"/>
  <c r="AB3492" s="1"/>
  <c r="AC3492" s="1"/>
  <c r="O3492"/>
  <c r="U3492" s="1"/>
  <c r="V3492" s="1"/>
  <c r="M3492"/>
  <c r="AC3491"/>
  <c r="AB3491"/>
  <c r="Y3491"/>
  <c r="X3491"/>
  <c r="W3491"/>
  <c r="R3491"/>
  <c r="O3491"/>
  <c r="U3491" s="1"/>
  <c r="V3491" s="1"/>
  <c r="M3491"/>
  <c r="AB3490"/>
  <c r="AC3490" s="1"/>
  <c r="X3490"/>
  <c r="W3490"/>
  <c r="S3490"/>
  <c r="R3490"/>
  <c r="Z3490" s="1"/>
  <c r="AA3490" s="1"/>
  <c r="M3490"/>
  <c r="T3490" s="1"/>
  <c r="W3489"/>
  <c r="S3489"/>
  <c r="T3489" s="1"/>
  <c r="R3489"/>
  <c r="Y3489" s="1"/>
  <c r="M3489"/>
  <c r="O3489" s="1"/>
  <c r="U3489" s="1"/>
  <c r="V3489" s="1"/>
  <c r="W3488"/>
  <c r="R3488"/>
  <c r="AB3488" s="1"/>
  <c r="AC3488" s="1"/>
  <c r="O3488"/>
  <c r="U3488" s="1"/>
  <c r="V3488" s="1"/>
  <c r="M3488"/>
  <c r="AC3487"/>
  <c r="AB3487"/>
  <c r="Y3487"/>
  <c r="X3487"/>
  <c r="W3487"/>
  <c r="R3487"/>
  <c r="O3487"/>
  <c r="U3487" s="1"/>
  <c r="V3487" s="1"/>
  <c r="M3487"/>
  <c r="AB3486"/>
  <c r="AC3486" s="1"/>
  <c r="X3486"/>
  <c r="W3486"/>
  <c r="S3486"/>
  <c r="R3486"/>
  <c r="Z3486" s="1"/>
  <c r="AA3486" s="1"/>
  <c r="M3486"/>
  <c r="T3486" s="1"/>
  <c r="W3485"/>
  <c r="S3485"/>
  <c r="T3485" s="1"/>
  <c r="R3485"/>
  <c r="Y3485" s="1"/>
  <c r="O3485"/>
  <c r="U3485" s="1"/>
  <c r="V3485" s="1"/>
  <c r="M3485"/>
  <c r="W3484"/>
  <c r="R3484"/>
  <c r="AB3484" s="1"/>
  <c r="AC3484" s="1"/>
  <c r="O3484"/>
  <c r="U3484" s="1"/>
  <c r="V3484" s="1"/>
  <c r="M3484"/>
  <c r="AC3483"/>
  <c r="AB3483"/>
  <c r="Y3483"/>
  <c r="X3483"/>
  <c r="W3483"/>
  <c r="R3483"/>
  <c r="O3483"/>
  <c r="U3483" s="1"/>
  <c r="V3483" s="1"/>
  <c r="M3483"/>
  <c r="AB3482"/>
  <c r="AC3482" s="1"/>
  <c r="X3482"/>
  <c r="W3482"/>
  <c r="S3482"/>
  <c r="R3482"/>
  <c r="Z3482" s="1"/>
  <c r="AA3482" s="1"/>
  <c r="M3482"/>
  <c r="T3482" s="1"/>
  <c r="W3481"/>
  <c r="S3481"/>
  <c r="T3481" s="1"/>
  <c r="R3481"/>
  <c r="Y3481" s="1"/>
  <c r="O3481"/>
  <c r="U3481" s="1"/>
  <c r="V3481" s="1"/>
  <c r="M3481"/>
  <c r="W3480"/>
  <c r="R3480"/>
  <c r="AB3480" s="1"/>
  <c r="AC3480" s="1"/>
  <c r="O3480"/>
  <c r="U3480" s="1"/>
  <c r="V3480" s="1"/>
  <c r="M3480"/>
  <c r="AC3479"/>
  <c r="AB3479"/>
  <c r="Y3479"/>
  <c r="X3479"/>
  <c r="W3479"/>
  <c r="R3479"/>
  <c r="O3479"/>
  <c r="U3479" s="1"/>
  <c r="V3479" s="1"/>
  <c r="M3479"/>
  <c r="AB3478"/>
  <c r="AC3478" s="1"/>
  <c r="X3478"/>
  <c r="W3478"/>
  <c r="S3478"/>
  <c r="R3478"/>
  <c r="Z3478" s="1"/>
  <c r="AA3478" s="1"/>
  <c r="M3478"/>
  <c r="T3478" s="1"/>
  <c r="W3477"/>
  <c r="S3477"/>
  <c r="T3477" s="1"/>
  <c r="R3477"/>
  <c r="Y3477" s="1"/>
  <c r="M3477"/>
  <c r="O3477" s="1"/>
  <c r="U3477" s="1"/>
  <c r="V3477" s="1"/>
  <c r="W3476"/>
  <c r="R3476"/>
  <c r="AB3476" s="1"/>
  <c r="AC3476" s="1"/>
  <c r="O3476"/>
  <c r="U3476" s="1"/>
  <c r="V3476" s="1"/>
  <c r="M3476"/>
  <c r="AC3475"/>
  <c r="AB3475"/>
  <c r="Y3475"/>
  <c r="X3475"/>
  <c r="W3475"/>
  <c r="R3475"/>
  <c r="O3475"/>
  <c r="U3475" s="1"/>
  <c r="V3475" s="1"/>
  <c r="M3475"/>
  <c r="AB3474"/>
  <c r="AC3474" s="1"/>
  <c r="X3474"/>
  <c r="W3474"/>
  <c r="S3474"/>
  <c r="R3474"/>
  <c r="Z3474" s="1"/>
  <c r="AA3474" s="1"/>
  <c r="M3474"/>
  <c r="T3474" s="1"/>
  <c r="W3473"/>
  <c r="S3473"/>
  <c r="T3473" s="1"/>
  <c r="R3473"/>
  <c r="Y3473" s="1"/>
  <c r="M3473"/>
  <c r="O3473" s="1"/>
  <c r="U3473" s="1"/>
  <c r="V3473" s="1"/>
  <c r="W3472"/>
  <c r="R3472"/>
  <c r="AB3472" s="1"/>
  <c r="AC3472" s="1"/>
  <c r="O3472"/>
  <c r="U3472" s="1"/>
  <c r="V3472" s="1"/>
  <c r="M3472"/>
  <c r="AC3471"/>
  <c r="AB3471"/>
  <c r="Y3471"/>
  <c r="X3471"/>
  <c r="W3471"/>
  <c r="R3471"/>
  <c r="O3471"/>
  <c r="U3471" s="1"/>
  <c r="V3471" s="1"/>
  <c r="M3471"/>
  <c r="AB3470"/>
  <c r="AC3470" s="1"/>
  <c r="X3470"/>
  <c r="W3470"/>
  <c r="S3470"/>
  <c r="R3470"/>
  <c r="Z3470" s="1"/>
  <c r="AA3470" s="1"/>
  <c r="M3470"/>
  <c r="T3470" s="1"/>
  <c r="W3469"/>
  <c r="S3469"/>
  <c r="T3469" s="1"/>
  <c r="R3469"/>
  <c r="Y3469" s="1"/>
  <c r="M3469"/>
  <c r="O3469" s="1"/>
  <c r="U3469" s="1"/>
  <c r="V3469" s="1"/>
  <c r="W3468"/>
  <c r="R3468"/>
  <c r="AB3468" s="1"/>
  <c r="AC3468" s="1"/>
  <c r="O3468"/>
  <c r="U3468" s="1"/>
  <c r="V3468" s="1"/>
  <c r="M3468"/>
  <c r="AC3467"/>
  <c r="AB3467"/>
  <c r="Y3467"/>
  <c r="X3467"/>
  <c r="W3467"/>
  <c r="R3467"/>
  <c r="O3467"/>
  <c r="U3467" s="1"/>
  <c r="V3467" s="1"/>
  <c r="M3467"/>
  <c r="AB3466"/>
  <c r="AC3466" s="1"/>
  <c r="X3466"/>
  <c r="W3466"/>
  <c r="S3466"/>
  <c r="R3466"/>
  <c r="Z3466" s="1"/>
  <c r="AA3466" s="1"/>
  <c r="M3466"/>
  <c r="T3466" s="1"/>
  <c r="W3465"/>
  <c r="S3465"/>
  <c r="T3465" s="1"/>
  <c r="R3465"/>
  <c r="Y3465" s="1"/>
  <c r="M3465"/>
  <c r="O3465" s="1"/>
  <c r="U3465" s="1"/>
  <c r="V3465" s="1"/>
  <c r="W3464"/>
  <c r="R3464"/>
  <c r="AB3464" s="1"/>
  <c r="AC3464" s="1"/>
  <c r="O3464"/>
  <c r="U3464" s="1"/>
  <c r="V3464" s="1"/>
  <c r="M3464"/>
  <c r="AC3463"/>
  <c r="AB3463"/>
  <c r="Y3463"/>
  <c r="X3463"/>
  <c r="W3463"/>
  <c r="R3463"/>
  <c r="O3463"/>
  <c r="U3463" s="1"/>
  <c r="V3463" s="1"/>
  <c r="M3463"/>
  <c r="AB3462"/>
  <c r="AC3462" s="1"/>
  <c r="X3462"/>
  <c r="W3462"/>
  <c r="S3462"/>
  <c r="R3462"/>
  <c r="Z3462" s="1"/>
  <c r="AA3462" s="1"/>
  <c r="M3462"/>
  <c r="T3462" s="1"/>
  <c r="W3461"/>
  <c r="S3461"/>
  <c r="T3461" s="1"/>
  <c r="R3461"/>
  <c r="Y3461" s="1"/>
  <c r="M3461"/>
  <c r="O3461" s="1"/>
  <c r="U3461" s="1"/>
  <c r="V3461" s="1"/>
  <c r="W3460"/>
  <c r="R3460"/>
  <c r="AB3460" s="1"/>
  <c r="AC3460" s="1"/>
  <c r="O3460"/>
  <c r="U3460" s="1"/>
  <c r="V3460" s="1"/>
  <c r="M3460"/>
  <c r="AC3459"/>
  <c r="AB3459"/>
  <c r="Y3459"/>
  <c r="X3459"/>
  <c r="W3459"/>
  <c r="R3459"/>
  <c r="O3459"/>
  <c r="U3459" s="1"/>
  <c r="V3459" s="1"/>
  <c r="M3459"/>
  <c r="AB3458"/>
  <c r="AC3458" s="1"/>
  <c r="X3458"/>
  <c r="W3458"/>
  <c r="S3458"/>
  <c r="R3458"/>
  <c r="Z3458" s="1"/>
  <c r="AA3458" s="1"/>
  <c r="M3458"/>
  <c r="T3458" s="1"/>
  <c r="W3457"/>
  <c r="S3457"/>
  <c r="T3457" s="1"/>
  <c r="R3457"/>
  <c r="Y3457" s="1"/>
  <c r="M3457"/>
  <c r="O3457" s="1"/>
  <c r="U3457" s="1"/>
  <c r="V3457" s="1"/>
  <c r="W3456"/>
  <c r="R3456"/>
  <c r="AB3456" s="1"/>
  <c r="AC3456" s="1"/>
  <c r="O3456"/>
  <c r="U3456" s="1"/>
  <c r="V3456" s="1"/>
  <c r="M3456"/>
  <c r="AC3455"/>
  <c r="AB3455"/>
  <c r="Y3455"/>
  <c r="X3455"/>
  <c r="W3455"/>
  <c r="R3455"/>
  <c r="O3455"/>
  <c r="U3455" s="1"/>
  <c r="V3455" s="1"/>
  <c r="M3455"/>
  <c r="AB3454"/>
  <c r="AC3454" s="1"/>
  <c r="X3454"/>
  <c r="W3454"/>
  <c r="S3454"/>
  <c r="R3454"/>
  <c r="Z3454" s="1"/>
  <c r="AA3454" s="1"/>
  <c r="M3454"/>
  <c r="T3454" s="1"/>
  <c r="W3453"/>
  <c r="S3453"/>
  <c r="T3453" s="1"/>
  <c r="R3453"/>
  <c r="Y3453" s="1"/>
  <c r="M3453"/>
  <c r="O3453" s="1"/>
  <c r="U3453" s="1"/>
  <c r="V3453" s="1"/>
  <c r="W3452"/>
  <c r="R3452"/>
  <c r="AB3452" s="1"/>
  <c r="AC3452" s="1"/>
  <c r="O3452"/>
  <c r="U3452" s="1"/>
  <c r="V3452" s="1"/>
  <c r="M3452"/>
  <c r="AC3451"/>
  <c r="AB3451"/>
  <c r="Y3451"/>
  <c r="X3451"/>
  <c r="W3451"/>
  <c r="R3451"/>
  <c r="O3451"/>
  <c r="U3451" s="1"/>
  <c r="V3451" s="1"/>
  <c r="M3451"/>
  <c r="AB3450"/>
  <c r="AC3450" s="1"/>
  <c r="X3450"/>
  <c r="W3450"/>
  <c r="S3450"/>
  <c r="R3450"/>
  <c r="Z3450" s="1"/>
  <c r="AA3450" s="1"/>
  <c r="M3450"/>
  <c r="T3450" s="1"/>
  <c r="W3449"/>
  <c r="S3449"/>
  <c r="T3449" s="1"/>
  <c r="R3449"/>
  <c r="Y3449" s="1"/>
  <c r="M3449"/>
  <c r="O3449" s="1"/>
  <c r="U3449" s="1"/>
  <c r="V3449" s="1"/>
  <c r="W3448"/>
  <c r="R3448"/>
  <c r="AB3448" s="1"/>
  <c r="AC3448" s="1"/>
  <c r="O3448"/>
  <c r="U3448" s="1"/>
  <c r="V3448" s="1"/>
  <c r="M3448"/>
  <c r="AC3447"/>
  <c r="AB3447"/>
  <c r="Y3447"/>
  <c r="X3447"/>
  <c r="W3447"/>
  <c r="R3447"/>
  <c r="O3447"/>
  <c r="U3447" s="1"/>
  <c r="V3447" s="1"/>
  <c r="M3447"/>
  <c r="AB3446"/>
  <c r="AC3446" s="1"/>
  <c r="X3446"/>
  <c r="W3446"/>
  <c r="S3446"/>
  <c r="R3446"/>
  <c r="Z3446" s="1"/>
  <c r="AA3446" s="1"/>
  <c r="M3446"/>
  <c r="T3446" s="1"/>
  <c r="W3445"/>
  <c r="S3445"/>
  <c r="T3445" s="1"/>
  <c r="R3445"/>
  <c r="Y3445" s="1"/>
  <c r="M3445"/>
  <c r="O3445" s="1"/>
  <c r="U3445" s="1"/>
  <c r="V3445" s="1"/>
  <c r="W3444"/>
  <c r="R3444"/>
  <c r="AB3444" s="1"/>
  <c r="AC3444" s="1"/>
  <c r="O3444"/>
  <c r="U3444" s="1"/>
  <c r="V3444" s="1"/>
  <c r="M3444"/>
  <c r="AC3443"/>
  <c r="AB3443"/>
  <c r="Y3443"/>
  <c r="X3443"/>
  <c r="W3443"/>
  <c r="R3443"/>
  <c r="O3443"/>
  <c r="U3443" s="1"/>
  <c r="V3443" s="1"/>
  <c r="M3443"/>
  <c r="AB3442"/>
  <c r="AC3442" s="1"/>
  <c r="X3442"/>
  <c r="W3442"/>
  <c r="S3442"/>
  <c r="R3442"/>
  <c r="Z3442" s="1"/>
  <c r="AA3442" s="1"/>
  <c r="M3442"/>
  <c r="T3442" s="1"/>
  <c r="W3441"/>
  <c r="S3441"/>
  <c r="T3441" s="1"/>
  <c r="R3441"/>
  <c r="Y3441" s="1"/>
  <c r="M3441"/>
  <c r="O3441" s="1"/>
  <c r="U3441" s="1"/>
  <c r="V3441" s="1"/>
  <c r="W3440"/>
  <c r="R3440"/>
  <c r="AB3440" s="1"/>
  <c r="AC3440" s="1"/>
  <c r="O3440"/>
  <c r="U3440" s="1"/>
  <c r="V3440" s="1"/>
  <c r="M3440"/>
  <c r="AC3439"/>
  <c r="AB3439"/>
  <c r="Y3439"/>
  <c r="X3439"/>
  <c r="W3439"/>
  <c r="R3439"/>
  <c r="O3439"/>
  <c r="U3439" s="1"/>
  <c r="V3439" s="1"/>
  <c r="M3439"/>
  <c r="AB3438"/>
  <c r="AC3438" s="1"/>
  <c r="X3438"/>
  <c r="W3438"/>
  <c r="S3438"/>
  <c r="R3438"/>
  <c r="Z3438" s="1"/>
  <c r="AA3438" s="1"/>
  <c r="M3438"/>
  <c r="T3438" s="1"/>
  <c r="W3437"/>
  <c r="S3437"/>
  <c r="T3437" s="1"/>
  <c r="R3437"/>
  <c r="Y3437" s="1"/>
  <c r="M3437"/>
  <c r="O3437" s="1"/>
  <c r="U3437" s="1"/>
  <c r="V3437" s="1"/>
  <c r="W3436"/>
  <c r="R3436"/>
  <c r="AB3436" s="1"/>
  <c r="AC3436" s="1"/>
  <c r="O3436"/>
  <c r="U3436" s="1"/>
  <c r="V3436" s="1"/>
  <c r="M3436"/>
  <c r="AC3435"/>
  <c r="AB3435"/>
  <c r="Y3435"/>
  <c r="X3435"/>
  <c r="W3435"/>
  <c r="R3435"/>
  <c r="O3435"/>
  <c r="U3435" s="1"/>
  <c r="V3435" s="1"/>
  <c r="M3435"/>
  <c r="AB3434"/>
  <c r="AC3434" s="1"/>
  <c r="X3434"/>
  <c r="W3434"/>
  <c r="S3434"/>
  <c r="R3434"/>
  <c r="Z3434" s="1"/>
  <c r="AA3434" s="1"/>
  <c r="M3434"/>
  <c r="T3434" s="1"/>
  <c r="W3433"/>
  <c r="S3433"/>
  <c r="T3433" s="1"/>
  <c r="R3433"/>
  <c r="Y3433" s="1"/>
  <c r="M3433"/>
  <c r="O3433" s="1"/>
  <c r="U3433" s="1"/>
  <c r="V3433" s="1"/>
  <c r="W3432"/>
  <c r="R3432"/>
  <c r="AB3432" s="1"/>
  <c r="AC3432" s="1"/>
  <c r="O3432"/>
  <c r="U3432" s="1"/>
  <c r="V3432" s="1"/>
  <c r="M3432"/>
  <c r="AC3431"/>
  <c r="AB3431"/>
  <c r="Y3431"/>
  <c r="X3431"/>
  <c r="W3431"/>
  <c r="R3431"/>
  <c r="O3431"/>
  <c r="U3431" s="1"/>
  <c r="V3431" s="1"/>
  <c r="M3431"/>
  <c r="AB3430"/>
  <c r="AC3430" s="1"/>
  <c r="X3430"/>
  <c r="W3430"/>
  <c r="S3430"/>
  <c r="R3430"/>
  <c r="Z3430" s="1"/>
  <c r="AA3430" s="1"/>
  <c r="M3430"/>
  <c r="T3430" s="1"/>
  <c r="W3429"/>
  <c r="S3429"/>
  <c r="T3429" s="1"/>
  <c r="R3429"/>
  <c r="Y3429" s="1"/>
  <c r="M3429"/>
  <c r="O3429" s="1"/>
  <c r="U3429" s="1"/>
  <c r="V3429" s="1"/>
  <c r="W3428"/>
  <c r="R3428"/>
  <c r="AB3428" s="1"/>
  <c r="AC3428" s="1"/>
  <c r="O3428"/>
  <c r="U3428" s="1"/>
  <c r="V3428" s="1"/>
  <c r="M3428"/>
  <c r="AC3427"/>
  <c r="AB3427"/>
  <c r="Y3427"/>
  <c r="X3427"/>
  <c r="W3427"/>
  <c r="R3427"/>
  <c r="O3427"/>
  <c r="U3427" s="1"/>
  <c r="V3427" s="1"/>
  <c r="M3427"/>
  <c r="AB3426"/>
  <c r="AC3426" s="1"/>
  <c r="X3426"/>
  <c r="W3426"/>
  <c r="S3426"/>
  <c r="R3426"/>
  <c r="Z3426" s="1"/>
  <c r="AA3426" s="1"/>
  <c r="M3426"/>
  <c r="T3426" s="1"/>
  <c r="W3425"/>
  <c r="S3425"/>
  <c r="T3425" s="1"/>
  <c r="R3425"/>
  <c r="Y3425" s="1"/>
  <c r="M3425"/>
  <c r="O3425" s="1"/>
  <c r="U3425" s="1"/>
  <c r="V3425" s="1"/>
  <c r="W3424"/>
  <c r="R3424"/>
  <c r="AB3424" s="1"/>
  <c r="AC3424" s="1"/>
  <c r="O3424"/>
  <c r="U3424" s="1"/>
  <c r="V3424" s="1"/>
  <c r="M3424"/>
  <c r="AC3423"/>
  <c r="AB3423"/>
  <c r="Y3423"/>
  <c r="X3423"/>
  <c r="W3423"/>
  <c r="R3423"/>
  <c r="O3423"/>
  <c r="U3423" s="1"/>
  <c r="V3423" s="1"/>
  <c r="M3423"/>
  <c r="AB3422"/>
  <c r="AC3422" s="1"/>
  <c r="X3422"/>
  <c r="W3422"/>
  <c r="S3422"/>
  <c r="R3422"/>
  <c r="Z3422" s="1"/>
  <c r="AA3422" s="1"/>
  <c r="M3422"/>
  <c r="T3422" s="1"/>
  <c r="W3421"/>
  <c r="S3421"/>
  <c r="T3421" s="1"/>
  <c r="R3421"/>
  <c r="Y3421" s="1"/>
  <c r="M3421"/>
  <c r="O3421" s="1"/>
  <c r="U3421" s="1"/>
  <c r="V3421" s="1"/>
  <c r="W3420"/>
  <c r="R3420"/>
  <c r="AB3420" s="1"/>
  <c r="AC3420" s="1"/>
  <c r="O3420"/>
  <c r="U3420" s="1"/>
  <c r="V3420" s="1"/>
  <c r="M3420"/>
  <c r="AC3419"/>
  <c r="AB3419"/>
  <c r="Y3419"/>
  <c r="X3419"/>
  <c r="W3419"/>
  <c r="R3419"/>
  <c r="O3419"/>
  <c r="U3419" s="1"/>
  <c r="V3419" s="1"/>
  <c r="M3419"/>
  <c r="AB3418"/>
  <c r="AC3418" s="1"/>
  <c r="X3418"/>
  <c r="W3418"/>
  <c r="S3418"/>
  <c r="R3418"/>
  <c r="Z3418" s="1"/>
  <c r="AA3418" s="1"/>
  <c r="M3418"/>
  <c r="T3418" s="1"/>
  <c r="W3417"/>
  <c r="S3417"/>
  <c r="T3417" s="1"/>
  <c r="R3417"/>
  <c r="Y3417" s="1"/>
  <c r="M3417"/>
  <c r="O3417" s="1"/>
  <c r="U3417" s="1"/>
  <c r="V3417" s="1"/>
  <c r="W3416"/>
  <c r="R3416"/>
  <c r="AB3416" s="1"/>
  <c r="AC3416" s="1"/>
  <c r="O3416"/>
  <c r="U3416" s="1"/>
  <c r="V3416" s="1"/>
  <c r="M3416"/>
  <c r="AC3415"/>
  <c r="AB3415"/>
  <c r="Y3415"/>
  <c r="X3415"/>
  <c r="W3415"/>
  <c r="R3415"/>
  <c r="O3415"/>
  <c r="U3415" s="1"/>
  <c r="V3415" s="1"/>
  <c r="M3415"/>
  <c r="AB3414"/>
  <c r="AC3414" s="1"/>
  <c r="Y3414"/>
  <c r="X3414"/>
  <c r="W3414"/>
  <c r="S3414"/>
  <c r="R3414"/>
  <c r="Z3414" s="1"/>
  <c r="AA3414" s="1"/>
  <c r="M3414"/>
  <c r="T3414" s="1"/>
  <c r="W3413"/>
  <c r="S3413"/>
  <c r="T3413" s="1"/>
  <c r="R3413"/>
  <c r="Y3413" s="1"/>
  <c r="M3413"/>
  <c r="O3413" s="1"/>
  <c r="U3413" s="1"/>
  <c r="V3413" s="1"/>
  <c r="W3412"/>
  <c r="R3412"/>
  <c r="AB3412" s="1"/>
  <c r="AC3412" s="1"/>
  <c r="O3412"/>
  <c r="U3412" s="1"/>
  <c r="V3412" s="1"/>
  <c r="M3412"/>
  <c r="AC3411"/>
  <c r="AB3411"/>
  <c r="Y3411"/>
  <c r="X3411"/>
  <c r="W3411"/>
  <c r="R3411"/>
  <c r="O3411"/>
  <c r="U3411" s="1"/>
  <c r="M3411"/>
  <c r="AB3410"/>
  <c r="AC3410" s="1"/>
  <c r="X3410"/>
  <c r="W3410"/>
  <c r="S3410"/>
  <c r="R3410"/>
  <c r="Z3410" s="1"/>
  <c r="AA3410" s="1"/>
  <c r="M3410"/>
  <c r="T3410" s="1"/>
  <c r="W3409"/>
  <c r="S3409"/>
  <c r="T3409" s="1"/>
  <c r="R3409"/>
  <c r="Y3409" s="1"/>
  <c r="M3409"/>
  <c r="O3409" s="1"/>
  <c r="W3408"/>
  <c r="R3408"/>
  <c r="O3408"/>
  <c r="M3408"/>
  <c r="AC3407"/>
  <c r="AB3407"/>
  <c r="Y3407"/>
  <c r="X3407"/>
  <c r="W3407"/>
  <c r="U3407"/>
  <c r="R3407"/>
  <c r="O3407"/>
  <c r="M3407"/>
  <c r="AB3406"/>
  <c r="AC3406" s="1"/>
  <c r="X3406"/>
  <c r="W3406"/>
  <c r="S3406"/>
  <c r="R3406"/>
  <c r="Z3406" s="1"/>
  <c r="AA3406" s="1"/>
  <c r="M3406"/>
  <c r="O3406" s="1"/>
  <c r="W3405"/>
  <c r="S3405"/>
  <c r="T3405" s="1"/>
  <c r="R3405"/>
  <c r="Y3405" s="1"/>
  <c r="M3405"/>
  <c r="O3405" s="1"/>
  <c r="W3404"/>
  <c r="R3404"/>
  <c r="O3404"/>
  <c r="M3404"/>
  <c r="AC3403"/>
  <c r="AB3403"/>
  <c r="Y3403"/>
  <c r="X3403"/>
  <c r="W3403"/>
  <c r="U3403"/>
  <c r="R3403"/>
  <c r="O3403"/>
  <c r="M3403"/>
  <c r="AB3402"/>
  <c r="AC3402" s="1"/>
  <c r="X3402"/>
  <c r="W3402"/>
  <c r="S3402"/>
  <c r="R3402"/>
  <c r="Z3402" s="1"/>
  <c r="AA3402" s="1"/>
  <c r="M3402"/>
  <c r="O3402" s="1"/>
  <c r="U3402" s="1"/>
  <c r="V3402" s="1"/>
  <c r="W3401"/>
  <c r="R3401"/>
  <c r="M3401"/>
  <c r="O3401" s="1"/>
  <c r="U3401" s="1"/>
  <c r="V3401" s="1"/>
  <c r="W3400"/>
  <c r="R3400"/>
  <c r="Z3400" s="1"/>
  <c r="O3400"/>
  <c r="U3400" s="1"/>
  <c r="V3400" s="1"/>
  <c r="M3400"/>
  <c r="AB3399"/>
  <c r="AC3399" s="1"/>
  <c r="Y3399"/>
  <c r="X3399"/>
  <c r="W3399"/>
  <c r="R3399"/>
  <c r="M3399"/>
  <c r="O3399" s="1"/>
  <c r="U3399" s="1"/>
  <c r="V3399" s="1"/>
  <c r="AB3398"/>
  <c r="AC3398" s="1"/>
  <c r="X3398"/>
  <c r="W3398"/>
  <c r="S3398"/>
  <c r="R3398"/>
  <c r="Z3398" s="1"/>
  <c r="AA3398" s="1"/>
  <c r="M3398"/>
  <c r="O3398" s="1"/>
  <c r="U3398" s="1"/>
  <c r="V3398" s="1"/>
  <c r="W3397"/>
  <c r="R3397"/>
  <c r="M3397"/>
  <c r="O3397" s="1"/>
  <c r="U3397" s="1"/>
  <c r="V3397" s="1"/>
  <c r="W3396"/>
  <c r="R3396"/>
  <c r="Z3396" s="1"/>
  <c r="O3396"/>
  <c r="U3396" s="1"/>
  <c r="V3396" s="1"/>
  <c r="M3396"/>
  <c r="AB3395"/>
  <c r="AC3395" s="1"/>
  <c r="Y3395"/>
  <c r="X3395"/>
  <c r="W3395"/>
  <c r="R3395"/>
  <c r="M3395"/>
  <c r="O3395" s="1"/>
  <c r="U3395" s="1"/>
  <c r="V3395" s="1"/>
  <c r="AB3394"/>
  <c r="AC3394" s="1"/>
  <c r="X3394"/>
  <c r="W3394"/>
  <c r="S3394"/>
  <c r="R3394"/>
  <c r="Z3394" s="1"/>
  <c r="AA3394" s="1"/>
  <c r="M3394"/>
  <c r="O3394" s="1"/>
  <c r="U3394" s="1"/>
  <c r="V3394" s="1"/>
  <c r="W3393"/>
  <c r="R3393"/>
  <c r="M3393"/>
  <c r="O3393" s="1"/>
  <c r="U3393" s="1"/>
  <c r="V3393" s="1"/>
  <c r="W3392"/>
  <c r="R3392"/>
  <c r="Z3392" s="1"/>
  <c r="O3392"/>
  <c r="U3392" s="1"/>
  <c r="V3392" s="1"/>
  <c r="M3392"/>
  <c r="AB3391"/>
  <c r="AC3391" s="1"/>
  <c r="Y3391"/>
  <c r="X3391"/>
  <c r="W3391"/>
  <c r="R3391"/>
  <c r="M3391"/>
  <c r="O3391" s="1"/>
  <c r="U3391" s="1"/>
  <c r="V3391" s="1"/>
  <c r="AB3390"/>
  <c r="AC3390" s="1"/>
  <c r="X3390"/>
  <c r="W3390"/>
  <c r="S3390"/>
  <c r="R3390"/>
  <c r="Z3390" s="1"/>
  <c r="AA3390" s="1"/>
  <c r="M3390"/>
  <c r="O3390" s="1"/>
  <c r="U3390" s="1"/>
  <c r="V3390" s="1"/>
  <c r="W3389"/>
  <c r="R3389"/>
  <c r="M3389"/>
  <c r="O3389" s="1"/>
  <c r="U3389" s="1"/>
  <c r="V3389" s="1"/>
  <c r="W3388"/>
  <c r="R3388"/>
  <c r="Z3388" s="1"/>
  <c r="O3388"/>
  <c r="U3388" s="1"/>
  <c r="V3388" s="1"/>
  <c r="M3388"/>
  <c r="AB3387"/>
  <c r="AC3387" s="1"/>
  <c r="Y3387"/>
  <c r="X3387"/>
  <c r="W3387"/>
  <c r="R3387"/>
  <c r="M3387"/>
  <c r="O3387" s="1"/>
  <c r="U3387" s="1"/>
  <c r="V3387" s="1"/>
  <c r="AB3386"/>
  <c r="AC3386" s="1"/>
  <c r="X3386"/>
  <c r="W3386"/>
  <c r="S3386"/>
  <c r="R3386"/>
  <c r="Z3386" s="1"/>
  <c r="AA3386" s="1"/>
  <c r="M3386"/>
  <c r="O3386" s="1"/>
  <c r="U3386" s="1"/>
  <c r="V3386" s="1"/>
  <c r="W3385"/>
  <c r="R3385"/>
  <c r="M3385"/>
  <c r="O3385" s="1"/>
  <c r="U3385" s="1"/>
  <c r="V3385" s="1"/>
  <c r="W3384"/>
  <c r="R3384"/>
  <c r="Z3384" s="1"/>
  <c r="O3384"/>
  <c r="U3384" s="1"/>
  <c r="V3384" s="1"/>
  <c r="M3384"/>
  <c r="AB3383"/>
  <c r="AC3383" s="1"/>
  <c r="Y3383"/>
  <c r="X3383"/>
  <c r="W3383"/>
  <c r="R3383"/>
  <c r="M3383"/>
  <c r="O3383" s="1"/>
  <c r="AB3382"/>
  <c r="AC3382" s="1"/>
  <c r="X3382"/>
  <c r="W3382"/>
  <c r="S3382"/>
  <c r="R3382"/>
  <c r="Z3382" s="1"/>
  <c r="AA3382" s="1"/>
  <c r="M3382"/>
  <c r="O3382" s="1"/>
  <c r="W3381"/>
  <c r="R3381"/>
  <c r="M3381"/>
  <c r="O3381" s="1"/>
  <c r="U3381" s="1"/>
  <c r="W3380"/>
  <c r="R3380"/>
  <c r="Z3380" s="1"/>
  <c r="O3380"/>
  <c r="M3380"/>
  <c r="AB3379"/>
  <c r="AC3379" s="1"/>
  <c r="Y3379"/>
  <c r="X3379"/>
  <c r="W3379"/>
  <c r="R3379"/>
  <c r="M3379"/>
  <c r="O3379" s="1"/>
  <c r="AB3378"/>
  <c r="AC3378" s="1"/>
  <c r="X3378"/>
  <c r="W3378"/>
  <c r="S3378"/>
  <c r="R3378"/>
  <c r="Z3378" s="1"/>
  <c r="AA3378" s="1"/>
  <c r="M3378"/>
  <c r="O3378" s="1"/>
  <c r="U3378" s="1"/>
  <c r="V3378" s="1"/>
  <c r="W3377"/>
  <c r="R3377"/>
  <c r="M3377"/>
  <c r="O3377" s="1"/>
  <c r="U3377" s="1"/>
  <c r="V3377" s="1"/>
  <c r="W3376"/>
  <c r="R3376"/>
  <c r="Z3376" s="1"/>
  <c r="O3376"/>
  <c r="U3376" s="1"/>
  <c r="V3376" s="1"/>
  <c r="M3376"/>
  <c r="AB3375"/>
  <c r="AC3375" s="1"/>
  <c r="Y3375"/>
  <c r="X3375"/>
  <c r="W3375"/>
  <c r="R3375"/>
  <c r="M3375"/>
  <c r="O3375" s="1"/>
  <c r="U3375" s="1"/>
  <c r="V3375" s="1"/>
  <c r="AB3374"/>
  <c r="AC3374" s="1"/>
  <c r="Y3374"/>
  <c r="X3374"/>
  <c r="W3374"/>
  <c r="S3374"/>
  <c r="T3374" s="1"/>
  <c r="AD3374" s="1"/>
  <c r="R3374"/>
  <c r="Z3374" s="1"/>
  <c r="AA3374" s="1"/>
  <c r="M3374"/>
  <c r="O3374" s="1"/>
  <c r="U3374" s="1"/>
  <c r="V3374" s="1"/>
  <c r="W3373"/>
  <c r="R3373"/>
  <c r="M3373"/>
  <c r="O3373" s="1"/>
  <c r="Z3372"/>
  <c r="W3372"/>
  <c r="U3372"/>
  <c r="V3372" s="1"/>
  <c r="R3372"/>
  <c r="O3372"/>
  <c r="M3372"/>
  <c r="AC3371"/>
  <c r="AB3371"/>
  <c r="Y3371"/>
  <c r="X3371"/>
  <c r="W3371"/>
  <c r="R3371"/>
  <c r="O3371"/>
  <c r="U3371" s="1"/>
  <c r="V3371" s="1"/>
  <c r="M3371"/>
  <c r="AB3370"/>
  <c r="AC3370" s="1"/>
  <c r="AA3370"/>
  <c r="Y3370"/>
  <c r="X3370"/>
  <c r="W3370"/>
  <c r="S3370"/>
  <c r="R3370"/>
  <c r="Z3370" s="1"/>
  <c r="O3370"/>
  <c r="U3370" s="1"/>
  <c r="V3370" s="1"/>
  <c r="M3370"/>
  <c r="T3370" s="1"/>
  <c r="AD3370" s="1"/>
  <c r="AB3369"/>
  <c r="AC3369" s="1"/>
  <c r="Y3369"/>
  <c r="X3369"/>
  <c r="W3369"/>
  <c r="S3369"/>
  <c r="R3369"/>
  <c r="Z3369" s="1"/>
  <c r="AA3369" s="1"/>
  <c r="M3369"/>
  <c r="T3369" s="1"/>
  <c r="W3368"/>
  <c r="S3368"/>
  <c r="T3368" s="1"/>
  <c r="R3368"/>
  <c r="Y3368" s="1"/>
  <c r="M3368"/>
  <c r="O3368" s="1"/>
  <c r="U3368" s="1"/>
  <c r="V3368" s="1"/>
  <c r="W3367"/>
  <c r="R3367"/>
  <c r="AB3367" s="1"/>
  <c r="AC3367" s="1"/>
  <c r="O3367"/>
  <c r="U3367" s="1"/>
  <c r="V3367" s="1"/>
  <c r="M3367"/>
  <c r="AC3366"/>
  <c r="AB3366"/>
  <c r="Y3366"/>
  <c r="X3366"/>
  <c r="W3366"/>
  <c r="R3366"/>
  <c r="O3366"/>
  <c r="U3366" s="1"/>
  <c r="V3366" s="1"/>
  <c r="M3366"/>
  <c r="AB3365"/>
  <c r="AC3365" s="1"/>
  <c r="Y3365"/>
  <c r="X3365"/>
  <c r="W3365"/>
  <c r="S3365"/>
  <c r="R3365"/>
  <c r="Z3365" s="1"/>
  <c r="AA3365" s="1"/>
  <c r="M3365"/>
  <c r="T3365" s="1"/>
  <c r="W3364"/>
  <c r="S3364"/>
  <c r="T3364" s="1"/>
  <c r="R3364"/>
  <c r="Y3364" s="1"/>
  <c r="M3364"/>
  <c r="O3364" s="1"/>
  <c r="W3363"/>
  <c r="R3363"/>
  <c r="AB3363" s="1"/>
  <c r="AC3363" s="1"/>
  <c r="O3363"/>
  <c r="U3363" s="1"/>
  <c r="V3363" s="1"/>
  <c r="M3363"/>
  <c r="AC3362"/>
  <c r="AB3362"/>
  <c r="Y3362"/>
  <c r="X3362"/>
  <c r="W3362"/>
  <c r="R3362"/>
  <c r="O3362"/>
  <c r="U3362" s="1"/>
  <c r="V3362" s="1"/>
  <c r="M3362"/>
  <c r="AB3361"/>
  <c r="AC3361" s="1"/>
  <c r="Y3361"/>
  <c r="X3361"/>
  <c r="W3361"/>
  <c r="S3361"/>
  <c r="R3361"/>
  <c r="Z3361" s="1"/>
  <c r="AA3361" s="1"/>
  <c r="M3361"/>
  <c r="T3361" s="1"/>
  <c r="W3360"/>
  <c r="S3360"/>
  <c r="T3360" s="1"/>
  <c r="R3360"/>
  <c r="Y3360" s="1"/>
  <c r="M3360"/>
  <c r="O3360" s="1"/>
  <c r="W3359"/>
  <c r="R3359"/>
  <c r="AB3359" s="1"/>
  <c r="AC3359" s="1"/>
  <c r="O3359"/>
  <c r="U3359" s="1"/>
  <c r="V3359" s="1"/>
  <c r="M3359"/>
  <c r="AC3358"/>
  <c r="AB3358"/>
  <c r="Y3358"/>
  <c r="X3358"/>
  <c r="W3358"/>
  <c r="R3358"/>
  <c r="O3358"/>
  <c r="U3358" s="1"/>
  <c r="V3358" s="1"/>
  <c r="M3358"/>
  <c r="AB3357"/>
  <c r="AC3357" s="1"/>
  <c r="Y3357"/>
  <c r="X3357"/>
  <c r="W3357"/>
  <c r="S3357"/>
  <c r="R3357"/>
  <c r="Z3357" s="1"/>
  <c r="AA3357" s="1"/>
  <c r="M3357"/>
  <c r="T3357" s="1"/>
  <c r="W3356"/>
  <c r="S3356"/>
  <c r="T3356" s="1"/>
  <c r="R3356"/>
  <c r="Y3356" s="1"/>
  <c r="M3356"/>
  <c r="O3356" s="1"/>
  <c r="U3356" s="1"/>
  <c r="V3356" s="1"/>
  <c r="W3355"/>
  <c r="R3355"/>
  <c r="AB3355" s="1"/>
  <c r="AC3355" s="1"/>
  <c r="O3355"/>
  <c r="U3355" s="1"/>
  <c r="V3355" s="1"/>
  <c r="M3355"/>
  <c r="AC3354"/>
  <c r="AB3354"/>
  <c r="Y3354"/>
  <c r="X3354"/>
  <c r="W3354"/>
  <c r="R3354"/>
  <c r="O3354"/>
  <c r="U3354" s="1"/>
  <c r="V3354" s="1"/>
  <c r="M3354"/>
  <c r="AB3353"/>
  <c r="AC3353" s="1"/>
  <c r="Y3353"/>
  <c r="X3353"/>
  <c r="W3353"/>
  <c r="S3353"/>
  <c r="R3353"/>
  <c r="Z3353" s="1"/>
  <c r="AA3353" s="1"/>
  <c r="M3353"/>
  <c r="T3353" s="1"/>
  <c r="W3352"/>
  <c r="S3352"/>
  <c r="T3352" s="1"/>
  <c r="R3352"/>
  <c r="Y3352" s="1"/>
  <c r="M3352"/>
  <c r="O3352" s="1"/>
  <c r="U3352" s="1"/>
  <c r="V3352" s="1"/>
  <c r="W3351"/>
  <c r="R3351"/>
  <c r="AB3351" s="1"/>
  <c r="AC3351" s="1"/>
  <c r="O3351"/>
  <c r="U3351" s="1"/>
  <c r="V3351" s="1"/>
  <c r="M3351"/>
  <c r="AC3350"/>
  <c r="AB3350"/>
  <c r="Y3350"/>
  <c r="X3350"/>
  <c r="W3350"/>
  <c r="R3350"/>
  <c r="O3350"/>
  <c r="U3350" s="1"/>
  <c r="V3350" s="1"/>
  <c r="M3350"/>
  <c r="AB3349"/>
  <c r="AC3349" s="1"/>
  <c r="Y3349"/>
  <c r="X3349"/>
  <c r="W3349"/>
  <c r="S3349"/>
  <c r="R3349"/>
  <c r="Z3349" s="1"/>
  <c r="AA3349" s="1"/>
  <c r="M3349"/>
  <c r="T3349" s="1"/>
  <c r="W3348"/>
  <c r="S3348"/>
  <c r="T3348" s="1"/>
  <c r="R3348"/>
  <c r="Y3348" s="1"/>
  <c r="M3348"/>
  <c r="O3348" s="1"/>
  <c r="U3348" s="1"/>
  <c r="V3348" s="1"/>
  <c r="W3347"/>
  <c r="R3347"/>
  <c r="AB3347" s="1"/>
  <c r="AC3347" s="1"/>
  <c r="O3347"/>
  <c r="U3347" s="1"/>
  <c r="V3347" s="1"/>
  <c r="M3347"/>
  <c r="AC3346"/>
  <c r="AB3346"/>
  <c r="Y3346"/>
  <c r="X3346"/>
  <c r="W3346"/>
  <c r="R3346"/>
  <c r="O3346"/>
  <c r="U3346" s="1"/>
  <c r="V3346" s="1"/>
  <c r="M3346"/>
  <c r="AB3345"/>
  <c r="AC3345" s="1"/>
  <c r="Y3345"/>
  <c r="X3345"/>
  <c r="W3345"/>
  <c r="S3345"/>
  <c r="R3345"/>
  <c r="Z3345" s="1"/>
  <c r="AA3345" s="1"/>
  <c r="M3345"/>
  <c r="T3345" s="1"/>
  <c r="W3344"/>
  <c r="S3344"/>
  <c r="T3344" s="1"/>
  <c r="R3344"/>
  <c r="Y3344" s="1"/>
  <c r="M3344"/>
  <c r="O3344" s="1"/>
  <c r="U3344" s="1"/>
  <c r="V3344" s="1"/>
  <c r="W3343"/>
  <c r="R3343"/>
  <c r="AB3343" s="1"/>
  <c r="AC3343" s="1"/>
  <c r="O3343"/>
  <c r="U3343" s="1"/>
  <c r="V3343" s="1"/>
  <c r="M3343"/>
  <c r="AC3342"/>
  <c r="AB3342"/>
  <c r="Y3342"/>
  <c r="X3342"/>
  <c r="W3342"/>
  <c r="R3342"/>
  <c r="O3342"/>
  <c r="U3342" s="1"/>
  <c r="V3342" s="1"/>
  <c r="M3342"/>
  <c r="AB3341"/>
  <c r="AC3341" s="1"/>
  <c r="X3341"/>
  <c r="W3341"/>
  <c r="S3341"/>
  <c r="R3341"/>
  <c r="Z3341" s="1"/>
  <c r="AA3341" s="1"/>
  <c r="M3341"/>
  <c r="T3341" s="1"/>
  <c r="W3340"/>
  <c r="S3340"/>
  <c r="T3340" s="1"/>
  <c r="R3340"/>
  <c r="Y3340" s="1"/>
  <c r="M3340"/>
  <c r="O3340" s="1"/>
  <c r="W3339"/>
  <c r="R3339"/>
  <c r="AB3339" s="1"/>
  <c r="AC3339" s="1"/>
  <c r="O3339"/>
  <c r="U3339" s="1"/>
  <c r="V3339" s="1"/>
  <c r="M3339"/>
  <c r="AC3338"/>
  <c r="AB3338"/>
  <c r="Y3338"/>
  <c r="X3338"/>
  <c r="W3338"/>
  <c r="R3338"/>
  <c r="O3338"/>
  <c r="U3338" s="1"/>
  <c r="M3338"/>
  <c r="AB3337"/>
  <c r="AC3337" s="1"/>
  <c r="X3337"/>
  <c r="W3337"/>
  <c r="S3337"/>
  <c r="R3337"/>
  <c r="Z3337" s="1"/>
  <c r="AA3337" s="1"/>
  <c r="M3337"/>
  <c r="T3337" s="1"/>
  <c r="W3336"/>
  <c r="S3336"/>
  <c r="T3336" s="1"/>
  <c r="R3336"/>
  <c r="Y3336" s="1"/>
  <c r="M3336"/>
  <c r="O3336" s="1"/>
  <c r="U3336" s="1"/>
  <c r="V3336" s="1"/>
  <c r="W3335"/>
  <c r="R3335"/>
  <c r="AB3335" s="1"/>
  <c r="AC3335" s="1"/>
  <c r="O3335"/>
  <c r="U3335" s="1"/>
  <c r="V3335" s="1"/>
  <c r="M3335"/>
  <c r="AC3334"/>
  <c r="AB3334"/>
  <c r="Y3334"/>
  <c r="X3334"/>
  <c r="W3334"/>
  <c r="R3334"/>
  <c r="O3334"/>
  <c r="U3334" s="1"/>
  <c r="M3334"/>
  <c r="AB3333"/>
  <c r="AC3333" s="1"/>
  <c r="X3333"/>
  <c r="W3333"/>
  <c r="S3333"/>
  <c r="R3333"/>
  <c r="Z3333" s="1"/>
  <c r="AA3333" s="1"/>
  <c r="M3333"/>
  <c r="T3333" s="1"/>
  <c r="W3332"/>
  <c r="S3332"/>
  <c r="T3332" s="1"/>
  <c r="R3332"/>
  <c r="Y3332" s="1"/>
  <c r="M3332"/>
  <c r="O3332" s="1"/>
  <c r="W3331"/>
  <c r="R3331"/>
  <c r="AB3331" s="1"/>
  <c r="AC3331" s="1"/>
  <c r="O3331"/>
  <c r="U3331" s="1"/>
  <c r="V3331" s="1"/>
  <c r="M3331"/>
  <c r="AC3330"/>
  <c r="AB3330"/>
  <c r="Y3330"/>
  <c r="X3330"/>
  <c r="W3330"/>
  <c r="R3330"/>
  <c r="O3330"/>
  <c r="U3330" s="1"/>
  <c r="M3330"/>
  <c r="AB3329"/>
  <c r="AC3329" s="1"/>
  <c r="X3329"/>
  <c r="W3329"/>
  <c r="S3329"/>
  <c r="R3329"/>
  <c r="Z3329" s="1"/>
  <c r="AA3329" s="1"/>
  <c r="M3329"/>
  <c r="T3329" s="1"/>
  <c r="W3328"/>
  <c r="S3328"/>
  <c r="T3328" s="1"/>
  <c r="R3328"/>
  <c r="Y3328" s="1"/>
  <c r="M3328"/>
  <c r="O3328" s="1"/>
  <c r="U3328" s="1"/>
  <c r="V3328" s="1"/>
  <c r="W3327"/>
  <c r="R3327"/>
  <c r="AB3327" s="1"/>
  <c r="AC3327" s="1"/>
  <c r="O3327"/>
  <c r="U3327" s="1"/>
  <c r="V3327" s="1"/>
  <c r="M3327"/>
  <c r="AC3326"/>
  <c r="AB3326"/>
  <c r="Y3326"/>
  <c r="X3326"/>
  <c r="W3326"/>
  <c r="R3326"/>
  <c r="O3326"/>
  <c r="U3326" s="1"/>
  <c r="V3326" s="1"/>
  <c r="M3326"/>
  <c r="AB3325"/>
  <c r="AC3325" s="1"/>
  <c r="X3325"/>
  <c r="W3325"/>
  <c r="S3325"/>
  <c r="R3325"/>
  <c r="Z3325" s="1"/>
  <c r="AA3325" s="1"/>
  <c r="M3325"/>
  <c r="T3325" s="1"/>
  <c r="W3324"/>
  <c r="S3324"/>
  <c r="T3324" s="1"/>
  <c r="R3324"/>
  <c r="Y3324" s="1"/>
  <c r="M3324"/>
  <c r="O3324" s="1"/>
  <c r="U3324" s="1"/>
  <c r="V3324" s="1"/>
  <c r="W3323"/>
  <c r="R3323"/>
  <c r="AB3323" s="1"/>
  <c r="AC3323" s="1"/>
  <c r="O3323"/>
  <c r="U3323" s="1"/>
  <c r="V3323" s="1"/>
  <c r="M3323"/>
  <c r="AC3322"/>
  <c r="AB3322"/>
  <c r="Y3322"/>
  <c r="X3322"/>
  <c r="W3322"/>
  <c r="R3322"/>
  <c r="O3322"/>
  <c r="U3322" s="1"/>
  <c r="V3322" s="1"/>
  <c r="M3322"/>
  <c r="AB3321"/>
  <c r="AC3321" s="1"/>
  <c r="X3321"/>
  <c r="W3321"/>
  <c r="S3321"/>
  <c r="R3321"/>
  <c r="Z3321" s="1"/>
  <c r="AA3321" s="1"/>
  <c r="M3321"/>
  <c r="T3321" s="1"/>
  <c r="W3320"/>
  <c r="S3320"/>
  <c r="T3320" s="1"/>
  <c r="R3320"/>
  <c r="Y3320" s="1"/>
  <c r="M3320"/>
  <c r="O3320" s="1"/>
  <c r="U3320" s="1"/>
  <c r="V3320" s="1"/>
  <c r="W3319"/>
  <c r="R3319"/>
  <c r="AB3319" s="1"/>
  <c r="AC3319" s="1"/>
  <c r="O3319"/>
  <c r="U3319" s="1"/>
  <c r="V3319" s="1"/>
  <c r="M3319"/>
  <c r="AC3318"/>
  <c r="AB3318"/>
  <c r="Y3318"/>
  <c r="X3318"/>
  <c r="W3318"/>
  <c r="R3318"/>
  <c r="O3318"/>
  <c r="U3318" s="1"/>
  <c r="V3318" s="1"/>
  <c r="M3318"/>
  <c r="AB3317"/>
  <c r="AC3317" s="1"/>
  <c r="X3317"/>
  <c r="W3317"/>
  <c r="S3317"/>
  <c r="R3317"/>
  <c r="Z3317" s="1"/>
  <c r="AA3317" s="1"/>
  <c r="M3317"/>
  <c r="T3317" s="1"/>
  <c r="W3316"/>
  <c r="S3316"/>
  <c r="T3316" s="1"/>
  <c r="R3316"/>
  <c r="Y3316" s="1"/>
  <c r="M3316"/>
  <c r="O3316" s="1"/>
  <c r="U3316" s="1"/>
  <c r="V3316" s="1"/>
  <c r="W3315"/>
  <c r="R3315"/>
  <c r="AB3315" s="1"/>
  <c r="AC3315" s="1"/>
  <c r="O3315"/>
  <c r="U3315" s="1"/>
  <c r="V3315" s="1"/>
  <c r="M3315"/>
  <c r="AC3314"/>
  <c r="AB3314"/>
  <c r="Y3314"/>
  <c r="X3314"/>
  <c r="W3314"/>
  <c r="R3314"/>
  <c r="O3314"/>
  <c r="U3314" s="1"/>
  <c r="V3314" s="1"/>
  <c r="M3314"/>
  <c r="AB3313"/>
  <c r="AC3313" s="1"/>
  <c r="X3313"/>
  <c r="W3313"/>
  <c r="S3313"/>
  <c r="R3313"/>
  <c r="Z3313" s="1"/>
  <c r="AA3313" s="1"/>
  <c r="M3313"/>
  <c r="T3313" s="1"/>
  <c r="W3312"/>
  <c r="S3312"/>
  <c r="T3312" s="1"/>
  <c r="R3312"/>
  <c r="Y3312" s="1"/>
  <c r="M3312"/>
  <c r="O3312" s="1"/>
  <c r="U3312" s="1"/>
  <c r="V3312" s="1"/>
  <c r="W3311"/>
  <c r="R3311"/>
  <c r="AB3311" s="1"/>
  <c r="AC3311" s="1"/>
  <c r="O3311"/>
  <c r="U3311" s="1"/>
  <c r="V3311" s="1"/>
  <c r="M3311"/>
  <c r="AC3310"/>
  <c r="AB3310"/>
  <c r="Y3310"/>
  <c r="X3310"/>
  <c r="W3310"/>
  <c r="R3310"/>
  <c r="O3310"/>
  <c r="U3310" s="1"/>
  <c r="V3310" s="1"/>
  <c r="M3310"/>
  <c r="AB3309"/>
  <c r="AC3309" s="1"/>
  <c r="X3309"/>
  <c r="W3309"/>
  <c r="S3309"/>
  <c r="R3309"/>
  <c r="Z3309" s="1"/>
  <c r="AA3309" s="1"/>
  <c r="M3309"/>
  <c r="T3309" s="1"/>
  <c r="W3308"/>
  <c r="S3308"/>
  <c r="T3308" s="1"/>
  <c r="R3308"/>
  <c r="Y3308" s="1"/>
  <c r="M3308"/>
  <c r="O3308" s="1"/>
  <c r="U3308" s="1"/>
  <c r="V3308" s="1"/>
  <c r="W3307"/>
  <c r="R3307"/>
  <c r="AB3307" s="1"/>
  <c r="AC3307" s="1"/>
  <c r="O3307"/>
  <c r="U3307" s="1"/>
  <c r="V3307" s="1"/>
  <c r="M3307"/>
  <c r="AC3306"/>
  <c r="AB3306"/>
  <c r="Y3306"/>
  <c r="X3306"/>
  <c r="W3306"/>
  <c r="R3306"/>
  <c r="O3306"/>
  <c r="U3306" s="1"/>
  <c r="V3306" s="1"/>
  <c r="M3306"/>
  <c r="AB3305"/>
  <c r="AC3305" s="1"/>
  <c r="X3305"/>
  <c r="W3305"/>
  <c r="S3305"/>
  <c r="R3305"/>
  <c r="Z3305" s="1"/>
  <c r="AA3305" s="1"/>
  <c r="M3305"/>
  <c r="T3305" s="1"/>
  <c r="W3304"/>
  <c r="S3304"/>
  <c r="T3304" s="1"/>
  <c r="R3304"/>
  <c r="Y3304" s="1"/>
  <c r="M3304"/>
  <c r="O3304" s="1"/>
  <c r="U3304" s="1"/>
  <c r="V3304" s="1"/>
  <c r="W3303"/>
  <c r="R3303"/>
  <c r="AB3303" s="1"/>
  <c r="AC3303" s="1"/>
  <c r="O3303"/>
  <c r="U3303" s="1"/>
  <c r="V3303" s="1"/>
  <c r="M3303"/>
  <c r="AC3302"/>
  <c r="AB3302"/>
  <c r="Y3302"/>
  <c r="X3302"/>
  <c r="W3302"/>
  <c r="R3302"/>
  <c r="O3302"/>
  <c r="U3302" s="1"/>
  <c r="V3302" s="1"/>
  <c r="M3302"/>
  <c r="AB3301"/>
  <c r="AC3301" s="1"/>
  <c r="X3301"/>
  <c r="W3301"/>
  <c r="S3301"/>
  <c r="R3301"/>
  <c r="Z3301" s="1"/>
  <c r="AA3301" s="1"/>
  <c r="M3301"/>
  <c r="T3301" s="1"/>
  <c r="W3300"/>
  <c r="S3300"/>
  <c r="T3300" s="1"/>
  <c r="R3300"/>
  <c r="Y3300" s="1"/>
  <c r="M3300"/>
  <c r="O3300" s="1"/>
  <c r="U3300" s="1"/>
  <c r="V3300" s="1"/>
  <c r="W3299"/>
  <c r="R3299"/>
  <c r="AB3299" s="1"/>
  <c r="AC3299" s="1"/>
  <c r="O3299"/>
  <c r="U3299" s="1"/>
  <c r="V3299" s="1"/>
  <c r="M3299"/>
  <c r="AC3298"/>
  <c r="AB3298"/>
  <c r="Y3298"/>
  <c r="X3298"/>
  <c r="W3298"/>
  <c r="R3298"/>
  <c r="O3298"/>
  <c r="U3298" s="1"/>
  <c r="V3298" s="1"/>
  <c r="M3298"/>
  <c r="AB3297"/>
  <c r="AC3297" s="1"/>
  <c r="X3297"/>
  <c r="W3297"/>
  <c r="S3297"/>
  <c r="R3297"/>
  <c r="Z3297" s="1"/>
  <c r="AA3297" s="1"/>
  <c r="M3297"/>
  <c r="T3297" s="1"/>
  <c r="W3296"/>
  <c r="S3296"/>
  <c r="T3296" s="1"/>
  <c r="R3296"/>
  <c r="Y3296" s="1"/>
  <c r="M3296"/>
  <c r="O3296" s="1"/>
  <c r="U3296" s="1"/>
  <c r="V3296" s="1"/>
  <c r="W3295"/>
  <c r="R3295"/>
  <c r="AB3295" s="1"/>
  <c r="AC3295" s="1"/>
  <c r="O3295"/>
  <c r="U3295" s="1"/>
  <c r="V3295" s="1"/>
  <c r="M3295"/>
  <c r="AC3294"/>
  <c r="AB3294"/>
  <c r="Y3294"/>
  <c r="X3294"/>
  <c r="W3294"/>
  <c r="R3294"/>
  <c r="O3294"/>
  <c r="U3294" s="1"/>
  <c r="V3294" s="1"/>
  <c r="M3294"/>
  <c r="AB3293"/>
  <c r="AC3293" s="1"/>
  <c r="X3293"/>
  <c r="W3293"/>
  <c r="S3293"/>
  <c r="R3293"/>
  <c r="Z3293" s="1"/>
  <c r="AA3293" s="1"/>
  <c r="M3293"/>
  <c r="T3293" s="1"/>
  <c r="W3292"/>
  <c r="S3292"/>
  <c r="T3292" s="1"/>
  <c r="R3292"/>
  <c r="Y3292" s="1"/>
  <c r="M3292"/>
  <c r="O3292" s="1"/>
  <c r="U3292" s="1"/>
  <c r="V3292" s="1"/>
  <c r="W3291"/>
  <c r="R3291"/>
  <c r="AB3291" s="1"/>
  <c r="AC3291" s="1"/>
  <c r="O3291"/>
  <c r="U3291" s="1"/>
  <c r="V3291" s="1"/>
  <c r="M3291"/>
  <c r="AC3290"/>
  <c r="AB3290"/>
  <c r="Y3290"/>
  <c r="X3290"/>
  <c r="W3290"/>
  <c r="R3290"/>
  <c r="O3290"/>
  <c r="U3290" s="1"/>
  <c r="V3290" s="1"/>
  <c r="M3290"/>
  <c r="AB3289"/>
  <c r="AC3289" s="1"/>
  <c r="X3289"/>
  <c r="W3289"/>
  <c r="S3289"/>
  <c r="R3289"/>
  <c r="Z3289" s="1"/>
  <c r="AA3289" s="1"/>
  <c r="M3289"/>
  <c r="T3289" s="1"/>
  <c r="W3288"/>
  <c r="S3288"/>
  <c r="T3288" s="1"/>
  <c r="R3288"/>
  <c r="Y3288" s="1"/>
  <c r="M3288"/>
  <c r="O3288" s="1"/>
  <c r="U3288" s="1"/>
  <c r="V3288" s="1"/>
  <c r="W3287"/>
  <c r="R3287"/>
  <c r="AB3287" s="1"/>
  <c r="AC3287" s="1"/>
  <c r="O3287"/>
  <c r="U3287" s="1"/>
  <c r="V3287" s="1"/>
  <c r="M3287"/>
  <c r="AC3286"/>
  <c r="AB3286"/>
  <c r="Y3286"/>
  <c r="X3286"/>
  <c r="W3286"/>
  <c r="R3286"/>
  <c r="O3286"/>
  <c r="U3286" s="1"/>
  <c r="V3286" s="1"/>
  <c r="M3286"/>
  <c r="AB3285"/>
  <c r="AC3285" s="1"/>
  <c r="X3285"/>
  <c r="W3285"/>
  <c r="S3285"/>
  <c r="R3285"/>
  <c r="Z3285" s="1"/>
  <c r="AA3285" s="1"/>
  <c r="M3285"/>
  <c r="T3285" s="1"/>
  <c r="W3284"/>
  <c r="S3284"/>
  <c r="T3284" s="1"/>
  <c r="R3284"/>
  <c r="Y3284" s="1"/>
  <c r="M3284"/>
  <c r="O3284" s="1"/>
  <c r="W3283"/>
  <c r="R3283"/>
  <c r="AB3283" s="1"/>
  <c r="AC3283" s="1"/>
  <c r="O3283"/>
  <c r="U3283" s="1"/>
  <c r="V3283" s="1"/>
  <c r="M3283"/>
  <c r="AC3282"/>
  <c r="AB3282"/>
  <c r="Y3282"/>
  <c r="X3282"/>
  <c r="W3282"/>
  <c r="R3282"/>
  <c r="O3282"/>
  <c r="U3282" s="1"/>
  <c r="V3282" s="1"/>
  <c r="M3282"/>
  <c r="AB3281"/>
  <c r="AC3281" s="1"/>
  <c r="X3281"/>
  <c r="W3281"/>
  <c r="S3281"/>
  <c r="R3281"/>
  <c r="Z3281" s="1"/>
  <c r="AA3281" s="1"/>
  <c r="M3281"/>
  <c r="T3281" s="1"/>
  <c r="W3280"/>
  <c r="S3280"/>
  <c r="T3280" s="1"/>
  <c r="R3280"/>
  <c r="Y3280" s="1"/>
  <c r="M3280"/>
  <c r="O3280" s="1"/>
  <c r="U3280" s="1"/>
  <c r="V3280" s="1"/>
  <c r="W3279"/>
  <c r="R3279"/>
  <c r="AB3279" s="1"/>
  <c r="AC3279" s="1"/>
  <c r="O3279"/>
  <c r="U3279" s="1"/>
  <c r="V3279" s="1"/>
  <c r="M3279"/>
  <c r="AC3278"/>
  <c r="AB3278"/>
  <c r="Y3278"/>
  <c r="X3278"/>
  <c r="W3278"/>
  <c r="R3278"/>
  <c r="O3278"/>
  <c r="U3278" s="1"/>
  <c r="V3278" s="1"/>
  <c r="M3278"/>
  <c r="AB3277"/>
  <c r="AC3277" s="1"/>
  <c r="X3277"/>
  <c r="W3277"/>
  <c r="S3277"/>
  <c r="R3277"/>
  <c r="Z3277" s="1"/>
  <c r="AA3277" s="1"/>
  <c r="M3277"/>
  <c r="T3277" s="1"/>
  <c r="W3276"/>
  <c r="S3276"/>
  <c r="T3276" s="1"/>
  <c r="R3276"/>
  <c r="Y3276" s="1"/>
  <c r="M3276"/>
  <c r="O3276" s="1"/>
  <c r="W3275"/>
  <c r="R3275"/>
  <c r="AB3275" s="1"/>
  <c r="AC3275" s="1"/>
  <c r="O3275"/>
  <c r="U3275" s="1"/>
  <c r="V3275" s="1"/>
  <c r="M3275"/>
  <c r="AC3274"/>
  <c r="AB3274"/>
  <c r="Y3274"/>
  <c r="X3274"/>
  <c r="W3274"/>
  <c r="R3274"/>
  <c r="O3274"/>
  <c r="U3274" s="1"/>
  <c r="V3274" s="1"/>
  <c r="M3274"/>
  <c r="AB3273"/>
  <c r="AC3273" s="1"/>
  <c r="X3273"/>
  <c r="W3273"/>
  <c r="S3273"/>
  <c r="R3273"/>
  <c r="Z3273" s="1"/>
  <c r="AA3273" s="1"/>
  <c r="M3273"/>
  <c r="T3273" s="1"/>
  <c r="W3272"/>
  <c r="S3272"/>
  <c r="T3272" s="1"/>
  <c r="R3272"/>
  <c r="Y3272" s="1"/>
  <c r="M3272"/>
  <c r="O3272" s="1"/>
  <c r="U3272" s="1"/>
  <c r="V3272" s="1"/>
  <c r="W3271"/>
  <c r="R3271"/>
  <c r="AB3271" s="1"/>
  <c r="AC3271" s="1"/>
  <c r="O3271"/>
  <c r="U3271" s="1"/>
  <c r="V3271" s="1"/>
  <c r="M3271"/>
  <c r="AC3270"/>
  <c r="AB3270"/>
  <c r="Y3270"/>
  <c r="X3270"/>
  <c r="W3270"/>
  <c r="R3270"/>
  <c r="O3270"/>
  <c r="U3270" s="1"/>
  <c r="M3270"/>
  <c r="AB3269"/>
  <c r="AC3269" s="1"/>
  <c r="X3269"/>
  <c r="W3269"/>
  <c r="S3269"/>
  <c r="R3269"/>
  <c r="Z3269" s="1"/>
  <c r="AA3269" s="1"/>
  <c r="M3269"/>
  <c r="T3269" s="1"/>
  <c r="W3268"/>
  <c r="S3268"/>
  <c r="T3268" s="1"/>
  <c r="R3268"/>
  <c r="Y3268" s="1"/>
  <c r="M3268"/>
  <c r="O3268" s="1"/>
  <c r="U3268" s="1"/>
  <c r="V3268" s="1"/>
  <c r="W3267"/>
  <c r="R3267"/>
  <c r="AB3267" s="1"/>
  <c r="AC3267" s="1"/>
  <c r="O3267"/>
  <c r="U3267" s="1"/>
  <c r="V3267" s="1"/>
  <c r="M3267"/>
  <c r="AC3266"/>
  <c r="AB3266"/>
  <c r="Y3266"/>
  <c r="X3266"/>
  <c r="W3266"/>
  <c r="R3266"/>
  <c r="O3266"/>
  <c r="U3266" s="1"/>
  <c r="V3266" s="1"/>
  <c r="M3266"/>
  <c r="AB3265"/>
  <c r="AC3265" s="1"/>
  <c r="X3265"/>
  <c r="W3265"/>
  <c r="S3265"/>
  <c r="R3265"/>
  <c r="Z3265" s="1"/>
  <c r="AA3265" s="1"/>
  <c r="M3265"/>
  <c r="T3265" s="1"/>
  <c r="W3264"/>
  <c r="S3264"/>
  <c r="T3264" s="1"/>
  <c r="R3264"/>
  <c r="Y3264" s="1"/>
  <c r="M3264"/>
  <c r="O3264" s="1"/>
  <c r="U3264" s="1"/>
  <c r="V3264" s="1"/>
  <c r="W3263"/>
  <c r="R3263"/>
  <c r="AB3263" s="1"/>
  <c r="AC3263" s="1"/>
  <c r="O3263"/>
  <c r="U3263" s="1"/>
  <c r="V3263" s="1"/>
  <c r="M3263"/>
  <c r="AC3262"/>
  <c r="AB3262"/>
  <c r="Y3262"/>
  <c r="X3262"/>
  <c r="W3262"/>
  <c r="R3262"/>
  <c r="O3262"/>
  <c r="U3262" s="1"/>
  <c r="V3262" s="1"/>
  <c r="M3262"/>
  <c r="AB3261"/>
  <c r="AC3261" s="1"/>
  <c r="X3261"/>
  <c r="W3261"/>
  <c r="S3261"/>
  <c r="R3261"/>
  <c r="Z3261" s="1"/>
  <c r="AA3261" s="1"/>
  <c r="M3261"/>
  <c r="T3261" s="1"/>
  <c r="W3260"/>
  <c r="S3260"/>
  <c r="T3260" s="1"/>
  <c r="R3260"/>
  <c r="Y3260" s="1"/>
  <c r="M3260"/>
  <c r="O3260" s="1"/>
  <c r="U3260" s="1"/>
  <c r="V3260" s="1"/>
  <c r="W3259"/>
  <c r="R3259"/>
  <c r="AB3259" s="1"/>
  <c r="AC3259" s="1"/>
  <c r="O3259"/>
  <c r="U3259" s="1"/>
  <c r="V3259" s="1"/>
  <c r="M3259"/>
  <c r="AC3258"/>
  <c r="AB3258"/>
  <c r="Y3258"/>
  <c r="X3258"/>
  <c r="W3258"/>
  <c r="R3258"/>
  <c r="O3258"/>
  <c r="U3258" s="1"/>
  <c r="V3258" s="1"/>
  <c r="M3258"/>
  <c r="AB3257"/>
  <c r="AC3257" s="1"/>
  <c r="X3257"/>
  <c r="W3257"/>
  <c r="S3257"/>
  <c r="R3257"/>
  <c r="Z3257" s="1"/>
  <c r="AA3257" s="1"/>
  <c r="M3257"/>
  <c r="T3257" s="1"/>
  <c r="W3256"/>
  <c r="S3256"/>
  <c r="T3256" s="1"/>
  <c r="R3256"/>
  <c r="Y3256" s="1"/>
  <c r="M3256"/>
  <c r="O3256" s="1"/>
  <c r="U3256" s="1"/>
  <c r="V3256" s="1"/>
  <c r="W3255"/>
  <c r="R3255"/>
  <c r="AB3255" s="1"/>
  <c r="AC3255" s="1"/>
  <c r="O3255"/>
  <c r="U3255" s="1"/>
  <c r="V3255" s="1"/>
  <c r="M3255"/>
  <c r="AC3254"/>
  <c r="AB3254"/>
  <c r="Y3254"/>
  <c r="X3254"/>
  <c r="W3254"/>
  <c r="R3254"/>
  <c r="O3254"/>
  <c r="U3254" s="1"/>
  <c r="V3254" s="1"/>
  <c r="M3254"/>
  <c r="AB3253"/>
  <c r="AC3253" s="1"/>
  <c r="X3253"/>
  <c r="W3253"/>
  <c r="S3253"/>
  <c r="R3253"/>
  <c r="Z3253" s="1"/>
  <c r="AA3253" s="1"/>
  <c r="M3253"/>
  <c r="T3253" s="1"/>
  <c r="W3252"/>
  <c r="S3252"/>
  <c r="T3252" s="1"/>
  <c r="R3252"/>
  <c r="Y3252" s="1"/>
  <c r="M3252"/>
  <c r="O3252" s="1"/>
  <c r="U3252" s="1"/>
  <c r="V3252" s="1"/>
  <c r="W3251"/>
  <c r="R3251"/>
  <c r="AB3251" s="1"/>
  <c r="AC3251" s="1"/>
  <c r="O3251"/>
  <c r="U3251" s="1"/>
  <c r="V3251" s="1"/>
  <c r="M3251"/>
  <c r="AC3250"/>
  <c r="AB3250"/>
  <c r="Y3250"/>
  <c r="X3250"/>
  <c r="W3250"/>
  <c r="R3250"/>
  <c r="O3250"/>
  <c r="U3250" s="1"/>
  <c r="V3250" s="1"/>
  <c r="M3250"/>
  <c r="AB3249"/>
  <c r="AC3249" s="1"/>
  <c r="X3249"/>
  <c r="W3249"/>
  <c r="S3249"/>
  <c r="R3249"/>
  <c r="Z3249" s="1"/>
  <c r="AA3249" s="1"/>
  <c r="M3249"/>
  <c r="T3249" s="1"/>
  <c r="W3248"/>
  <c r="S3248"/>
  <c r="T3248" s="1"/>
  <c r="R3248"/>
  <c r="Y3248" s="1"/>
  <c r="M3248"/>
  <c r="O3248" s="1"/>
  <c r="U3248" s="1"/>
  <c r="V3248" s="1"/>
  <c r="W3247"/>
  <c r="R3247"/>
  <c r="AB3247" s="1"/>
  <c r="AC3247" s="1"/>
  <c r="O3247"/>
  <c r="U3247" s="1"/>
  <c r="V3247" s="1"/>
  <c r="M3247"/>
  <c r="AC3246"/>
  <c r="AB3246"/>
  <c r="Y3246"/>
  <c r="X3246"/>
  <c r="W3246"/>
  <c r="R3246"/>
  <c r="O3246"/>
  <c r="U3246" s="1"/>
  <c r="V3246" s="1"/>
  <c r="M3246"/>
  <c r="AB3245"/>
  <c r="AC3245" s="1"/>
  <c r="X3245"/>
  <c r="W3245"/>
  <c r="S3245"/>
  <c r="R3245"/>
  <c r="Z3245" s="1"/>
  <c r="AA3245" s="1"/>
  <c r="M3245"/>
  <c r="O3245" s="1"/>
  <c r="U3245" s="1"/>
  <c r="V3245" s="1"/>
  <c r="W3244"/>
  <c r="S3244"/>
  <c r="T3244" s="1"/>
  <c r="R3244"/>
  <c r="Y3244" s="1"/>
  <c r="M3244"/>
  <c r="O3244" s="1"/>
  <c r="U3244" s="1"/>
  <c r="V3244" s="1"/>
  <c r="Z3243"/>
  <c r="W3243"/>
  <c r="R3243"/>
  <c r="O3243"/>
  <c r="U3243" s="1"/>
  <c r="V3243" s="1"/>
  <c r="M3243"/>
  <c r="AC3242"/>
  <c r="AB3242"/>
  <c r="Y3242"/>
  <c r="X3242"/>
  <c r="W3242"/>
  <c r="R3242"/>
  <c r="O3242"/>
  <c r="U3242" s="1"/>
  <c r="V3242" s="1"/>
  <c r="M3242"/>
  <c r="AB3241"/>
  <c r="AC3241" s="1"/>
  <c r="X3241"/>
  <c r="W3241"/>
  <c r="S3241"/>
  <c r="R3241"/>
  <c r="Z3241" s="1"/>
  <c r="AA3241" s="1"/>
  <c r="M3241"/>
  <c r="O3241" s="1"/>
  <c r="U3241" s="1"/>
  <c r="V3241" s="1"/>
  <c r="W3240"/>
  <c r="S3240"/>
  <c r="T3240" s="1"/>
  <c r="R3240"/>
  <c r="Y3240" s="1"/>
  <c r="M3240"/>
  <c r="O3240" s="1"/>
  <c r="U3240" s="1"/>
  <c r="V3240" s="1"/>
  <c r="Z3239"/>
  <c r="W3239"/>
  <c r="R3239"/>
  <c r="O3239"/>
  <c r="U3239" s="1"/>
  <c r="V3239" s="1"/>
  <c r="M3239"/>
  <c r="AC3238"/>
  <c r="AB3238"/>
  <c r="Y3238"/>
  <c r="X3238"/>
  <c r="W3238"/>
  <c r="R3238"/>
  <c r="O3238"/>
  <c r="U3238" s="1"/>
  <c r="V3238" s="1"/>
  <c r="M3238"/>
  <c r="AB3237"/>
  <c r="AC3237" s="1"/>
  <c r="AA3237"/>
  <c r="X3237"/>
  <c r="W3237"/>
  <c r="T3237"/>
  <c r="S3237"/>
  <c r="R3237"/>
  <c r="Z3237" s="1"/>
  <c r="M3237"/>
  <c r="O3237" s="1"/>
  <c r="U3237" s="1"/>
  <c r="V3237" s="1"/>
  <c r="W3236"/>
  <c r="R3236"/>
  <c r="M3236"/>
  <c r="O3236" s="1"/>
  <c r="Z3235"/>
  <c r="W3235"/>
  <c r="R3235"/>
  <c r="O3235"/>
  <c r="U3235" s="1"/>
  <c r="V3235" s="1"/>
  <c r="M3235"/>
  <c r="AC3234"/>
  <c r="AB3234"/>
  <c r="Y3234"/>
  <c r="X3234"/>
  <c r="W3234"/>
  <c r="R3234"/>
  <c r="O3234"/>
  <c r="U3234" s="1"/>
  <c r="V3234" s="1"/>
  <c r="M3234"/>
  <c r="AB3233"/>
  <c r="AC3233" s="1"/>
  <c r="X3233"/>
  <c r="W3233"/>
  <c r="T3233"/>
  <c r="S3233"/>
  <c r="R3233"/>
  <c r="Z3233" s="1"/>
  <c r="AA3233" s="1"/>
  <c r="M3233"/>
  <c r="O3233" s="1"/>
  <c r="W3232"/>
  <c r="R3232"/>
  <c r="M3232"/>
  <c r="O3232" s="1"/>
  <c r="Z3231"/>
  <c r="W3231"/>
  <c r="U3231"/>
  <c r="V3231" s="1"/>
  <c r="R3231"/>
  <c r="O3231"/>
  <c r="M3231"/>
  <c r="AC3230"/>
  <c r="AB3230"/>
  <c r="Y3230"/>
  <c r="X3230"/>
  <c r="W3230"/>
  <c r="R3230"/>
  <c r="O3230"/>
  <c r="U3230" s="1"/>
  <c r="V3230" s="1"/>
  <c r="M3230"/>
  <c r="AB3229"/>
  <c r="AC3229" s="1"/>
  <c r="X3229"/>
  <c r="W3229"/>
  <c r="T3229"/>
  <c r="S3229"/>
  <c r="R3229"/>
  <c r="Z3229" s="1"/>
  <c r="AA3229" s="1"/>
  <c r="M3229"/>
  <c r="O3229" s="1"/>
  <c r="U3229" s="1"/>
  <c r="V3229" s="1"/>
  <c r="W3228"/>
  <c r="R3228"/>
  <c r="M3228"/>
  <c r="O3228" s="1"/>
  <c r="Z3227"/>
  <c r="W3227"/>
  <c r="U3227"/>
  <c r="V3227" s="1"/>
  <c r="R3227"/>
  <c r="O3227"/>
  <c r="M3227"/>
  <c r="AC3226"/>
  <c r="AB3226"/>
  <c r="Y3226"/>
  <c r="X3226"/>
  <c r="W3226"/>
  <c r="R3226"/>
  <c r="O3226"/>
  <c r="U3226" s="1"/>
  <c r="V3226" s="1"/>
  <c r="M3226"/>
  <c r="X3225"/>
  <c r="W3225"/>
  <c r="S3225"/>
  <c r="T3225" s="1"/>
  <c r="R3225"/>
  <c r="AB3225" s="1"/>
  <c r="AC3225" s="1"/>
  <c r="M3225"/>
  <c r="O3225" s="1"/>
  <c r="U3225" s="1"/>
  <c r="V3225" s="1"/>
  <c r="W3224"/>
  <c r="R3224"/>
  <c r="Z3224" s="1"/>
  <c r="M3224"/>
  <c r="O3224" s="1"/>
  <c r="U3224" s="1"/>
  <c r="V3224" s="1"/>
  <c r="W3223"/>
  <c r="R3223"/>
  <c r="Y3223" s="1"/>
  <c r="O3223"/>
  <c r="U3223" s="1"/>
  <c r="V3223" s="1"/>
  <c r="M3223"/>
  <c r="Y3222"/>
  <c r="X3222"/>
  <c r="W3222"/>
  <c r="R3222"/>
  <c r="AB3222" s="1"/>
  <c r="AC3222" s="1"/>
  <c r="M3222"/>
  <c r="O3222" s="1"/>
  <c r="AB3221"/>
  <c r="AC3221" s="1"/>
  <c r="Y3221"/>
  <c r="X3221"/>
  <c r="W3221"/>
  <c r="S3221"/>
  <c r="R3221"/>
  <c r="Z3221" s="1"/>
  <c r="AA3221" s="1"/>
  <c r="M3221"/>
  <c r="T3221" s="1"/>
  <c r="W3220"/>
  <c r="R3220"/>
  <c r="Z3220" s="1"/>
  <c r="M3220"/>
  <c r="O3220" s="1"/>
  <c r="U3220" s="1"/>
  <c r="V3220" s="1"/>
  <c r="W3219"/>
  <c r="R3219"/>
  <c r="Y3219" s="1"/>
  <c r="O3219"/>
  <c r="U3219" s="1"/>
  <c r="M3219"/>
  <c r="Y3218"/>
  <c r="W3218"/>
  <c r="R3218"/>
  <c r="AB3218" s="1"/>
  <c r="AC3218" s="1"/>
  <c r="O3218"/>
  <c r="U3218" s="1"/>
  <c r="V3218" s="1"/>
  <c r="M3218"/>
  <c r="AB3217"/>
  <c r="AC3217" s="1"/>
  <c r="Y3217"/>
  <c r="X3217"/>
  <c r="W3217"/>
  <c r="S3217"/>
  <c r="R3217"/>
  <c r="Z3217" s="1"/>
  <c r="AA3217" s="1"/>
  <c r="M3217"/>
  <c r="T3217" s="1"/>
  <c r="W3216"/>
  <c r="S3216"/>
  <c r="T3216" s="1"/>
  <c r="R3216"/>
  <c r="Z3216" s="1"/>
  <c r="M3216"/>
  <c r="O3216" s="1"/>
  <c r="U3216" s="1"/>
  <c r="V3216" s="1"/>
  <c r="W3215"/>
  <c r="R3215"/>
  <c r="Y3215" s="1"/>
  <c r="O3215"/>
  <c r="U3215" s="1"/>
  <c r="V3215" s="1"/>
  <c r="M3215"/>
  <c r="Y3214"/>
  <c r="W3214"/>
  <c r="R3214"/>
  <c r="AB3214" s="1"/>
  <c r="AC3214" s="1"/>
  <c r="O3214"/>
  <c r="U3214" s="1"/>
  <c r="V3214" s="1"/>
  <c r="M3214"/>
  <c r="AB3213"/>
  <c r="AC3213" s="1"/>
  <c r="Y3213"/>
  <c r="X3213"/>
  <c r="W3213"/>
  <c r="S3213"/>
  <c r="R3213"/>
  <c r="Z3213" s="1"/>
  <c r="AA3213" s="1"/>
  <c r="M3213"/>
  <c r="T3213" s="1"/>
  <c r="W3212"/>
  <c r="S3212"/>
  <c r="T3212" s="1"/>
  <c r="R3212"/>
  <c r="Z3212" s="1"/>
  <c r="M3212"/>
  <c r="O3212" s="1"/>
  <c r="W3211"/>
  <c r="R3211"/>
  <c r="Y3211" s="1"/>
  <c r="O3211"/>
  <c r="U3211" s="1"/>
  <c r="V3211" s="1"/>
  <c r="M3211"/>
  <c r="Y3210"/>
  <c r="W3210"/>
  <c r="R3210"/>
  <c r="AB3210" s="1"/>
  <c r="AC3210" s="1"/>
  <c r="O3210"/>
  <c r="U3210" s="1"/>
  <c r="V3210" s="1"/>
  <c r="M3210"/>
  <c r="AB3209"/>
  <c r="AC3209" s="1"/>
  <c r="Y3209"/>
  <c r="X3209"/>
  <c r="W3209"/>
  <c r="S3209"/>
  <c r="R3209"/>
  <c r="Z3209" s="1"/>
  <c r="AA3209" s="1"/>
  <c r="M3209"/>
  <c r="T3209" s="1"/>
  <c r="W3208"/>
  <c r="S3208"/>
  <c r="T3208" s="1"/>
  <c r="R3208"/>
  <c r="Z3208" s="1"/>
  <c r="AA3208" s="1"/>
  <c r="M3208"/>
  <c r="O3208" s="1"/>
  <c r="U3208" s="1"/>
  <c r="V3208" s="1"/>
  <c r="W3207"/>
  <c r="R3207"/>
  <c r="Y3207" s="1"/>
  <c r="O3207"/>
  <c r="U3207" s="1"/>
  <c r="V3207" s="1"/>
  <c r="M3207"/>
  <c r="Y3206"/>
  <c r="W3206"/>
  <c r="R3206"/>
  <c r="AB3206" s="1"/>
  <c r="AC3206" s="1"/>
  <c r="O3206"/>
  <c r="U3206" s="1"/>
  <c r="V3206" s="1"/>
  <c r="M3206"/>
  <c r="AB3205"/>
  <c r="AC3205" s="1"/>
  <c r="Y3205"/>
  <c r="X3205"/>
  <c r="W3205"/>
  <c r="S3205"/>
  <c r="R3205"/>
  <c r="Z3205" s="1"/>
  <c r="AA3205" s="1"/>
  <c r="M3205"/>
  <c r="T3205" s="1"/>
  <c r="W3204"/>
  <c r="S3204"/>
  <c r="T3204" s="1"/>
  <c r="R3204"/>
  <c r="Z3204" s="1"/>
  <c r="AA3204" s="1"/>
  <c r="M3204"/>
  <c r="O3204" s="1"/>
  <c r="U3204" s="1"/>
  <c r="V3204" s="1"/>
  <c r="W3203"/>
  <c r="R3203"/>
  <c r="Y3203" s="1"/>
  <c r="O3203"/>
  <c r="U3203" s="1"/>
  <c r="V3203" s="1"/>
  <c r="M3203"/>
  <c r="Y3202"/>
  <c r="W3202"/>
  <c r="R3202"/>
  <c r="AB3202" s="1"/>
  <c r="AC3202" s="1"/>
  <c r="O3202"/>
  <c r="U3202" s="1"/>
  <c r="V3202" s="1"/>
  <c r="M3202"/>
  <c r="AB3201"/>
  <c r="AC3201" s="1"/>
  <c r="Y3201"/>
  <c r="X3201"/>
  <c r="W3201"/>
  <c r="S3201"/>
  <c r="R3201"/>
  <c r="Z3201" s="1"/>
  <c r="AA3201" s="1"/>
  <c r="M3201"/>
  <c r="T3201" s="1"/>
  <c r="W3200"/>
  <c r="S3200"/>
  <c r="T3200" s="1"/>
  <c r="R3200"/>
  <c r="Z3200" s="1"/>
  <c r="AA3200" s="1"/>
  <c r="M3200"/>
  <c r="O3200" s="1"/>
  <c r="U3200" s="1"/>
  <c r="V3200" s="1"/>
  <c r="W3199"/>
  <c r="R3199"/>
  <c r="Y3199" s="1"/>
  <c r="O3199"/>
  <c r="U3199" s="1"/>
  <c r="V3199" s="1"/>
  <c r="M3199"/>
  <c r="Y3198"/>
  <c r="X3198"/>
  <c r="W3198"/>
  <c r="R3198"/>
  <c r="AB3198" s="1"/>
  <c r="AC3198" s="1"/>
  <c r="M3198"/>
  <c r="O3198" s="1"/>
  <c r="AB3197"/>
  <c r="AC3197" s="1"/>
  <c r="Y3197"/>
  <c r="X3197"/>
  <c r="W3197"/>
  <c r="S3197"/>
  <c r="R3197"/>
  <c r="Z3197" s="1"/>
  <c r="AA3197" s="1"/>
  <c r="M3197"/>
  <c r="T3197" s="1"/>
  <c r="W3196"/>
  <c r="R3196"/>
  <c r="Z3196" s="1"/>
  <c r="M3196"/>
  <c r="O3196" s="1"/>
  <c r="W3195"/>
  <c r="R3195"/>
  <c r="Y3195" s="1"/>
  <c r="O3195"/>
  <c r="U3195" s="1"/>
  <c r="M3195"/>
  <c r="Y3194"/>
  <c r="X3194"/>
  <c r="W3194"/>
  <c r="R3194"/>
  <c r="AB3194" s="1"/>
  <c r="AC3194" s="1"/>
  <c r="M3194"/>
  <c r="O3194" s="1"/>
  <c r="U3194" s="1"/>
  <c r="V3194" s="1"/>
  <c r="AB3193"/>
  <c r="AC3193" s="1"/>
  <c r="Y3193"/>
  <c r="X3193"/>
  <c r="W3193"/>
  <c r="S3193"/>
  <c r="R3193"/>
  <c r="Z3193" s="1"/>
  <c r="AA3193" s="1"/>
  <c r="M3193"/>
  <c r="T3193" s="1"/>
  <c r="W3192"/>
  <c r="R3192"/>
  <c r="Z3192" s="1"/>
  <c r="M3192"/>
  <c r="O3192" s="1"/>
  <c r="U3192" s="1"/>
  <c r="V3192" s="1"/>
  <c r="W3191"/>
  <c r="R3191"/>
  <c r="Y3191" s="1"/>
  <c r="O3191"/>
  <c r="U3191" s="1"/>
  <c r="V3191" s="1"/>
  <c r="M3191"/>
  <c r="Y3190"/>
  <c r="X3190"/>
  <c r="W3190"/>
  <c r="R3190"/>
  <c r="AB3190" s="1"/>
  <c r="AC3190" s="1"/>
  <c r="M3190"/>
  <c r="O3190" s="1"/>
  <c r="U3190" s="1"/>
  <c r="V3190" s="1"/>
  <c r="AB3189"/>
  <c r="AC3189" s="1"/>
  <c r="Y3189"/>
  <c r="X3189"/>
  <c r="W3189"/>
  <c r="S3189"/>
  <c r="R3189"/>
  <c r="Z3189" s="1"/>
  <c r="AA3189" s="1"/>
  <c r="M3189"/>
  <c r="T3189" s="1"/>
  <c r="W3188"/>
  <c r="R3188"/>
  <c r="Z3188" s="1"/>
  <c r="M3188"/>
  <c r="O3188" s="1"/>
  <c r="U3188" s="1"/>
  <c r="V3188" s="1"/>
  <c r="W3187"/>
  <c r="R3187"/>
  <c r="Y3187" s="1"/>
  <c r="O3187"/>
  <c r="U3187" s="1"/>
  <c r="V3187" s="1"/>
  <c r="M3187"/>
  <c r="Y3186"/>
  <c r="X3186"/>
  <c r="W3186"/>
  <c r="R3186"/>
  <c r="AB3186" s="1"/>
  <c r="AC3186" s="1"/>
  <c r="M3186"/>
  <c r="O3186" s="1"/>
  <c r="U3186" s="1"/>
  <c r="V3186" s="1"/>
  <c r="AB3185"/>
  <c r="AC3185" s="1"/>
  <c r="X3185"/>
  <c r="W3185"/>
  <c r="S3185"/>
  <c r="R3185"/>
  <c r="Y3185" s="1"/>
  <c r="M3185"/>
  <c r="T3185" s="1"/>
  <c r="W3184"/>
  <c r="R3184"/>
  <c r="Z3184" s="1"/>
  <c r="M3184"/>
  <c r="O3184" s="1"/>
  <c r="U3184" s="1"/>
  <c r="V3184" s="1"/>
  <c r="W3183"/>
  <c r="R3183"/>
  <c r="Y3183" s="1"/>
  <c r="O3183"/>
  <c r="U3183" s="1"/>
  <c r="V3183" s="1"/>
  <c r="M3183"/>
  <c r="Y3182"/>
  <c r="X3182"/>
  <c r="W3182"/>
  <c r="R3182"/>
  <c r="AB3182" s="1"/>
  <c r="AC3182" s="1"/>
  <c r="M3182"/>
  <c r="O3182" s="1"/>
  <c r="U3182" s="1"/>
  <c r="V3182" s="1"/>
  <c r="X3181"/>
  <c r="W3181"/>
  <c r="S3181"/>
  <c r="R3181"/>
  <c r="AB3181" s="1"/>
  <c r="AC3181" s="1"/>
  <c r="M3181"/>
  <c r="T3181" s="1"/>
  <c r="W3180"/>
  <c r="R3180"/>
  <c r="Z3180" s="1"/>
  <c r="M3180"/>
  <c r="O3180" s="1"/>
  <c r="W3179"/>
  <c r="R3179"/>
  <c r="Y3179" s="1"/>
  <c r="O3179"/>
  <c r="U3179" s="1"/>
  <c r="V3179" s="1"/>
  <c r="M3179"/>
  <c r="X3178"/>
  <c r="W3178"/>
  <c r="R3178"/>
  <c r="AB3178" s="1"/>
  <c r="AC3178" s="1"/>
  <c r="M3178"/>
  <c r="O3178" s="1"/>
  <c r="U3178" s="1"/>
  <c r="V3178" s="1"/>
  <c r="X3177"/>
  <c r="W3177"/>
  <c r="S3177"/>
  <c r="R3177"/>
  <c r="AB3177" s="1"/>
  <c r="AC3177" s="1"/>
  <c r="M3177"/>
  <c r="T3177" s="1"/>
  <c r="W3176"/>
  <c r="R3176"/>
  <c r="Z3176" s="1"/>
  <c r="M3176"/>
  <c r="O3176" s="1"/>
  <c r="U3176" s="1"/>
  <c r="V3176" s="1"/>
  <c r="W3175"/>
  <c r="R3175"/>
  <c r="Y3175" s="1"/>
  <c r="O3175"/>
  <c r="U3175" s="1"/>
  <c r="V3175" s="1"/>
  <c r="M3175"/>
  <c r="X3174"/>
  <c r="W3174"/>
  <c r="R3174"/>
  <c r="AB3174" s="1"/>
  <c r="AC3174" s="1"/>
  <c r="M3174"/>
  <c r="O3174" s="1"/>
  <c r="U3174" s="1"/>
  <c r="V3174" s="1"/>
  <c r="X3173"/>
  <c r="W3173"/>
  <c r="S3173"/>
  <c r="R3173"/>
  <c r="AB3173" s="1"/>
  <c r="AC3173" s="1"/>
  <c r="M3173"/>
  <c r="T3173" s="1"/>
  <c r="W3172"/>
  <c r="R3172"/>
  <c r="Z3172" s="1"/>
  <c r="M3172"/>
  <c r="O3172" s="1"/>
  <c r="W3171"/>
  <c r="R3171"/>
  <c r="Y3171" s="1"/>
  <c r="O3171"/>
  <c r="U3171" s="1"/>
  <c r="V3171" s="1"/>
  <c r="M3171"/>
  <c r="X3170"/>
  <c r="W3170"/>
  <c r="R3170"/>
  <c r="AB3170" s="1"/>
  <c r="AC3170" s="1"/>
  <c r="M3170"/>
  <c r="O3170" s="1"/>
  <c r="X3169"/>
  <c r="W3169"/>
  <c r="S3169"/>
  <c r="R3169"/>
  <c r="AB3169" s="1"/>
  <c r="AC3169" s="1"/>
  <c r="M3169"/>
  <c r="T3169" s="1"/>
  <c r="W3168"/>
  <c r="R3168"/>
  <c r="Z3168" s="1"/>
  <c r="M3168"/>
  <c r="O3168" s="1"/>
  <c r="W3167"/>
  <c r="R3167"/>
  <c r="Y3167" s="1"/>
  <c r="O3167"/>
  <c r="U3167" s="1"/>
  <c r="M3167"/>
  <c r="X3166"/>
  <c r="W3166"/>
  <c r="R3166"/>
  <c r="AB3166" s="1"/>
  <c r="AC3166" s="1"/>
  <c r="M3166"/>
  <c r="O3166" s="1"/>
  <c r="W3165"/>
  <c r="S3165"/>
  <c r="T3165" s="1"/>
  <c r="R3165"/>
  <c r="M3165"/>
  <c r="O3165" s="1"/>
  <c r="U3165" s="1"/>
  <c r="V3165" s="1"/>
  <c r="W3164"/>
  <c r="R3164"/>
  <c r="Z3164" s="1"/>
  <c r="M3164"/>
  <c r="O3164" s="1"/>
  <c r="W3163"/>
  <c r="R3163"/>
  <c r="Y3163" s="1"/>
  <c r="O3163"/>
  <c r="U3163" s="1"/>
  <c r="M3163"/>
  <c r="X3162"/>
  <c r="W3162"/>
  <c r="R3162"/>
  <c r="AB3162" s="1"/>
  <c r="AC3162" s="1"/>
  <c r="M3162"/>
  <c r="O3162" s="1"/>
  <c r="U3162" s="1"/>
  <c r="V3162" s="1"/>
  <c r="X3161"/>
  <c r="W3161"/>
  <c r="S3161"/>
  <c r="R3161"/>
  <c r="M3161"/>
  <c r="T3161" s="1"/>
  <c r="W3160"/>
  <c r="R3160"/>
  <c r="Z3160" s="1"/>
  <c r="M3160"/>
  <c r="O3160" s="1"/>
  <c r="U3160" s="1"/>
  <c r="V3160" s="1"/>
  <c r="W3159"/>
  <c r="R3159"/>
  <c r="Y3159" s="1"/>
  <c r="O3159"/>
  <c r="U3159" s="1"/>
  <c r="V3159" s="1"/>
  <c r="M3159"/>
  <c r="X3158"/>
  <c r="W3158"/>
  <c r="R3158"/>
  <c r="AB3158" s="1"/>
  <c r="AC3158" s="1"/>
  <c r="M3158"/>
  <c r="O3158" s="1"/>
  <c r="U3158" s="1"/>
  <c r="V3158" s="1"/>
  <c r="W3157"/>
  <c r="R3157"/>
  <c r="M3157"/>
  <c r="O3157" s="1"/>
  <c r="U3157" s="1"/>
  <c r="V3157" s="1"/>
  <c r="W3156"/>
  <c r="R3156"/>
  <c r="Z3156" s="1"/>
  <c r="M3156"/>
  <c r="O3156" s="1"/>
  <c r="U3156" s="1"/>
  <c r="V3156" s="1"/>
  <c r="W3155"/>
  <c r="R3155"/>
  <c r="Y3155" s="1"/>
  <c r="O3155"/>
  <c r="U3155" s="1"/>
  <c r="V3155" s="1"/>
  <c r="M3155"/>
  <c r="X3154"/>
  <c r="W3154"/>
  <c r="R3154"/>
  <c r="AB3154" s="1"/>
  <c r="AC3154" s="1"/>
  <c r="M3154"/>
  <c r="O3154" s="1"/>
  <c r="U3154" s="1"/>
  <c r="V3154" s="1"/>
  <c r="W3153"/>
  <c r="R3153"/>
  <c r="M3153"/>
  <c r="O3153" s="1"/>
  <c r="U3153" s="1"/>
  <c r="V3153" s="1"/>
  <c r="W3152"/>
  <c r="R3152"/>
  <c r="Z3152" s="1"/>
  <c r="M3152"/>
  <c r="O3152" s="1"/>
  <c r="U3152" s="1"/>
  <c r="V3152" s="1"/>
  <c r="W3151"/>
  <c r="R3151"/>
  <c r="Y3151" s="1"/>
  <c r="O3151"/>
  <c r="U3151" s="1"/>
  <c r="V3151" s="1"/>
  <c r="M3151"/>
  <c r="X3150"/>
  <c r="W3150"/>
  <c r="R3150"/>
  <c r="AB3150" s="1"/>
  <c r="AC3150" s="1"/>
  <c r="M3150"/>
  <c r="O3150" s="1"/>
  <c r="U3150" s="1"/>
  <c r="V3150" s="1"/>
  <c r="W3149"/>
  <c r="S3149"/>
  <c r="T3149" s="1"/>
  <c r="R3149"/>
  <c r="M3149"/>
  <c r="O3149" s="1"/>
  <c r="U3149" s="1"/>
  <c r="V3149" s="1"/>
  <c r="W3148"/>
  <c r="R3148"/>
  <c r="Z3148" s="1"/>
  <c r="M3148"/>
  <c r="O3148" s="1"/>
  <c r="U3148" s="1"/>
  <c r="V3148" s="1"/>
  <c r="W3147"/>
  <c r="R3147"/>
  <c r="Y3147" s="1"/>
  <c r="O3147"/>
  <c r="U3147" s="1"/>
  <c r="V3147" s="1"/>
  <c r="M3147"/>
  <c r="X3146"/>
  <c r="W3146"/>
  <c r="R3146"/>
  <c r="AB3146" s="1"/>
  <c r="AC3146" s="1"/>
  <c r="M3146"/>
  <c r="O3146" s="1"/>
  <c r="U3146" s="1"/>
  <c r="V3146" s="1"/>
  <c r="X3145"/>
  <c r="W3145"/>
  <c r="S3145"/>
  <c r="T3145" s="1"/>
  <c r="R3145"/>
  <c r="M3145"/>
  <c r="O3145" s="1"/>
  <c r="U3145" s="1"/>
  <c r="V3145" s="1"/>
  <c r="W3144"/>
  <c r="R3144"/>
  <c r="Z3144" s="1"/>
  <c r="M3144"/>
  <c r="O3144" s="1"/>
  <c r="U3144" s="1"/>
  <c r="V3144" s="1"/>
  <c r="W3143"/>
  <c r="R3143"/>
  <c r="Y3143" s="1"/>
  <c r="O3143"/>
  <c r="U3143" s="1"/>
  <c r="V3143" s="1"/>
  <c r="M3143"/>
  <c r="Y3142"/>
  <c r="X3142"/>
  <c r="W3142"/>
  <c r="R3142"/>
  <c r="AB3142" s="1"/>
  <c r="AC3142" s="1"/>
  <c r="M3142"/>
  <c r="O3142" s="1"/>
  <c r="U3142" s="1"/>
  <c r="V3142" s="1"/>
  <c r="X3141"/>
  <c r="W3141"/>
  <c r="S3141"/>
  <c r="T3141" s="1"/>
  <c r="R3141"/>
  <c r="AB3141" s="1"/>
  <c r="AC3141" s="1"/>
  <c r="M3141"/>
  <c r="O3141" s="1"/>
  <c r="U3141" s="1"/>
  <c r="V3141" s="1"/>
  <c r="W3140"/>
  <c r="R3140"/>
  <c r="Z3140" s="1"/>
  <c r="M3140"/>
  <c r="O3140" s="1"/>
  <c r="U3140" s="1"/>
  <c r="V3140" s="1"/>
  <c r="W3139"/>
  <c r="R3139"/>
  <c r="Y3139" s="1"/>
  <c r="O3139"/>
  <c r="U3139" s="1"/>
  <c r="V3139" s="1"/>
  <c r="M3139"/>
  <c r="Y3138"/>
  <c r="X3138"/>
  <c r="W3138"/>
  <c r="R3138"/>
  <c r="AB3138" s="1"/>
  <c r="AC3138" s="1"/>
  <c r="M3138"/>
  <c r="O3138" s="1"/>
  <c r="U3138" s="1"/>
  <c r="V3138" s="1"/>
  <c r="X3137"/>
  <c r="W3137"/>
  <c r="S3137"/>
  <c r="T3137" s="1"/>
  <c r="R3137"/>
  <c r="AB3137" s="1"/>
  <c r="AC3137" s="1"/>
  <c r="M3137"/>
  <c r="O3137" s="1"/>
  <c r="U3137" s="1"/>
  <c r="V3137" s="1"/>
  <c r="W3136"/>
  <c r="R3136"/>
  <c r="Z3136" s="1"/>
  <c r="M3136"/>
  <c r="O3136" s="1"/>
  <c r="U3136" s="1"/>
  <c r="V3136" s="1"/>
  <c r="W3135"/>
  <c r="R3135"/>
  <c r="Y3135" s="1"/>
  <c r="O3135"/>
  <c r="U3135" s="1"/>
  <c r="V3135" s="1"/>
  <c r="M3135"/>
  <c r="X3134"/>
  <c r="W3134"/>
  <c r="R3134"/>
  <c r="AB3134" s="1"/>
  <c r="AC3134" s="1"/>
  <c r="M3134"/>
  <c r="O3134" s="1"/>
  <c r="U3134" s="1"/>
  <c r="V3134" s="1"/>
  <c r="X3133"/>
  <c r="W3133"/>
  <c r="S3133"/>
  <c r="T3133" s="1"/>
  <c r="R3133"/>
  <c r="AB3133" s="1"/>
  <c r="AC3133" s="1"/>
  <c r="M3133"/>
  <c r="O3133" s="1"/>
  <c r="U3133" s="1"/>
  <c r="V3133" s="1"/>
  <c r="W3132"/>
  <c r="R3132"/>
  <c r="Z3132" s="1"/>
  <c r="M3132"/>
  <c r="O3132" s="1"/>
  <c r="U3132" s="1"/>
  <c r="V3132" s="1"/>
  <c r="W3131"/>
  <c r="R3131"/>
  <c r="Y3131" s="1"/>
  <c r="O3131"/>
  <c r="U3131" s="1"/>
  <c r="V3131" s="1"/>
  <c r="M3131"/>
  <c r="AB3130"/>
  <c r="AC3130" s="1"/>
  <c r="X3130"/>
  <c r="W3130"/>
  <c r="R3130"/>
  <c r="Y3130" s="1"/>
  <c r="M3130"/>
  <c r="O3130" s="1"/>
  <c r="U3130" s="1"/>
  <c r="V3130" s="1"/>
  <c r="X3129"/>
  <c r="W3129"/>
  <c r="S3129"/>
  <c r="T3129" s="1"/>
  <c r="R3129"/>
  <c r="AB3129" s="1"/>
  <c r="AC3129" s="1"/>
  <c r="M3129"/>
  <c r="O3129" s="1"/>
  <c r="U3129" s="1"/>
  <c r="V3129" s="1"/>
  <c r="W3128"/>
  <c r="R3128"/>
  <c r="Z3128" s="1"/>
  <c r="M3128"/>
  <c r="O3128" s="1"/>
  <c r="U3128" s="1"/>
  <c r="V3128" s="1"/>
  <c r="W3127"/>
  <c r="R3127"/>
  <c r="Y3127" s="1"/>
  <c r="O3127"/>
  <c r="U3127" s="1"/>
  <c r="M3127"/>
  <c r="AB3126"/>
  <c r="AC3126" s="1"/>
  <c r="Y3126"/>
  <c r="X3126"/>
  <c r="W3126"/>
  <c r="R3126"/>
  <c r="Z3126" s="1"/>
  <c r="M3126"/>
  <c r="O3126" s="1"/>
  <c r="U3126" s="1"/>
  <c r="V3126" s="1"/>
  <c r="X3125"/>
  <c r="W3125"/>
  <c r="S3125"/>
  <c r="T3125" s="1"/>
  <c r="R3125"/>
  <c r="AB3125" s="1"/>
  <c r="AC3125" s="1"/>
  <c r="M3125"/>
  <c r="O3125" s="1"/>
  <c r="W3124"/>
  <c r="R3124"/>
  <c r="Z3124" s="1"/>
  <c r="M3124"/>
  <c r="O3124" s="1"/>
  <c r="U3124" s="1"/>
  <c r="V3124" s="1"/>
  <c r="Y3123"/>
  <c r="W3123"/>
  <c r="R3123"/>
  <c r="Z3123" s="1"/>
  <c r="O3123"/>
  <c r="U3123" s="1"/>
  <c r="V3123" s="1"/>
  <c r="M3123"/>
  <c r="AB3122"/>
  <c r="AC3122" s="1"/>
  <c r="X3122"/>
  <c r="W3122"/>
  <c r="R3122"/>
  <c r="Y3122" s="1"/>
  <c r="M3122"/>
  <c r="O3122" s="1"/>
  <c r="U3122" s="1"/>
  <c r="V3122" s="1"/>
  <c r="X3121"/>
  <c r="W3121"/>
  <c r="S3121"/>
  <c r="T3121" s="1"/>
  <c r="R3121"/>
  <c r="AB3121" s="1"/>
  <c r="AC3121" s="1"/>
  <c r="M3121"/>
  <c r="O3121" s="1"/>
  <c r="U3121" s="1"/>
  <c r="V3121" s="1"/>
  <c r="W3120"/>
  <c r="R3120"/>
  <c r="Z3120" s="1"/>
  <c r="M3120"/>
  <c r="O3120" s="1"/>
  <c r="U3120" s="1"/>
  <c r="V3120" s="1"/>
  <c r="Y3119"/>
  <c r="W3119"/>
  <c r="R3119"/>
  <c r="Z3119" s="1"/>
  <c r="O3119"/>
  <c r="U3119" s="1"/>
  <c r="V3119" s="1"/>
  <c r="M3119"/>
  <c r="AB3118"/>
  <c r="AC3118" s="1"/>
  <c r="X3118"/>
  <c r="W3118"/>
  <c r="R3118"/>
  <c r="Y3118" s="1"/>
  <c r="M3118"/>
  <c r="O3118" s="1"/>
  <c r="U3118" s="1"/>
  <c r="V3118" s="1"/>
  <c r="X3117"/>
  <c r="W3117"/>
  <c r="S3117"/>
  <c r="T3117" s="1"/>
  <c r="R3117"/>
  <c r="AB3117" s="1"/>
  <c r="AC3117" s="1"/>
  <c r="M3117"/>
  <c r="O3117" s="1"/>
  <c r="U3117" s="1"/>
  <c r="V3117" s="1"/>
  <c r="W3116"/>
  <c r="R3116"/>
  <c r="Z3116" s="1"/>
  <c r="M3116"/>
  <c r="O3116" s="1"/>
  <c r="U3116" s="1"/>
  <c r="V3116" s="1"/>
  <c r="Y3115"/>
  <c r="W3115"/>
  <c r="R3115"/>
  <c r="Z3115" s="1"/>
  <c r="O3115"/>
  <c r="U3115" s="1"/>
  <c r="V3115" s="1"/>
  <c r="M3115"/>
  <c r="AB3114"/>
  <c r="AC3114" s="1"/>
  <c r="X3114"/>
  <c r="W3114"/>
  <c r="R3114"/>
  <c r="Y3114" s="1"/>
  <c r="M3114"/>
  <c r="O3114" s="1"/>
  <c r="U3114" s="1"/>
  <c r="V3114" s="1"/>
  <c r="X3113"/>
  <c r="W3113"/>
  <c r="S3113"/>
  <c r="T3113" s="1"/>
  <c r="R3113"/>
  <c r="AB3113" s="1"/>
  <c r="AC3113" s="1"/>
  <c r="M3113"/>
  <c r="O3113" s="1"/>
  <c r="U3113" s="1"/>
  <c r="V3113" s="1"/>
  <c r="W3112"/>
  <c r="R3112"/>
  <c r="Z3112" s="1"/>
  <c r="M3112"/>
  <c r="O3112" s="1"/>
  <c r="U3112" s="1"/>
  <c r="V3112" s="1"/>
  <c r="Y3111"/>
  <c r="W3111"/>
  <c r="R3111"/>
  <c r="Z3111" s="1"/>
  <c r="O3111"/>
  <c r="U3111" s="1"/>
  <c r="V3111" s="1"/>
  <c r="M3111"/>
  <c r="AB3110"/>
  <c r="AC3110" s="1"/>
  <c r="X3110"/>
  <c r="W3110"/>
  <c r="R3110"/>
  <c r="Y3110" s="1"/>
  <c r="M3110"/>
  <c r="O3110" s="1"/>
  <c r="U3110" s="1"/>
  <c r="V3110" s="1"/>
  <c r="X3109"/>
  <c r="W3109"/>
  <c r="S3109"/>
  <c r="T3109" s="1"/>
  <c r="R3109"/>
  <c r="AB3109" s="1"/>
  <c r="AC3109" s="1"/>
  <c r="M3109"/>
  <c r="O3109" s="1"/>
  <c r="U3109" s="1"/>
  <c r="V3109" s="1"/>
  <c r="W3108"/>
  <c r="R3108"/>
  <c r="Z3108" s="1"/>
  <c r="M3108"/>
  <c r="O3108" s="1"/>
  <c r="Y3107"/>
  <c r="W3107"/>
  <c r="R3107"/>
  <c r="Z3107" s="1"/>
  <c r="O3107"/>
  <c r="U3107" s="1"/>
  <c r="M3107"/>
  <c r="AB3106"/>
  <c r="AC3106" s="1"/>
  <c r="X3106"/>
  <c r="W3106"/>
  <c r="R3106"/>
  <c r="Y3106" s="1"/>
  <c r="M3106"/>
  <c r="O3106" s="1"/>
  <c r="X3105"/>
  <c r="W3105"/>
  <c r="S3105"/>
  <c r="T3105" s="1"/>
  <c r="R3105"/>
  <c r="AB3105" s="1"/>
  <c r="AC3105" s="1"/>
  <c r="M3105"/>
  <c r="O3105" s="1"/>
  <c r="W3104"/>
  <c r="R3104"/>
  <c r="Z3104" s="1"/>
  <c r="M3104"/>
  <c r="O3104" s="1"/>
  <c r="U3104" s="1"/>
  <c r="V3104" s="1"/>
  <c r="Y3103"/>
  <c r="W3103"/>
  <c r="R3103"/>
  <c r="Z3103" s="1"/>
  <c r="O3103"/>
  <c r="U3103" s="1"/>
  <c r="V3103" s="1"/>
  <c r="M3103"/>
  <c r="AB3102"/>
  <c r="AC3102" s="1"/>
  <c r="X3102"/>
  <c r="W3102"/>
  <c r="R3102"/>
  <c r="Y3102" s="1"/>
  <c r="M3102"/>
  <c r="O3102" s="1"/>
  <c r="U3102" s="1"/>
  <c r="V3102" s="1"/>
  <c r="X3101"/>
  <c r="W3101"/>
  <c r="S3101"/>
  <c r="T3101" s="1"/>
  <c r="R3101"/>
  <c r="AB3101" s="1"/>
  <c r="AC3101" s="1"/>
  <c r="M3101"/>
  <c r="O3101" s="1"/>
  <c r="U3101" s="1"/>
  <c r="V3101" s="1"/>
  <c r="W3100"/>
  <c r="R3100"/>
  <c r="Z3100" s="1"/>
  <c r="M3100"/>
  <c r="O3100" s="1"/>
  <c r="U3100" s="1"/>
  <c r="V3100" s="1"/>
  <c r="Y3099"/>
  <c r="W3099"/>
  <c r="R3099"/>
  <c r="Z3099" s="1"/>
  <c r="O3099"/>
  <c r="U3099" s="1"/>
  <c r="V3099" s="1"/>
  <c r="M3099"/>
  <c r="AB3098"/>
  <c r="AC3098" s="1"/>
  <c r="X3098"/>
  <c r="W3098"/>
  <c r="R3098"/>
  <c r="Y3098" s="1"/>
  <c r="M3098"/>
  <c r="O3098" s="1"/>
  <c r="U3098" s="1"/>
  <c r="V3098" s="1"/>
  <c r="X3097"/>
  <c r="W3097"/>
  <c r="S3097"/>
  <c r="T3097" s="1"/>
  <c r="R3097"/>
  <c r="AB3097" s="1"/>
  <c r="AC3097" s="1"/>
  <c r="M3097"/>
  <c r="O3097" s="1"/>
  <c r="U3097" s="1"/>
  <c r="V3097" s="1"/>
  <c r="W3096"/>
  <c r="R3096"/>
  <c r="Z3096" s="1"/>
  <c r="M3096"/>
  <c r="O3096" s="1"/>
  <c r="U3096" s="1"/>
  <c r="V3096" s="1"/>
  <c r="Y3095"/>
  <c r="W3095"/>
  <c r="R3095"/>
  <c r="Z3095" s="1"/>
  <c r="O3095"/>
  <c r="U3095" s="1"/>
  <c r="V3095" s="1"/>
  <c r="M3095"/>
  <c r="AB3094"/>
  <c r="AC3094" s="1"/>
  <c r="X3094"/>
  <c r="W3094"/>
  <c r="R3094"/>
  <c r="Y3094" s="1"/>
  <c r="M3094"/>
  <c r="O3094" s="1"/>
  <c r="U3094" s="1"/>
  <c r="V3094" s="1"/>
  <c r="W3093"/>
  <c r="S3093"/>
  <c r="T3093" s="1"/>
  <c r="R3093"/>
  <c r="AB3093" s="1"/>
  <c r="AC3093" s="1"/>
  <c r="M3093"/>
  <c r="O3093" s="1"/>
  <c r="U3093" s="1"/>
  <c r="V3093" s="1"/>
  <c r="W3092"/>
  <c r="R3092"/>
  <c r="Z3092" s="1"/>
  <c r="M3092"/>
  <c r="O3092" s="1"/>
  <c r="U3092" s="1"/>
  <c r="V3092" s="1"/>
  <c r="Y3091"/>
  <c r="W3091"/>
  <c r="R3091"/>
  <c r="Z3091" s="1"/>
  <c r="O3091"/>
  <c r="U3091" s="1"/>
  <c r="V3091" s="1"/>
  <c r="M3091"/>
  <c r="AB3090"/>
  <c r="AC3090" s="1"/>
  <c r="X3090"/>
  <c r="W3090"/>
  <c r="R3090"/>
  <c r="Y3090" s="1"/>
  <c r="M3090"/>
  <c r="O3090" s="1"/>
  <c r="U3090" s="1"/>
  <c r="V3090" s="1"/>
  <c r="W3089"/>
  <c r="S3089"/>
  <c r="T3089" s="1"/>
  <c r="R3089"/>
  <c r="AB3089" s="1"/>
  <c r="AC3089" s="1"/>
  <c r="M3089"/>
  <c r="O3089" s="1"/>
  <c r="U3089" s="1"/>
  <c r="V3089" s="1"/>
  <c r="W3088"/>
  <c r="R3088"/>
  <c r="Z3088" s="1"/>
  <c r="M3088"/>
  <c r="O3088" s="1"/>
  <c r="U3088" s="1"/>
  <c r="V3088" s="1"/>
  <c r="Y3087"/>
  <c r="W3087"/>
  <c r="R3087"/>
  <c r="Z3087" s="1"/>
  <c r="O3087"/>
  <c r="U3087" s="1"/>
  <c r="V3087" s="1"/>
  <c r="M3087"/>
  <c r="AB3086"/>
  <c r="AC3086" s="1"/>
  <c r="X3086"/>
  <c r="W3086"/>
  <c r="R3086"/>
  <c r="Y3086" s="1"/>
  <c r="M3086"/>
  <c r="O3086" s="1"/>
  <c r="U3086" s="1"/>
  <c r="V3086" s="1"/>
  <c r="W3085"/>
  <c r="S3085"/>
  <c r="T3085" s="1"/>
  <c r="R3085"/>
  <c r="AB3085" s="1"/>
  <c r="AC3085" s="1"/>
  <c r="M3085"/>
  <c r="O3085" s="1"/>
  <c r="U3085" s="1"/>
  <c r="V3085" s="1"/>
  <c r="W3084"/>
  <c r="R3084"/>
  <c r="Z3084" s="1"/>
  <c r="M3084"/>
  <c r="O3084" s="1"/>
  <c r="U3084" s="1"/>
  <c r="V3084" s="1"/>
  <c r="Y3083"/>
  <c r="W3083"/>
  <c r="R3083"/>
  <c r="Z3083" s="1"/>
  <c r="O3083"/>
  <c r="U3083" s="1"/>
  <c r="V3083" s="1"/>
  <c r="M3083"/>
  <c r="AB3082"/>
  <c r="AC3082" s="1"/>
  <c r="X3082"/>
  <c r="W3082"/>
  <c r="R3082"/>
  <c r="Y3082" s="1"/>
  <c r="M3082"/>
  <c r="O3082" s="1"/>
  <c r="U3082" s="1"/>
  <c r="V3082" s="1"/>
  <c r="W3081"/>
  <c r="S3081"/>
  <c r="T3081" s="1"/>
  <c r="R3081"/>
  <c r="AB3081" s="1"/>
  <c r="AC3081" s="1"/>
  <c r="M3081"/>
  <c r="O3081" s="1"/>
  <c r="U3081" s="1"/>
  <c r="V3081" s="1"/>
  <c r="W3080"/>
  <c r="R3080"/>
  <c r="Z3080" s="1"/>
  <c r="M3080"/>
  <c r="O3080" s="1"/>
  <c r="Y3079"/>
  <c r="W3079"/>
  <c r="R3079"/>
  <c r="Z3079" s="1"/>
  <c r="O3079"/>
  <c r="U3079" s="1"/>
  <c r="M3079"/>
  <c r="AB3078"/>
  <c r="AC3078" s="1"/>
  <c r="X3078"/>
  <c r="W3078"/>
  <c r="R3078"/>
  <c r="Y3078" s="1"/>
  <c r="M3078"/>
  <c r="O3078" s="1"/>
  <c r="W3077"/>
  <c r="S3077"/>
  <c r="T3077" s="1"/>
  <c r="R3077"/>
  <c r="AB3077" s="1"/>
  <c r="AC3077" s="1"/>
  <c r="M3077"/>
  <c r="O3077" s="1"/>
  <c r="W3076"/>
  <c r="R3076"/>
  <c r="Z3076" s="1"/>
  <c r="M3076"/>
  <c r="O3076" s="1"/>
  <c r="Y3075"/>
  <c r="W3075"/>
  <c r="R3075"/>
  <c r="Z3075" s="1"/>
  <c r="O3075"/>
  <c r="M3075"/>
  <c r="AB3074"/>
  <c r="AC3074" s="1"/>
  <c r="X3074"/>
  <c r="W3074"/>
  <c r="R3074"/>
  <c r="Y3074" s="1"/>
  <c r="M3074"/>
  <c r="O3074" s="1"/>
  <c r="U3074" s="1"/>
  <c r="V3074" s="1"/>
  <c r="W3073"/>
  <c r="S3073"/>
  <c r="T3073" s="1"/>
  <c r="R3073"/>
  <c r="AB3073" s="1"/>
  <c r="AC3073" s="1"/>
  <c r="M3073"/>
  <c r="O3073" s="1"/>
  <c r="U3073" s="1"/>
  <c r="V3073" s="1"/>
  <c r="AC3072"/>
  <c r="X3072"/>
  <c r="W3072"/>
  <c r="R3072"/>
  <c r="AB3072" s="1"/>
  <c r="M3072"/>
  <c r="O3072" s="1"/>
  <c r="U3072" s="1"/>
  <c r="V3072" s="1"/>
  <c r="W3071"/>
  <c r="S3071"/>
  <c r="T3071" s="1"/>
  <c r="R3071"/>
  <c r="AB3071" s="1"/>
  <c r="AC3071" s="1"/>
  <c r="O3071"/>
  <c r="U3071" s="1"/>
  <c r="M3071"/>
  <c r="W3070"/>
  <c r="R3070"/>
  <c r="Z3070" s="1"/>
  <c r="O3070"/>
  <c r="U3070" s="1"/>
  <c r="V3070" s="1"/>
  <c r="M3070"/>
  <c r="AC3069"/>
  <c r="AB3069"/>
  <c r="Y3069"/>
  <c r="X3069"/>
  <c r="W3069"/>
  <c r="S3069"/>
  <c r="R3069"/>
  <c r="Z3069" s="1"/>
  <c r="AA3069" s="1"/>
  <c r="O3069"/>
  <c r="U3069" s="1"/>
  <c r="M3069"/>
  <c r="T3069" s="1"/>
  <c r="AB3068"/>
  <c r="AC3068" s="1"/>
  <c r="X3068"/>
  <c r="W3068"/>
  <c r="S3068"/>
  <c r="R3068"/>
  <c r="Y3068" s="1"/>
  <c r="M3068"/>
  <c r="T3068" s="1"/>
  <c r="W3067"/>
  <c r="S3067"/>
  <c r="T3067" s="1"/>
  <c r="R3067"/>
  <c r="AB3067" s="1"/>
  <c r="AC3067" s="1"/>
  <c r="O3067"/>
  <c r="U3067" s="1"/>
  <c r="M3067"/>
  <c r="W3066"/>
  <c r="R3066"/>
  <c r="Z3066" s="1"/>
  <c r="O3066"/>
  <c r="U3066" s="1"/>
  <c r="V3066" s="1"/>
  <c r="M3066"/>
  <c r="AC3065"/>
  <c r="AB3065"/>
  <c r="Y3065"/>
  <c r="X3065"/>
  <c r="W3065"/>
  <c r="S3065"/>
  <c r="R3065"/>
  <c r="Z3065" s="1"/>
  <c r="AA3065" s="1"/>
  <c r="O3065"/>
  <c r="U3065" s="1"/>
  <c r="M3065"/>
  <c r="T3065" s="1"/>
  <c r="AB3064"/>
  <c r="AC3064" s="1"/>
  <c r="X3064"/>
  <c r="W3064"/>
  <c r="S3064"/>
  <c r="R3064"/>
  <c r="Y3064" s="1"/>
  <c r="M3064"/>
  <c r="T3064" s="1"/>
  <c r="W3063"/>
  <c r="S3063"/>
  <c r="T3063" s="1"/>
  <c r="R3063"/>
  <c r="AB3063" s="1"/>
  <c r="AC3063" s="1"/>
  <c r="O3063"/>
  <c r="U3063" s="1"/>
  <c r="V3063" s="1"/>
  <c r="M3063"/>
  <c r="W3062"/>
  <c r="R3062"/>
  <c r="Z3062" s="1"/>
  <c r="O3062"/>
  <c r="U3062" s="1"/>
  <c r="V3062" s="1"/>
  <c r="M3062"/>
  <c r="AC3061"/>
  <c r="AB3061"/>
  <c r="Y3061"/>
  <c r="X3061"/>
  <c r="W3061"/>
  <c r="S3061"/>
  <c r="R3061"/>
  <c r="Z3061" s="1"/>
  <c r="AA3061" s="1"/>
  <c r="O3061"/>
  <c r="U3061" s="1"/>
  <c r="M3061"/>
  <c r="T3061" s="1"/>
  <c r="AB3060"/>
  <c r="AC3060" s="1"/>
  <c r="X3060"/>
  <c r="W3060"/>
  <c r="S3060"/>
  <c r="R3060"/>
  <c r="Y3060" s="1"/>
  <c r="M3060"/>
  <c r="T3060" s="1"/>
  <c r="W3059"/>
  <c r="S3059"/>
  <c r="T3059" s="1"/>
  <c r="R3059"/>
  <c r="AB3059" s="1"/>
  <c r="AC3059" s="1"/>
  <c r="O3059"/>
  <c r="U3059" s="1"/>
  <c r="V3059" s="1"/>
  <c r="M3059"/>
  <c r="W3058"/>
  <c r="R3058"/>
  <c r="Z3058" s="1"/>
  <c r="O3058"/>
  <c r="U3058" s="1"/>
  <c r="V3058" s="1"/>
  <c r="M3058"/>
  <c r="AC3057"/>
  <c r="AB3057"/>
  <c r="Y3057"/>
  <c r="X3057"/>
  <c r="W3057"/>
  <c r="S3057"/>
  <c r="R3057"/>
  <c r="Z3057" s="1"/>
  <c r="AA3057" s="1"/>
  <c r="O3057"/>
  <c r="U3057" s="1"/>
  <c r="M3057"/>
  <c r="T3057" s="1"/>
  <c r="AB3056"/>
  <c r="AC3056" s="1"/>
  <c r="X3056"/>
  <c r="W3056"/>
  <c r="S3056"/>
  <c r="R3056"/>
  <c r="Y3056" s="1"/>
  <c r="M3056"/>
  <c r="T3056" s="1"/>
  <c r="W3055"/>
  <c r="S3055"/>
  <c r="T3055" s="1"/>
  <c r="R3055"/>
  <c r="AB3055" s="1"/>
  <c r="AC3055" s="1"/>
  <c r="O3055"/>
  <c r="U3055" s="1"/>
  <c r="V3055" s="1"/>
  <c r="M3055"/>
  <c r="W3054"/>
  <c r="R3054"/>
  <c r="Z3054" s="1"/>
  <c r="O3054"/>
  <c r="U3054" s="1"/>
  <c r="V3054" s="1"/>
  <c r="M3054"/>
  <c r="AC3053"/>
  <c r="AB3053"/>
  <c r="Y3053"/>
  <c r="X3053"/>
  <c r="W3053"/>
  <c r="S3053"/>
  <c r="R3053"/>
  <c r="Z3053" s="1"/>
  <c r="O3053"/>
  <c r="U3053" s="1"/>
  <c r="V3053" s="1"/>
  <c r="M3053"/>
  <c r="T3053" s="1"/>
  <c r="AB3052"/>
  <c r="AC3052" s="1"/>
  <c r="X3052"/>
  <c r="W3052"/>
  <c r="S3052"/>
  <c r="R3052"/>
  <c r="Y3052" s="1"/>
  <c r="M3052"/>
  <c r="T3052" s="1"/>
  <c r="W3051"/>
  <c r="S3051"/>
  <c r="T3051" s="1"/>
  <c r="R3051"/>
  <c r="AB3051" s="1"/>
  <c r="AC3051" s="1"/>
  <c r="O3051"/>
  <c r="U3051" s="1"/>
  <c r="V3051" s="1"/>
  <c r="M3051"/>
  <c r="W3050"/>
  <c r="R3050"/>
  <c r="Z3050" s="1"/>
  <c r="O3050"/>
  <c r="U3050" s="1"/>
  <c r="V3050" s="1"/>
  <c r="M3050"/>
  <c r="AC3049"/>
  <c r="AB3049"/>
  <c r="Y3049"/>
  <c r="X3049"/>
  <c r="W3049"/>
  <c r="R3049"/>
  <c r="Z3049" s="1"/>
  <c r="O3049"/>
  <c r="U3049" s="1"/>
  <c r="M3049"/>
  <c r="AB3048"/>
  <c r="AC3048" s="1"/>
  <c r="X3048"/>
  <c r="W3048"/>
  <c r="S3048"/>
  <c r="R3048"/>
  <c r="Y3048" s="1"/>
  <c r="M3048"/>
  <c r="T3048" s="1"/>
  <c r="W3047"/>
  <c r="S3047"/>
  <c r="T3047" s="1"/>
  <c r="R3047"/>
  <c r="AB3047" s="1"/>
  <c r="AC3047" s="1"/>
  <c r="M3047"/>
  <c r="O3047" s="1"/>
  <c r="W3046"/>
  <c r="R3046"/>
  <c r="Z3046" s="1"/>
  <c r="O3046"/>
  <c r="U3046" s="1"/>
  <c r="V3046" s="1"/>
  <c r="M3046"/>
  <c r="AC3045"/>
  <c r="AB3045"/>
  <c r="Y3045"/>
  <c r="X3045"/>
  <c r="W3045"/>
  <c r="R3045"/>
  <c r="Z3045" s="1"/>
  <c r="O3045"/>
  <c r="U3045" s="1"/>
  <c r="V3045" s="1"/>
  <c r="M3045"/>
  <c r="AB3044"/>
  <c r="AC3044" s="1"/>
  <c r="X3044"/>
  <c r="W3044"/>
  <c r="S3044"/>
  <c r="R3044"/>
  <c r="Y3044" s="1"/>
  <c r="M3044"/>
  <c r="T3044" s="1"/>
  <c r="W3043"/>
  <c r="S3043"/>
  <c r="T3043" s="1"/>
  <c r="R3043"/>
  <c r="AB3043" s="1"/>
  <c r="AC3043" s="1"/>
  <c r="M3043"/>
  <c r="O3043" s="1"/>
  <c r="U3043" s="1"/>
  <c r="V3043" s="1"/>
  <c r="W3042"/>
  <c r="R3042"/>
  <c r="Z3042" s="1"/>
  <c r="O3042"/>
  <c r="U3042" s="1"/>
  <c r="V3042" s="1"/>
  <c r="M3042"/>
  <c r="AC3041"/>
  <c r="AB3041"/>
  <c r="Y3041"/>
  <c r="X3041"/>
  <c r="W3041"/>
  <c r="R3041"/>
  <c r="Z3041" s="1"/>
  <c r="O3041"/>
  <c r="U3041" s="1"/>
  <c r="V3041" s="1"/>
  <c r="M3041"/>
  <c r="AB3040"/>
  <c r="AC3040" s="1"/>
  <c r="X3040"/>
  <c r="W3040"/>
  <c r="S3040"/>
  <c r="R3040"/>
  <c r="Y3040" s="1"/>
  <c r="M3040"/>
  <c r="T3040" s="1"/>
  <c r="W3039"/>
  <c r="S3039"/>
  <c r="T3039" s="1"/>
  <c r="R3039"/>
  <c r="AB3039" s="1"/>
  <c r="AC3039" s="1"/>
  <c r="M3039"/>
  <c r="O3039" s="1"/>
  <c r="U3039" s="1"/>
  <c r="V3039" s="1"/>
  <c r="W3038"/>
  <c r="R3038"/>
  <c r="Z3038" s="1"/>
  <c r="O3038"/>
  <c r="U3038" s="1"/>
  <c r="V3038" s="1"/>
  <c r="M3038"/>
  <c r="AC3037"/>
  <c r="AB3037"/>
  <c r="Y3037"/>
  <c r="X3037"/>
  <c r="W3037"/>
  <c r="R3037"/>
  <c r="Z3037" s="1"/>
  <c r="O3037"/>
  <c r="U3037" s="1"/>
  <c r="V3037" s="1"/>
  <c r="M3037"/>
  <c r="AB3036"/>
  <c r="AC3036" s="1"/>
  <c r="X3036"/>
  <c r="W3036"/>
  <c r="S3036"/>
  <c r="R3036"/>
  <c r="Y3036" s="1"/>
  <c r="M3036"/>
  <c r="T3036" s="1"/>
  <c r="W3035"/>
  <c r="S3035"/>
  <c r="T3035" s="1"/>
  <c r="R3035"/>
  <c r="AB3035" s="1"/>
  <c r="AC3035" s="1"/>
  <c r="M3035"/>
  <c r="O3035" s="1"/>
  <c r="U3035" s="1"/>
  <c r="V3035" s="1"/>
  <c r="W3034"/>
  <c r="R3034"/>
  <c r="Z3034" s="1"/>
  <c r="O3034"/>
  <c r="U3034" s="1"/>
  <c r="V3034" s="1"/>
  <c r="M3034"/>
  <c r="AC3033"/>
  <c r="AB3033"/>
  <c r="Y3033"/>
  <c r="X3033"/>
  <c r="W3033"/>
  <c r="R3033"/>
  <c r="Z3033" s="1"/>
  <c r="O3033"/>
  <c r="U3033" s="1"/>
  <c r="V3033" s="1"/>
  <c r="M3033"/>
  <c r="AB3032"/>
  <c r="AC3032" s="1"/>
  <c r="X3032"/>
  <c r="W3032"/>
  <c r="S3032"/>
  <c r="R3032"/>
  <c r="Y3032" s="1"/>
  <c r="M3032"/>
  <c r="T3032" s="1"/>
  <c r="W3031"/>
  <c r="S3031"/>
  <c r="T3031" s="1"/>
  <c r="R3031"/>
  <c r="AB3031" s="1"/>
  <c r="AC3031" s="1"/>
  <c r="M3031"/>
  <c r="O3031" s="1"/>
  <c r="U3031" s="1"/>
  <c r="V3031" s="1"/>
  <c r="W3030"/>
  <c r="R3030"/>
  <c r="Z3030" s="1"/>
  <c r="O3030"/>
  <c r="U3030" s="1"/>
  <c r="V3030" s="1"/>
  <c r="M3030"/>
  <c r="AC3029"/>
  <c r="AB3029"/>
  <c r="Y3029"/>
  <c r="X3029"/>
  <c r="W3029"/>
  <c r="R3029"/>
  <c r="Z3029" s="1"/>
  <c r="O3029"/>
  <c r="U3029" s="1"/>
  <c r="V3029" s="1"/>
  <c r="M3029"/>
  <c r="AB3028"/>
  <c r="AC3028" s="1"/>
  <c r="X3028"/>
  <c r="W3028"/>
  <c r="S3028"/>
  <c r="R3028"/>
  <c r="Y3028" s="1"/>
  <c r="M3028"/>
  <c r="T3028" s="1"/>
  <c r="W3027"/>
  <c r="S3027"/>
  <c r="T3027" s="1"/>
  <c r="R3027"/>
  <c r="AB3027" s="1"/>
  <c r="AC3027" s="1"/>
  <c r="M3027"/>
  <c r="O3027" s="1"/>
  <c r="U3027" s="1"/>
  <c r="V3027" s="1"/>
  <c r="W3026"/>
  <c r="R3026"/>
  <c r="Z3026" s="1"/>
  <c r="O3026"/>
  <c r="U3026" s="1"/>
  <c r="V3026" s="1"/>
  <c r="M3026"/>
  <c r="AC3025"/>
  <c r="AB3025"/>
  <c r="Y3025"/>
  <c r="X3025"/>
  <c r="W3025"/>
  <c r="R3025"/>
  <c r="Z3025" s="1"/>
  <c r="O3025"/>
  <c r="U3025" s="1"/>
  <c r="V3025" s="1"/>
  <c r="M3025"/>
  <c r="AB3024"/>
  <c r="AC3024" s="1"/>
  <c r="X3024"/>
  <c r="W3024"/>
  <c r="S3024"/>
  <c r="R3024"/>
  <c r="Y3024" s="1"/>
  <c r="M3024"/>
  <c r="T3024" s="1"/>
  <c r="W3023"/>
  <c r="S3023"/>
  <c r="T3023" s="1"/>
  <c r="R3023"/>
  <c r="AB3023" s="1"/>
  <c r="AC3023" s="1"/>
  <c r="M3023"/>
  <c r="O3023" s="1"/>
  <c r="U3023" s="1"/>
  <c r="V3023" s="1"/>
  <c r="W3022"/>
  <c r="R3022"/>
  <c r="Z3022" s="1"/>
  <c r="O3022"/>
  <c r="U3022" s="1"/>
  <c r="V3022" s="1"/>
  <c r="M3022"/>
  <c r="AC3021"/>
  <c r="AB3021"/>
  <c r="Y3021"/>
  <c r="X3021"/>
  <c r="W3021"/>
  <c r="R3021"/>
  <c r="Z3021" s="1"/>
  <c r="O3021"/>
  <c r="U3021" s="1"/>
  <c r="V3021" s="1"/>
  <c r="M3021"/>
  <c r="AB3020"/>
  <c r="AC3020" s="1"/>
  <c r="X3020"/>
  <c r="W3020"/>
  <c r="S3020"/>
  <c r="R3020"/>
  <c r="Y3020" s="1"/>
  <c r="M3020"/>
  <c r="T3020" s="1"/>
  <c r="W3019"/>
  <c r="S3019"/>
  <c r="T3019" s="1"/>
  <c r="R3019"/>
  <c r="AB3019" s="1"/>
  <c r="AC3019" s="1"/>
  <c r="M3019"/>
  <c r="O3019" s="1"/>
  <c r="U3019" s="1"/>
  <c r="V3019" s="1"/>
  <c r="W3018"/>
  <c r="R3018"/>
  <c r="Z3018" s="1"/>
  <c r="O3018"/>
  <c r="U3018" s="1"/>
  <c r="V3018" s="1"/>
  <c r="M3018"/>
  <c r="AC3017"/>
  <c r="AB3017"/>
  <c r="Y3017"/>
  <c r="X3017"/>
  <c r="W3017"/>
  <c r="R3017"/>
  <c r="Z3017" s="1"/>
  <c r="O3017"/>
  <c r="U3017" s="1"/>
  <c r="V3017" s="1"/>
  <c r="M3017"/>
  <c r="AB3016"/>
  <c r="AC3016" s="1"/>
  <c r="X3016"/>
  <c r="W3016"/>
  <c r="S3016"/>
  <c r="R3016"/>
  <c r="Y3016" s="1"/>
  <c r="M3016"/>
  <c r="T3016" s="1"/>
  <c r="W3015"/>
  <c r="S3015"/>
  <c r="T3015" s="1"/>
  <c r="R3015"/>
  <c r="AB3015" s="1"/>
  <c r="AC3015" s="1"/>
  <c r="M3015"/>
  <c r="O3015" s="1"/>
  <c r="U3015" s="1"/>
  <c r="V3015" s="1"/>
  <c r="W3014"/>
  <c r="R3014"/>
  <c r="Z3014" s="1"/>
  <c r="O3014"/>
  <c r="U3014" s="1"/>
  <c r="V3014" s="1"/>
  <c r="M3014"/>
  <c r="AC3013"/>
  <c r="AB3013"/>
  <c r="Y3013"/>
  <c r="X3013"/>
  <c r="W3013"/>
  <c r="R3013"/>
  <c r="Z3013" s="1"/>
  <c r="O3013"/>
  <c r="U3013" s="1"/>
  <c r="V3013" s="1"/>
  <c r="M3013"/>
  <c r="AB3012"/>
  <c r="AC3012" s="1"/>
  <c r="X3012"/>
  <c r="W3012"/>
  <c r="S3012"/>
  <c r="R3012"/>
  <c r="Y3012" s="1"/>
  <c r="M3012"/>
  <c r="T3012" s="1"/>
  <c r="W3011"/>
  <c r="S3011"/>
  <c r="T3011" s="1"/>
  <c r="R3011"/>
  <c r="AB3011" s="1"/>
  <c r="AC3011" s="1"/>
  <c r="M3011"/>
  <c r="O3011" s="1"/>
  <c r="U3011" s="1"/>
  <c r="V3011" s="1"/>
  <c r="W3010"/>
  <c r="R3010"/>
  <c r="Z3010" s="1"/>
  <c r="O3010"/>
  <c r="U3010" s="1"/>
  <c r="V3010" s="1"/>
  <c r="M3010"/>
  <c r="AC3009"/>
  <c r="AB3009"/>
  <c r="Y3009"/>
  <c r="X3009"/>
  <c r="W3009"/>
  <c r="R3009"/>
  <c r="Z3009" s="1"/>
  <c r="O3009"/>
  <c r="U3009" s="1"/>
  <c r="V3009" s="1"/>
  <c r="M3009"/>
  <c r="AB3008"/>
  <c r="AC3008" s="1"/>
  <c r="X3008"/>
  <c r="W3008"/>
  <c r="S3008"/>
  <c r="R3008"/>
  <c r="Y3008" s="1"/>
  <c r="M3008"/>
  <c r="T3008" s="1"/>
  <c r="W3007"/>
  <c r="S3007"/>
  <c r="T3007" s="1"/>
  <c r="R3007"/>
  <c r="AB3007" s="1"/>
  <c r="AC3007" s="1"/>
  <c r="M3007"/>
  <c r="O3007" s="1"/>
  <c r="U3007" s="1"/>
  <c r="V3007" s="1"/>
  <c r="W3006"/>
  <c r="R3006"/>
  <c r="Z3006" s="1"/>
  <c r="O3006"/>
  <c r="U3006" s="1"/>
  <c r="V3006" s="1"/>
  <c r="M3006"/>
  <c r="AC3005"/>
  <c r="AB3005"/>
  <c r="Y3005"/>
  <c r="X3005"/>
  <c r="W3005"/>
  <c r="R3005"/>
  <c r="Z3005" s="1"/>
  <c r="O3005"/>
  <c r="U3005" s="1"/>
  <c r="V3005" s="1"/>
  <c r="M3005"/>
  <c r="AB3004"/>
  <c r="AC3004" s="1"/>
  <c r="X3004"/>
  <c r="W3004"/>
  <c r="S3004"/>
  <c r="R3004"/>
  <c r="Y3004" s="1"/>
  <c r="M3004"/>
  <c r="T3004" s="1"/>
  <c r="W3003"/>
  <c r="S3003"/>
  <c r="T3003" s="1"/>
  <c r="R3003"/>
  <c r="AB3003" s="1"/>
  <c r="AC3003" s="1"/>
  <c r="M3003"/>
  <c r="O3003" s="1"/>
  <c r="U3003" s="1"/>
  <c r="V3003" s="1"/>
  <c r="W3002"/>
  <c r="R3002"/>
  <c r="Z3002" s="1"/>
  <c r="O3002"/>
  <c r="U3002" s="1"/>
  <c r="V3002" s="1"/>
  <c r="M3002"/>
  <c r="AC3001"/>
  <c r="AB3001"/>
  <c r="Y3001"/>
  <c r="X3001"/>
  <c r="W3001"/>
  <c r="R3001"/>
  <c r="Z3001" s="1"/>
  <c r="O3001"/>
  <c r="U3001" s="1"/>
  <c r="V3001" s="1"/>
  <c r="M3001"/>
  <c r="AB3000"/>
  <c r="AC3000" s="1"/>
  <c r="X3000"/>
  <c r="W3000"/>
  <c r="S3000"/>
  <c r="R3000"/>
  <c r="Y3000" s="1"/>
  <c r="M3000"/>
  <c r="T3000" s="1"/>
  <c r="W2999"/>
  <c r="S2999"/>
  <c r="T2999" s="1"/>
  <c r="R2999"/>
  <c r="AB2999" s="1"/>
  <c r="AC2999" s="1"/>
  <c r="M2999"/>
  <c r="O2999" s="1"/>
  <c r="U2999" s="1"/>
  <c r="V2999" s="1"/>
  <c r="W2998"/>
  <c r="R2998"/>
  <c r="Z2998" s="1"/>
  <c r="O2998"/>
  <c r="U2998" s="1"/>
  <c r="V2998" s="1"/>
  <c r="M2998"/>
  <c r="AC2997"/>
  <c r="AB2997"/>
  <c r="Y2997"/>
  <c r="X2997"/>
  <c r="W2997"/>
  <c r="R2997"/>
  <c r="Z2997" s="1"/>
  <c r="O2997"/>
  <c r="U2997" s="1"/>
  <c r="V2997" s="1"/>
  <c r="M2997"/>
  <c r="AB2996"/>
  <c r="AC2996" s="1"/>
  <c r="X2996"/>
  <c r="W2996"/>
  <c r="S2996"/>
  <c r="R2996"/>
  <c r="Y2996" s="1"/>
  <c r="M2996"/>
  <c r="T2996" s="1"/>
  <c r="W2995"/>
  <c r="S2995"/>
  <c r="T2995" s="1"/>
  <c r="R2995"/>
  <c r="AB2995" s="1"/>
  <c r="AC2995" s="1"/>
  <c r="M2995"/>
  <c r="O2995" s="1"/>
  <c r="U2995" s="1"/>
  <c r="V2995" s="1"/>
  <c r="W2994"/>
  <c r="R2994"/>
  <c r="Z2994" s="1"/>
  <c r="O2994"/>
  <c r="U2994" s="1"/>
  <c r="V2994" s="1"/>
  <c r="M2994"/>
  <c r="AC2993"/>
  <c r="AB2993"/>
  <c r="Y2993"/>
  <c r="X2993"/>
  <c r="W2993"/>
  <c r="R2993"/>
  <c r="Z2993" s="1"/>
  <c r="O2993"/>
  <c r="U2993" s="1"/>
  <c r="V2993" s="1"/>
  <c r="M2993"/>
  <c r="AB2992"/>
  <c r="AC2992" s="1"/>
  <c r="X2992"/>
  <c r="W2992"/>
  <c r="S2992"/>
  <c r="R2992"/>
  <c r="Y2992" s="1"/>
  <c r="M2992"/>
  <c r="T2992" s="1"/>
  <c r="W2991"/>
  <c r="S2991"/>
  <c r="T2991" s="1"/>
  <c r="R2991"/>
  <c r="AB2991" s="1"/>
  <c r="AC2991" s="1"/>
  <c r="M2991"/>
  <c r="O2991" s="1"/>
  <c r="U2991" s="1"/>
  <c r="V2991" s="1"/>
  <c r="W2990"/>
  <c r="R2990"/>
  <c r="Z2990" s="1"/>
  <c r="O2990"/>
  <c r="U2990" s="1"/>
  <c r="V2990" s="1"/>
  <c r="M2990"/>
  <c r="AC2989"/>
  <c r="AB2989"/>
  <c r="Y2989"/>
  <c r="X2989"/>
  <c r="W2989"/>
  <c r="R2989"/>
  <c r="Z2989" s="1"/>
  <c r="O2989"/>
  <c r="U2989" s="1"/>
  <c r="V2989" s="1"/>
  <c r="M2989"/>
  <c r="AB2988"/>
  <c r="AC2988" s="1"/>
  <c r="X2988"/>
  <c r="W2988"/>
  <c r="S2988"/>
  <c r="R2988"/>
  <c r="Y2988" s="1"/>
  <c r="M2988"/>
  <c r="T2988" s="1"/>
  <c r="W2987"/>
  <c r="S2987"/>
  <c r="T2987" s="1"/>
  <c r="R2987"/>
  <c r="AB2987" s="1"/>
  <c r="AC2987" s="1"/>
  <c r="M2987"/>
  <c r="O2987" s="1"/>
  <c r="U2987" s="1"/>
  <c r="V2987" s="1"/>
  <c r="W2986"/>
  <c r="R2986"/>
  <c r="Z2986" s="1"/>
  <c r="O2986"/>
  <c r="U2986" s="1"/>
  <c r="V2986" s="1"/>
  <c r="M2986"/>
  <c r="AC2985"/>
  <c r="AB2985"/>
  <c r="Y2985"/>
  <c r="X2985"/>
  <c r="W2985"/>
  <c r="R2985"/>
  <c r="Z2985" s="1"/>
  <c r="O2985"/>
  <c r="U2985" s="1"/>
  <c r="V2985" s="1"/>
  <c r="M2985"/>
  <c r="AB2984"/>
  <c r="AC2984" s="1"/>
  <c r="X2984"/>
  <c r="W2984"/>
  <c r="S2984"/>
  <c r="R2984"/>
  <c r="Y2984" s="1"/>
  <c r="M2984"/>
  <c r="T2984" s="1"/>
  <c r="W2983"/>
  <c r="S2983"/>
  <c r="T2983" s="1"/>
  <c r="R2983"/>
  <c r="AB2983" s="1"/>
  <c r="AC2983" s="1"/>
  <c r="M2983"/>
  <c r="O2983" s="1"/>
  <c r="U2983" s="1"/>
  <c r="V2983" s="1"/>
  <c r="W2982"/>
  <c r="R2982"/>
  <c r="Z2982" s="1"/>
  <c r="O2982"/>
  <c r="U2982" s="1"/>
  <c r="V2982" s="1"/>
  <c r="M2982"/>
  <c r="AC2981"/>
  <c r="AB2981"/>
  <c r="Y2981"/>
  <c r="X2981"/>
  <c r="W2981"/>
  <c r="R2981"/>
  <c r="Z2981" s="1"/>
  <c r="O2981"/>
  <c r="U2981" s="1"/>
  <c r="V2981" s="1"/>
  <c r="M2981"/>
  <c r="AB2980"/>
  <c r="AC2980" s="1"/>
  <c r="X2980"/>
  <c r="W2980"/>
  <c r="S2980"/>
  <c r="R2980"/>
  <c r="Y2980" s="1"/>
  <c r="M2980"/>
  <c r="T2980" s="1"/>
  <c r="W2979"/>
  <c r="S2979"/>
  <c r="T2979" s="1"/>
  <c r="R2979"/>
  <c r="AB2979" s="1"/>
  <c r="AC2979" s="1"/>
  <c r="M2979"/>
  <c r="O2979" s="1"/>
  <c r="U2979" s="1"/>
  <c r="V2979" s="1"/>
  <c r="W2978"/>
  <c r="R2978"/>
  <c r="Z2978" s="1"/>
  <c r="O2978"/>
  <c r="U2978" s="1"/>
  <c r="V2978" s="1"/>
  <c r="M2978"/>
  <c r="AC2977"/>
  <c r="AB2977"/>
  <c r="Y2977"/>
  <c r="X2977"/>
  <c r="W2977"/>
  <c r="R2977"/>
  <c r="Z2977" s="1"/>
  <c r="O2977"/>
  <c r="U2977" s="1"/>
  <c r="V2977" s="1"/>
  <c r="M2977"/>
  <c r="AB2976"/>
  <c r="AC2976" s="1"/>
  <c r="X2976"/>
  <c r="W2976"/>
  <c r="S2976"/>
  <c r="R2976"/>
  <c r="Y2976" s="1"/>
  <c r="M2976"/>
  <c r="T2976" s="1"/>
  <c r="W2975"/>
  <c r="S2975"/>
  <c r="T2975" s="1"/>
  <c r="R2975"/>
  <c r="AB2975" s="1"/>
  <c r="AC2975" s="1"/>
  <c r="M2975"/>
  <c r="O2975" s="1"/>
  <c r="U2975" s="1"/>
  <c r="V2975" s="1"/>
  <c r="W2974"/>
  <c r="R2974"/>
  <c r="Z2974" s="1"/>
  <c r="O2974"/>
  <c r="U2974" s="1"/>
  <c r="V2974" s="1"/>
  <c r="M2974"/>
  <c r="AC2973"/>
  <c r="AB2973"/>
  <c r="Y2973"/>
  <c r="X2973"/>
  <c r="W2973"/>
  <c r="R2973"/>
  <c r="Z2973" s="1"/>
  <c r="O2973"/>
  <c r="U2973" s="1"/>
  <c r="V2973" s="1"/>
  <c r="M2973"/>
  <c r="AB2972"/>
  <c r="AC2972" s="1"/>
  <c r="X2972"/>
  <c r="W2972"/>
  <c r="S2972"/>
  <c r="R2972"/>
  <c r="Y2972" s="1"/>
  <c r="M2972"/>
  <c r="T2972" s="1"/>
  <c r="W2971"/>
  <c r="S2971"/>
  <c r="T2971" s="1"/>
  <c r="R2971"/>
  <c r="AB2971" s="1"/>
  <c r="AC2971" s="1"/>
  <c r="M2971"/>
  <c r="O2971" s="1"/>
  <c r="U2971" s="1"/>
  <c r="V2971" s="1"/>
  <c r="W2970"/>
  <c r="R2970"/>
  <c r="Z2970" s="1"/>
  <c r="O2970"/>
  <c r="U2970" s="1"/>
  <c r="V2970" s="1"/>
  <c r="M2970"/>
  <c r="AC2969"/>
  <c r="AB2969"/>
  <c r="Y2969"/>
  <c r="X2969"/>
  <c r="W2969"/>
  <c r="R2969"/>
  <c r="Z2969" s="1"/>
  <c r="O2969"/>
  <c r="U2969" s="1"/>
  <c r="V2969" s="1"/>
  <c r="M2969"/>
  <c r="AB2968"/>
  <c r="AC2968" s="1"/>
  <c r="X2968"/>
  <c r="W2968"/>
  <c r="S2968"/>
  <c r="R2968"/>
  <c r="Y2968" s="1"/>
  <c r="M2968"/>
  <c r="T2968" s="1"/>
  <c r="W2967"/>
  <c r="S2967"/>
  <c r="T2967" s="1"/>
  <c r="R2967"/>
  <c r="M2967"/>
  <c r="O2967" s="1"/>
  <c r="U2967" s="1"/>
  <c r="V2967" s="1"/>
  <c r="W2966"/>
  <c r="R2966"/>
  <c r="Z2966" s="1"/>
  <c r="O2966"/>
  <c r="U2966" s="1"/>
  <c r="V2966" s="1"/>
  <c r="M2966"/>
  <c r="AC2965"/>
  <c r="AB2965"/>
  <c r="Y2965"/>
  <c r="X2965"/>
  <c r="W2965"/>
  <c r="R2965"/>
  <c r="Z2965" s="1"/>
  <c r="O2965"/>
  <c r="U2965" s="1"/>
  <c r="V2965" s="1"/>
  <c r="M2965"/>
  <c r="AB2964"/>
  <c r="AC2964" s="1"/>
  <c r="X2964"/>
  <c r="W2964"/>
  <c r="S2964"/>
  <c r="R2964"/>
  <c r="Y2964" s="1"/>
  <c r="M2964"/>
  <c r="T2964" s="1"/>
  <c r="W2963"/>
  <c r="S2963"/>
  <c r="T2963" s="1"/>
  <c r="R2963"/>
  <c r="M2963"/>
  <c r="O2963" s="1"/>
  <c r="U2963" s="1"/>
  <c r="V2963" s="1"/>
  <c r="W2962"/>
  <c r="R2962"/>
  <c r="Z2962" s="1"/>
  <c r="O2962"/>
  <c r="U2962" s="1"/>
  <c r="V2962" s="1"/>
  <c r="M2962"/>
  <c r="AC2961"/>
  <c r="AB2961"/>
  <c r="Y2961"/>
  <c r="X2961"/>
  <c r="W2961"/>
  <c r="R2961"/>
  <c r="Z2961" s="1"/>
  <c r="O2961"/>
  <c r="U2961" s="1"/>
  <c r="V2961" s="1"/>
  <c r="M2961"/>
  <c r="AB2960"/>
  <c r="AC2960" s="1"/>
  <c r="X2960"/>
  <c r="W2960"/>
  <c r="S2960"/>
  <c r="R2960"/>
  <c r="Y2960" s="1"/>
  <c r="M2960"/>
  <c r="T2960" s="1"/>
  <c r="W2959"/>
  <c r="S2959"/>
  <c r="T2959" s="1"/>
  <c r="R2959"/>
  <c r="AB2959" s="1"/>
  <c r="AC2959" s="1"/>
  <c r="M2959"/>
  <c r="O2959" s="1"/>
  <c r="U2959" s="1"/>
  <c r="V2959" s="1"/>
  <c r="W2958"/>
  <c r="R2958"/>
  <c r="Z2958" s="1"/>
  <c r="O2958"/>
  <c r="U2958" s="1"/>
  <c r="V2958" s="1"/>
  <c r="M2958"/>
  <c r="AC2957"/>
  <c r="AB2957"/>
  <c r="Y2957"/>
  <c r="X2957"/>
  <c r="W2957"/>
  <c r="R2957"/>
  <c r="Z2957" s="1"/>
  <c r="O2957"/>
  <c r="U2957" s="1"/>
  <c r="V2957" s="1"/>
  <c r="M2957"/>
  <c r="AB2956"/>
  <c r="AC2956" s="1"/>
  <c r="X2956"/>
  <c r="W2956"/>
  <c r="S2956"/>
  <c r="R2956"/>
  <c r="Y2956" s="1"/>
  <c r="M2956"/>
  <c r="T2956" s="1"/>
  <c r="W2955"/>
  <c r="S2955"/>
  <c r="T2955" s="1"/>
  <c r="R2955"/>
  <c r="M2955"/>
  <c r="O2955" s="1"/>
  <c r="U2955" s="1"/>
  <c r="V2955" s="1"/>
  <c r="W2954"/>
  <c r="R2954"/>
  <c r="Z2954" s="1"/>
  <c r="O2954"/>
  <c r="U2954" s="1"/>
  <c r="V2954" s="1"/>
  <c r="M2954"/>
  <c r="AC2953"/>
  <c r="AB2953"/>
  <c r="Y2953"/>
  <c r="X2953"/>
  <c r="W2953"/>
  <c r="R2953"/>
  <c r="Z2953" s="1"/>
  <c r="O2953"/>
  <c r="U2953" s="1"/>
  <c r="V2953" s="1"/>
  <c r="M2953"/>
  <c r="AB2952"/>
  <c r="AC2952" s="1"/>
  <c r="X2952"/>
  <c r="W2952"/>
  <c r="S2952"/>
  <c r="R2952"/>
  <c r="Y2952" s="1"/>
  <c r="M2952"/>
  <c r="T2952" s="1"/>
  <c r="W2951"/>
  <c r="R2951"/>
  <c r="M2951"/>
  <c r="O2951" s="1"/>
  <c r="U2951" s="1"/>
  <c r="V2951" s="1"/>
  <c r="W2950"/>
  <c r="R2950"/>
  <c r="Z2950" s="1"/>
  <c r="O2950"/>
  <c r="U2950" s="1"/>
  <c r="V2950" s="1"/>
  <c r="M2950"/>
  <c r="AC2949"/>
  <c r="AB2949"/>
  <c r="Y2949"/>
  <c r="X2949"/>
  <c r="W2949"/>
  <c r="R2949"/>
  <c r="Z2949" s="1"/>
  <c r="O2949"/>
  <c r="U2949" s="1"/>
  <c r="V2949" s="1"/>
  <c r="M2949"/>
  <c r="AB2948"/>
  <c r="AC2948" s="1"/>
  <c r="X2948"/>
  <c r="W2948"/>
  <c r="S2948"/>
  <c r="R2948"/>
  <c r="Y2948" s="1"/>
  <c r="M2948"/>
  <c r="T2948" s="1"/>
  <c r="W2947"/>
  <c r="R2947"/>
  <c r="M2947"/>
  <c r="O2947" s="1"/>
  <c r="U2947" s="1"/>
  <c r="V2947" s="1"/>
  <c r="W2946"/>
  <c r="R2946"/>
  <c r="Z2946" s="1"/>
  <c r="O2946"/>
  <c r="U2946" s="1"/>
  <c r="V2946" s="1"/>
  <c r="M2946"/>
  <c r="AC2945"/>
  <c r="AB2945"/>
  <c r="Y2945"/>
  <c r="X2945"/>
  <c r="W2945"/>
  <c r="R2945"/>
  <c r="Z2945" s="1"/>
  <c r="O2945"/>
  <c r="U2945" s="1"/>
  <c r="V2945" s="1"/>
  <c r="M2945"/>
  <c r="AB2944"/>
  <c r="AC2944" s="1"/>
  <c r="X2944"/>
  <c r="W2944"/>
  <c r="S2944"/>
  <c r="R2944"/>
  <c r="Y2944" s="1"/>
  <c r="M2944"/>
  <c r="T2944" s="1"/>
  <c r="W2943"/>
  <c r="R2943"/>
  <c r="M2943"/>
  <c r="O2943" s="1"/>
  <c r="U2943" s="1"/>
  <c r="V2943" s="1"/>
  <c r="W2942"/>
  <c r="R2942"/>
  <c r="Z2942" s="1"/>
  <c r="O2942"/>
  <c r="U2942" s="1"/>
  <c r="V2942" s="1"/>
  <c r="M2942"/>
  <c r="AC2941"/>
  <c r="AB2941"/>
  <c r="Y2941"/>
  <c r="X2941"/>
  <c r="W2941"/>
  <c r="R2941"/>
  <c r="Z2941" s="1"/>
  <c r="O2941"/>
  <c r="U2941" s="1"/>
  <c r="V2941" s="1"/>
  <c r="M2941"/>
  <c r="AB2940"/>
  <c r="AC2940" s="1"/>
  <c r="X2940"/>
  <c r="W2940"/>
  <c r="S2940"/>
  <c r="R2940"/>
  <c r="Y2940" s="1"/>
  <c r="M2940"/>
  <c r="T2940" s="1"/>
  <c r="W2939"/>
  <c r="S2939"/>
  <c r="T2939" s="1"/>
  <c r="R2939"/>
  <c r="M2939"/>
  <c r="O2939" s="1"/>
  <c r="U2939" s="1"/>
  <c r="V2939" s="1"/>
  <c r="W2938"/>
  <c r="R2938"/>
  <c r="Z2938" s="1"/>
  <c r="O2938"/>
  <c r="U2938" s="1"/>
  <c r="V2938" s="1"/>
  <c r="M2938"/>
  <c r="AC2937"/>
  <c r="AB2937"/>
  <c r="Y2937"/>
  <c r="X2937"/>
  <c r="W2937"/>
  <c r="R2937"/>
  <c r="Z2937" s="1"/>
  <c r="O2937"/>
  <c r="U2937" s="1"/>
  <c r="V2937" s="1"/>
  <c r="M2937"/>
  <c r="AB2936"/>
  <c r="AC2936" s="1"/>
  <c r="X2936"/>
  <c r="W2936"/>
  <c r="S2936"/>
  <c r="R2936"/>
  <c r="Y2936" s="1"/>
  <c r="M2936"/>
  <c r="T2936" s="1"/>
  <c r="W2935"/>
  <c r="R2935"/>
  <c r="M2935"/>
  <c r="O2935" s="1"/>
  <c r="U2935" s="1"/>
  <c r="V2935" s="1"/>
  <c r="W2934"/>
  <c r="R2934"/>
  <c r="Z2934" s="1"/>
  <c r="O2934"/>
  <c r="U2934" s="1"/>
  <c r="V2934" s="1"/>
  <c r="M2934"/>
  <c r="AC2933"/>
  <c r="AB2933"/>
  <c r="Y2933"/>
  <c r="X2933"/>
  <c r="W2933"/>
  <c r="R2933"/>
  <c r="Z2933" s="1"/>
  <c r="O2933"/>
  <c r="U2933" s="1"/>
  <c r="V2933" s="1"/>
  <c r="M2933"/>
  <c r="AB2932"/>
  <c r="AC2932" s="1"/>
  <c r="X2932"/>
  <c r="W2932"/>
  <c r="S2932"/>
  <c r="R2932"/>
  <c r="Y2932" s="1"/>
  <c r="M2932"/>
  <c r="T2932" s="1"/>
  <c r="W2931"/>
  <c r="R2931"/>
  <c r="M2931"/>
  <c r="O2931" s="1"/>
  <c r="U2931" s="1"/>
  <c r="V2931" s="1"/>
  <c r="W2930"/>
  <c r="R2930"/>
  <c r="Z2930" s="1"/>
  <c r="O2930"/>
  <c r="M2930"/>
  <c r="AC2929"/>
  <c r="AB2929"/>
  <c r="Y2929"/>
  <c r="X2929"/>
  <c r="W2929"/>
  <c r="R2929"/>
  <c r="Z2929" s="1"/>
  <c r="O2929"/>
  <c r="U2929" s="1"/>
  <c r="M2929"/>
  <c r="AB2928"/>
  <c r="AC2928" s="1"/>
  <c r="X2928"/>
  <c r="W2928"/>
  <c r="S2928"/>
  <c r="R2928"/>
  <c r="Y2928" s="1"/>
  <c r="M2928"/>
  <c r="T2928" s="1"/>
  <c r="W2927"/>
  <c r="R2927"/>
  <c r="M2927"/>
  <c r="O2927" s="1"/>
  <c r="W2926"/>
  <c r="R2926"/>
  <c r="Z2926" s="1"/>
  <c r="O2926"/>
  <c r="M2926"/>
  <c r="AC2925"/>
  <c r="AB2925"/>
  <c r="Y2925"/>
  <c r="X2925"/>
  <c r="W2925"/>
  <c r="R2925"/>
  <c r="Z2925" s="1"/>
  <c r="O2925"/>
  <c r="U2925" s="1"/>
  <c r="M2925"/>
  <c r="AB2924"/>
  <c r="AC2924" s="1"/>
  <c r="X2924"/>
  <c r="W2924"/>
  <c r="S2924"/>
  <c r="R2924"/>
  <c r="Y2924" s="1"/>
  <c r="M2924"/>
  <c r="T2924" s="1"/>
  <c r="W2923"/>
  <c r="R2923"/>
  <c r="M2923"/>
  <c r="O2923" s="1"/>
  <c r="W2922"/>
  <c r="R2922"/>
  <c r="Z2922" s="1"/>
  <c r="O2922"/>
  <c r="M2922"/>
  <c r="AC2921"/>
  <c r="AB2921"/>
  <c r="Y2921"/>
  <c r="X2921"/>
  <c r="W2921"/>
  <c r="R2921"/>
  <c r="Z2921" s="1"/>
  <c r="O2921"/>
  <c r="U2921" s="1"/>
  <c r="V2921" s="1"/>
  <c r="M2921"/>
  <c r="AB2920"/>
  <c r="AC2920" s="1"/>
  <c r="X2920"/>
  <c r="W2920"/>
  <c r="S2920"/>
  <c r="R2920"/>
  <c r="Y2920" s="1"/>
  <c r="M2920"/>
  <c r="T2920" s="1"/>
  <c r="W2919"/>
  <c r="R2919"/>
  <c r="M2919"/>
  <c r="O2919" s="1"/>
  <c r="U2919" s="1"/>
  <c r="V2919" s="1"/>
  <c r="W2918"/>
  <c r="R2918"/>
  <c r="Z2918" s="1"/>
  <c r="O2918"/>
  <c r="U2918" s="1"/>
  <c r="V2918" s="1"/>
  <c r="M2918"/>
  <c r="AC2917"/>
  <c r="AB2917"/>
  <c r="Y2917"/>
  <c r="X2917"/>
  <c r="W2917"/>
  <c r="R2917"/>
  <c r="Z2917" s="1"/>
  <c r="O2917"/>
  <c r="U2917" s="1"/>
  <c r="V2917" s="1"/>
  <c r="M2917"/>
  <c r="AB2916"/>
  <c r="AC2916" s="1"/>
  <c r="X2916"/>
  <c r="W2916"/>
  <c r="S2916"/>
  <c r="R2916"/>
  <c r="Y2916" s="1"/>
  <c r="M2916"/>
  <c r="O2916" s="1"/>
  <c r="U2916" s="1"/>
  <c r="V2916" s="1"/>
  <c r="W2915"/>
  <c r="R2915"/>
  <c r="M2915"/>
  <c r="O2915" s="1"/>
  <c r="Z2914"/>
  <c r="W2914"/>
  <c r="U2914"/>
  <c r="V2914" s="1"/>
  <c r="R2914"/>
  <c r="O2914"/>
  <c r="M2914"/>
  <c r="AC2913"/>
  <c r="AB2913"/>
  <c r="Y2913"/>
  <c r="X2913"/>
  <c r="W2913"/>
  <c r="R2913"/>
  <c r="Z2913" s="1"/>
  <c r="O2913"/>
  <c r="U2913" s="1"/>
  <c r="V2913" s="1"/>
  <c r="M2913"/>
  <c r="AB2912"/>
  <c r="AC2912" s="1"/>
  <c r="X2912"/>
  <c r="W2912"/>
  <c r="S2912"/>
  <c r="T2912" s="1"/>
  <c r="R2912"/>
  <c r="Y2912" s="1"/>
  <c r="M2912"/>
  <c r="O2912" s="1"/>
  <c r="U2912" s="1"/>
  <c r="V2912" s="1"/>
  <c r="W2911"/>
  <c r="R2911"/>
  <c r="M2911"/>
  <c r="O2911" s="1"/>
  <c r="W2910"/>
  <c r="U2910"/>
  <c r="V2910" s="1"/>
  <c r="R2910"/>
  <c r="Z2910" s="1"/>
  <c r="O2910"/>
  <c r="M2910"/>
  <c r="AC2909"/>
  <c r="AB2909"/>
  <c r="Y2909"/>
  <c r="X2909"/>
  <c r="W2909"/>
  <c r="R2909"/>
  <c r="Z2909" s="1"/>
  <c r="M2909"/>
  <c r="O2909" s="1"/>
  <c r="U2909" s="1"/>
  <c r="V2909" s="1"/>
  <c r="AB2908"/>
  <c r="AC2908" s="1"/>
  <c r="AA2908"/>
  <c r="Y2908"/>
  <c r="X2908"/>
  <c r="W2908"/>
  <c r="S2908"/>
  <c r="T2908" s="1"/>
  <c r="R2908"/>
  <c r="Z2908" s="1"/>
  <c r="M2908"/>
  <c r="O2908" s="1"/>
  <c r="U2908" s="1"/>
  <c r="V2908" s="1"/>
  <c r="W2907"/>
  <c r="R2907"/>
  <c r="Y2907" s="1"/>
  <c r="M2907"/>
  <c r="O2907" s="1"/>
  <c r="U2907" s="1"/>
  <c r="V2907" s="1"/>
  <c r="Y2906"/>
  <c r="W2906"/>
  <c r="R2906"/>
  <c r="AB2906" s="1"/>
  <c r="AC2906" s="1"/>
  <c r="O2906"/>
  <c r="U2906" s="1"/>
  <c r="V2906" s="1"/>
  <c r="M2906"/>
  <c r="AB2905"/>
  <c r="AC2905" s="1"/>
  <c r="Y2905"/>
  <c r="X2905"/>
  <c r="W2905"/>
  <c r="R2905"/>
  <c r="M2905"/>
  <c r="O2905" s="1"/>
  <c r="U2905" s="1"/>
  <c r="V2905" s="1"/>
  <c r="AB2904"/>
  <c r="AC2904" s="1"/>
  <c r="Y2904"/>
  <c r="X2904"/>
  <c r="W2904"/>
  <c r="S2904"/>
  <c r="T2904" s="1"/>
  <c r="R2904"/>
  <c r="Z2904" s="1"/>
  <c r="AA2904" s="1"/>
  <c r="M2904"/>
  <c r="O2904" s="1"/>
  <c r="U2904" s="1"/>
  <c r="V2904" s="1"/>
  <c r="W2903"/>
  <c r="R2903"/>
  <c r="Y2903" s="1"/>
  <c r="M2903"/>
  <c r="O2903" s="1"/>
  <c r="U2903" s="1"/>
  <c r="V2903" s="1"/>
  <c r="Y2902"/>
  <c r="W2902"/>
  <c r="R2902"/>
  <c r="AB2902" s="1"/>
  <c r="AC2902" s="1"/>
  <c r="O2902"/>
  <c r="U2902" s="1"/>
  <c r="V2902" s="1"/>
  <c r="M2902"/>
  <c r="AB2901"/>
  <c r="AC2901" s="1"/>
  <c r="Y2901"/>
  <c r="X2901"/>
  <c r="W2901"/>
  <c r="R2901"/>
  <c r="M2901"/>
  <c r="O2901" s="1"/>
  <c r="U2901" s="1"/>
  <c r="V2901" s="1"/>
  <c r="AB2900"/>
  <c r="AC2900" s="1"/>
  <c r="X2900"/>
  <c r="W2900"/>
  <c r="S2900"/>
  <c r="T2900" s="1"/>
  <c r="R2900"/>
  <c r="Z2900" s="1"/>
  <c r="AA2900" s="1"/>
  <c r="M2900"/>
  <c r="O2900" s="1"/>
  <c r="U2900" s="1"/>
  <c r="V2900" s="1"/>
  <c r="W2899"/>
  <c r="R2899"/>
  <c r="Y2899" s="1"/>
  <c r="M2899"/>
  <c r="O2899" s="1"/>
  <c r="U2899" s="1"/>
  <c r="V2899" s="1"/>
  <c r="Y2898"/>
  <c r="W2898"/>
  <c r="R2898"/>
  <c r="AB2898" s="1"/>
  <c r="AC2898" s="1"/>
  <c r="O2898"/>
  <c r="U2898" s="1"/>
  <c r="V2898" s="1"/>
  <c r="M2898"/>
  <c r="AB2897"/>
  <c r="AC2897" s="1"/>
  <c r="Y2897"/>
  <c r="X2897"/>
  <c r="W2897"/>
  <c r="R2897"/>
  <c r="M2897"/>
  <c r="O2897" s="1"/>
  <c r="U2897" s="1"/>
  <c r="V2897" s="1"/>
  <c r="AB2896"/>
  <c r="AC2896" s="1"/>
  <c r="X2896"/>
  <c r="W2896"/>
  <c r="S2896"/>
  <c r="T2896" s="1"/>
  <c r="R2896"/>
  <c r="Z2896" s="1"/>
  <c r="AA2896" s="1"/>
  <c r="M2896"/>
  <c r="O2896" s="1"/>
  <c r="U2896" s="1"/>
  <c r="V2896" s="1"/>
  <c r="W2895"/>
  <c r="R2895"/>
  <c r="Y2895" s="1"/>
  <c r="M2895"/>
  <c r="O2895" s="1"/>
  <c r="U2895" s="1"/>
  <c r="V2895" s="1"/>
  <c r="W2894"/>
  <c r="R2894"/>
  <c r="AB2894" s="1"/>
  <c r="AC2894" s="1"/>
  <c r="O2894"/>
  <c r="U2894" s="1"/>
  <c r="V2894" s="1"/>
  <c r="M2894"/>
  <c r="AB2893"/>
  <c r="AC2893" s="1"/>
  <c r="Y2893"/>
  <c r="X2893"/>
  <c r="W2893"/>
  <c r="R2893"/>
  <c r="M2893"/>
  <c r="O2893" s="1"/>
  <c r="U2893" s="1"/>
  <c r="V2893" s="1"/>
  <c r="AB2892"/>
  <c r="AC2892" s="1"/>
  <c r="X2892"/>
  <c r="W2892"/>
  <c r="S2892"/>
  <c r="T2892" s="1"/>
  <c r="R2892"/>
  <c r="Z2892" s="1"/>
  <c r="AA2892" s="1"/>
  <c r="M2892"/>
  <c r="O2892" s="1"/>
  <c r="U2892" s="1"/>
  <c r="V2892" s="1"/>
  <c r="W2891"/>
  <c r="R2891"/>
  <c r="Y2891" s="1"/>
  <c r="M2891"/>
  <c r="O2891" s="1"/>
  <c r="U2891" s="1"/>
  <c r="V2891" s="1"/>
  <c r="Y2890"/>
  <c r="W2890"/>
  <c r="R2890"/>
  <c r="AB2890" s="1"/>
  <c r="AC2890" s="1"/>
  <c r="O2890"/>
  <c r="U2890" s="1"/>
  <c r="V2890" s="1"/>
  <c r="M2890"/>
  <c r="AB2889"/>
  <c r="AC2889" s="1"/>
  <c r="Y2889"/>
  <c r="X2889"/>
  <c r="W2889"/>
  <c r="R2889"/>
  <c r="M2889"/>
  <c r="O2889" s="1"/>
  <c r="U2889" s="1"/>
  <c r="V2889" s="1"/>
  <c r="AB2888"/>
  <c r="AC2888" s="1"/>
  <c r="X2888"/>
  <c r="W2888"/>
  <c r="S2888"/>
  <c r="T2888" s="1"/>
  <c r="R2888"/>
  <c r="Z2888" s="1"/>
  <c r="AA2888" s="1"/>
  <c r="M2888"/>
  <c r="O2888" s="1"/>
  <c r="U2888" s="1"/>
  <c r="V2888" s="1"/>
  <c r="W2887"/>
  <c r="R2887"/>
  <c r="Y2887" s="1"/>
  <c r="M2887"/>
  <c r="O2887" s="1"/>
  <c r="U2887" s="1"/>
  <c r="V2887" s="1"/>
  <c r="W2886"/>
  <c r="R2886"/>
  <c r="AB2886" s="1"/>
  <c r="AC2886" s="1"/>
  <c r="O2886"/>
  <c r="U2886" s="1"/>
  <c r="V2886" s="1"/>
  <c r="M2886"/>
  <c r="AB2885"/>
  <c r="AC2885" s="1"/>
  <c r="Y2885"/>
  <c r="X2885"/>
  <c r="W2885"/>
  <c r="R2885"/>
  <c r="M2885"/>
  <c r="O2885" s="1"/>
  <c r="U2885" s="1"/>
  <c r="V2885" s="1"/>
  <c r="AB2884"/>
  <c r="AC2884" s="1"/>
  <c r="X2884"/>
  <c r="W2884"/>
  <c r="S2884"/>
  <c r="T2884" s="1"/>
  <c r="R2884"/>
  <c r="Z2884" s="1"/>
  <c r="AA2884" s="1"/>
  <c r="M2884"/>
  <c r="O2884" s="1"/>
  <c r="U2884" s="1"/>
  <c r="V2884" s="1"/>
  <c r="W2883"/>
  <c r="R2883"/>
  <c r="Y2883" s="1"/>
  <c r="M2883"/>
  <c r="O2883" s="1"/>
  <c r="U2883" s="1"/>
  <c r="V2883" s="1"/>
  <c r="W2882"/>
  <c r="R2882"/>
  <c r="AB2882" s="1"/>
  <c r="AC2882" s="1"/>
  <c r="O2882"/>
  <c r="U2882" s="1"/>
  <c r="V2882" s="1"/>
  <c r="M2882"/>
  <c r="AB2881"/>
  <c r="AC2881" s="1"/>
  <c r="Y2881"/>
  <c r="X2881"/>
  <c r="W2881"/>
  <c r="R2881"/>
  <c r="M2881"/>
  <c r="O2881" s="1"/>
  <c r="U2881" s="1"/>
  <c r="V2881" s="1"/>
  <c r="AB2880"/>
  <c r="AC2880" s="1"/>
  <c r="X2880"/>
  <c r="W2880"/>
  <c r="S2880"/>
  <c r="T2880" s="1"/>
  <c r="AD2880" s="1"/>
  <c r="R2880"/>
  <c r="Z2880" s="1"/>
  <c r="AA2880" s="1"/>
  <c r="M2880"/>
  <c r="O2880" s="1"/>
  <c r="U2880" s="1"/>
  <c r="V2880" s="1"/>
  <c r="W2879"/>
  <c r="R2879"/>
  <c r="Y2879" s="1"/>
  <c r="M2879"/>
  <c r="O2879" s="1"/>
  <c r="U2879" s="1"/>
  <c r="V2879" s="1"/>
  <c r="W2878"/>
  <c r="R2878"/>
  <c r="AB2878" s="1"/>
  <c r="AC2878" s="1"/>
  <c r="O2878"/>
  <c r="U2878" s="1"/>
  <c r="V2878" s="1"/>
  <c r="M2878"/>
  <c r="AB2877"/>
  <c r="AC2877" s="1"/>
  <c r="Y2877"/>
  <c r="X2877"/>
  <c r="W2877"/>
  <c r="R2877"/>
  <c r="M2877"/>
  <c r="O2877" s="1"/>
  <c r="U2877" s="1"/>
  <c r="V2877" s="1"/>
  <c r="AB2876"/>
  <c r="AC2876" s="1"/>
  <c r="X2876"/>
  <c r="W2876"/>
  <c r="S2876"/>
  <c r="T2876" s="1"/>
  <c r="R2876"/>
  <c r="Z2876" s="1"/>
  <c r="AA2876" s="1"/>
  <c r="M2876"/>
  <c r="O2876" s="1"/>
  <c r="U2876" s="1"/>
  <c r="V2876" s="1"/>
  <c r="W2875"/>
  <c r="R2875"/>
  <c r="Y2875" s="1"/>
  <c r="O2875"/>
  <c r="U2875" s="1"/>
  <c r="V2875" s="1"/>
  <c r="M2875"/>
  <c r="W2874"/>
  <c r="R2874"/>
  <c r="AB2874" s="1"/>
  <c r="AC2874" s="1"/>
  <c r="O2874"/>
  <c r="U2874" s="1"/>
  <c r="V2874" s="1"/>
  <c r="M2874"/>
  <c r="AB2873"/>
  <c r="AC2873" s="1"/>
  <c r="Y2873"/>
  <c r="X2873"/>
  <c r="W2873"/>
  <c r="R2873"/>
  <c r="M2873"/>
  <c r="O2873" s="1"/>
  <c r="U2873" s="1"/>
  <c r="V2873" s="1"/>
  <c r="AB2872"/>
  <c r="AC2872" s="1"/>
  <c r="X2872"/>
  <c r="W2872"/>
  <c r="S2872"/>
  <c r="T2872" s="1"/>
  <c r="R2872"/>
  <c r="Z2872" s="1"/>
  <c r="AA2872" s="1"/>
  <c r="M2872"/>
  <c r="O2872" s="1"/>
  <c r="U2872" s="1"/>
  <c r="V2872" s="1"/>
  <c r="W2871"/>
  <c r="R2871"/>
  <c r="Y2871" s="1"/>
  <c r="M2871"/>
  <c r="O2871" s="1"/>
  <c r="U2871" s="1"/>
  <c r="V2871" s="1"/>
  <c r="Y2870"/>
  <c r="W2870"/>
  <c r="R2870"/>
  <c r="AB2870" s="1"/>
  <c r="AC2870" s="1"/>
  <c r="O2870"/>
  <c r="U2870" s="1"/>
  <c r="V2870" s="1"/>
  <c r="M2870"/>
  <c r="AB2869"/>
  <c r="AC2869" s="1"/>
  <c r="Y2869"/>
  <c r="X2869"/>
  <c r="W2869"/>
  <c r="R2869"/>
  <c r="M2869"/>
  <c r="O2869" s="1"/>
  <c r="U2869" s="1"/>
  <c r="V2869" s="1"/>
  <c r="AB2868"/>
  <c r="AC2868" s="1"/>
  <c r="X2868"/>
  <c r="W2868"/>
  <c r="S2868"/>
  <c r="T2868" s="1"/>
  <c r="R2868"/>
  <c r="Z2868" s="1"/>
  <c r="AA2868" s="1"/>
  <c r="M2868"/>
  <c r="O2868" s="1"/>
  <c r="U2868" s="1"/>
  <c r="V2868" s="1"/>
  <c r="W2867"/>
  <c r="R2867"/>
  <c r="Y2867" s="1"/>
  <c r="M2867"/>
  <c r="O2867" s="1"/>
  <c r="U2867" s="1"/>
  <c r="V2867" s="1"/>
  <c r="Y2866"/>
  <c r="W2866"/>
  <c r="R2866"/>
  <c r="AB2866" s="1"/>
  <c r="AC2866" s="1"/>
  <c r="O2866"/>
  <c r="U2866" s="1"/>
  <c r="V2866" s="1"/>
  <c r="M2866"/>
  <c r="AB2865"/>
  <c r="AC2865" s="1"/>
  <c r="Y2865"/>
  <c r="X2865"/>
  <c r="W2865"/>
  <c r="R2865"/>
  <c r="M2865"/>
  <c r="O2865" s="1"/>
  <c r="U2865" s="1"/>
  <c r="V2865" s="1"/>
  <c r="AB2864"/>
  <c r="AC2864" s="1"/>
  <c r="X2864"/>
  <c r="W2864"/>
  <c r="S2864"/>
  <c r="T2864" s="1"/>
  <c r="R2864"/>
  <c r="Z2864" s="1"/>
  <c r="AA2864" s="1"/>
  <c r="M2864"/>
  <c r="O2864" s="1"/>
  <c r="U2864" s="1"/>
  <c r="V2864" s="1"/>
  <c r="W2863"/>
  <c r="R2863"/>
  <c r="Y2863" s="1"/>
  <c r="M2863"/>
  <c r="O2863" s="1"/>
  <c r="U2863" s="1"/>
  <c r="V2863" s="1"/>
  <c r="Y2862"/>
  <c r="W2862"/>
  <c r="R2862"/>
  <c r="AB2862" s="1"/>
  <c r="AC2862" s="1"/>
  <c r="O2862"/>
  <c r="U2862" s="1"/>
  <c r="V2862" s="1"/>
  <c r="M2862"/>
  <c r="AB2861"/>
  <c r="AC2861" s="1"/>
  <c r="Y2861"/>
  <c r="X2861"/>
  <c r="W2861"/>
  <c r="R2861"/>
  <c r="M2861"/>
  <c r="O2861" s="1"/>
  <c r="U2861" s="1"/>
  <c r="V2861" s="1"/>
  <c r="AB2860"/>
  <c r="AC2860" s="1"/>
  <c r="X2860"/>
  <c r="W2860"/>
  <c r="S2860"/>
  <c r="T2860" s="1"/>
  <c r="R2860"/>
  <c r="Z2860" s="1"/>
  <c r="AA2860" s="1"/>
  <c r="M2860"/>
  <c r="O2860" s="1"/>
  <c r="U2860" s="1"/>
  <c r="V2860" s="1"/>
  <c r="W2859"/>
  <c r="R2859"/>
  <c r="Y2859" s="1"/>
  <c r="M2859"/>
  <c r="O2859" s="1"/>
  <c r="U2859" s="1"/>
  <c r="V2859" s="1"/>
  <c r="Y2858"/>
  <c r="W2858"/>
  <c r="R2858"/>
  <c r="AB2858" s="1"/>
  <c r="AC2858" s="1"/>
  <c r="O2858"/>
  <c r="U2858" s="1"/>
  <c r="V2858" s="1"/>
  <c r="M2858"/>
  <c r="AB2857"/>
  <c r="AC2857" s="1"/>
  <c r="Y2857"/>
  <c r="X2857"/>
  <c r="W2857"/>
  <c r="R2857"/>
  <c r="M2857"/>
  <c r="O2857" s="1"/>
  <c r="U2857" s="1"/>
  <c r="V2857" s="1"/>
  <c r="AB2856"/>
  <c r="AC2856" s="1"/>
  <c r="X2856"/>
  <c r="W2856"/>
  <c r="S2856"/>
  <c r="T2856" s="1"/>
  <c r="R2856"/>
  <c r="Z2856" s="1"/>
  <c r="AA2856" s="1"/>
  <c r="M2856"/>
  <c r="O2856" s="1"/>
  <c r="U2856" s="1"/>
  <c r="V2856" s="1"/>
  <c r="W2855"/>
  <c r="R2855"/>
  <c r="Y2855" s="1"/>
  <c r="M2855"/>
  <c r="O2855" s="1"/>
  <c r="U2855" s="1"/>
  <c r="V2855" s="1"/>
  <c r="Y2854"/>
  <c r="W2854"/>
  <c r="R2854"/>
  <c r="AB2854" s="1"/>
  <c r="AC2854" s="1"/>
  <c r="O2854"/>
  <c r="U2854" s="1"/>
  <c r="V2854" s="1"/>
  <c r="M2854"/>
  <c r="AB2853"/>
  <c r="AC2853" s="1"/>
  <c r="Y2853"/>
  <c r="X2853"/>
  <c r="W2853"/>
  <c r="R2853"/>
  <c r="M2853"/>
  <c r="O2853" s="1"/>
  <c r="U2853" s="1"/>
  <c r="V2853" s="1"/>
  <c r="AB2852"/>
  <c r="AC2852" s="1"/>
  <c r="X2852"/>
  <c r="W2852"/>
  <c r="S2852"/>
  <c r="T2852" s="1"/>
  <c r="R2852"/>
  <c r="Z2852" s="1"/>
  <c r="AA2852" s="1"/>
  <c r="M2852"/>
  <c r="O2852" s="1"/>
  <c r="U2852" s="1"/>
  <c r="V2852" s="1"/>
  <c r="W2851"/>
  <c r="R2851"/>
  <c r="Y2851" s="1"/>
  <c r="M2851"/>
  <c r="O2851" s="1"/>
  <c r="Y2850"/>
  <c r="W2850"/>
  <c r="R2850"/>
  <c r="AB2850" s="1"/>
  <c r="AC2850" s="1"/>
  <c r="O2850"/>
  <c r="U2850" s="1"/>
  <c r="M2850"/>
  <c r="AB2849"/>
  <c r="AC2849" s="1"/>
  <c r="Y2849"/>
  <c r="X2849"/>
  <c r="W2849"/>
  <c r="R2849"/>
  <c r="M2849"/>
  <c r="O2849" s="1"/>
  <c r="AB2848"/>
  <c r="AC2848" s="1"/>
  <c r="X2848"/>
  <c r="W2848"/>
  <c r="S2848"/>
  <c r="T2848" s="1"/>
  <c r="R2848"/>
  <c r="Z2848" s="1"/>
  <c r="AA2848" s="1"/>
  <c r="M2848"/>
  <c r="O2848" s="1"/>
  <c r="W2847"/>
  <c r="R2847"/>
  <c r="Y2847" s="1"/>
  <c r="M2847"/>
  <c r="O2847" s="1"/>
  <c r="Y2846"/>
  <c r="W2846"/>
  <c r="R2846"/>
  <c r="AB2846" s="1"/>
  <c r="AC2846" s="1"/>
  <c r="O2846"/>
  <c r="U2846" s="1"/>
  <c r="V2846" s="1"/>
  <c r="M2846"/>
  <c r="AB2845"/>
  <c r="AC2845" s="1"/>
  <c r="Y2845"/>
  <c r="X2845"/>
  <c r="W2845"/>
  <c r="R2845"/>
  <c r="M2845"/>
  <c r="O2845" s="1"/>
  <c r="U2845" s="1"/>
  <c r="V2845" s="1"/>
  <c r="AB2844"/>
  <c r="AC2844" s="1"/>
  <c r="X2844"/>
  <c r="W2844"/>
  <c r="S2844"/>
  <c r="T2844" s="1"/>
  <c r="R2844"/>
  <c r="Z2844" s="1"/>
  <c r="AA2844" s="1"/>
  <c r="M2844"/>
  <c r="O2844" s="1"/>
  <c r="U2844" s="1"/>
  <c r="V2844" s="1"/>
  <c r="W2843"/>
  <c r="R2843"/>
  <c r="Y2843" s="1"/>
  <c r="O2843"/>
  <c r="U2843" s="1"/>
  <c r="V2843" s="1"/>
  <c r="M2843"/>
  <c r="Y2842"/>
  <c r="W2842"/>
  <c r="R2842"/>
  <c r="AB2842" s="1"/>
  <c r="AC2842" s="1"/>
  <c r="O2842"/>
  <c r="U2842" s="1"/>
  <c r="V2842" s="1"/>
  <c r="M2842"/>
  <c r="AB2841"/>
  <c r="AC2841" s="1"/>
  <c r="Y2841"/>
  <c r="X2841"/>
  <c r="W2841"/>
  <c r="R2841"/>
  <c r="M2841"/>
  <c r="O2841" s="1"/>
  <c r="U2841" s="1"/>
  <c r="V2841" s="1"/>
  <c r="AB2840"/>
  <c r="AC2840" s="1"/>
  <c r="X2840"/>
  <c r="W2840"/>
  <c r="S2840"/>
  <c r="T2840" s="1"/>
  <c r="AD2840" s="1"/>
  <c r="R2840"/>
  <c r="Z2840" s="1"/>
  <c r="AA2840" s="1"/>
  <c r="M2840"/>
  <c r="O2840" s="1"/>
  <c r="U2840" s="1"/>
  <c r="V2840" s="1"/>
  <c r="W2839"/>
  <c r="R2839"/>
  <c r="Y2839" s="1"/>
  <c r="O2839"/>
  <c r="U2839" s="1"/>
  <c r="V2839" s="1"/>
  <c r="M2839"/>
  <c r="Y2838"/>
  <c r="W2838"/>
  <c r="R2838"/>
  <c r="AB2838" s="1"/>
  <c r="AC2838" s="1"/>
  <c r="O2838"/>
  <c r="U2838" s="1"/>
  <c r="V2838" s="1"/>
  <c r="M2838"/>
  <c r="AB2837"/>
  <c r="AC2837" s="1"/>
  <c r="Y2837"/>
  <c r="X2837"/>
  <c r="W2837"/>
  <c r="R2837"/>
  <c r="M2837"/>
  <c r="O2837" s="1"/>
  <c r="U2837" s="1"/>
  <c r="V2837" s="1"/>
  <c r="AB2836"/>
  <c r="AC2836" s="1"/>
  <c r="X2836"/>
  <c r="W2836"/>
  <c r="S2836"/>
  <c r="T2836" s="1"/>
  <c r="R2836"/>
  <c r="Z2836" s="1"/>
  <c r="AA2836" s="1"/>
  <c r="M2836"/>
  <c r="O2836" s="1"/>
  <c r="U2836" s="1"/>
  <c r="V2836" s="1"/>
  <c r="W2835"/>
  <c r="R2835"/>
  <c r="Y2835" s="1"/>
  <c r="M2835"/>
  <c r="O2835" s="1"/>
  <c r="U2835" s="1"/>
  <c r="V2835" s="1"/>
  <c r="Y2834"/>
  <c r="W2834"/>
  <c r="R2834"/>
  <c r="AB2834" s="1"/>
  <c r="AC2834" s="1"/>
  <c r="O2834"/>
  <c r="U2834" s="1"/>
  <c r="V2834" s="1"/>
  <c r="M2834"/>
  <c r="AB2833"/>
  <c r="AC2833" s="1"/>
  <c r="Y2833"/>
  <c r="X2833"/>
  <c r="W2833"/>
  <c r="R2833"/>
  <c r="M2833"/>
  <c r="O2833" s="1"/>
  <c r="AB2832"/>
  <c r="AC2832" s="1"/>
  <c r="X2832"/>
  <c r="W2832"/>
  <c r="S2832"/>
  <c r="T2832" s="1"/>
  <c r="R2832"/>
  <c r="Z2832" s="1"/>
  <c r="AA2832" s="1"/>
  <c r="M2832"/>
  <c r="O2832" s="1"/>
  <c r="W2831"/>
  <c r="R2831"/>
  <c r="Y2831" s="1"/>
  <c r="M2831"/>
  <c r="O2831" s="1"/>
  <c r="Y2830"/>
  <c r="W2830"/>
  <c r="R2830"/>
  <c r="AB2830" s="1"/>
  <c r="AC2830" s="1"/>
  <c r="O2830"/>
  <c r="U2830" s="1"/>
  <c r="M2830"/>
  <c r="AB2829"/>
  <c r="AC2829" s="1"/>
  <c r="Y2829"/>
  <c r="X2829"/>
  <c r="W2829"/>
  <c r="R2829"/>
  <c r="M2829"/>
  <c r="O2829" s="1"/>
  <c r="AB2828"/>
  <c r="AC2828" s="1"/>
  <c r="X2828"/>
  <c r="W2828"/>
  <c r="S2828"/>
  <c r="T2828" s="1"/>
  <c r="R2828"/>
  <c r="Z2828" s="1"/>
  <c r="AA2828" s="1"/>
  <c r="M2828"/>
  <c r="O2828" s="1"/>
  <c r="W2827"/>
  <c r="R2827"/>
  <c r="Y2827" s="1"/>
  <c r="M2827"/>
  <c r="O2827" s="1"/>
  <c r="Y2826"/>
  <c r="W2826"/>
  <c r="R2826"/>
  <c r="AB2826" s="1"/>
  <c r="AC2826" s="1"/>
  <c r="O2826"/>
  <c r="U2826" s="1"/>
  <c r="M2826"/>
  <c r="AB2825"/>
  <c r="AC2825" s="1"/>
  <c r="Y2825"/>
  <c r="X2825"/>
  <c r="W2825"/>
  <c r="R2825"/>
  <c r="M2825"/>
  <c r="O2825" s="1"/>
  <c r="AB2824"/>
  <c r="AC2824" s="1"/>
  <c r="X2824"/>
  <c r="W2824"/>
  <c r="S2824"/>
  <c r="T2824" s="1"/>
  <c r="R2824"/>
  <c r="Z2824" s="1"/>
  <c r="AA2824" s="1"/>
  <c r="M2824"/>
  <c r="O2824" s="1"/>
  <c r="W2823"/>
  <c r="R2823"/>
  <c r="Y2823" s="1"/>
  <c r="M2823"/>
  <c r="O2823" s="1"/>
  <c r="Y2822"/>
  <c r="W2822"/>
  <c r="R2822"/>
  <c r="AB2822" s="1"/>
  <c r="AC2822" s="1"/>
  <c r="O2822"/>
  <c r="U2822" s="1"/>
  <c r="M2822"/>
  <c r="AB2821"/>
  <c r="AC2821" s="1"/>
  <c r="Y2821"/>
  <c r="X2821"/>
  <c r="W2821"/>
  <c r="R2821"/>
  <c r="M2821"/>
  <c r="O2821" s="1"/>
  <c r="AB2820"/>
  <c r="AC2820" s="1"/>
  <c r="X2820"/>
  <c r="W2820"/>
  <c r="S2820"/>
  <c r="T2820" s="1"/>
  <c r="R2820"/>
  <c r="Z2820" s="1"/>
  <c r="AA2820" s="1"/>
  <c r="M2820"/>
  <c r="O2820" s="1"/>
  <c r="W2819"/>
  <c r="R2819"/>
  <c r="Y2819" s="1"/>
  <c r="M2819"/>
  <c r="O2819" s="1"/>
  <c r="Y2818"/>
  <c r="W2818"/>
  <c r="R2818"/>
  <c r="AB2818" s="1"/>
  <c r="AC2818" s="1"/>
  <c r="O2818"/>
  <c r="U2818" s="1"/>
  <c r="M2818"/>
  <c r="AB2817"/>
  <c r="AC2817" s="1"/>
  <c r="Y2817"/>
  <c r="X2817"/>
  <c r="W2817"/>
  <c r="R2817"/>
  <c r="M2817"/>
  <c r="O2817" s="1"/>
  <c r="AB2816"/>
  <c r="AC2816" s="1"/>
  <c r="X2816"/>
  <c r="W2816"/>
  <c r="S2816"/>
  <c r="T2816" s="1"/>
  <c r="R2816"/>
  <c r="Z2816" s="1"/>
  <c r="AA2816" s="1"/>
  <c r="M2816"/>
  <c r="O2816" s="1"/>
  <c r="W2815"/>
  <c r="R2815"/>
  <c r="Y2815" s="1"/>
  <c r="M2815"/>
  <c r="O2815" s="1"/>
  <c r="Y2814"/>
  <c r="W2814"/>
  <c r="R2814"/>
  <c r="AB2814" s="1"/>
  <c r="AC2814" s="1"/>
  <c r="O2814"/>
  <c r="U2814" s="1"/>
  <c r="M2814"/>
  <c r="AB2813"/>
  <c r="AC2813" s="1"/>
  <c r="Y2813"/>
  <c r="X2813"/>
  <c r="W2813"/>
  <c r="R2813"/>
  <c r="M2813"/>
  <c r="O2813" s="1"/>
  <c r="AB2812"/>
  <c r="AC2812" s="1"/>
  <c r="X2812"/>
  <c r="W2812"/>
  <c r="S2812"/>
  <c r="T2812" s="1"/>
  <c r="R2812"/>
  <c r="Z2812" s="1"/>
  <c r="AA2812" s="1"/>
  <c r="M2812"/>
  <c r="O2812" s="1"/>
  <c r="W2811"/>
  <c r="R2811"/>
  <c r="Y2811" s="1"/>
  <c r="M2811"/>
  <c r="O2811" s="1"/>
  <c r="W2810"/>
  <c r="R2810"/>
  <c r="AB2810" s="1"/>
  <c r="AC2810" s="1"/>
  <c r="O2810"/>
  <c r="U2810" s="1"/>
  <c r="M2810"/>
  <c r="AB2809"/>
  <c r="AC2809" s="1"/>
  <c r="Y2809"/>
  <c r="X2809"/>
  <c r="W2809"/>
  <c r="R2809"/>
  <c r="M2809"/>
  <c r="O2809" s="1"/>
  <c r="AB2808"/>
  <c r="AC2808" s="1"/>
  <c r="X2808"/>
  <c r="W2808"/>
  <c r="S2808"/>
  <c r="T2808" s="1"/>
  <c r="R2808"/>
  <c r="Z2808" s="1"/>
  <c r="AA2808" s="1"/>
  <c r="M2808"/>
  <c r="O2808" s="1"/>
  <c r="W2807"/>
  <c r="R2807"/>
  <c r="Y2807" s="1"/>
  <c r="M2807"/>
  <c r="O2807" s="1"/>
  <c r="W2806"/>
  <c r="R2806"/>
  <c r="AB2806" s="1"/>
  <c r="AC2806" s="1"/>
  <c r="O2806"/>
  <c r="U2806" s="1"/>
  <c r="M2806"/>
  <c r="AB2805"/>
  <c r="AC2805" s="1"/>
  <c r="Y2805"/>
  <c r="X2805"/>
  <c r="W2805"/>
  <c r="R2805"/>
  <c r="M2805"/>
  <c r="O2805" s="1"/>
  <c r="AB2804"/>
  <c r="AC2804" s="1"/>
  <c r="X2804"/>
  <c r="W2804"/>
  <c r="S2804"/>
  <c r="T2804" s="1"/>
  <c r="R2804"/>
  <c r="Z2804" s="1"/>
  <c r="AA2804" s="1"/>
  <c r="M2804"/>
  <c r="O2804" s="1"/>
  <c r="W2803"/>
  <c r="R2803"/>
  <c r="Y2803" s="1"/>
  <c r="M2803"/>
  <c r="O2803" s="1"/>
  <c r="W2802"/>
  <c r="R2802"/>
  <c r="AB2802" s="1"/>
  <c r="AC2802" s="1"/>
  <c r="O2802"/>
  <c r="U2802" s="1"/>
  <c r="M2802"/>
  <c r="AB2801"/>
  <c r="AC2801" s="1"/>
  <c r="Y2801"/>
  <c r="X2801"/>
  <c r="W2801"/>
  <c r="R2801"/>
  <c r="O2801"/>
  <c r="U2801" s="1"/>
  <c r="M2801"/>
  <c r="AB2800"/>
  <c r="AC2800" s="1"/>
  <c r="X2800"/>
  <c r="W2800"/>
  <c r="S2800"/>
  <c r="R2800"/>
  <c r="Z2800" s="1"/>
  <c r="AA2800" s="1"/>
  <c r="M2800"/>
  <c r="T2800" s="1"/>
  <c r="W2799"/>
  <c r="S2799"/>
  <c r="T2799" s="1"/>
  <c r="R2799"/>
  <c r="Y2799" s="1"/>
  <c r="M2799"/>
  <c r="O2799" s="1"/>
  <c r="W2798"/>
  <c r="R2798"/>
  <c r="AB2798" s="1"/>
  <c r="AC2798" s="1"/>
  <c r="O2798"/>
  <c r="U2798" s="1"/>
  <c r="V2798" s="1"/>
  <c r="M2798"/>
  <c r="AC2797"/>
  <c r="AB2797"/>
  <c r="Y2797"/>
  <c r="X2797"/>
  <c r="W2797"/>
  <c r="R2797"/>
  <c r="O2797"/>
  <c r="U2797" s="1"/>
  <c r="M2797"/>
  <c r="AB2796"/>
  <c r="AC2796" s="1"/>
  <c r="X2796"/>
  <c r="W2796"/>
  <c r="S2796"/>
  <c r="R2796"/>
  <c r="Z2796" s="1"/>
  <c r="AA2796" s="1"/>
  <c r="M2796"/>
  <c r="T2796" s="1"/>
  <c r="W2795"/>
  <c r="S2795"/>
  <c r="T2795" s="1"/>
  <c r="R2795"/>
  <c r="Y2795" s="1"/>
  <c r="M2795"/>
  <c r="O2795" s="1"/>
  <c r="W2794"/>
  <c r="R2794"/>
  <c r="AB2794" s="1"/>
  <c r="AC2794" s="1"/>
  <c r="O2794"/>
  <c r="U2794" s="1"/>
  <c r="V2794" s="1"/>
  <c r="M2794"/>
  <c r="AC2793"/>
  <c r="AB2793"/>
  <c r="Y2793"/>
  <c r="X2793"/>
  <c r="W2793"/>
  <c r="R2793"/>
  <c r="O2793"/>
  <c r="U2793" s="1"/>
  <c r="M2793"/>
  <c r="AB2792"/>
  <c r="AC2792" s="1"/>
  <c r="X2792"/>
  <c r="W2792"/>
  <c r="S2792"/>
  <c r="R2792"/>
  <c r="Z2792" s="1"/>
  <c r="AA2792" s="1"/>
  <c r="M2792"/>
  <c r="T2792" s="1"/>
  <c r="W2791"/>
  <c r="S2791"/>
  <c r="T2791" s="1"/>
  <c r="R2791"/>
  <c r="Y2791" s="1"/>
  <c r="M2791"/>
  <c r="O2791" s="1"/>
  <c r="W2790"/>
  <c r="R2790"/>
  <c r="AB2790" s="1"/>
  <c r="AC2790" s="1"/>
  <c r="O2790"/>
  <c r="U2790" s="1"/>
  <c r="V2790" s="1"/>
  <c r="M2790"/>
  <c r="AC2789"/>
  <c r="AB2789"/>
  <c r="Y2789"/>
  <c r="X2789"/>
  <c r="W2789"/>
  <c r="R2789"/>
  <c r="O2789"/>
  <c r="U2789" s="1"/>
  <c r="M2789"/>
  <c r="AB2788"/>
  <c r="AC2788" s="1"/>
  <c r="X2788"/>
  <c r="W2788"/>
  <c r="S2788"/>
  <c r="R2788"/>
  <c r="Z2788" s="1"/>
  <c r="AA2788" s="1"/>
  <c r="M2788"/>
  <c r="T2788" s="1"/>
  <c r="W2787"/>
  <c r="S2787"/>
  <c r="T2787" s="1"/>
  <c r="R2787"/>
  <c r="Y2787" s="1"/>
  <c r="M2787"/>
  <c r="O2787" s="1"/>
  <c r="U2787" s="1"/>
  <c r="V2787" s="1"/>
  <c r="W2786"/>
  <c r="R2786"/>
  <c r="AB2786" s="1"/>
  <c r="AC2786" s="1"/>
  <c r="O2786"/>
  <c r="U2786" s="1"/>
  <c r="V2786" s="1"/>
  <c r="M2786"/>
  <c r="AC2785"/>
  <c r="AB2785"/>
  <c r="Y2785"/>
  <c r="X2785"/>
  <c r="W2785"/>
  <c r="R2785"/>
  <c r="O2785"/>
  <c r="U2785" s="1"/>
  <c r="M2785"/>
  <c r="AB2784"/>
  <c r="AC2784" s="1"/>
  <c r="X2784"/>
  <c r="W2784"/>
  <c r="S2784"/>
  <c r="R2784"/>
  <c r="Z2784" s="1"/>
  <c r="AA2784" s="1"/>
  <c r="M2784"/>
  <c r="T2784" s="1"/>
  <c r="W2783"/>
  <c r="S2783"/>
  <c r="T2783" s="1"/>
  <c r="R2783"/>
  <c r="Y2783" s="1"/>
  <c r="M2783"/>
  <c r="O2783" s="1"/>
  <c r="W2782"/>
  <c r="R2782"/>
  <c r="AB2782" s="1"/>
  <c r="AC2782" s="1"/>
  <c r="O2782"/>
  <c r="U2782" s="1"/>
  <c r="V2782" s="1"/>
  <c r="M2782"/>
  <c r="AC2781"/>
  <c r="AB2781"/>
  <c r="Y2781"/>
  <c r="X2781"/>
  <c r="W2781"/>
  <c r="R2781"/>
  <c r="O2781"/>
  <c r="U2781" s="1"/>
  <c r="M2781"/>
  <c r="AB2780"/>
  <c r="AC2780" s="1"/>
  <c r="X2780"/>
  <c r="W2780"/>
  <c r="S2780"/>
  <c r="R2780"/>
  <c r="Z2780" s="1"/>
  <c r="AA2780" s="1"/>
  <c r="M2780"/>
  <c r="T2780" s="1"/>
  <c r="W2779"/>
  <c r="S2779"/>
  <c r="T2779" s="1"/>
  <c r="R2779"/>
  <c r="Y2779" s="1"/>
  <c r="M2779"/>
  <c r="O2779" s="1"/>
  <c r="W2778"/>
  <c r="R2778"/>
  <c r="AB2778" s="1"/>
  <c r="AC2778" s="1"/>
  <c r="O2778"/>
  <c r="U2778" s="1"/>
  <c r="V2778" s="1"/>
  <c r="M2778"/>
  <c r="AC2777"/>
  <c r="AB2777"/>
  <c r="Y2777"/>
  <c r="X2777"/>
  <c r="W2777"/>
  <c r="R2777"/>
  <c r="O2777"/>
  <c r="U2777" s="1"/>
  <c r="M2777"/>
  <c r="AB2776"/>
  <c r="AC2776" s="1"/>
  <c r="X2776"/>
  <c r="W2776"/>
  <c r="S2776"/>
  <c r="R2776"/>
  <c r="Z2776" s="1"/>
  <c r="AA2776" s="1"/>
  <c r="M2776"/>
  <c r="T2776" s="1"/>
  <c r="W2775"/>
  <c r="S2775"/>
  <c r="T2775" s="1"/>
  <c r="R2775"/>
  <c r="Y2775" s="1"/>
  <c r="M2775"/>
  <c r="O2775" s="1"/>
  <c r="U2775" s="1"/>
  <c r="V2775" s="1"/>
  <c r="W2774"/>
  <c r="R2774"/>
  <c r="AB2774" s="1"/>
  <c r="AC2774" s="1"/>
  <c r="O2774"/>
  <c r="U2774" s="1"/>
  <c r="V2774" s="1"/>
  <c r="M2774"/>
  <c r="AC2773"/>
  <c r="AB2773"/>
  <c r="Y2773"/>
  <c r="X2773"/>
  <c r="W2773"/>
  <c r="R2773"/>
  <c r="O2773"/>
  <c r="U2773" s="1"/>
  <c r="V2773" s="1"/>
  <c r="M2773"/>
  <c r="AB2772"/>
  <c r="AC2772" s="1"/>
  <c r="X2772"/>
  <c r="W2772"/>
  <c r="S2772"/>
  <c r="R2772"/>
  <c r="Z2772" s="1"/>
  <c r="AA2772" s="1"/>
  <c r="M2772"/>
  <c r="T2772" s="1"/>
  <c r="W2771"/>
  <c r="S2771"/>
  <c r="T2771" s="1"/>
  <c r="R2771"/>
  <c r="Y2771" s="1"/>
  <c r="M2771"/>
  <c r="O2771" s="1"/>
  <c r="U2771" s="1"/>
  <c r="V2771" s="1"/>
  <c r="W2770"/>
  <c r="R2770"/>
  <c r="AB2770" s="1"/>
  <c r="AC2770" s="1"/>
  <c r="O2770"/>
  <c r="U2770" s="1"/>
  <c r="V2770" s="1"/>
  <c r="M2770"/>
  <c r="AC2769"/>
  <c r="AB2769"/>
  <c r="Y2769"/>
  <c r="X2769"/>
  <c r="W2769"/>
  <c r="R2769"/>
  <c r="O2769"/>
  <c r="U2769" s="1"/>
  <c r="V2769" s="1"/>
  <c r="M2769"/>
  <c r="AB2768"/>
  <c r="AC2768" s="1"/>
  <c r="X2768"/>
  <c r="W2768"/>
  <c r="S2768"/>
  <c r="R2768"/>
  <c r="Z2768" s="1"/>
  <c r="AA2768" s="1"/>
  <c r="M2768"/>
  <c r="T2768" s="1"/>
  <c r="W2767"/>
  <c r="S2767"/>
  <c r="T2767" s="1"/>
  <c r="R2767"/>
  <c r="Y2767" s="1"/>
  <c r="M2767"/>
  <c r="O2767" s="1"/>
  <c r="U2767" s="1"/>
  <c r="V2767" s="1"/>
  <c r="W2766"/>
  <c r="R2766"/>
  <c r="AB2766" s="1"/>
  <c r="AC2766" s="1"/>
  <c r="O2766"/>
  <c r="U2766" s="1"/>
  <c r="V2766" s="1"/>
  <c r="M2766"/>
  <c r="AC2765"/>
  <c r="AB2765"/>
  <c r="Y2765"/>
  <c r="X2765"/>
  <c r="W2765"/>
  <c r="U2765"/>
  <c r="V2765" s="1"/>
  <c r="R2765"/>
  <c r="O2765"/>
  <c r="M2765"/>
  <c r="AB2764"/>
  <c r="AC2764" s="1"/>
  <c r="X2764"/>
  <c r="W2764"/>
  <c r="S2764"/>
  <c r="R2764"/>
  <c r="Z2764" s="1"/>
  <c r="AA2764" s="1"/>
  <c r="M2764"/>
  <c r="O2764" s="1"/>
  <c r="U2764" s="1"/>
  <c r="V2764" s="1"/>
  <c r="W2763"/>
  <c r="S2763"/>
  <c r="T2763" s="1"/>
  <c r="R2763"/>
  <c r="Y2763" s="1"/>
  <c r="M2763"/>
  <c r="O2763" s="1"/>
  <c r="U2763" s="1"/>
  <c r="V2763" s="1"/>
  <c r="Z2762"/>
  <c r="W2762"/>
  <c r="R2762"/>
  <c r="O2762"/>
  <c r="U2762" s="1"/>
  <c r="V2762" s="1"/>
  <c r="M2762"/>
  <c r="AB2761"/>
  <c r="AC2761" s="1"/>
  <c r="Y2761"/>
  <c r="X2761"/>
  <c r="W2761"/>
  <c r="R2761"/>
  <c r="M2761"/>
  <c r="O2761" s="1"/>
  <c r="U2761" s="1"/>
  <c r="V2761" s="1"/>
  <c r="AB2760"/>
  <c r="AC2760" s="1"/>
  <c r="AA2760"/>
  <c r="X2760"/>
  <c r="W2760"/>
  <c r="T2760"/>
  <c r="AD2760" s="1"/>
  <c r="S2760"/>
  <c r="R2760"/>
  <c r="Z2760" s="1"/>
  <c r="M2760"/>
  <c r="O2760" s="1"/>
  <c r="U2760" s="1"/>
  <c r="V2760" s="1"/>
  <c r="W2759"/>
  <c r="V2759"/>
  <c r="R2759"/>
  <c r="M2759"/>
  <c r="O2759" s="1"/>
  <c r="U2759" s="1"/>
  <c r="W2758"/>
  <c r="R2758"/>
  <c r="Z2758" s="1"/>
  <c r="O2758"/>
  <c r="U2758" s="1"/>
  <c r="V2758" s="1"/>
  <c r="M2758"/>
  <c r="AB2757"/>
  <c r="AC2757" s="1"/>
  <c r="Y2757"/>
  <c r="X2757"/>
  <c r="W2757"/>
  <c r="R2757"/>
  <c r="M2757"/>
  <c r="O2757" s="1"/>
  <c r="U2757" s="1"/>
  <c r="V2757" s="1"/>
  <c r="AB2756"/>
  <c r="AC2756" s="1"/>
  <c r="X2756"/>
  <c r="W2756"/>
  <c r="T2756"/>
  <c r="S2756"/>
  <c r="R2756"/>
  <c r="Z2756" s="1"/>
  <c r="AA2756" s="1"/>
  <c r="M2756"/>
  <c r="O2756" s="1"/>
  <c r="U2756" s="1"/>
  <c r="V2756" s="1"/>
  <c r="W2755"/>
  <c r="V2755"/>
  <c r="R2755"/>
  <c r="M2755"/>
  <c r="O2755" s="1"/>
  <c r="U2755" s="1"/>
  <c r="W2754"/>
  <c r="R2754"/>
  <c r="Z2754" s="1"/>
  <c r="O2754"/>
  <c r="U2754" s="1"/>
  <c r="V2754" s="1"/>
  <c r="M2754"/>
  <c r="AB2753"/>
  <c r="AC2753" s="1"/>
  <c r="Y2753"/>
  <c r="X2753"/>
  <c r="W2753"/>
  <c r="R2753"/>
  <c r="M2753"/>
  <c r="O2753" s="1"/>
  <c r="U2753" s="1"/>
  <c r="V2753" s="1"/>
  <c r="AB2752"/>
  <c r="AC2752" s="1"/>
  <c r="X2752"/>
  <c r="W2752"/>
  <c r="T2752"/>
  <c r="S2752"/>
  <c r="R2752"/>
  <c r="Z2752" s="1"/>
  <c r="AA2752" s="1"/>
  <c r="M2752"/>
  <c r="O2752" s="1"/>
  <c r="U2752" s="1"/>
  <c r="V2752" s="1"/>
  <c r="W2751"/>
  <c r="V2751"/>
  <c r="R2751"/>
  <c r="M2751"/>
  <c r="O2751" s="1"/>
  <c r="U2751" s="1"/>
  <c r="Z2750"/>
  <c r="Y2750"/>
  <c r="W2750"/>
  <c r="S2750"/>
  <c r="T2750" s="1"/>
  <c r="R2750"/>
  <c r="M2750"/>
  <c r="O2750" s="1"/>
  <c r="U2750" s="1"/>
  <c r="V2750" s="1"/>
  <c r="W2749"/>
  <c r="R2749"/>
  <c r="M2749"/>
  <c r="O2749" s="1"/>
  <c r="U2749" s="1"/>
  <c r="V2749" s="1"/>
  <c r="Y2748"/>
  <c r="W2748"/>
  <c r="R2748"/>
  <c r="Z2748" s="1"/>
  <c r="O2748"/>
  <c r="U2748" s="1"/>
  <c r="V2748" s="1"/>
  <c r="M2748"/>
  <c r="AB2747"/>
  <c r="AC2747" s="1"/>
  <c r="Y2747"/>
  <c r="X2747"/>
  <c r="W2747"/>
  <c r="R2747"/>
  <c r="Z2747" s="1"/>
  <c r="M2747"/>
  <c r="O2747" s="1"/>
  <c r="U2747" s="1"/>
  <c r="V2747" s="1"/>
  <c r="AB2746"/>
  <c r="AC2746" s="1"/>
  <c r="X2746"/>
  <c r="W2746"/>
  <c r="S2746"/>
  <c r="T2746" s="1"/>
  <c r="R2746"/>
  <c r="Y2746" s="1"/>
  <c r="M2746"/>
  <c r="O2746" s="1"/>
  <c r="U2746" s="1"/>
  <c r="V2746" s="1"/>
  <c r="W2745"/>
  <c r="R2745"/>
  <c r="M2745"/>
  <c r="O2745" s="1"/>
  <c r="U2745" s="1"/>
  <c r="V2745" s="1"/>
  <c r="Y2744"/>
  <c r="W2744"/>
  <c r="R2744"/>
  <c r="Z2744" s="1"/>
  <c r="O2744"/>
  <c r="U2744" s="1"/>
  <c r="V2744" s="1"/>
  <c r="M2744"/>
  <c r="AB2743"/>
  <c r="AC2743" s="1"/>
  <c r="Y2743"/>
  <c r="X2743"/>
  <c r="W2743"/>
  <c r="R2743"/>
  <c r="Z2743" s="1"/>
  <c r="M2743"/>
  <c r="O2743" s="1"/>
  <c r="U2743" s="1"/>
  <c r="V2743" s="1"/>
  <c r="AB2742"/>
  <c r="AC2742" s="1"/>
  <c r="X2742"/>
  <c r="W2742"/>
  <c r="S2742"/>
  <c r="T2742" s="1"/>
  <c r="R2742"/>
  <c r="Y2742" s="1"/>
  <c r="M2742"/>
  <c r="O2742" s="1"/>
  <c r="U2742" s="1"/>
  <c r="V2742" s="1"/>
  <c r="W2741"/>
  <c r="R2741"/>
  <c r="M2741"/>
  <c r="O2741" s="1"/>
  <c r="U2741" s="1"/>
  <c r="V2741" s="1"/>
  <c r="Y2740"/>
  <c r="W2740"/>
  <c r="R2740"/>
  <c r="Z2740" s="1"/>
  <c r="O2740"/>
  <c r="U2740" s="1"/>
  <c r="V2740" s="1"/>
  <c r="M2740"/>
  <c r="AB2739"/>
  <c r="AC2739" s="1"/>
  <c r="Y2739"/>
  <c r="X2739"/>
  <c r="W2739"/>
  <c r="R2739"/>
  <c r="Z2739" s="1"/>
  <c r="M2739"/>
  <c r="O2739" s="1"/>
  <c r="U2739" s="1"/>
  <c r="V2739" s="1"/>
  <c r="AB2738"/>
  <c r="AC2738" s="1"/>
  <c r="X2738"/>
  <c r="W2738"/>
  <c r="S2738"/>
  <c r="T2738" s="1"/>
  <c r="R2738"/>
  <c r="Y2738" s="1"/>
  <c r="M2738"/>
  <c r="O2738" s="1"/>
  <c r="U2738" s="1"/>
  <c r="V2738" s="1"/>
  <c r="W2737"/>
  <c r="R2737"/>
  <c r="M2737"/>
  <c r="O2737" s="1"/>
  <c r="U2737" s="1"/>
  <c r="V2737" s="1"/>
  <c r="Y2736"/>
  <c r="W2736"/>
  <c r="R2736"/>
  <c r="Z2736" s="1"/>
  <c r="O2736"/>
  <c r="U2736" s="1"/>
  <c r="V2736" s="1"/>
  <c r="M2736"/>
  <c r="AB2735"/>
  <c r="AC2735" s="1"/>
  <c r="Y2735"/>
  <c r="X2735"/>
  <c r="W2735"/>
  <c r="R2735"/>
  <c r="Z2735" s="1"/>
  <c r="M2735"/>
  <c r="O2735" s="1"/>
  <c r="U2735" s="1"/>
  <c r="V2735" s="1"/>
  <c r="AB2734"/>
  <c r="AC2734" s="1"/>
  <c r="X2734"/>
  <c r="W2734"/>
  <c r="S2734"/>
  <c r="T2734" s="1"/>
  <c r="R2734"/>
  <c r="Y2734" s="1"/>
  <c r="M2734"/>
  <c r="O2734" s="1"/>
  <c r="U2734" s="1"/>
  <c r="V2734" s="1"/>
  <c r="W2733"/>
  <c r="R2733"/>
  <c r="M2733"/>
  <c r="O2733" s="1"/>
  <c r="U2733" s="1"/>
  <c r="V2733" s="1"/>
  <c r="Y2732"/>
  <c r="W2732"/>
  <c r="R2732"/>
  <c r="Z2732" s="1"/>
  <c r="O2732"/>
  <c r="U2732" s="1"/>
  <c r="V2732" s="1"/>
  <c r="M2732"/>
  <c r="AB2731"/>
  <c r="AC2731" s="1"/>
  <c r="Y2731"/>
  <c r="X2731"/>
  <c r="W2731"/>
  <c r="R2731"/>
  <c r="Z2731" s="1"/>
  <c r="M2731"/>
  <c r="O2731" s="1"/>
  <c r="U2731" s="1"/>
  <c r="V2731" s="1"/>
  <c r="AB2730"/>
  <c r="AC2730" s="1"/>
  <c r="X2730"/>
  <c r="W2730"/>
  <c r="S2730"/>
  <c r="T2730" s="1"/>
  <c r="R2730"/>
  <c r="Y2730" s="1"/>
  <c r="M2730"/>
  <c r="O2730" s="1"/>
  <c r="U2730" s="1"/>
  <c r="V2730" s="1"/>
  <c r="W2729"/>
  <c r="R2729"/>
  <c r="M2729"/>
  <c r="O2729" s="1"/>
  <c r="Y2728"/>
  <c r="W2728"/>
  <c r="R2728"/>
  <c r="Z2728" s="1"/>
  <c r="O2728"/>
  <c r="M2728"/>
  <c r="AB2727"/>
  <c r="AC2727" s="1"/>
  <c r="Y2727"/>
  <c r="X2727"/>
  <c r="W2727"/>
  <c r="R2727"/>
  <c r="Z2727" s="1"/>
  <c r="M2727"/>
  <c r="O2727" s="1"/>
  <c r="AB2726"/>
  <c r="AC2726" s="1"/>
  <c r="X2726"/>
  <c r="W2726"/>
  <c r="S2726"/>
  <c r="T2726" s="1"/>
  <c r="R2726"/>
  <c r="Y2726" s="1"/>
  <c r="M2726"/>
  <c r="O2726" s="1"/>
  <c r="W2725"/>
  <c r="R2725"/>
  <c r="M2725"/>
  <c r="O2725" s="1"/>
  <c r="Y2724"/>
  <c r="W2724"/>
  <c r="R2724"/>
  <c r="Z2724" s="1"/>
  <c r="O2724"/>
  <c r="M2724"/>
  <c r="AB2723"/>
  <c r="AC2723" s="1"/>
  <c r="Y2723"/>
  <c r="X2723"/>
  <c r="W2723"/>
  <c r="R2723"/>
  <c r="Z2723" s="1"/>
  <c r="M2723"/>
  <c r="O2723" s="1"/>
  <c r="AB2722"/>
  <c r="AC2722" s="1"/>
  <c r="Y2722"/>
  <c r="X2722"/>
  <c r="W2722"/>
  <c r="S2722"/>
  <c r="T2722" s="1"/>
  <c r="R2722"/>
  <c r="Z2722" s="1"/>
  <c r="AA2722" s="1"/>
  <c r="M2722"/>
  <c r="O2722" s="1"/>
  <c r="W2721"/>
  <c r="R2721"/>
  <c r="M2721"/>
  <c r="O2721" s="1"/>
  <c r="Y2720"/>
  <c r="W2720"/>
  <c r="R2720"/>
  <c r="Z2720" s="1"/>
  <c r="O2720"/>
  <c r="M2720"/>
  <c r="AB2719"/>
  <c r="AC2719" s="1"/>
  <c r="Y2719"/>
  <c r="X2719"/>
  <c r="W2719"/>
  <c r="R2719"/>
  <c r="Z2719" s="1"/>
  <c r="M2719"/>
  <c r="O2719" s="1"/>
  <c r="U2719" s="1"/>
  <c r="V2719" s="1"/>
  <c r="AB2718"/>
  <c r="AC2718" s="1"/>
  <c r="X2718"/>
  <c r="W2718"/>
  <c r="S2718"/>
  <c r="T2718" s="1"/>
  <c r="R2718"/>
  <c r="Y2718" s="1"/>
  <c r="M2718"/>
  <c r="O2718" s="1"/>
  <c r="U2718" s="1"/>
  <c r="V2718" s="1"/>
  <c r="W2717"/>
  <c r="R2717"/>
  <c r="M2717"/>
  <c r="O2717" s="1"/>
  <c r="U2717" s="1"/>
  <c r="V2717" s="1"/>
  <c r="Y2716"/>
  <c r="W2716"/>
  <c r="R2716"/>
  <c r="Z2716" s="1"/>
  <c r="O2716"/>
  <c r="U2716" s="1"/>
  <c r="V2716" s="1"/>
  <c r="M2716"/>
  <c r="AB2715"/>
  <c r="AC2715" s="1"/>
  <c r="Y2715"/>
  <c r="X2715"/>
  <c r="W2715"/>
  <c r="R2715"/>
  <c r="Z2715" s="1"/>
  <c r="M2715"/>
  <c r="O2715" s="1"/>
  <c r="U2715" s="1"/>
  <c r="V2715" s="1"/>
  <c r="AB2714"/>
  <c r="AC2714" s="1"/>
  <c r="X2714"/>
  <c r="W2714"/>
  <c r="S2714"/>
  <c r="T2714" s="1"/>
  <c r="R2714"/>
  <c r="Y2714" s="1"/>
  <c r="M2714"/>
  <c r="O2714" s="1"/>
  <c r="U2714" s="1"/>
  <c r="V2714" s="1"/>
  <c r="W2713"/>
  <c r="R2713"/>
  <c r="M2713"/>
  <c r="O2713" s="1"/>
  <c r="U2713" s="1"/>
  <c r="V2713" s="1"/>
  <c r="Y2712"/>
  <c r="W2712"/>
  <c r="R2712"/>
  <c r="Z2712" s="1"/>
  <c r="O2712"/>
  <c r="U2712" s="1"/>
  <c r="V2712" s="1"/>
  <c r="M2712"/>
  <c r="AB2711"/>
  <c r="AC2711" s="1"/>
  <c r="Y2711"/>
  <c r="X2711"/>
  <c r="W2711"/>
  <c r="R2711"/>
  <c r="Z2711" s="1"/>
  <c r="M2711"/>
  <c r="O2711" s="1"/>
  <c r="U2711" s="1"/>
  <c r="V2711" s="1"/>
  <c r="AB2710"/>
  <c r="AC2710" s="1"/>
  <c r="X2710"/>
  <c r="W2710"/>
  <c r="S2710"/>
  <c r="T2710" s="1"/>
  <c r="R2710"/>
  <c r="Y2710" s="1"/>
  <c r="M2710"/>
  <c r="O2710" s="1"/>
  <c r="U2710" s="1"/>
  <c r="V2710" s="1"/>
  <c r="W2709"/>
  <c r="R2709"/>
  <c r="M2709"/>
  <c r="O2709" s="1"/>
  <c r="U2709" s="1"/>
  <c r="V2709" s="1"/>
  <c r="Y2708"/>
  <c r="W2708"/>
  <c r="R2708"/>
  <c r="Z2708" s="1"/>
  <c r="O2708"/>
  <c r="U2708" s="1"/>
  <c r="V2708" s="1"/>
  <c r="M2708"/>
  <c r="AB2707"/>
  <c r="AC2707" s="1"/>
  <c r="Y2707"/>
  <c r="X2707"/>
  <c r="W2707"/>
  <c r="R2707"/>
  <c r="Z2707" s="1"/>
  <c r="M2707"/>
  <c r="O2707" s="1"/>
  <c r="U2707" s="1"/>
  <c r="V2707" s="1"/>
  <c r="AB2706"/>
  <c r="AC2706" s="1"/>
  <c r="X2706"/>
  <c r="W2706"/>
  <c r="S2706"/>
  <c r="T2706" s="1"/>
  <c r="R2706"/>
  <c r="Y2706" s="1"/>
  <c r="M2706"/>
  <c r="O2706" s="1"/>
  <c r="U2706" s="1"/>
  <c r="V2706" s="1"/>
  <c r="W2705"/>
  <c r="R2705"/>
  <c r="M2705"/>
  <c r="O2705" s="1"/>
  <c r="U2705" s="1"/>
  <c r="V2705" s="1"/>
  <c r="Y2704"/>
  <c r="W2704"/>
  <c r="R2704"/>
  <c r="Z2704" s="1"/>
  <c r="O2704"/>
  <c r="U2704" s="1"/>
  <c r="V2704" s="1"/>
  <c r="M2704"/>
  <c r="AB2703"/>
  <c r="AC2703" s="1"/>
  <c r="Y2703"/>
  <c r="X2703"/>
  <c r="W2703"/>
  <c r="R2703"/>
  <c r="Z2703" s="1"/>
  <c r="M2703"/>
  <c r="O2703" s="1"/>
  <c r="U2703" s="1"/>
  <c r="V2703" s="1"/>
  <c r="AB2702"/>
  <c r="AC2702" s="1"/>
  <c r="X2702"/>
  <c r="W2702"/>
  <c r="S2702"/>
  <c r="T2702" s="1"/>
  <c r="R2702"/>
  <c r="Y2702" s="1"/>
  <c r="M2702"/>
  <c r="O2702" s="1"/>
  <c r="U2702" s="1"/>
  <c r="V2702" s="1"/>
  <c r="W2701"/>
  <c r="R2701"/>
  <c r="M2701"/>
  <c r="O2701" s="1"/>
  <c r="U2701" s="1"/>
  <c r="V2701" s="1"/>
  <c r="W2700"/>
  <c r="R2700"/>
  <c r="Z2700" s="1"/>
  <c r="O2700"/>
  <c r="U2700" s="1"/>
  <c r="V2700" s="1"/>
  <c r="M2700"/>
  <c r="AB2699"/>
  <c r="AC2699" s="1"/>
  <c r="Y2699"/>
  <c r="X2699"/>
  <c r="W2699"/>
  <c r="R2699"/>
  <c r="Z2699" s="1"/>
  <c r="M2699"/>
  <c r="O2699" s="1"/>
  <c r="U2699" s="1"/>
  <c r="V2699" s="1"/>
  <c r="AB2698"/>
  <c r="AC2698" s="1"/>
  <c r="X2698"/>
  <c r="W2698"/>
  <c r="S2698"/>
  <c r="T2698" s="1"/>
  <c r="R2698"/>
  <c r="Y2698" s="1"/>
  <c r="M2698"/>
  <c r="O2698" s="1"/>
  <c r="U2698" s="1"/>
  <c r="V2698" s="1"/>
  <c r="W2697"/>
  <c r="R2697"/>
  <c r="M2697"/>
  <c r="O2697" s="1"/>
  <c r="U2697" s="1"/>
  <c r="V2697" s="1"/>
  <c r="Y2696"/>
  <c r="W2696"/>
  <c r="R2696"/>
  <c r="Z2696" s="1"/>
  <c r="O2696"/>
  <c r="U2696" s="1"/>
  <c r="V2696" s="1"/>
  <c r="M2696"/>
  <c r="AB2695"/>
  <c r="AC2695" s="1"/>
  <c r="Y2695"/>
  <c r="X2695"/>
  <c r="W2695"/>
  <c r="R2695"/>
  <c r="Z2695" s="1"/>
  <c r="M2695"/>
  <c r="O2695" s="1"/>
  <c r="U2695" s="1"/>
  <c r="V2695" s="1"/>
  <c r="AB2694"/>
  <c r="AC2694" s="1"/>
  <c r="X2694"/>
  <c r="W2694"/>
  <c r="S2694"/>
  <c r="T2694" s="1"/>
  <c r="R2694"/>
  <c r="Y2694" s="1"/>
  <c r="M2694"/>
  <c r="O2694" s="1"/>
  <c r="U2694" s="1"/>
  <c r="V2694" s="1"/>
  <c r="W2693"/>
  <c r="R2693"/>
  <c r="M2693"/>
  <c r="O2693" s="1"/>
  <c r="U2693" s="1"/>
  <c r="V2693" s="1"/>
  <c r="Y2692"/>
  <c r="W2692"/>
  <c r="R2692"/>
  <c r="Z2692" s="1"/>
  <c r="O2692"/>
  <c r="U2692" s="1"/>
  <c r="V2692" s="1"/>
  <c r="M2692"/>
  <c r="AB2691"/>
  <c r="AC2691" s="1"/>
  <c r="Y2691"/>
  <c r="X2691"/>
  <c r="W2691"/>
  <c r="R2691"/>
  <c r="Z2691" s="1"/>
  <c r="M2691"/>
  <c r="O2691" s="1"/>
  <c r="U2691" s="1"/>
  <c r="V2691" s="1"/>
  <c r="AB2690"/>
  <c r="AC2690" s="1"/>
  <c r="X2690"/>
  <c r="W2690"/>
  <c r="S2690"/>
  <c r="T2690" s="1"/>
  <c r="R2690"/>
  <c r="Y2690" s="1"/>
  <c r="M2690"/>
  <c r="O2690" s="1"/>
  <c r="U2690" s="1"/>
  <c r="V2690" s="1"/>
  <c r="W2689"/>
  <c r="R2689"/>
  <c r="M2689"/>
  <c r="O2689" s="1"/>
  <c r="U2689" s="1"/>
  <c r="V2689" s="1"/>
  <c r="Y2688"/>
  <c r="W2688"/>
  <c r="R2688"/>
  <c r="Z2688" s="1"/>
  <c r="O2688"/>
  <c r="U2688" s="1"/>
  <c r="V2688" s="1"/>
  <c r="M2688"/>
  <c r="AB2687"/>
  <c r="AC2687" s="1"/>
  <c r="Y2687"/>
  <c r="X2687"/>
  <c r="W2687"/>
  <c r="R2687"/>
  <c r="Z2687" s="1"/>
  <c r="M2687"/>
  <c r="O2687" s="1"/>
  <c r="U2687" s="1"/>
  <c r="V2687" s="1"/>
  <c r="AB2686"/>
  <c r="AC2686" s="1"/>
  <c r="X2686"/>
  <c r="W2686"/>
  <c r="S2686"/>
  <c r="T2686" s="1"/>
  <c r="R2686"/>
  <c r="Y2686" s="1"/>
  <c r="M2686"/>
  <c r="O2686" s="1"/>
  <c r="U2686" s="1"/>
  <c r="V2686" s="1"/>
  <c r="W2685"/>
  <c r="R2685"/>
  <c r="M2685"/>
  <c r="O2685" s="1"/>
  <c r="U2685" s="1"/>
  <c r="V2685" s="1"/>
  <c r="Y2684"/>
  <c r="W2684"/>
  <c r="R2684"/>
  <c r="Z2684" s="1"/>
  <c r="O2684"/>
  <c r="U2684" s="1"/>
  <c r="V2684" s="1"/>
  <c r="M2684"/>
  <c r="AB2683"/>
  <c r="AC2683" s="1"/>
  <c r="Y2683"/>
  <c r="X2683"/>
  <c r="W2683"/>
  <c r="R2683"/>
  <c r="Z2683" s="1"/>
  <c r="M2683"/>
  <c r="O2683" s="1"/>
  <c r="U2683" s="1"/>
  <c r="V2683" s="1"/>
  <c r="AB2682"/>
  <c r="AC2682" s="1"/>
  <c r="X2682"/>
  <c r="W2682"/>
  <c r="S2682"/>
  <c r="T2682" s="1"/>
  <c r="R2682"/>
  <c r="Y2682" s="1"/>
  <c r="M2682"/>
  <c r="O2682" s="1"/>
  <c r="U2682" s="1"/>
  <c r="V2682" s="1"/>
  <c r="W2681"/>
  <c r="R2681"/>
  <c r="M2681"/>
  <c r="O2681" s="1"/>
  <c r="U2681" s="1"/>
  <c r="V2681" s="1"/>
  <c r="Y2680"/>
  <c r="W2680"/>
  <c r="R2680"/>
  <c r="Z2680" s="1"/>
  <c r="O2680"/>
  <c r="U2680" s="1"/>
  <c r="V2680" s="1"/>
  <c r="M2680"/>
  <c r="AB2679"/>
  <c r="AC2679" s="1"/>
  <c r="Y2679"/>
  <c r="X2679"/>
  <c r="W2679"/>
  <c r="R2679"/>
  <c r="Z2679" s="1"/>
  <c r="M2679"/>
  <c r="O2679" s="1"/>
  <c r="U2679" s="1"/>
  <c r="V2679" s="1"/>
  <c r="AB2678"/>
  <c r="AC2678" s="1"/>
  <c r="X2678"/>
  <c r="W2678"/>
  <c r="S2678"/>
  <c r="T2678" s="1"/>
  <c r="R2678"/>
  <c r="Y2678" s="1"/>
  <c r="M2678"/>
  <c r="O2678" s="1"/>
  <c r="W2677"/>
  <c r="R2677"/>
  <c r="M2677"/>
  <c r="O2677" s="1"/>
  <c r="Y2676"/>
  <c r="W2676"/>
  <c r="R2676"/>
  <c r="Z2676" s="1"/>
  <c r="O2676"/>
  <c r="M2676"/>
  <c r="AB2675"/>
  <c r="AC2675" s="1"/>
  <c r="Y2675"/>
  <c r="X2675"/>
  <c r="W2675"/>
  <c r="R2675"/>
  <c r="Z2675" s="1"/>
  <c r="M2675"/>
  <c r="O2675" s="1"/>
  <c r="AB2674"/>
  <c r="AC2674" s="1"/>
  <c r="X2674"/>
  <c r="W2674"/>
  <c r="S2674"/>
  <c r="T2674" s="1"/>
  <c r="R2674"/>
  <c r="Y2674" s="1"/>
  <c r="M2674"/>
  <c r="O2674" s="1"/>
  <c r="W2673"/>
  <c r="R2673"/>
  <c r="M2673"/>
  <c r="O2673" s="1"/>
  <c r="U2673" s="1"/>
  <c r="V2673" s="1"/>
  <c r="Y2672"/>
  <c r="W2672"/>
  <c r="R2672"/>
  <c r="Z2672" s="1"/>
  <c r="O2672"/>
  <c r="M2672"/>
  <c r="AB2671"/>
  <c r="AC2671" s="1"/>
  <c r="Y2671"/>
  <c r="X2671"/>
  <c r="W2671"/>
  <c r="R2671"/>
  <c r="Z2671" s="1"/>
  <c r="M2671"/>
  <c r="O2671" s="1"/>
  <c r="AB2670"/>
  <c r="AC2670" s="1"/>
  <c r="X2670"/>
  <c r="W2670"/>
  <c r="S2670"/>
  <c r="T2670" s="1"/>
  <c r="R2670"/>
  <c r="Y2670" s="1"/>
  <c r="M2670"/>
  <c r="O2670" s="1"/>
  <c r="W2669"/>
  <c r="R2669"/>
  <c r="M2669"/>
  <c r="O2669" s="1"/>
  <c r="Y2668"/>
  <c r="W2668"/>
  <c r="R2668"/>
  <c r="Z2668" s="1"/>
  <c r="O2668"/>
  <c r="M2668"/>
  <c r="AB2667"/>
  <c r="AC2667" s="1"/>
  <c r="Y2667"/>
  <c r="X2667"/>
  <c r="W2667"/>
  <c r="R2667"/>
  <c r="Z2667" s="1"/>
  <c r="M2667"/>
  <c r="O2667" s="1"/>
  <c r="U2667" s="1"/>
  <c r="V2667" s="1"/>
  <c r="AB2666"/>
  <c r="AC2666" s="1"/>
  <c r="X2666"/>
  <c r="W2666"/>
  <c r="S2666"/>
  <c r="T2666" s="1"/>
  <c r="R2666"/>
  <c r="Y2666" s="1"/>
  <c r="M2666"/>
  <c r="O2666" s="1"/>
  <c r="U2666" s="1"/>
  <c r="V2666" s="1"/>
  <c r="W2665"/>
  <c r="R2665"/>
  <c r="M2665"/>
  <c r="O2665" s="1"/>
  <c r="U2665" s="1"/>
  <c r="V2665" s="1"/>
  <c r="Y2664"/>
  <c r="W2664"/>
  <c r="R2664"/>
  <c r="Z2664" s="1"/>
  <c r="O2664"/>
  <c r="U2664" s="1"/>
  <c r="V2664" s="1"/>
  <c r="M2664"/>
  <c r="AB2663"/>
  <c r="AC2663" s="1"/>
  <c r="Y2663"/>
  <c r="X2663"/>
  <c r="W2663"/>
  <c r="R2663"/>
  <c r="Z2663" s="1"/>
  <c r="M2663"/>
  <c r="O2663" s="1"/>
  <c r="U2663" s="1"/>
  <c r="V2663" s="1"/>
  <c r="AB2662"/>
  <c r="AC2662" s="1"/>
  <c r="X2662"/>
  <c r="W2662"/>
  <c r="S2662"/>
  <c r="T2662" s="1"/>
  <c r="R2662"/>
  <c r="Y2662" s="1"/>
  <c r="M2662"/>
  <c r="O2662" s="1"/>
  <c r="U2662" s="1"/>
  <c r="V2662" s="1"/>
  <c r="W2661"/>
  <c r="R2661"/>
  <c r="M2661"/>
  <c r="O2661" s="1"/>
  <c r="U2661" s="1"/>
  <c r="V2661" s="1"/>
  <c r="Y2660"/>
  <c r="W2660"/>
  <c r="R2660"/>
  <c r="Z2660" s="1"/>
  <c r="O2660"/>
  <c r="U2660" s="1"/>
  <c r="V2660" s="1"/>
  <c r="M2660"/>
  <c r="AB2659"/>
  <c r="AC2659" s="1"/>
  <c r="Y2659"/>
  <c r="X2659"/>
  <c r="W2659"/>
  <c r="R2659"/>
  <c r="Z2659" s="1"/>
  <c r="M2659"/>
  <c r="O2659" s="1"/>
  <c r="U2659" s="1"/>
  <c r="V2659" s="1"/>
  <c r="AB2658"/>
  <c r="AC2658" s="1"/>
  <c r="Y2658"/>
  <c r="X2658"/>
  <c r="W2658"/>
  <c r="S2658"/>
  <c r="T2658" s="1"/>
  <c r="AD2658" s="1"/>
  <c r="R2658"/>
  <c r="Z2658" s="1"/>
  <c r="AA2658" s="1"/>
  <c r="M2658"/>
  <c r="O2658" s="1"/>
  <c r="U2658" s="1"/>
  <c r="V2658" s="1"/>
  <c r="W2657"/>
  <c r="R2657"/>
  <c r="M2657"/>
  <c r="O2657" s="1"/>
  <c r="U2657" s="1"/>
  <c r="V2657" s="1"/>
  <c r="Y2656"/>
  <c r="W2656"/>
  <c r="R2656"/>
  <c r="Z2656" s="1"/>
  <c r="O2656"/>
  <c r="U2656" s="1"/>
  <c r="V2656" s="1"/>
  <c r="M2656"/>
  <c r="AB2655"/>
  <c r="AC2655" s="1"/>
  <c r="Y2655"/>
  <c r="X2655"/>
  <c r="W2655"/>
  <c r="R2655"/>
  <c r="Z2655" s="1"/>
  <c r="M2655"/>
  <c r="O2655" s="1"/>
  <c r="U2655" s="1"/>
  <c r="V2655" s="1"/>
  <c r="AB2654"/>
  <c r="AC2654" s="1"/>
  <c r="X2654"/>
  <c r="W2654"/>
  <c r="S2654"/>
  <c r="T2654" s="1"/>
  <c r="R2654"/>
  <c r="Y2654" s="1"/>
  <c r="M2654"/>
  <c r="O2654" s="1"/>
  <c r="U2654" s="1"/>
  <c r="V2654" s="1"/>
  <c r="W2653"/>
  <c r="R2653"/>
  <c r="M2653"/>
  <c r="O2653" s="1"/>
  <c r="U2653" s="1"/>
  <c r="V2653" s="1"/>
  <c r="Y2652"/>
  <c r="W2652"/>
  <c r="R2652"/>
  <c r="Z2652" s="1"/>
  <c r="O2652"/>
  <c r="U2652" s="1"/>
  <c r="V2652" s="1"/>
  <c r="M2652"/>
  <c r="AB2651"/>
  <c r="AC2651" s="1"/>
  <c r="Y2651"/>
  <c r="X2651"/>
  <c r="W2651"/>
  <c r="R2651"/>
  <c r="Z2651" s="1"/>
  <c r="M2651"/>
  <c r="O2651" s="1"/>
  <c r="U2651" s="1"/>
  <c r="V2651" s="1"/>
  <c r="AB2650"/>
  <c r="AC2650" s="1"/>
  <c r="X2650"/>
  <c r="W2650"/>
  <c r="S2650"/>
  <c r="T2650" s="1"/>
  <c r="R2650"/>
  <c r="Y2650" s="1"/>
  <c r="M2650"/>
  <c r="O2650" s="1"/>
  <c r="U2650" s="1"/>
  <c r="V2650" s="1"/>
  <c r="W2649"/>
  <c r="R2649"/>
  <c r="M2649"/>
  <c r="O2649" s="1"/>
  <c r="U2649" s="1"/>
  <c r="V2649" s="1"/>
  <c r="Y2648"/>
  <c r="W2648"/>
  <c r="R2648"/>
  <c r="Z2648" s="1"/>
  <c r="O2648"/>
  <c r="U2648" s="1"/>
  <c r="V2648" s="1"/>
  <c r="M2648"/>
  <c r="AB2647"/>
  <c r="AC2647" s="1"/>
  <c r="Y2647"/>
  <c r="X2647"/>
  <c r="W2647"/>
  <c r="R2647"/>
  <c r="Z2647" s="1"/>
  <c r="M2647"/>
  <c r="O2647" s="1"/>
  <c r="U2647" s="1"/>
  <c r="V2647" s="1"/>
  <c r="AB2646"/>
  <c r="AC2646" s="1"/>
  <c r="X2646"/>
  <c r="W2646"/>
  <c r="S2646"/>
  <c r="T2646" s="1"/>
  <c r="R2646"/>
  <c r="Y2646" s="1"/>
  <c r="M2646"/>
  <c r="O2646" s="1"/>
  <c r="U2646" s="1"/>
  <c r="V2646" s="1"/>
  <c r="W2645"/>
  <c r="R2645"/>
  <c r="M2645"/>
  <c r="O2645" s="1"/>
  <c r="U2645" s="1"/>
  <c r="V2645" s="1"/>
  <c r="Y2644"/>
  <c r="W2644"/>
  <c r="R2644"/>
  <c r="Z2644" s="1"/>
  <c r="O2644"/>
  <c r="U2644" s="1"/>
  <c r="V2644" s="1"/>
  <c r="M2644"/>
  <c r="AB2643"/>
  <c r="AC2643" s="1"/>
  <c r="Y2643"/>
  <c r="X2643"/>
  <c r="W2643"/>
  <c r="R2643"/>
  <c r="Z2643" s="1"/>
  <c r="M2643"/>
  <c r="O2643" s="1"/>
  <c r="U2643" s="1"/>
  <c r="V2643" s="1"/>
  <c r="AB2642"/>
  <c r="AC2642" s="1"/>
  <c r="X2642"/>
  <c r="W2642"/>
  <c r="S2642"/>
  <c r="T2642" s="1"/>
  <c r="R2642"/>
  <c r="Y2642" s="1"/>
  <c r="M2642"/>
  <c r="O2642" s="1"/>
  <c r="U2642" s="1"/>
  <c r="V2642" s="1"/>
  <c r="W2641"/>
  <c r="R2641"/>
  <c r="M2641"/>
  <c r="O2641" s="1"/>
  <c r="U2641" s="1"/>
  <c r="V2641" s="1"/>
  <c r="Y2640"/>
  <c r="W2640"/>
  <c r="R2640"/>
  <c r="Z2640" s="1"/>
  <c r="O2640"/>
  <c r="U2640" s="1"/>
  <c r="V2640" s="1"/>
  <c r="M2640"/>
  <c r="AB2639"/>
  <c r="AC2639" s="1"/>
  <c r="Y2639"/>
  <c r="X2639"/>
  <c r="W2639"/>
  <c r="R2639"/>
  <c r="Z2639" s="1"/>
  <c r="M2639"/>
  <c r="O2639" s="1"/>
  <c r="U2639" s="1"/>
  <c r="V2639" s="1"/>
  <c r="AB2638"/>
  <c r="AC2638" s="1"/>
  <c r="X2638"/>
  <c r="W2638"/>
  <c r="S2638"/>
  <c r="T2638" s="1"/>
  <c r="R2638"/>
  <c r="Y2638" s="1"/>
  <c r="M2638"/>
  <c r="O2638" s="1"/>
  <c r="U2638" s="1"/>
  <c r="V2638" s="1"/>
  <c r="W2637"/>
  <c r="R2637"/>
  <c r="M2637"/>
  <c r="O2637" s="1"/>
  <c r="U2637" s="1"/>
  <c r="V2637" s="1"/>
  <c r="Y2636"/>
  <c r="W2636"/>
  <c r="R2636"/>
  <c r="Z2636" s="1"/>
  <c r="O2636"/>
  <c r="U2636" s="1"/>
  <c r="V2636" s="1"/>
  <c r="M2636"/>
  <c r="AB2635"/>
  <c r="AC2635" s="1"/>
  <c r="Y2635"/>
  <c r="X2635"/>
  <c r="W2635"/>
  <c r="R2635"/>
  <c r="Z2635" s="1"/>
  <c r="M2635"/>
  <c r="O2635" s="1"/>
  <c r="U2635" s="1"/>
  <c r="V2635" s="1"/>
  <c r="AB2634"/>
  <c r="AC2634" s="1"/>
  <c r="X2634"/>
  <c r="W2634"/>
  <c r="S2634"/>
  <c r="T2634" s="1"/>
  <c r="R2634"/>
  <c r="Y2634" s="1"/>
  <c r="M2634"/>
  <c r="O2634" s="1"/>
  <c r="U2634" s="1"/>
  <c r="V2634" s="1"/>
  <c r="W2633"/>
  <c r="R2633"/>
  <c r="M2633"/>
  <c r="O2633" s="1"/>
  <c r="U2633" s="1"/>
  <c r="V2633" s="1"/>
  <c r="Y2632"/>
  <c r="W2632"/>
  <c r="R2632"/>
  <c r="Z2632" s="1"/>
  <c r="O2632"/>
  <c r="U2632" s="1"/>
  <c r="V2632" s="1"/>
  <c r="M2632"/>
  <c r="AB2631"/>
  <c r="AC2631" s="1"/>
  <c r="Y2631"/>
  <c r="X2631"/>
  <c r="W2631"/>
  <c r="R2631"/>
  <c r="Z2631" s="1"/>
  <c r="M2631"/>
  <c r="O2631" s="1"/>
  <c r="U2631" s="1"/>
  <c r="V2631" s="1"/>
  <c r="AB2630"/>
  <c r="AC2630" s="1"/>
  <c r="X2630"/>
  <c r="W2630"/>
  <c r="S2630"/>
  <c r="T2630" s="1"/>
  <c r="R2630"/>
  <c r="Y2630" s="1"/>
  <c r="M2630"/>
  <c r="O2630" s="1"/>
  <c r="U2630" s="1"/>
  <c r="V2630" s="1"/>
  <c r="W2629"/>
  <c r="R2629"/>
  <c r="M2629"/>
  <c r="O2629" s="1"/>
  <c r="U2629" s="1"/>
  <c r="V2629" s="1"/>
  <c r="Y2628"/>
  <c r="W2628"/>
  <c r="R2628"/>
  <c r="Z2628" s="1"/>
  <c r="O2628"/>
  <c r="U2628" s="1"/>
  <c r="V2628" s="1"/>
  <c r="M2628"/>
  <c r="AB2627"/>
  <c r="AC2627" s="1"/>
  <c r="Y2627"/>
  <c r="X2627"/>
  <c r="W2627"/>
  <c r="R2627"/>
  <c r="Z2627" s="1"/>
  <c r="M2627"/>
  <c r="O2627" s="1"/>
  <c r="U2627" s="1"/>
  <c r="V2627" s="1"/>
  <c r="AB2626"/>
  <c r="AC2626" s="1"/>
  <c r="X2626"/>
  <c r="W2626"/>
  <c r="S2626"/>
  <c r="T2626" s="1"/>
  <c r="R2626"/>
  <c r="Y2626" s="1"/>
  <c r="M2626"/>
  <c r="O2626" s="1"/>
  <c r="U2626" s="1"/>
  <c r="V2626" s="1"/>
  <c r="W2625"/>
  <c r="R2625"/>
  <c r="M2625"/>
  <c r="O2625" s="1"/>
  <c r="U2625" s="1"/>
  <c r="V2625" s="1"/>
  <c r="Y2624"/>
  <c r="W2624"/>
  <c r="R2624"/>
  <c r="Z2624" s="1"/>
  <c r="O2624"/>
  <c r="U2624" s="1"/>
  <c r="V2624" s="1"/>
  <c r="M2624"/>
  <c r="AB2623"/>
  <c r="AC2623" s="1"/>
  <c r="Y2623"/>
  <c r="X2623"/>
  <c r="W2623"/>
  <c r="R2623"/>
  <c r="Z2623" s="1"/>
  <c r="M2623"/>
  <c r="O2623" s="1"/>
  <c r="U2623" s="1"/>
  <c r="V2623" s="1"/>
  <c r="AB2622"/>
  <c r="AC2622" s="1"/>
  <c r="X2622"/>
  <c r="W2622"/>
  <c r="S2622"/>
  <c r="T2622" s="1"/>
  <c r="R2622"/>
  <c r="Y2622" s="1"/>
  <c r="M2622"/>
  <c r="O2622" s="1"/>
  <c r="U2622" s="1"/>
  <c r="V2622" s="1"/>
  <c r="W2621"/>
  <c r="R2621"/>
  <c r="M2621"/>
  <c r="O2621" s="1"/>
  <c r="U2621" s="1"/>
  <c r="V2621" s="1"/>
  <c r="Y2620"/>
  <c r="W2620"/>
  <c r="R2620"/>
  <c r="Z2620" s="1"/>
  <c r="O2620"/>
  <c r="U2620" s="1"/>
  <c r="V2620" s="1"/>
  <c r="M2620"/>
  <c r="AB2619"/>
  <c r="AC2619" s="1"/>
  <c r="Y2619"/>
  <c r="X2619"/>
  <c r="W2619"/>
  <c r="R2619"/>
  <c r="Z2619" s="1"/>
  <c r="M2619"/>
  <c r="O2619" s="1"/>
  <c r="U2619" s="1"/>
  <c r="V2619" s="1"/>
  <c r="AB2618"/>
  <c r="AC2618" s="1"/>
  <c r="X2618"/>
  <c r="W2618"/>
  <c r="S2618"/>
  <c r="T2618" s="1"/>
  <c r="R2618"/>
  <c r="Y2618" s="1"/>
  <c r="M2618"/>
  <c r="O2618" s="1"/>
  <c r="U2618" s="1"/>
  <c r="V2618" s="1"/>
  <c r="W2617"/>
  <c r="R2617"/>
  <c r="M2617"/>
  <c r="O2617" s="1"/>
  <c r="U2617" s="1"/>
  <c r="V2617" s="1"/>
  <c r="Y2616"/>
  <c r="W2616"/>
  <c r="R2616"/>
  <c r="Z2616" s="1"/>
  <c r="O2616"/>
  <c r="U2616" s="1"/>
  <c r="V2616" s="1"/>
  <c r="M2616"/>
  <c r="AB2615"/>
  <c r="AC2615" s="1"/>
  <c r="Y2615"/>
  <c r="X2615"/>
  <c r="W2615"/>
  <c r="R2615"/>
  <c r="Z2615" s="1"/>
  <c r="M2615"/>
  <c r="O2615" s="1"/>
  <c r="U2615" s="1"/>
  <c r="V2615" s="1"/>
  <c r="AB2614"/>
  <c r="AC2614" s="1"/>
  <c r="X2614"/>
  <c r="W2614"/>
  <c r="S2614"/>
  <c r="T2614" s="1"/>
  <c r="R2614"/>
  <c r="Y2614" s="1"/>
  <c r="M2614"/>
  <c r="O2614" s="1"/>
  <c r="U2614" s="1"/>
  <c r="V2614" s="1"/>
  <c r="W2613"/>
  <c r="R2613"/>
  <c r="M2613"/>
  <c r="O2613" s="1"/>
  <c r="U2613" s="1"/>
  <c r="V2613" s="1"/>
  <c r="W2612"/>
  <c r="R2612"/>
  <c r="Z2612" s="1"/>
  <c r="O2612"/>
  <c r="U2612" s="1"/>
  <c r="V2612" s="1"/>
  <c r="M2612"/>
  <c r="AB2611"/>
  <c r="AC2611" s="1"/>
  <c r="Y2611"/>
  <c r="X2611"/>
  <c r="W2611"/>
  <c r="R2611"/>
  <c r="Z2611" s="1"/>
  <c r="M2611"/>
  <c r="O2611" s="1"/>
  <c r="U2611" s="1"/>
  <c r="V2611" s="1"/>
  <c r="AB2610"/>
  <c r="AC2610" s="1"/>
  <c r="X2610"/>
  <c r="W2610"/>
  <c r="S2610"/>
  <c r="T2610" s="1"/>
  <c r="R2610"/>
  <c r="Y2610" s="1"/>
  <c r="M2610"/>
  <c r="O2610" s="1"/>
  <c r="U2610" s="1"/>
  <c r="V2610" s="1"/>
  <c r="W2609"/>
  <c r="R2609"/>
  <c r="M2609"/>
  <c r="O2609" s="1"/>
  <c r="U2609" s="1"/>
  <c r="V2609" s="1"/>
  <c r="Y2608"/>
  <c r="W2608"/>
  <c r="R2608"/>
  <c r="Z2608" s="1"/>
  <c r="O2608"/>
  <c r="U2608" s="1"/>
  <c r="V2608" s="1"/>
  <c r="M2608"/>
  <c r="AB2607"/>
  <c r="AC2607" s="1"/>
  <c r="Y2607"/>
  <c r="X2607"/>
  <c r="W2607"/>
  <c r="R2607"/>
  <c r="Z2607" s="1"/>
  <c r="M2607"/>
  <c r="O2607" s="1"/>
  <c r="U2607" s="1"/>
  <c r="V2607" s="1"/>
  <c r="AB2606"/>
  <c r="AC2606" s="1"/>
  <c r="X2606"/>
  <c r="W2606"/>
  <c r="S2606"/>
  <c r="T2606" s="1"/>
  <c r="R2606"/>
  <c r="Y2606" s="1"/>
  <c r="M2606"/>
  <c r="O2606" s="1"/>
  <c r="U2606" s="1"/>
  <c r="V2606" s="1"/>
  <c r="W2605"/>
  <c r="R2605"/>
  <c r="M2605"/>
  <c r="O2605" s="1"/>
  <c r="U2605" s="1"/>
  <c r="V2605" s="1"/>
  <c r="W2604"/>
  <c r="R2604"/>
  <c r="Z2604" s="1"/>
  <c r="O2604"/>
  <c r="U2604" s="1"/>
  <c r="V2604" s="1"/>
  <c r="M2604"/>
  <c r="AB2603"/>
  <c r="AC2603" s="1"/>
  <c r="Y2603"/>
  <c r="X2603"/>
  <c r="W2603"/>
  <c r="R2603"/>
  <c r="Z2603" s="1"/>
  <c r="M2603"/>
  <c r="O2603" s="1"/>
  <c r="U2603" s="1"/>
  <c r="V2603" s="1"/>
  <c r="AB2602"/>
  <c r="AC2602" s="1"/>
  <c r="X2602"/>
  <c r="W2602"/>
  <c r="S2602"/>
  <c r="T2602" s="1"/>
  <c r="R2602"/>
  <c r="Y2602" s="1"/>
  <c r="M2602"/>
  <c r="O2602" s="1"/>
  <c r="U2602" s="1"/>
  <c r="V2602" s="1"/>
  <c r="W2601"/>
  <c r="R2601"/>
  <c r="M2601"/>
  <c r="O2601" s="1"/>
  <c r="U2601" s="1"/>
  <c r="V2601" s="1"/>
  <c r="W2600"/>
  <c r="R2600"/>
  <c r="Z2600" s="1"/>
  <c r="O2600"/>
  <c r="U2600" s="1"/>
  <c r="V2600" s="1"/>
  <c r="M2600"/>
  <c r="AB2599"/>
  <c r="AC2599" s="1"/>
  <c r="Y2599"/>
  <c r="X2599"/>
  <c r="W2599"/>
  <c r="R2599"/>
  <c r="Z2599" s="1"/>
  <c r="M2599"/>
  <c r="O2599" s="1"/>
  <c r="U2599" s="1"/>
  <c r="V2599" s="1"/>
  <c r="AB2598"/>
  <c r="AC2598" s="1"/>
  <c r="X2598"/>
  <c r="W2598"/>
  <c r="S2598"/>
  <c r="T2598" s="1"/>
  <c r="R2598"/>
  <c r="Y2598" s="1"/>
  <c r="M2598"/>
  <c r="O2598" s="1"/>
  <c r="U2598" s="1"/>
  <c r="V2598" s="1"/>
  <c r="W2597"/>
  <c r="R2597"/>
  <c r="M2597"/>
  <c r="O2597" s="1"/>
  <c r="U2597" s="1"/>
  <c r="V2597" s="1"/>
  <c r="W2596"/>
  <c r="R2596"/>
  <c r="Z2596" s="1"/>
  <c r="O2596"/>
  <c r="U2596" s="1"/>
  <c r="V2596" s="1"/>
  <c r="M2596"/>
  <c r="AB2595"/>
  <c r="AC2595" s="1"/>
  <c r="Y2595"/>
  <c r="X2595"/>
  <c r="W2595"/>
  <c r="R2595"/>
  <c r="Z2595" s="1"/>
  <c r="M2595"/>
  <c r="O2595" s="1"/>
  <c r="U2595" s="1"/>
  <c r="V2595" s="1"/>
  <c r="AB2594"/>
  <c r="AC2594" s="1"/>
  <c r="X2594"/>
  <c r="W2594"/>
  <c r="S2594"/>
  <c r="T2594" s="1"/>
  <c r="R2594"/>
  <c r="Y2594" s="1"/>
  <c r="M2594"/>
  <c r="O2594" s="1"/>
  <c r="U2594" s="1"/>
  <c r="V2594" s="1"/>
  <c r="W2593"/>
  <c r="R2593"/>
  <c r="M2593"/>
  <c r="O2593" s="1"/>
  <c r="U2593" s="1"/>
  <c r="V2593" s="1"/>
  <c r="W2592"/>
  <c r="R2592"/>
  <c r="Z2592" s="1"/>
  <c r="O2592"/>
  <c r="U2592" s="1"/>
  <c r="V2592" s="1"/>
  <c r="M2592"/>
  <c r="AB2591"/>
  <c r="AC2591" s="1"/>
  <c r="Y2591"/>
  <c r="X2591"/>
  <c r="W2591"/>
  <c r="R2591"/>
  <c r="Z2591" s="1"/>
  <c r="M2591"/>
  <c r="O2591" s="1"/>
  <c r="U2591" s="1"/>
  <c r="V2591" s="1"/>
  <c r="AB2590"/>
  <c r="AC2590" s="1"/>
  <c r="X2590"/>
  <c r="W2590"/>
  <c r="S2590"/>
  <c r="R2590"/>
  <c r="Y2590" s="1"/>
  <c r="M2590"/>
  <c r="T2590" s="1"/>
  <c r="W2589"/>
  <c r="R2589"/>
  <c r="M2589"/>
  <c r="O2589" s="1"/>
  <c r="U2589" s="1"/>
  <c r="V2589" s="1"/>
  <c r="W2588"/>
  <c r="R2588"/>
  <c r="Z2588" s="1"/>
  <c r="O2588"/>
  <c r="U2588" s="1"/>
  <c r="V2588" s="1"/>
  <c r="M2588"/>
  <c r="AB2587"/>
  <c r="AC2587" s="1"/>
  <c r="Y2587"/>
  <c r="X2587"/>
  <c r="W2587"/>
  <c r="R2587"/>
  <c r="Z2587" s="1"/>
  <c r="M2587"/>
  <c r="O2587" s="1"/>
  <c r="U2587" s="1"/>
  <c r="V2587" s="1"/>
  <c r="AB2586"/>
  <c r="AC2586" s="1"/>
  <c r="X2586"/>
  <c r="W2586"/>
  <c r="S2586"/>
  <c r="R2586"/>
  <c r="Y2586" s="1"/>
  <c r="M2586"/>
  <c r="T2586" s="1"/>
  <c r="W2585"/>
  <c r="R2585"/>
  <c r="M2585"/>
  <c r="O2585" s="1"/>
  <c r="U2585" s="1"/>
  <c r="V2585" s="1"/>
  <c r="W2584"/>
  <c r="R2584"/>
  <c r="Z2584" s="1"/>
  <c r="O2584"/>
  <c r="U2584" s="1"/>
  <c r="V2584" s="1"/>
  <c r="M2584"/>
  <c r="AB2583"/>
  <c r="AC2583" s="1"/>
  <c r="Y2583"/>
  <c r="X2583"/>
  <c r="W2583"/>
  <c r="R2583"/>
  <c r="Z2583" s="1"/>
  <c r="M2583"/>
  <c r="O2583" s="1"/>
  <c r="U2583" s="1"/>
  <c r="V2583" s="1"/>
  <c r="AB2582"/>
  <c r="AC2582" s="1"/>
  <c r="X2582"/>
  <c r="W2582"/>
  <c r="S2582"/>
  <c r="T2582" s="1"/>
  <c r="R2582"/>
  <c r="Y2582" s="1"/>
  <c r="M2582"/>
  <c r="O2582" s="1"/>
  <c r="U2582" s="1"/>
  <c r="V2582" s="1"/>
  <c r="W2581"/>
  <c r="R2581"/>
  <c r="M2581"/>
  <c r="O2581" s="1"/>
  <c r="U2581" s="1"/>
  <c r="V2581" s="1"/>
  <c r="W2580"/>
  <c r="R2580"/>
  <c r="Z2580" s="1"/>
  <c r="O2580"/>
  <c r="U2580" s="1"/>
  <c r="V2580" s="1"/>
  <c r="M2580"/>
  <c r="AB2579"/>
  <c r="AC2579" s="1"/>
  <c r="Y2579"/>
  <c r="X2579"/>
  <c r="W2579"/>
  <c r="R2579"/>
  <c r="Z2579" s="1"/>
  <c r="M2579"/>
  <c r="O2579" s="1"/>
  <c r="U2579" s="1"/>
  <c r="V2579" s="1"/>
  <c r="AB2578"/>
  <c r="AC2578" s="1"/>
  <c r="X2578"/>
  <c r="W2578"/>
  <c r="S2578"/>
  <c r="T2578" s="1"/>
  <c r="R2578"/>
  <c r="Y2578" s="1"/>
  <c r="M2578"/>
  <c r="O2578" s="1"/>
  <c r="U2578" s="1"/>
  <c r="V2578" s="1"/>
  <c r="W2577"/>
  <c r="R2577"/>
  <c r="M2577"/>
  <c r="O2577" s="1"/>
  <c r="U2577" s="1"/>
  <c r="V2577" s="1"/>
  <c r="W2576"/>
  <c r="R2576"/>
  <c r="Z2576" s="1"/>
  <c r="O2576"/>
  <c r="U2576" s="1"/>
  <c r="V2576" s="1"/>
  <c r="M2576"/>
  <c r="AB2575"/>
  <c r="AC2575" s="1"/>
  <c r="Y2575"/>
  <c r="X2575"/>
  <c r="W2575"/>
  <c r="R2575"/>
  <c r="Z2575" s="1"/>
  <c r="M2575"/>
  <c r="O2575" s="1"/>
  <c r="U2575" s="1"/>
  <c r="V2575" s="1"/>
  <c r="AB2574"/>
  <c r="AC2574" s="1"/>
  <c r="X2574"/>
  <c r="W2574"/>
  <c r="S2574"/>
  <c r="T2574" s="1"/>
  <c r="R2574"/>
  <c r="Y2574" s="1"/>
  <c r="M2574"/>
  <c r="O2574" s="1"/>
  <c r="U2574" s="1"/>
  <c r="V2574" s="1"/>
  <c r="W2573"/>
  <c r="R2573"/>
  <c r="M2573"/>
  <c r="O2573" s="1"/>
  <c r="U2573" s="1"/>
  <c r="V2573" s="1"/>
  <c r="W2572"/>
  <c r="R2572"/>
  <c r="Z2572" s="1"/>
  <c r="O2572"/>
  <c r="U2572" s="1"/>
  <c r="V2572" s="1"/>
  <c r="M2572"/>
  <c r="AB2571"/>
  <c r="AC2571" s="1"/>
  <c r="Y2571"/>
  <c r="X2571"/>
  <c r="W2571"/>
  <c r="R2571"/>
  <c r="Z2571" s="1"/>
  <c r="M2571"/>
  <c r="O2571" s="1"/>
  <c r="U2571" s="1"/>
  <c r="V2571" s="1"/>
  <c r="AB2570"/>
  <c r="AC2570" s="1"/>
  <c r="X2570"/>
  <c r="W2570"/>
  <c r="S2570"/>
  <c r="T2570" s="1"/>
  <c r="R2570"/>
  <c r="Y2570" s="1"/>
  <c r="M2570"/>
  <c r="O2570" s="1"/>
  <c r="U2570" s="1"/>
  <c r="V2570" s="1"/>
  <c r="W2569"/>
  <c r="R2569"/>
  <c r="M2569"/>
  <c r="O2569" s="1"/>
  <c r="U2569" s="1"/>
  <c r="V2569" s="1"/>
  <c r="W2568"/>
  <c r="R2568"/>
  <c r="Z2568" s="1"/>
  <c r="O2568"/>
  <c r="U2568" s="1"/>
  <c r="V2568" s="1"/>
  <c r="M2568"/>
  <c r="AB2567"/>
  <c r="AC2567" s="1"/>
  <c r="Y2567"/>
  <c r="X2567"/>
  <c r="W2567"/>
  <c r="R2567"/>
  <c r="Z2567" s="1"/>
  <c r="M2567"/>
  <c r="O2567" s="1"/>
  <c r="U2567" s="1"/>
  <c r="V2567" s="1"/>
  <c r="AB2566"/>
  <c r="AC2566" s="1"/>
  <c r="X2566"/>
  <c r="W2566"/>
  <c r="S2566"/>
  <c r="T2566" s="1"/>
  <c r="R2566"/>
  <c r="Y2566" s="1"/>
  <c r="M2566"/>
  <c r="O2566" s="1"/>
  <c r="U2566" s="1"/>
  <c r="V2566" s="1"/>
  <c r="W2565"/>
  <c r="R2565"/>
  <c r="M2565"/>
  <c r="O2565" s="1"/>
  <c r="U2565" s="1"/>
  <c r="V2565" s="1"/>
  <c r="W2564"/>
  <c r="R2564"/>
  <c r="Z2564" s="1"/>
  <c r="O2564"/>
  <c r="U2564" s="1"/>
  <c r="V2564" s="1"/>
  <c r="M2564"/>
  <c r="AB2563"/>
  <c r="AC2563" s="1"/>
  <c r="Y2563"/>
  <c r="X2563"/>
  <c r="W2563"/>
  <c r="R2563"/>
  <c r="Z2563" s="1"/>
  <c r="M2563"/>
  <c r="O2563" s="1"/>
  <c r="U2563" s="1"/>
  <c r="V2563" s="1"/>
  <c r="AB2562"/>
  <c r="AC2562" s="1"/>
  <c r="X2562"/>
  <c r="W2562"/>
  <c r="S2562"/>
  <c r="T2562" s="1"/>
  <c r="R2562"/>
  <c r="Y2562" s="1"/>
  <c r="M2562"/>
  <c r="O2562" s="1"/>
  <c r="U2562" s="1"/>
  <c r="V2562" s="1"/>
  <c r="W2561"/>
  <c r="R2561"/>
  <c r="M2561"/>
  <c r="O2561" s="1"/>
  <c r="U2561" s="1"/>
  <c r="V2561" s="1"/>
  <c r="W2560"/>
  <c r="R2560"/>
  <c r="Z2560" s="1"/>
  <c r="O2560"/>
  <c r="U2560" s="1"/>
  <c r="V2560" s="1"/>
  <c r="M2560"/>
  <c r="AB2559"/>
  <c r="AC2559" s="1"/>
  <c r="Y2559"/>
  <c r="X2559"/>
  <c r="W2559"/>
  <c r="R2559"/>
  <c r="Z2559" s="1"/>
  <c r="M2559"/>
  <c r="O2559" s="1"/>
  <c r="U2559" s="1"/>
  <c r="V2559" s="1"/>
  <c r="AB2558"/>
  <c r="AC2558" s="1"/>
  <c r="X2558"/>
  <c r="W2558"/>
  <c r="S2558"/>
  <c r="T2558" s="1"/>
  <c r="R2558"/>
  <c r="Y2558" s="1"/>
  <c r="M2558"/>
  <c r="O2558" s="1"/>
  <c r="U2558" s="1"/>
  <c r="V2558" s="1"/>
  <c r="W2557"/>
  <c r="R2557"/>
  <c r="M2557"/>
  <c r="O2557" s="1"/>
  <c r="U2557" s="1"/>
  <c r="V2557" s="1"/>
  <c r="W2556"/>
  <c r="R2556"/>
  <c r="Z2556" s="1"/>
  <c r="O2556"/>
  <c r="U2556" s="1"/>
  <c r="V2556" s="1"/>
  <c r="M2556"/>
  <c r="AB2555"/>
  <c r="AC2555" s="1"/>
  <c r="Y2555"/>
  <c r="X2555"/>
  <c r="W2555"/>
  <c r="R2555"/>
  <c r="Z2555" s="1"/>
  <c r="M2555"/>
  <c r="O2555" s="1"/>
  <c r="U2555" s="1"/>
  <c r="V2555" s="1"/>
  <c r="AB2554"/>
  <c r="AC2554" s="1"/>
  <c r="X2554"/>
  <c r="W2554"/>
  <c r="S2554"/>
  <c r="T2554" s="1"/>
  <c r="R2554"/>
  <c r="Y2554" s="1"/>
  <c r="M2554"/>
  <c r="O2554" s="1"/>
  <c r="U2554" s="1"/>
  <c r="V2554" s="1"/>
  <c r="W2553"/>
  <c r="R2553"/>
  <c r="M2553"/>
  <c r="O2553" s="1"/>
  <c r="U2553" s="1"/>
  <c r="V2553" s="1"/>
  <c r="W2552"/>
  <c r="R2552"/>
  <c r="Z2552" s="1"/>
  <c r="O2552"/>
  <c r="U2552" s="1"/>
  <c r="V2552" s="1"/>
  <c r="M2552"/>
  <c r="AB2551"/>
  <c r="AC2551" s="1"/>
  <c r="Y2551"/>
  <c r="X2551"/>
  <c r="W2551"/>
  <c r="R2551"/>
  <c r="Z2551" s="1"/>
  <c r="M2551"/>
  <c r="O2551" s="1"/>
  <c r="U2551" s="1"/>
  <c r="V2551" s="1"/>
  <c r="AB2550"/>
  <c r="AC2550" s="1"/>
  <c r="X2550"/>
  <c r="W2550"/>
  <c r="S2550"/>
  <c r="T2550" s="1"/>
  <c r="R2550"/>
  <c r="Y2550" s="1"/>
  <c r="M2550"/>
  <c r="O2550" s="1"/>
  <c r="U2550" s="1"/>
  <c r="V2550" s="1"/>
  <c r="W2549"/>
  <c r="R2549"/>
  <c r="M2549"/>
  <c r="O2549" s="1"/>
  <c r="U2549" s="1"/>
  <c r="V2549" s="1"/>
  <c r="W2548"/>
  <c r="R2548"/>
  <c r="Z2548" s="1"/>
  <c r="O2548"/>
  <c r="U2548" s="1"/>
  <c r="V2548" s="1"/>
  <c r="M2548"/>
  <c r="AB2547"/>
  <c r="AC2547" s="1"/>
  <c r="Y2547"/>
  <c r="X2547"/>
  <c r="W2547"/>
  <c r="R2547"/>
  <c r="Z2547" s="1"/>
  <c r="M2547"/>
  <c r="O2547" s="1"/>
  <c r="U2547" s="1"/>
  <c r="V2547" s="1"/>
  <c r="AB2546"/>
  <c r="AC2546" s="1"/>
  <c r="X2546"/>
  <c r="W2546"/>
  <c r="S2546"/>
  <c r="T2546" s="1"/>
  <c r="R2546"/>
  <c r="Y2546" s="1"/>
  <c r="M2546"/>
  <c r="O2546" s="1"/>
  <c r="U2546" s="1"/>
  <c r="V2546" s="1"/>
  <c r="W2545"/>
  <c r="R2545"/>
  <c r="M2545"/>
  <c r="O2545" s="1"/>
  <c r="U2545" s="1"/>
  <c r="V2545" s="1"/>
  <c r="Y2544"/>
  <c r="W2544"/>
  <c r="R2544"/>
  <c r="Z2544" s="1"/>
  <c r="O2544"/>
  <c r="U2544" s="1"/>
  <c r="V2544" s="1"/>
  <c r="M2544"/>
  <c r="AB2543"/>
  <c r="AC2543" s="1"/>
  <c r="Y2543"/>
  <c r="X2543"/>
  <c r="W2543"/>
  <c r="R2543"/>
  <c r="Z2543" s="1"/>
  <c r="M2543"/>
  <c r="O2543" s="1"/>
  <c r="AB2542"/>
  <c r="AC2542" s="1"/>
  <c r="X2542"/>
  <c r="W2542"/>
  <c r="S2542"/>
  <c r="T2542" s="1"/>
  <c r="R2542"/>
  <c r="Y2542" s="1"/>
  <c r="M2542"/>
  <c r="O2542" s="1"/>
  <c r="W2541"/>
  <c r="R2541"/>
  <c r="M2541"/>
  <c r="O2541" s="1"/>
  <c r="Y2540"/>
  <c r="W2540"/>
  <c r="R2540"/>
  <c r="Z2540" s="1"/>
  <c r="O2540"/>
  <c r="M2540"/>
  <c r="AB2539"/>
  <c r="AC2539" s="1"/>
  <c r="Y2539"/>
  <c r="X2539"/>
  <c r="W2539"/>
  <c r="R2539"/>
  <c r="Z2539" s="1"/>
  <c r="M2539"/>
  <c r="O2539" s="1"/>
  <c r="AB2538"/>
  <c r="AC2538" s="1"/>
  <c r="X2538"/>
  <c r="W2538"/>
  <c r="S2538"/>
  <c r="T2538" s="1"/>
  <c r="R2538"/>
  <c r="Y2538" s="1"/>
  <c r="M2538"/>
  <c r="O2538" s="1"/>
  <c r="U2538" s="1"/>
  <c r="V2538" s="1"/>
  <c r="W2537"/>
  <c r="R2537"/>
  <c r="M2537"/>
  <c r="O2537" s="1"/>
  <c r="U2537" s="1"/>
  <c r="V2537" s="1"/>
  <c r="Y2536"/>
  <c r="W2536"/>
  <c r="R2536"/>
  <c r="Z2536" s="1"/>
  <c r="O2536"/>
  <c r="U2536" s="1"/>
  <c r="V2536" s="1"/>
  <c r="M2536"/>
  <c r="AB2535"/>
  <c r="AC2535" s="1"/>
  <c r="Y2535"/>
  <c r="X2535"/>
  <c r="W2535"/>
  <c r="R2535"/>
  <c r="Z2535" s="1"/>
  <c r="M2535"/>
  <c r="O2535" s="1"/>
  <c r="U2535" s="1"/>
  <c r="V2535" s="1"/>
  <c r="AB2534"/>
  <c r="AC2534" s="1"/>
  <c r="X2534"/>
  <c r="W2534"/>
  <c r="S2534"/>
  <c r="T2534" s="1"/>
  <c r="R2534"/>
  <c r="Y2534" s="1"/>
  <c r="M2534"/>
  <c r="O2534" s="1"/>
  <c r="U2534" s="1"/>
  <c r="V2534" s="1"/>
  <c r="W2533"/>
  <c r="R2533"/>
  <c r="M2533"/>
  <c r="O2533" s="1"/>
  <c r="U2533" s="1"/>
  <c r="V2533" s="1"/>
  <c r="Y2532"/>
  <c r="W2532"/>
  <c r="R2532"/>
  <c r="Z2532" s="1"/>
  <c r="O2532"/>
  <c r="U2532" s="1"/>
  <c r="V2532" s="1"/>
  <c r="M2532"/>
  <c r="AB2531"/>
  <c r="AC2531" s="1"/>
  <c r="Y2531"/>
  <c r="X2531"/>
  <c r="W2531"/>
  <c r="R2531"/>
  <c r="Z2531" s="1"/>
  <c r="M2531"/>
  <c r="O2531" s="1"/>
  <c r="U2531" s="1"/>
  <c r="V2531" s="1"/>
  <c r="AB2530"/>
  <c r="AC2530" s="1"/>
  <c r="X2530"/>
  <c r="W2530"/>
  <c r="S2530"/>
  <c r="T2530" s="1"/>
  <c r="R2530"/>
  <c r="Y2530" s="1"/>
  <c r="M2530"/>
  <c r="O2530" s="1"/>
  <c r="U2530" s="1"/>
  <c r="V2530" s="1"/>
  <c r="W2529"/>
  <c r="R2529"/>
  <c r="M2529"/>
  <c r="O2529" s="1"/>
  <c r="U2529" s="1"/>
  <c r="V2529" s="1"/>
  <c r="Y2528"/>
  <c r="W2528"/>
  <c r="R2528"/>
  <c r="Z2528" s="1"/>
  <c r="O2528"/>
  <c r="U2528" s="1"/>
  <c r="V2528" s="1"/>
  <c r="M2528"/>
  <c r="AB2527"/>
  <c r="AC2527" s="1"/>
  <c r="Y2527"/>
  <c r="X2527"/>
  <c r="W2527"/>
  <c r="R2527"/>
  <c r="Z2527" s="1"/>
  <c r="M2527"/>
  <c r="O2527" s="1"/>
  <c r="U2527" s="1"/>
  <c r="V2527" s="1"/>
  <c r="AB2526"/>
  <c r="AC2526" s="1"/>
  <c r="X2526"/>
  <c r="W2526"/>
  <c r="S2526"/>
  <c r="T2526" s="1"/>
  <c r="R2526"/>
  <c r="Y2526" s="1"/>
  <c r="M2526"/>
  <c r="O2526" s="1"/>
  <c r="U2526" s="1"/>
  <c r="V2526" s="1"/>
  <c r="W2525"/>
  <c r="R2525"/>
  <c r="M2525"/>
  <c r="O2525" s="1"/>
  <c r="U2525" s="1"/>
  <c r="V2525" s="1"/>
  <c r="Y2524"/>
  <c r="W2524"/>
  <c r="R2524"/>
  <c r="Z2524" s="1"/>
  <c r="O2524"/>
  <c r="U2524" s="1"/>
  <c r="V2524" s="1"/>
  <c r="M2524"/>
  <c r="AB2523"/>
  <c r="AC2523" s="1"/>
  <c r="Y2523"/>
  <c r="X2523"/>
  <c r="W2523"/>
  <c r="R2523"/>
  <c r="Z2523" s="1"/>
  <c r="M2523"/>
  <c r="O2523" s="1"/>
  <c r="U2523" s="1"/>
  <c r="V2523" s="1"/>
  <c r="AB2522"/>
  <c r="AC2522" s="1"/>
  <c r="X2522"/>
  <c r="W2522"/>
  <c r="S2522"/>
  <c r="T2522" s="1"/>
  <c r="R2522"/>
  <c r="Y2522" s="1"/>
  <c r="M2522"/>
  <c r="O2522" s="1"/>
  <c r="U2522" s="1"/>
  <c r="V2522" s="1"/>
  <c r="W2521"/>
  <c r="R2521"/>
  <c r="M2521"/>
  <c r="O2521" s="1"/>
  <c r="U2521" s="1"/>
  <c r="V2521" s="1"/>
  <c r="Y2520"/>
  <c r="W2520"/>
  <c r="R2520"/>
  <c r="Z2520" s="1"/>
  <c r="O2520"/>
  <c r="U2520" s="1"/>
  <c r="V2520" s="1"/>
  <c r="M2520"/>
  <c r="AB2519"/>
  <c r="AC2519" s="1"/>
  <c r="Y2519"/>
  <c r="X2519"/>
  <c r="W2519"/>
  <c r="R2519"/>
  <c r="Z2519" s="1"/>
  <c r="M2519"/>
  <c r="O2519" s="1"/>
  <c r="U2519" s="1"/>
  <c r="V2519" s="1"/>
  <c r="AB2518"/>
  <c r="AC2518" s="1"/>
  <c r="X2518"/>
  <c r="W2518"/>
  <c r="S2518"/>
  <c r="T2518" s="1"/>
  <c r="R2518"/>
  <c r="Y2518" s="1"/>
  <c r="M2518"/>
  <c r="O2518" s="1"/>
  <c r="U2518" s="1"/>
  <c r="V2518" s="1"/>
  <c r="W2517"/>
  <c r="R2517"/>
  <c r="M2517"/>
  <c r="O2517" s="1"/>
  <c r="U2517" s="1"/>
  <c r="V2517" s="1"/>
  <c r="Y2516"/>
  <c r="W2516"/>
  <c r="R2516"/>
  <c r="Z2516" s="1"/>
  <c r="O2516"/>
  <c r="U2516" s="1"/>
  <c r="V2516" s="1"/>
  <c r="M2516"/>
  <c r="AB2515"/>
  <c r="AC2515" s="1"/>
  <c r="Y2515"/>
  <c r="X2515"/>
  <c r="W2515"/>
  <c r="R2515"/>
  <c r="Z2515" s="1"/>
  <c r="M2515"/>
  <c r="O2515" s="1"/>
  <c r="U2515" s="1"/>
  <c r="V2515" s="1"/>
  <c r="AB2514"/>
  <c r="AC2514" s="1"/>
  <c r="X2514"/>
  <c r="W2514"/>
  <c r="S2514"/>
  <c r="T2514" s="1"/>
  <c r="R2514"/>
  <c r="Y2514" s="1"/>
  <c r="M2514"/>
  <c r="O2514" s="1"/>
  <c r="U2514" s="1"/>
  <c r="V2514" s="1"/>
  <c r="W2513"/>
  <c r="R2513"/>
  <c r="M2513"/>
  <c r="O2513" s="1"/>
  <c r="U2513" s="1"/>
  <c r="V2513" s="1"/>
  <c r="Y2512"/>
  <c r="W2512"/>
  <c r="R2512"/>
  <c r="Z2512" s="1"/>
  <c r="O2512"/>
  <c r="U2512" s="1"/>
  <c r="V2512" s="1"/>
  <c r="M2512"/>
  <c r="AB2511"/>
  <c r="AC2511" s="1"/>
  <c r="Y2511"/>
  <c r="X2511"/>
  <c r="W2511"/>
  <c r="R2511"/>
  <c r="Z2511" s="1"/>
  <c r="M2511"/>
  <c r="O2511" s="1"/>
  <c r="U2511" s="1"/>
  <c r="V2511" s="1"/>
  <c r="AB2510"/>
  <c r="AC2510" s="1"/>
  <c r="X2510"/>
  <c r="W2510"/>
  <c r="S2510"/>
  <c r="T2510" s="1"/>
  <c r="R2510"/>
  <c r="Y2510" s="1"/>
  <c r="M2510"/>
  <c r="O2510" s="1"/>
  <c r="U2510" s="1"/>
  <c r="V2510" s="1"/>
  <c r="W2509"/>
  <c r="R2509"/>
  <c r="M2509"/>
  <c r="O2509" s="1"/>
  <c r="U2509" s="1"/>
  <c r="V2509" s="1"/>
  <c r="W2508"/>
  <c r="R2508"/>
  <c r="Z2508" s="1"/>
  <c r="O2508"/>
  <c r="U2508" s="1"/>
  <c r="V2508" s="1"/>
  <c r="M2508"/>
  <c r="AB2507"/>
  <c r="AC2507" s="1"/>
  <c r="Y2507"/>
  <c r="X2507"/>
  <c r="W2507"/>
  <c r="R2507"/>
  <c r="Z2507" s="1"/>
  <c r="M2507"/>
  <c r="O2507" s="1"/>
  <c r="U2507" s="1"/>
  <c r="V2507" s="1"/>
  <c r="AB2506"/>
  <c r="AC2506" s="1"/>
  <c r="X2506"/>
  <c r="W2506"/>
  <c r="S2506"/>
  <c r="T2506" s="1"/>
  <c r="R2506"/>
  <c r="Y2506" s="1"/>
  <c r="M2506"/>
  <c r="O2506" s="1"/>
  <c r="U2506" s="1"/>
  <c r="V2506" s="1"/>
  <c r="W2505"/>
  <c r="R2505"/>
  <c r="M2505"/>
  <c r="O2505" s="1"/>
  <c r="U2505" s="1"/>
  <c r="V2505" s="1"/>
  <c r="Y2504"/>
  <c r="W2504"/>
  <c r="R2504"/>
  <c r="Z2504" s="1"/>
  <c r="O2504"/>
  <c r="U2504" s="1"/>
  <c r="V2504" s="1"/>
  <c r="M2504"/>
  <c r="AB2503"/>
  <c r="AC2503" s="1"/>
  <c r="Y2503"/>
  <c r="X2503"/>
  <c r="W2503"/>
  <c r="R2503"/>
  <c r="Z2503" s="1"/>
  <c r="M2503"/>
  <c r="O2503" s="1"/>
  <c r="U2503" s="1"/>
  <c r="V2503" s="1"/>
  <c r="AB2502"/>
  <c r="AC2502" s="1"/>
  <c r="X2502"/>
  <c r="W2502"/>
  <c r="S2502"/>
  <c r="T2502" s="1"/>
  <c r="R2502"/>
  <c r="Y2502" s="1"/>
  <c r="M2502"/>
  <c r="O2502" s="1"/>
  <c r="U2502" s="1"/>
  <c r="V2502" s="1"/>
  <c r="W2501"/>
  <c r="R2501"/>
  <c r="M2501"/>
  <c r="O2501" s="1"/>
  <c r="U2501" s="1"/>
  <c r="V2501" s="1"/>
  <c r="W2500"/>
  <c r="R2500"/>
  <c r="Z2500" s="1"/>
  <c r="O2500"/>
  <c r="U2500" s="1"/>
  <c r="V2500" s="1"/>
  <c r="M2500"/>
  <c r="AB2499"/>
  <c r="AC2499" s="1"/>
  <c r="Y2499"/>
  <c r="X2499"/>
  <c r="W2499"/>
  <c r="R2499"/>
  <c r="Z2499" s="1"/>
  <c r="M2499"/>
  <c r="O2499" s="1"/>
  <c r="U2499" s="1"/>
  <c r="V2499" s="1"/>
  <c r="AB2498"/>
  <c r="AC2498" s="1"/>
  <c r="X2498"/>
  <c r="W2498"/>
  <c r="S2498"/>
  <c r="T2498" s="1"/>
  <c r="R2498"/>
  <c r="Y2498" s="1"/>
  <c r="M2498"/>
  <c r="O2498" s="1"/>
  <c r="U2498" s="1"/>
  <c r="V2498" s="1"/>
  <c r="W2497"/>
  <c r="R2497"/>
  <c r="M2497"/>
  <c r="O2497" s="1"/>
  <c r="U2497" s="1"/>
  <c r="V2497" s="1"/>
  <c r="W2496"/>
  <c r="R2496"/>
  <c r="Z2496" s="1"/>
  <c r="O2496"/>
  <c r="U2496" s="1"/>
  <c r="V2496" s="1"/>
  <c r="M2496"/>
  <c r="AB2495"/>
  <c r="AC2495" s="1"/>
  <c r="Y2495"/>
  <c r="X2495"/>
  <c r="W2495"/>
  <c r="R2495"/>
  <c r="Z2495" s="1"/>
  <c r="M2495"/>
  <c r="O2495" s="1"/>
  <c r="U2495" s="1"/>
  <c r="V2495" s="1"/>
  <c r="AB2494"/>
  <c r="AC2494" s="1"/>
  <c r="X2494"/>
  <c r="W2494"/>
  <c r="S2494"/>
  <c r="T2494" s="1"/>
  <c r="R2494"/>
  <c r="Y2494" s="1"/>
  <c r="M2494"/>
  <c r="O2494" s="1"/>
  <c r="U2494" s="1"/>
  <c r="V2494" s="1"/>
  <c r="W2493"/>
  <c r="R2493"/>
  <c r="M2493"/>
  <c r="O2493" s="1"/>
  <c r="U2493" s="1"/>
  <c r="V2493" s="1"/>
  <c r="W2492"/>
  <c r="R2492"/>
  <c r="Z2492" s="1"/>
  <c r="O2492"/>
  <c r="U2492" s="1"/>
  <c r="V2492" s="1"/>
  <c r="M2492"/>
  <c r="AB2491"/>
  <c r="AC2491" s="1"/>
  <c r="Y2491"/>
  <c r="X2491"/>
  <c r="W2491"/>
  <c r="R2491"/>
  <c r="Z2491" s="1"/>
  <c r="M2491"/>
  <c r="O2491" s="1"/>
  <c r="U2491" s="1"/>
  <c r="V2491" s="1"/>
  <c r="AB2490"/>
  <c r="AC2490" s="1"/>
  <c r="X2490"/>
  <c r="W2490"/>
  <c r="S2490"/>
  <c r="T2490" s="1"/>
  <c r="R2490"/>
  <c r="Y2490" s="1"/>
  <c r="M2490"/>
  <c r="O2490" s="1"/>
  <c r="W2489"/>
  <c r="R2489"/>
  <c r="M2489"/>
  <c r="O2489" s="1"/>
  <c r="Y2488"/>
  <c r="W2488"/>
  <c r="R2488"/>
  <c r="Z2488" s="1"/>
  <c r="O2488"/>
  <c r="M2488"/>
  <c r="AB2487"/>
  <c r="AC2487" s="1"/>
  <c r="Y2487"/>
  <c r="X2487"/>
  <c r="W2487"/>
  <c r="R2487"/>
  <c r="Z2487" s="1"/>
  <c r="M2487"/>
  <c r="O2487" s="1"/>
  <c r="AB2486"/>
  <c r="AC2486" s="1"/>
  <c r="X2486"/>
  <c r="W2486"/>
  <c r="S2486"/>
  <c r="T2486" s="1"/>
  <c r="R2486"/>
  <c r="Y2486" s="1"/>
  <c r="M2486"/>
  <c r="O2486" s="1"/>
  <c r="W2485"/>
  <c r="R2485"/>
  <c r="M2485"/>
  <c r="O2485" s="1"/>
  <c r="Y2484"/>
  <c r="W2484"/>
  <c r="R2484"/>
  <c r="Z2484" s="1"/>
  <c r="O2484"/>
  <c r="M2484"/>
  <c r="AB2483"/>
  <c r="AC2483" s="1"/>
  <c r="Y2483"/>
  <c r="X2483"/>
  <c r="W2483"/>
  <c r="R2483"/>
  <c r="Z2483" s="1"/>
  <c r="M2483"/>
  <c r="O2483" s="1"/>
  <c r="AB2482"/>
  <c r="AC2482" s="1"/>
  <c r="X2482"/>
  <c r="W2482"/>
  <c r="S2482"/>
  <c r="T2482" s="1"/>
  <c r="R2482"/>
  <c r="Y2482" s="1"/>
  <c r="M2482"/>
  <c r="O2482" s="1"/>
  <c r="W2481"/>
  <c r="R2481"/>
  <c r="M2481"/>
  <c r="O2481" s="1"/>
  <c r="U2481" s="1"/>
  <c r="V2481" s="1"/>
  <c r="Y2480"/>
  <c r="W2480"/>
  <c r="R2480"/>
  <c r="Z2480" s="1"/>
  <c r="O2480"/>
  <c r="U2480" s="1"/>
  <c r="V2480" s="1"/>
  <c r="M2480"/>
  <c r="AB2479"/>
  <c r="AC2479" s="1"/>
  <c r="Y2479"/>
  <c r="X2479"/>
  <c r="W2479"/>
  <c r="R2479"/>
  <c r="Z2479" s="1"/>
  <c r="M2479"/>
  <c r="O2479" s="1"/>
  <c r="U2479" s="1"/>
  <c r="V2479" s="1"/>
  <c r="AB2478"/>
  <c r="AC2478" s="1"/>
  <c r="X2478"/>
  <c r="W2478"/>
  <c r="S2478"/>
  <c r="T2478" s="1"/>
  <c r="R2478"/>
  <c r="Y2478" s="1"/>
  <c r="M2478"/>
  <c r="O2478" s="1"/>
  <c r="U2478" s="1"/>
  <c r="V2478" s="1"/>
  <c r="W2477"/>
  <c r="R2477"/>
  <c r="M2477"/>
  <c r="O2477" s="1"/>
  <c r="U2477" s="1"/>
  <c r="V2477" s="1"/>
  <c r="Y2476"/>
  <c r="W2476"/>
  <c r="R2476"/>
  <c r="Z2476" s="1"/>
  <c r="O2476"/>
  <c r="U2476" s="1"/>
  <c r="V2476" s="1"/>
  <c r="M2476"/>
  <c r="AB2475"/>
  <c r="AC2475" s="1"/>
  <c r="Y2475"/>
  <c r="X2475"/>
  <c r="W2475"/>
  <c r="R2475"/>
  <c r="Z2475" s="1"/>
  <c r="M2475"/>
  <c r="O2475" s="1"/>
  <c r="U2475" s="1"/>
  <c r="V2475" s="1"/>
  <c r="AB2474"/>
  <c r="AC2474" s="1"/>
  <c r="Y2474"/>
  <c r="X2474"/>
  <c r="W2474"/>
  <c r="S2474"/>
  <c r="T2474" s="1"/>
  <c r="AD2474" s="1"/>
  <c r="R2474"/>
  <c r="Z2474" s="1"/>
  <c r="AA2474" s="1"/>
  <c r="M2474"/>
  <c r="O2474" s="1"/>
  <c r="U2474" s="1"/>
  <c r="V2474" s="1"/>
  <c r="W2473"/>
  <c r="R2473"/>
  <c r="M2473"/>
  <c r="O2473" s="1"/>
  <c r="U2473" s="1"/>
  <c r="V2473" s="1"/>
  <c r="Y2472"/>
  <c r="W2472"/>
  <c r="R2472"/>
  <c r="Z2472" s="1"/>
  <c r="O2472"/>
  <c r="U2472" s="1"/>
  <c r="V2472" s="1"/>
  <c r="M2472"/>
  <c r="AB2471"/>
  <c r="AC2471" s="1"/>
  <c r="Y2471"/>
  <c r="X2471"/>
  <c r="W2471"/>
  <c r="R2471"/>
  <c r="Z2471" s="1"/>
  <c r="M2471"/>
  <c r="O2471" s="1"/>
  <c r="U2471" s="1"/>
  <c r="V2471" s="1"/>
  <c r="AB2470"/>
  <c r="AC2470" s="1"/>
  <c r="X2470"/>
  <c r="W2470"/>
  <c r="S2470"/>
  <c r="T2470" s="1"/>
  <c r="R2470"/>
  <c r="Y2470" s="1"/>
  <c r="M2470"/>
  <c r="O2470" s="1"/>
  <c r="U2470" s="1"/>
  <c r="V2470" s="1"/>
  <c r="W2469"/>
  <c r="R2469"/>
  <c r="M2469"/>
  <c r="O2469" s="1"/>
  <c r="U2469" s="1"/>
  <c r="V2469" s="1"/>
  <c r="Y2468"/>
  <c r="W2468"/>
  <c r="R2468"/>
  <c r="Z2468" s="1"/>
  <c r="O2468"/>
  <c r="U2468" s="1"/>
  <c r="V2468" s="1"/>
  <c r="M2468"/>
  <c r="AB2467"/>
  <c r="AC2467" s="1"/>
  <c r="Y2467"/>
  <c r="X2467"/>
  <c r="W2467"/>
  <c r="R2467"/>
  <c r="Z2467" s="1"/>
  <c r="M2467"/>
  <c r="O2467" s="1"/>
  <c r="U2467" s="1"/>
  <c r="V2467" s="1"/>
  <c r="AB2466"/>
  <c r="AC2466" s="1"/>
  <c r="X2466"/>
  <c r="W2466"/>
  <c r="S2466"/>
  <c r="T2466" s="1"/>
  <c r="R2466"/>
  <c r="Y2466" s="1"/>
  <c r="M2466"/>
  <c r="O2466" s="1"/>
  <c r="U2466" s="1"/>
  <c r="V2466" s="1"/>
  <c r="W2465"/>
  <c r="R2465"/>
  <c r="M2465"/>
  <c r="O2465" s="1"/>
  <c r="U2465" s="1"/>
  <c r="V2465" s="1"/>
  <c r="Y2464"/>
  <c r="W2464"/>
  <c r="R2464"/>
  <c r="Z2464" s="1"/>
  <c r="O2464"/>
  <c r="U2464" s="1"/>
  <c r="V2464" s="1"/>
  <c r="M2464"/>
  <c r="AB2463"/>
  <c r="AC2463" s="1"/>
  <c r="Y2463"/>
  <c r="X2463"/>
  <c r="W2463"/>
  <c r="R2463"/>
  <c r="Z2463" s="1"/>
  <c r="M2463"/>
  <c r="O2463" s="1"/>
  <c r="U2463" s="1"/>
  <c r="V2463" s="1"/>
  <c r="AB2462"/>
  <c r="AC2462" s="1"/>
  <c r="X2462"/>
  <c r="W2462"/>
  <c r="S2462"/>
  <c r="T2462" s="1"/>
  <c r="R2462"/>
  <c r="Y2462" s="1"/>
  <c r="M2462"/>
  <c r="O2462" s="1"/>
  <c r="U2462" s="1"/>
  <c r="V2462" s="1"/>
  <c r="W2461"/>
  <c r="R2461"/>
  <c r="M2461"/>
  <c r="O2461" s="1"/>
  <c r="U2461" s="1"/>
  <c r="V2461" s="1"/>
  <c r="Y2460"/>
  <c r="W2460"/>
  <c r="R2460"/>
  <c r="Z2460" s="1"/>
  <c r="O2460"/>
  <c r="U2460" s="1"/>
  <c r="V2460" s="1"/>
  <c r="M2460"/>
  <c r="AB2459"/>
  <c r="AC2459" s="1"/>
  <c r="Y2459"/>
  <c r="X2459"/>
  <c r="W2459"/>
  <c r="R2459"/>
  <c r="Z2459" s="1"/>
  <c r="M2459"/>
  <c r="O2459" s="1"/>
  <c r="U2459" s="1"/>
  <c r="V2459" s="1"/>
  <c r="AB2458"/>
  <c r="AC2458" s="1"/>
  <c r="X2458"/>
  <c r="W2458"/>
  <c r="S2458"/>
  <c r="T2458" s="1"/>
  <c r="R2458"/>
  <c r="Y2458" s="1"/>
  <c r="M2458"/>
  <c r="O2458" s="1"/>
  <c r="U2458" s="1"/>
  <c r="V2458" s="1"/>
  <c r="W2457"/>
  <c r="R2457"/>
  <c r="M2457"/>
  <c r="O2457" s="1"/>
  <c r="U2457" s="1"/>
  <c r="V2457" s="1"/>
  <c r="Y2456"/>
  <c r="W2456"/>
  <c r="R2456"/>
  <c r="Z2456" s="1"/>
  <c r="O2456"/>
  <c r="U2456" s="1"/>
  <c r="V2456" s="1"/>
  <c r="M2456"/>
  <c r="AB2455"/>
  <c r="AC2455" s="1"/>
  <c r="Y2455"/>
  <c r="X2455"/>
  <c r="W2455"/>
  <c r="R2455"/>
  <c r="Z2455" s="1"/>
  <c r="M2455"/>
  <c r="O2455" s="1"/>
  <c r="U2455" s="1"/>
  <c r="V2455" s="1"/>
  <c r="AB2454"/>
  <c r="AC2454" s="1"/>
  <c r="X2454"/>
  <c r="W2454"/>
  <c r="S2454"/>
  <c r="T2454" s="1"/>
  <c r="R2454"/>
  <c r="Y2454" s="1"/>
  <c r="M2454"/>
  <c r="O2454" s="1"/>
  <c r="U2454" s="1"/>
  <c r="V2454" s="1"/>
  <c r="W2453"/>
  <c r="R2453"/>
  <c r="M2453"/>
  <c r="O2453" s="1"/>
  <c r="U2453" s="1"/>
  <c r="V2453" s="1"/>
  <c r="Y2452"/>
  <c r="W2452"/>
  <c r="R2452"/>
  <c r="Z2452" s="1"/>
  <c r="O2452"/>
  <c r="U2452" s="1"/>
  <c r="V2452" s="1"/>
  <c r="M2452"/>
  <c r="AB2451"/>
  <c r="AC2451" s="1"/>
  <c r="Y2451"/>
  <c r="X2451"/>
  <c r="W2451"/>
  <c r="R2451"/>
  <c r="Z2451" s="1"/>
  <c r="M2451"/>
  <c r="O2451" s="1"/>
  <c r="U2451" s="1"/>
  <c r="V2451" s="1"/>
  <c r="AB2450"/>
  <c r="AC2450" s="1"/>
  <c r="X2450"/>
  <c r="W2450"/>
  <c r="S2450"/>
  <c r="T2450" s="1"/>
  <c r="R2450"/>
  <c r="Y2450" s="1"/>
  <c r="M2450"/>
  <c r="O2450" s="1"/>
  <c r="U2450" s="1"/>
  <c r="V2450" s="1"/>
  <c r="W2449"/>
  <c r="R2449"/>
  <c r="M2449"/>
  <c r="O2449" s="1"/>
  <c r="U2449" s="1"/>
  <c r="V2449" s="1"/>
  <c r="Y2448"/>
  <c r="W2448"/>
  <c r="R2448"/>
  <c r="Z2448" s="1"/>
  <c r="O2448"/>
  <c r="U2448" s="1"/>
  <c r="V2448" s="1"/>
  <c r="M2448"/>
  <c r="AB2447"/>
  <c r="AC2447" s="1"/>
  <c r="Y2447"/>
  <c r="X2447"/>
  <c r="W2447"/>
  <c r="R2447"/>
  <c r="Z2447" s="1"/>
  <c r="M2447"/>
  <c r="O2447" s="1"/>
  <c r="U2447" s="1"/>
  <c r="V2447" s="1"/>
  <c r="AB2446"/>
  <c r="AC2446" s="1"/>
  <c r="X2446"/>
  <c r="W2446"/>
  <c r="S2446"/>
  <c r="T2446" s="1"/>
  <c r="R2446"/>
  <c r="Y2446" s="1"/>
  <c r="M2446"/>
  <c r="O2446" s="1"/>
  <c r="U2446" s="1"/>
  <c r="V2446" s="1"/>
  <c r="W2445"/>
  <c r="R2445"/>
  <c r="M2445"/>
  <c r="O2445" s="1"/>
  <c r="U2445" s="1"/>
  <c r="V2445" s="1"/>
  <c r="Y2444"/>
  <c r="W2444"/>
  <c r="R2444"/>
  <c r="Z2444" s="1"/>
  <c r="O2444"/>
  <c r="U2444" s="1"/>
  <c r="V2444" s="1"/>
  <c r="M2444"/>
  <c r="AB2443"/>
  <c r="AC2443" s="1"/>
  <c r="Y2443"/>
  <c r="X2443"/>
  <c r="W2443"/>
  <c r="R2443"/>
  <c r="Z2443" s="1"/>
  <c r="M2443"/>
  <c r="O2443" s="1"/>
  <c r="U2443" s="1"/>
  <c r="V2443" s="1"/>
  <c r="AB2442"/>
  <c r="AC2442" s="1"/>
  <c r="X2442"/>
  <c r="W2442"/>
  <c r="S2442"/>
  <c r="T2442" s="1"/>
  <c r="R2442"/>
  <c r="Y2442" s="1"/>
  <c r="M2442"/>
  <c r="O2442" s="1"/>
  <c r="U2442" s="1"/>
  <c r="V2442" s="1"/>
  <c r="W2441"/>
  <c r="R2441"/>
  <c r="M2441"/>
  <c r="O2441" s="1"/>
  <c r="U2441" s="1"/>
  <c r="V2441" s="1"/>
  <c r="Y2440"/>
  <c r="W2440"/>
  <c r="R2440"/>
  <c r="Z2440" s="1"/>
  <c r="O2440"/>
  <c r="U2440" s="1"/>
  <c r="V2440" s="1"/>
  <c r="M2440"/>
  <c r="AB2439"/>
  <c r="AC2439" s="1"/>
  <c r="Y2439"/>
  <c r="X2439"/>
  <c r="W2439"/>
  <c r="R2439"/>
  <c r="Z2439" s="1"/>
  <c r="M2439"/>
  <c r="O2439" s="1"/>
  <c r="U2439" s="1"/>
  <c r="V2439" s="1"/>
  <c r="AB2438"/>
  <c r="AC2438" s="1"/>
  <c r="X2438"/>
  <c r="W2438"/>
  <c r="S2438"/>
  <c r="T2438" s="1"/>
  <c r="R2438"/>
  <c r="Y2438" s="1"/>
  <c r="M2438"/>
  <c r="O2438" s="1"/>
  <c r="U2438" s="1"/>
  <c r="V2438" s="1"/>
  <c r="W2437"/>
  <c r="V2437"/>
  <c r="S2437"/>
  <c r="T2437" s="1"/>
  <c r="R2437"/>
  <c r="M2437"/>
  <c r="O2437" s="1"/>
  <c r="U2437" s="1"/>
  <c r="W2436"/>
  <c r="R2436"/>
  <c r="Z2436" s="1"/>
  <c r="O2436"/>
  <c r="U2436" s="1"/>
  <c r="V2436" s="1"/>
  <c r="M2436"/>
  <c r="AB2435"/>
  <c r="AC2435" s="1"/>
  <c r="Y2435"/>
  <c r="X2435"/>
  <c r="W2435"/>
  <c r="R2435"/>
  <c r="Z2435" s="1"/>
  <c r="M2435"/>
  <c r="O2435" s="1"/>
  <c r="U2435" s="1"/>
  <c r="V2435" s="1"/>
  <c r="AB2434"/>
  <c r="AC2434" s="1"/>
  <c r="AA2434"/>
  <c r="Y2434"/>
  <c r="X2434"/>
  <c r="W2434"/>
  <c r="S2434"/>
  <c r="R2434"/>
  <c r="Z2434" s="1"/>
  <c r="M2434"/>
  <c r="O2434" s="1"/>
  <c r="U2434" s="1"/>
  <c r="V2434" s="1"/>
  <c r="W2433"/>
  <c r="R2433"/>
  <c r="M2433"/>
  <c r="O2433" s="1"/>
  <c r="U2433" s="1"/>
  <c r="V2433" s="1"/>
  <c r="W2432"/>
  <c r="R2432"/>
  <c r="Z2432" s="1"/>
  <c r="O2432"/>
  <c r="U2432" s="1"/>
  <c r="V2432" s="1"/>
  <c r="M2432"/>
  <c r="AB2431"/>
  <c r="AC2431" s="1"/>
  <c r="Y2431"/>
  <c r="X2431"/>
  <c r="W2431"/>
  <c r="R2431"/>
  <c r="Z2431" s="1"/>
  <c r="M2431"/>
  <c r="O2431" s="1"/>
  <c r="U2431" s="1"/>
  <c r="V2431" s="1"/>
  <c r="AB2430"/>
  <c r="AC2430" s="1"/>
  <c r="Y2430"/>
  <c r="X2430"/>
  <c r="W2430"/>
  <c r="S2430"/>
  <c r="T2430" s="1"/>
  <c r="R2430"/>
  <c r="Z2430" s="1"/>
  <c r="AA2430" s="1"/>
  <c r="M2430"/>
  <c r="O2430" s="1"/>
  <c r="U2430" s="1"/>
  <c r="V2430" s="1"/>
  <c r="W2429"/>
  <c r="R2429"/>
  <c r="M2429"/>
  <c r="O2429" s="1"/>
  <c r="Z2428"/>
  <c r="W2428"/>
  <c r="U2428"/>
  <c r="V2428" s="1"/>
  <c r="R2428"/>
  <c r="O2428"/>
  <c r="M2428"/>
  <c r="AC2427"/>
  <c r="AB2427"/>
  <c r="Y2427"/>
  <c r="X2427"/>
  <c r="W2427"/>
  <c r="R2427"/>
  <c r="Z2427" s="1"/>
  <c r="O2427"/>
  <c r="M2427"/>
  <c r="AB2426"/>
  <c r="AC2426" s="1"/>
  <c r="X2426"/>
  <c r="W2426"/>
  <c r="S2426"/>
  <c r="T2426" s="1"/>
  <c r="R2426"/>
  <c r="Y2426" s="1"/>
  <c r="M2426"/>
  <c r="O2426" s="1"/>
  <c r="W2425"/>
  <c r="R2425"/>
  <c r="M2425"/>
  <c r="O2425" s="1"/>
  <c r="Z2424"/>
  <c r="W2424"/>
  <c r="U2424"/>
  <c r="V2424" s="1"/>
  <c r="R2424"/>
  <c r="O2424"/>
  <c r="M2424"/>
  <c r="AC2423"/>
  <c r="AB2423"/>
  <c r="Y2423"/>
  <c r="X2423"/>
  <c r="W2423"/>
  <c r="R2423"/>
  <c r="Z2423" s="1"/>
  <c r="O2423"/>
  <c r="M2423"/>
  <c r="W2422"/>
  <c r="S2422"/>
  <c r="T2422" s="1"/>
  <c r="R2422"/>
  <c r="Z2422" s="1"/>
  <c r="AA2422" s="1"/>
  <c r="M2422"/>
  <c r="O2422" s="1"/>
  <c r="W2421"/>
  <c r="R2421"/>
  <c r="Y2421" s="1"/>
  <c r="O2421"/>
  <c r="U2421" s="1"/>
  <c r="V2421" s="1"/>
  <c r="M2421"/>
  <c r="AC2420"/>
  <c r="AB2420"/>
  <c r="Y2420"/>
  <c r="X2420"/>
  <c r="W2420"/>
  <c r="R2420"/>
  <c r="Z2420" s="1"/>
  <c r="O2420"/>
  <c r="U2420" s="1"/>
  <c r="V2420" s="1"/>
  <c r="M2420"/>
  <c r="AB2419"/>
  <c r="AC2419" s="1"/>
  <c r="Y2419"/>
  <c r="X2419"/>
  <c r="W2419"/>
  <c r="S2419"/>
  <c r="R2419"/>
  <c r="Z2419" s="1"/>
  <c r="AA2419" s="1"/>
  <c r="M2419"/>
  <c r="T2419" s="1"/>
  <c r="W2418"/>
  <c r="S2418"/>
  <c r="T2418" s="1"/>
  <c r="R2418"/>
  <c r="Z2418" s="1"/>
  <c r="AA2418" s="1"/>
  <c r="M2418"/>
  <c r="O2418" s="1"/>
  <c r="U2418" s="1"/>
  <c r="V2418" s="1"/>
  <c r="W2417"/>
  <c r="R2417"/>
  <c r="Y2417" s="1"/>
  <c r="O2417"/>
  <c r="U2417" s="1"/>
  <c r="V2417" s="1"/>
  <c r="M2417"/>
  <c r="AC2416"/>
  <c r="AB2416"/>
  <c r="Y2416"/>
  <c r="X2416"/>
  <c r="W2416"/>
  <c r="R2416"/>
  <c r="Z2416" s="1"/>
  <c r="O2416"/>
  <c r="U2416" s="1"/>
  <c r="V2416" s="1"/>
  <c r="M2416"/>
  <c r="AB2415"/>
  <c r="AC2415" s="1"/>
  <c r="Y2415"/>
  <c r="X2415"/>
  <c r="W2415"/>
  <c r="S2415"/>
  <c r="R2415"/>
  <c r="Z2415" s="1"/>
  <c r="AA2415" s="1"/>
  <c r="M2415"/>
  <c r="T2415" s="1"/>
  <c r="W2414"/>
  <c r="R2414"/>
  <c r="Z2414" s="1"/>
  <c r="M2414"/>
  <c r="O2414" s="1"/>
  <c r="U2414" s="1"/>
  <c r="V2414" s="1"/>
  <c r="W2413"/>
  <c r="R2413"/>
  <c r="Y2413" s="1"/>
  <c r="O2413"/>
  <c r="U2413" s="1"/>
  <c r="V2413" s="1"/>
  <c r="M2413"/>
  <c r="AB2412"/>
  <c r="AC2412" s="1"/>
  <c r="Y2412"/>
  <c r="X2412"/>
  <c r="W2412"/>
  <c r="R2412"/>
  <c r="Z2412" s="1"/>
  <c r="M2412"/>
  <c r="O2412" s="1"/>
  <c r="U2412" s="1"/>
  <c r="V2412" s="1"/>
  <c r="AB2411"/>
  <c r="AC2411" s="1"/>
  <c r="Y2411"/>
  <c r="X2411"/>
  <c r="W2411"/>
  <c r="S2411"/>
  <c r="T2411" s="1"/>
  <c r="R2411"/>
  <c r="Z2411" s="1"/>
  <c r="AA2411" s="1"/>
  <c r="M2411"/>
  <c r="O2411" s="1"/>
  <c r="U2411" s="1"/>
  <c r="V2411" s="1"/>
  <c r="W2410"/>
  <c r="R2410"/>
  <c r="Z2410" s="1"/>
  <c r="M2410"/>
  <c r="O2410" s="1"/>
  <c r="U2410" s="1"/>
  <c r="V2410" s="1"/>
  <c r="Y2409"/>
  <c r="W2409"/>
  <c r="R2409"/>
  <c r="Z2409" s="1"/>
  <c r="O2409"/>
  <c r="U2409" s="1"/>
  <c r="V2409" s="1"/>
  <c r="M2409"/>
  <c r="AB2408"/>
  <c r="AC2408" s="1"/>
  <c r="Y2408"/>
  <c r="X2408"/>
  <c r="W2408"/>
  <c r="R2408"/>
  <c r="Z2408" s="1"/>
  <c r="M2408"/>
  <c r="O2408" s="1"/>
  <c r="U2408" s="1"/>
  <c r="V2408" s="1"/>
  <c r="AB2407"/>
  <c r="AC2407" s="1"/>
  <c r="Y2407"/>
  <c r="X2407"/>
  <c r="W2407"/>
  <c r="S2407"/>
  <c r="T2407" s="1"/>
  <c r="R2407"/>
  <c r="Z2407" s="1"/>
  <c r="AA2407" s="1"/>
  <c r="M2407"/>
  <c r="O2407" s="1"/>
  <c r="U2407" s="1"/>
  <c r="V2407" s="1"/>
  <c r="W2406"/>
  <c r="R2406"/>
  <c r="Z2406" s="1"/>
  <c r="M2406"/>
  <c r="O2406" s="1"/>
  <c r="U2406" s="1"/>
  <c r="V2406" s="1"/>
  <c r="Y2405"/>
  <c r="W2405"/>
  <c r="R2405"/>
  <c r="Z2405" s="1"/>
  <c r="O2405"/>
  <c r="U2405" s="1"/>
  <c r="V2405" s="1"/>
  <c r="M2405"/>
  <c r="AB2404"/>
  <c r="AC2404" s="1"/>
  <c r="Y2404"/>
  <c r="X2404"/>
  <c r="W2404"/>
  <c r="R2404"/>
  <c r="Z2404" s="1"/>
  <c r="M2404"/>
  <c r="O2404" s="1"/>
  <c r="U2404" s="1"/>
  <c r="V2404" s="1"/>
  <c r="AB2403"/>
  <c r="AC2403" s="1"/>
  <c r="Y2403"/>
  <c r="X2403"/>
  <c r="W2403"/>
  <c r="S2403"/>
  <c r="T2403" s="1"/>
  <c r="R2403"/>
  <c r="Z2403" s="1"/>
  <c r="AA2403" s="1"/>
  <c r="M2403"/>
  <c r="O2403" s="1"/>
  <c r="U2403" s="1"/>
  <c r="V2403" s="1"/>
  <c r="W2402"/>
  <c r="R2402"/>
  <c r="Z2402" s="1"/>
  <c r="M2402"/>
  <c r="O2402" s="1"/>
  <c r="U2402" s="1"/>
  <c r="V2402" s="1"/>
  <c r="Y2401"/>
  <c r="W2401"/>
  <c r="R2401"/>
  <c r="Z2401" s="1"/>
  <c r="O2401"/>
  <c r="U2401" s="1"/>
  <c r="V2401" s="1"/>
  <c r="M2401"/>
  <c r="AB2400"/>
  <c r="AC2400" s="1"/>
  <c r="Y2400"/>
  <c r="X2400"/>
  <c r="W2400"/>
  <c r="R2400"/>
  <c r="Z2400" s="1"/>
  <c r="M2400"/>
  <c r="O2400" s="1"/>
  <c r="U2400" s="1"/>
  <c r="V2400" s="1"/>
  <c r="AB2399"/>
  <c r="AC2399" s="1"/>
  <c r="Y2399"/>
  <c r="X2399"/>
  <c r="W2399"/>
  <c r="S2399"/>
  <c r="T2399" s="1"/>
  <c r="AD2399" s="1"/>
  <c r="R2399"/>
  <c r="Z2399" s="1"/>
  <c r="AA2399" s="1"/>
  <c r="M2399"/>
  <c r="O2399" s="1"/>
  <c r="U2399" s="1"/>
  <c r="V2399" s="1"/>
  <c r="W2398"/>
  <c r="R2398"/>
  <c r="Z2398" s="1"/>
  <c r="M2398"/>
  <c r="O2398" s="1"/>
  <c r="U2398" s="1"/>
  <c r="V2398" s="1"/>
  <c r="Y2397"/>
  <c r="W2397"/>
  <c r="R2397"/>
  <c r="Z2397" s="1"/>
  <c r="O2397"/>
  <c r="U2397" s="1"/>
  <c r="V2397" s="1"/>
  <c r="M2397"/>
  <c r="AB2396"/>
  <c r="AC2396" s="1"/>
  <c r="Y2396"/>
  <c r="X2396"/>
  <c r="W2396"/>
  <c r="R2396"/>
  <c r="Z2396" s="1"/>
  <c r="M2396"/>
  <c r="O2396" s="1"/>
  <c r="U2396" s="1"/>
  <c r="V2396" s="1"/>
  <c r="AB2395"/>
  <c r="AC2395" s="1"/>
  <c r="Y2395"/>
  <c r="X2395"/>
  <c r="W2395"/>
  <c r="S2395"/>
  <c r="T2395" s="1"/>
  <c r="R2395"/>
  <c r="Z2395" s="1"/>
  <c r="AA2395" s="1"/>
  <c r="M2395"/>
  <c r="O2395" s="1"/>
  <c r="U2395" s="1"/>
  <c r="V2395" s="1"/>
  <c r="W2394"/>
  <c r="R2394"/>
  <c r="Z2394" s="1"/>
  <c r="M2394"/>
  <c r="O2394" s="1"/>
  <c r="U2394" s="1"/>
  <c r="V2394" s="1"/>
  <c r="Y2393"/>
  <c r="W2393"/>
  <c r="R2393"/>
  <c r="Z2393" s="1"/>
  <c r="O2393"/>
  <c r="U2393" s="1"/>
  <c r="V2393" s="1"/>
  <c r="M2393"/>
  <c r="AB2392"/>
  <c r="AC2392" s="1"/>
  <c r="Y2392"/>
  <c r="X2392"/>
  <c r="W2392"/>
  <c r="R2392"/>
  <c r="Z2392" s="1"/>
  <c r="M2392"/>
  <c r="O2392" s="1"/>
  <c r="U2392" s="1"/>
  <c r="V2392" s="1"/>
  <c r="AB2391"/>
  <c r="AC2391" s="1"/>
  <c r="Y2391"/>
  <c r="X2391"/>
  <c r="W2391"/>
  <c r="S2391"/>
  <c r="T2391" s="1"/>
  <c r="R2391"/>
  <c r="Z2391" s="1"/>
  <c r="AA2391" s="1"/>
  <c r="M2391"/>
  <c r="O2391" s="1"/>
  <c r="U2391" s="1"/>
  <c r="V2391" s="1"/>
  <c r="W2390"/>
  <c r="R2390"/>
  <c r="Z2390" s="1"/>
  <c r="M2390"/>
  <c r="O2390" s="1"/>
  <c r="U2390" s="1"/>
  <c r="V2390" s="1"/>
  <c r="Y2389"/>
  <c r="W2389"/>
  <c r="R2389"/>
  <c r="Z2389" s="1"/>
  <c r="O2389"/>
  <c r="U2389" s="1"/>
  <c r="V2389" s="1"/>
  <c r="M2389"/>
  <c r="AB2388"/>
  <c r="AC2388" s="1"/>
  <c r="Y2388"/>
  <c r="X2388"/>
  <c r="W2388"/>
  <c r="R2388"/>
  <c r="Z2388" s="1"/>
  <c r="M2388"/>
  <c r="O2388" s="1"/>
  <c r="U2388" s="1"/>
  <c r="V2388" s="1"/>
  <c r="AB2387"/>
  <c r="AC2387" s="1"/>
  <c r="Y2387"/>
  <c r="X2387"/>
  <c r="W2387"/>
  <c r="S2387"/>
  <c r="T2387" s="1"/>
  <c r="R2387"/>
  <c r="Z2387" s="1"/>
  <c r="AA2387" s="1"/>
  <c r="M2387"/>
  <c r="O2387" s="1"/>
  <c r="U2387" s="1"/>
  <c r="V2387" s="1"/>
  <c r="W2386"/>
  <c r="R2386"/>
  <c r="Z2386" s="1"/>
  <c r="M2386"/>
  <c r="O2386" s="1"/>
  <c r="U2386" s="1"/>
  <c r="V2386" s="1"/>
  <c r="Y2385"/>
  <c r="W2385"/>
  <c r="R2385"/>
  <c r="Z2385" s="1"/>
  <c r="O2385"/>
  <c r="U2385" s="1"/>
  <c r="V2385" s="1"/>
  <c r="M2385"/>
  <c r="AB2384"/>
  <c r="AC2384" s="1"/>
  <c r="Y2384"/>
  <c r="X2384"/>
  <c r="W2384"/>
  <c r="R2384"/>
  <c r="Z2384" s="1"/>
  <c r="M2384"/>
  <c r="O2384" s="1"/>
  <c r="U2384" s="1"/>
  <c r="V2384" s="1"/>
  <c r="AB2383"/>
  <c r="AC2383" s="1"/>
  <c r="Y2383"/>
  <c r="X2383"/>
  <c r="W2383"/>
  <c r="S2383"/>
  <c r="T2383" s="1"/>
  <c r="AD2383" s="1"/>
  <c r="R2383"/>
  <c r="Z2383" s="1"/>
  <c r="AA2383" s="1"/>
  <c r="M2383"/>
  <c r="O2383" s="1"/>
  <c r="U2383" s="1"/>
  <c r="V2383" s="1"/>
  <c r="W2382"/>
  <c r="R2382"/>
  <c r="Z2382" s="1"/>
  <c r="M2382"/>
  <c r="O2382" s="1"/>
  <c r="U2382" s="1"/>
  <c r="V2382" s="1"/>
  <c r="Y2381"/>
  <c r="W2381"/>
  <c r="R2381"/>
  <c r="Z2381" s="1"/>
  <c r="O2381"/>
  <c r="U2381" s="1"/>
  <c r="V2381" s="1"/>
  <c r="M2381"/>
  <c r="AB2380"/>
  <c r="AC2380" s="1"/>
  <c r="Y2380"/>
  <c r="X2380"/>
  <c r="W2380"/>
  <c r="R2380"/>
  <c r="Z2380" s="1"/>
  <c r="M2380"/>
  <c r="O2380" s="1"/>
  <c r="U2380" s="1"/>
  <c r="V2380" s="1"/>
  <c r="AB2379"/>
  <c r="AC2379" s="1"/>
  <c r="Y2379"/>
  <c r="X2379"/>
  <c r="W2379"/>
  <c r="S2379"/>
  <c r="T2379" s="1"/>
  <c r="R2379"/>
  <c r="Z2379" s="1"/>
  <c r="AA2379" s="1"/>
  <c r="M2379"/>
  <c r="O2379" s="1"/>
  <c r="U2379" s="1"/>
  <c r="V2379" s="1"/>
  <c r="W2378"/>
  <c r="R2378"/>
  <c r="Z2378" s="1"/>
  <c r="M2378"/>
  <c r="O2378" s="1"/>
  <c r="U2378" s="1"/>
  <c r="V2378" s="1"/>
  <c r="Y2377"/>
  <c r="W2377"/>
  <c r="R2377"/>
  <c r="Z2377" s="1"/>
  <c r="O2377"/>
  <c r="U2377" s="1"/>
  <c r="V2377" s="1"/>
  <c r="M2377"/>
  <c r="AB2376"/>
  <c r="AC2376" s="1"/>
  <c r="Y2376"/>
  <c r="X2376"/>
  <c r="W2376"/>
  <c r="R2376"/>
  <c r="Z2376" s="1"/>
  <c r="M2376"/>
  <c r="O2376" s="1"/>
  <c r="U2376" s="1"/>
  <c r="V2376" s="1"/>
  <c r="AB2375"/>
  <c r="AC2375" s="1"/>
  <c r="Y2375"/>
  <c r="X2375"/>
  <c r="W2375"/>
  <c r="S2375"/>
  <c r="T2375" s="1"/>
  <c r="R2375"/>
  <c r="Z2375" s="1"/>
  <c r="AA2375" s="1"/>
  <c r="M2375"/>
  <c r="O2375" s="1"/>
  <c r="U2375" s="1"/>
  <c r="V2375" s="1"/>
  <c r="W2374"/>
  <c r="R2374"/>
  <c r="Z2374" s="1"/>
  <c r="M2374"/>
  <c r="O2374" s="1"/>
  <c r="U2374" s="1"/>
  <c r="V2374" s="1"/>
  <c r="Y2373"/>
  <c r="W2373"/>
  <c r="R2373"/>
  <c r="Z2373" s="1"/>
  <c r="O2373"/>
  <c r="U2373" s="1"/>
  <c r="M2373"/>
  <c r="AB2372"/>
  <c r="AC2372" s="1"/>
  <c r="Y2372"/>
  <c r="X2372"/>
  <c r="W2372"/>
  <c r="R2372"/>
  <c r="Z2372" s="1"/>
  <c r="M2372"/>
  <c r="O2372" s="1"/>
  <c r="AB2371"/>
  <c r="AC2371" s="1"/>
  <c r="Y2371"/>
  <c r="X2371"/>
  <c r="W2371"/>
  <c r="S2371"/>
  <c r="T2371" s="1"/>
  <c r="R2371"/>
  <c r="Z2371" s="1"/>
  <c r="AA2371" s="1"/>
  <c r="M2371"/>
  <c r="O2371" s="1"/>
  <c r="W2370"/>
  <c r="R2370"/>
  <c r="Z2370" s="1"/>
  <c r="M2370"/>
  <c r="O2370" s="1"/>
  <c r="Y2369"/>
  <c r="W2369"/>
  <c r="R2369"/>
  <c r="Z2369" s="1"/>
  <c r="O2369"/>
  <c r="U2369" s="1"/>
  <c r="M2369"/>
  <c r="AB2368"/>
  <c r="AC2368" s="1"/>
  <c r="Y2368"/>
  <c r="X2368"/>
  <c r="W2368"/>
  <c r="R2368"/>
  <c r="Z2368" s="1"/>
  <c r="M2368"/>
  <c r="O2368" s="1"/>
  <c r="U2368" s="1"/>
  <c r="V2368" s="1"/>
  <c r="AB2367"/>
  <c r="AC2367" s="1"/>
  <c r="Y2367"/>
  <c r="X2367"/>
  <c r="W2367"/>
  <c r="S2367"/>
  <c r="T2367" s="1"/>
  <c r="AD2367" s="1"/>
  <c r="R2367"/>
  <c r="Z2367" s="1"/>
  <c r="AA2367" s="1"/>
  <c r="M2367"/>
  <c r="O2367" s="1"/>
  <c r="U2367" s="1"/>
  <c r="V2367" s="1"/>
  <c r="W2366"/>
  <c r="R2366"/>
  <c r="Z2366" s="1"/>
  <c r="M2366"/>
  <c r="O2366" s="1"/>
  <c r="U2366" s="1"/>
  <c r="V2366" s="1"/>
  <c r="Y2365"/>
  <c r="W2365"/>
  <c r="R2365"/>
  <c r="Z2365" s="1"/>
  <c r="O2365"/>
  <c r="U2365" s="1"/>
  <c r="V2365" s="1"/>
  <c r="M2365"/>
  <c r="AB2364"/>
  <c r="AC2364" s="1"/>
  <c r="Y2364"/>
  <c r="X2364"/>
  <c r="W2364"/>
  <c r="R2364"/>
  <c r="Z2364" s="1"/>
  <c r="M2364"/>
  <c r="O2364" s="1"/>
  <c r="U2364" s="1"/>
  <c r="V2364" s="1"/>
  <c r="AB2363"/>
  <c r="AC2363" s="1"/>
  <c r="Y2363"/>
  <c r="X2363"/>
  <c r="W2363"/>
  <c r="S2363"/>
  <c r="T2363" s="1"/>
  <c r="R2363"/>
  <c r="Z2363" s="1"/>
  <c r="AA2363" s="1"/>
  <c r="M2363"/>
  <c r="O2363" s="1"/>
  <c r="U2363" s="1"/>
  <c r="V2363" s="1"/>
  <c r="W2362"/>
  <c r="R2362"/>
  <c r="Z2362" s="1"/>
  <c r="M2362"/>
  <c r="O2362" s="1"/>
  <c r="U2362" s="1"/>
  <c r="V2362" s="1"/>
  <c r="Y2361"/>
  <c r="W2361"/>
  <c r="R2361"/>
  <c r="Z2361" s="1"/>
  <c r="O2361"/>
  <c r="U2361" s="1"/>
  <c r="V2361" s="1"/>
  <c r="M2361"/>
  <c r="AB2360"/>
  <c r="AC2360" s="1"/>
  <c r="Y2360"/>
  <c r="X2360"/>
  <c r="W2360"/>
  <c r="R2360"/>
  <c r="Z2360" s="1"/>
  <c r="M2360"/>
  <c r="O2360" s="1"/>
  <c r="U2360" s="1"/>
  <c r="V2360" s="1"/>
  <c r="AB2359"/>
  <c r="AC2359" s="1"/>
  <c r="Y2359"/>
  <c r="X2359"/>
  <c r="W2359"/>
  <c r="S2359"/>
  <c r="T2359" s="1"/>
  <c r="R2359"/>
  <c r="Z2359" s="1"/>
  <c r="AA2359" s="1"/>
  <c r="M2359"/>
  <c r="O2359" s="1"/>
  <c r="U2359" s="1"/>
  <c r="V2359" s="1"/>
  <c r="W2358"/>
  <c r="R2358"/>
  <c r="Z2358" s="1"/>
  <c r="M2358"/>
  <c r="O2358" s="1"/>
  <c r="U2358" s="1"/>
  <c r="V2358" s="1"/>
  <c r="Y2357"/>
  <c r="W2357"/>
  <c r="R2357"/>
  <c r="Z2357" s="1"/>
  <c r="O2357"/>
  <c r="U2357" s="1"/>
  <c r="V2357" s="1"/>
  <c r="M2357"/>
  <c r="AB2356"/>
  <c r="AC2356" s="1"/>
  <c r="Y2356"/>
  <c r="X2356"/>
  <c r="W2356"/>
  <c r="R2356"/>
  <c r="Z2356" s="1"/>
  <c r="M2356"/>
  <c r="O2356" s="1"/>
  <c r="U2356" s="1"/>
  <c r="V2356" s="1"/>
  <c r="AB2355"/>
  <c r="AC2355" s="1"/>
  <c r="Y2355"/>
  <c r="X2355"/>
  <c r="W2355"/>
  <c r="S2355"/>
  <c r="T2355" s="1"/>
  <c r="R2355"/>
  <c r="Z2355" s="1"/>
  <c r="AA2355" s="1"/>
  <c r="M2355"/>
  <c r="O2355" s="1"/>
  <c r="U2355" s="1"/>
  <c r="V2355" s="1"/>
  <c r="W2354"/>
  <c r="R2354"/>
  <c r="Z2354" s="1"/>
  <c r="M2354"/>
  <c r="O2354" s="1"/>
  <c r="U2354" s="1"/>
  <c r="V2354" s="1"/>
  <c r="Y2353"/>
  <c r="W2353"/>
  <c r="R2353"/>
  <c r="Z2353" s="1"/>
  <c r="O2353"/>
  <c r="U2353" s="1"/>
  <c r="V2353" s="1"/>
  <c r="M2353"/>
  <c r="AB2352"/>
  <c r="AC2352" s="1"/>
  <c r="Y2352"/>
  <c r="X2352"/>
  <c r="W2352"/>
  <c r="R2352"/>
  <c r="Z2352" s="1"/>
  <c r="M2352"/>
  <c r="O2352" s="1"/>
  <c r="U2352" s="1"/>
  <c r="V2352" s="1"/>
  <c r="AB2351"/>
  <c r="AC2351" s="1"/>
  <c r="Y2351"/>
  <c r="X2351"/>
  <c r="W2351"/>
  <c r="S2351"/>
  <c r="T2351" s="1"/>
  <c r="AD2351" s="1"/>
  <c r="R2351"/>
  <c r="Z2351" s="1"/>
  <c r="AA2351" s="1"/>
  <c r="M2351"/>
  <c r="O2351" s="1"/>
  <c r="U2351" s="1"/>
  <c r="V2351" s="1"/>
  <c r="W2350"/>
  <c r="R2350"/>
  <c r="Z2350" s="1"/>
  <c r="M2350"/>
  <c r="O2350" s="1"/>
  <c r="U2350" s="1"/>
  <c r="V2350" s="1"/>
  <c r="Y2349"/>
  <c r="W2349"/>
  <c r="R2349"/>
  <c r="Z2349" s="1"/>
  <c r="O2349"/>
  <c r="U2349" s="1"/>
  <c r="V2349" s="1"/>
  <c r="M2349"/>
  <c r="AB2348"/>
  <c r="AC2348" s="1"/>
  <c r="Y2348"/>
  <c r="X2348"/>
  <c r="W2348"/>
  <c r="R2348"/>
  <c r="Z2348" s="1"/>
  <c r="M2348"/>
  <c r="O2348" s="1"/>
  <c r="U2348" s="1"/>
  <c r="V2348" s="1"/>
  <c r="AB2347"/>
  <c r="AC2347" s="1"/>
  <c r="Y2347"/>
  <c r="X2347"/>
  <c r="W2347"/>
  <c r="S2347"/>
  <c r="T2347" s="1"/>
  <c r="R2347"/>
  <c r="Z2347" s="1"/>
  <c r="AA2347" s="1"/>
  <c r="M2347"/>
  <c r="O2347" s="1"/>
  <c r="U2347" s="1"/>
  <c r="V2347" s="1"/>
  <c r="W2346"/>
  <c r="R2346"/>
  <c r="Z2346" s="1"/>
  <c r="M2346"/>
  <c r="O2346" s="1"/>
  <c r="U2346" s="1"/>
  <c r="V2346" s="1"/>
  <c r="Y2345"/>
  <c r="W2345"/>
  <c r="R2345"/>
  <c r="Z2345" s="1"/>
  <c r="O2345"/>
  <c r="U2345" s="1"/>
  <c r="V2345" s="1"/>
  <c r="M2345"/>
  <c r="AB2344"/>
  <c r="AC2344" s="1"/>
  <c r="Y2344"/>
  <c r="X2344"/>
  <c r="W2344"/>
  <c r="R2344"/>
  <c r="Z2344" s="1"/>
  <c r="M2344"/>
  <c r="O2344" s="1"/>
  <c r="U2344" s="1"/>
  <c r="V2344" s="1"/>
  <c r="AB2343"/>
  <c r="AC2343" s="1"/>
  <c r="Y2343"/>
  <c r="X2343"/>
  <c r="W2343"/>
  <c r="S2343"/>
  <c r="T2343" s="1"/>
  <c r="R2343"/>
  <c r="Z2343" s="1"/>
  <c r="AA2343" s="1"/>
  <c r="M2343"/>
  <c r="O2343" s="1"/>
  <c r="U2343" s="1"/>
  <c r="V2343" s="1"/>
  <c r="W2342"/>
  <c r="R2342"/>
  <c r="Z2342" s="1"/>
  <c r="M2342"/>
  <c r="O2342" s="1"/>
  <c r="U2342" s="1"/>
  <c r="V2342" s="1"/>
  <c r="Y2341"/>
  <c r="W2341"/>
  <c r="R2341"/>
  <c r="Z2341" s="1"/>
  <c r="O2341"/>
  <c r="U2341" s="1"/>
  <c r="V2341" s="1"/>
  <c r="M2341"/>
  <c r="AB2340"/>
  <c r="AC2340" s="1"/>
  <c r="Y2340"/>
  <c r="X2340"/>
  <c r="W2340"/>
  <c r="R2340"/>
  <c r="Z2340" s="1"/>
  <c r="M2340"/>
  <c r="O2340" s="1"/>
  <c r="U2340" s="1"/>
  <c r="V2340" s="1"/>
  <c r="AB2339"/>
  <c r="AC2339" s="1"/>
  <c r="Y2339"/>
  <c r="X2339"/>
  <c r="W2339"/>
  <c r="S2339"/>
  <c r="T2339" s="1"/>
  <c r="R2339"/>
  <c r="Z2339" s="1"/>
  <c r="AA2339" s="1"/>
  <c r="M2339"/>
  <c r="O2339" s="1"/>
  <c r="U2339" s="1"/>
  <c r="V2339" s="1"/>
  <c r="W2338"/>
  <c r="R2338"/>
  <c r="Z2338" s="1"/>
  <c r="M2338"/>
  <c r="O2338" s="1"/>
  <c r="U2338" s="1"/>
  <c r="V2338" s="1"/>
  <c r="Y2337"/>
  <c r="W2337"/>
  <c r="R2337"/>
  <c r="Z2337" s="1"/>
  <c r="O2337"/>
  <c r="U2337" s="1"/>
  <c r="V2337" s="1"/>
  <c r="M2337"/>
  <c r="AB2336"/>
  <c r="AC2336" s="1"/>
  <c r="Y2336"/>
  <c r="X2336"/>
  <c r="W2336"/>
  <c r="R2336"/>
  <c r="Z2336" s="1"/>
  <c r="M2336"/>
  <c r="O2336" s="1"/>
  <c r="U2336" s="1"/>
  <c r="V2336" s="1"/>
  <c r="AB2335"/>
  <c r="AC2335" s="1"/>
  <c r="Y2335"/>
  <c r="X2335"/>
  <c r="W2335"/>
  <c r="S2335"/>
  <c r="T2335" s="1"/>
  <c r="R2335"/>
  <c r="Z2335" s="1"/>
  <c r="AA2335" s="1"/>
  <c r="M2335"/>
  <c r="O2335" s="1"/>
  <c r="W2334"/>
  <c r="R2334"/>
  <c r="Z2334" s="1"/>
  <c r="M2334"/>
  <c r="O2334" s="1"/>
  <c r="Y2333"/>
  <c r="W2333"/>
  <c r="R2333"/>
  <c r="Z2333" s="1"/>
  <c r="O2333"/>
  <c r="U2333" s="1"/>
  <c r="V2333" s="1"/>
  <c r="M2333"/>
  <c r="AB2332"/>
  <c r="AC2332" s="1"/>
  <c r="Y2332"/>
  <c r="X2332"/>
  <c r="W2332"/>
  <c r="R2332"/>
  <c r="Z2332" s="1"/>
  <c r="M2332"/>
  <c r="O2332" s="1"/>
  <c r="U2332" s="1"/>
  <c r="V2332" s="1"/>
  <c r="AB2331"/>
  <c r="AC2331" s="1"/>
  <c r="Y2331"/>
  <c r="X2331"/>
  <c r="W2331"/>
  <c r="S2331"/>
  <c r="T2331" s="1"/>
  <c r="R2331"/>
  <c r="Z2331" s="1"/>
  <c r="AA2331" s="1"/>
  <c r="M2331"/>
  <c r="O2331" s="1"/>
  <c r="U2331" s="1"/>
  <c r="V2331" s="1"/>
  <c r="W2330"/>
  <c r="R2330"/>
  <c r="Z2330" s="1"/>
  <c r="M2330"/>
  <c r="O2330" s="1"/>
  <c r="U2330" s="1"/>
  <c r="V2330" s="1"/>
  <c r="Y2329"/>
  <c r="W2329"/>
  <c r="R2329"/>
  <c r="Z2329" s="1"/>
  <c r="O2329"/>
  <c r="U2329" s="1"/>
  <c r="V2329" s="1"/>
  <c r="M2329"/>
  <c r="AB2328"/>
  <c r="AC2328" s="1"/>
  <c r="Y2328"/>
  <c r="X2328"/>
  <c r="W2328"/>
  <c r="R2328"/>
  <c r="Z2328" s="1"/>
  <c r="M2328"/>
  <c r="O2328" s="1"/>
  <c r="U2328" s="1"/>
  <c r="V2328" s="1"/>
  <c r="AB2327"/>
  <c r="AC2327" s="1"/>
  <c r="Y2327"/>
  <c r="X2327"/>
  <c r="W2327"/>
  <c r="S2327"/>
  <c r="T2327" s="1"/>
  <c r="R2327"/>
  <c r="Z2327" s="1"/>
  <c r="AA2327" s="1"/>
  <c r="M2327"/>
  <c r="O2327" s="1"/>
  <c r="U2327" s="1"/>
  <c r="V2327" s="1"/>
  <c r="W2326"/>
  <c r="R2326"/>
  <c r="Z2326" s="1"/>
  <c r="M2326"/>
  <c r="O2326" s="1"/>
  <c r="U2326" s="1"/>
  <c r="V2326" s="1"/>
  <c r="Y2325"/>
  <c r="W2325"/>
  <c r="R2325"/>
  <c r="Z2325" s="1"/>
  <c r="O2325"/>
  <c r="U2325" s="1"/>
  <c r="V2325" s="1"/>
  <c r="M2325"/>
  <c r="AB2324"/>
  <c r="AC2324" s="1"/>
  <c r="Y2324"/>
  <c r="X2324"/>
  <c r="W2324"/>
  <c r="R2324"/>
  <c r="Z2324" s="1"/>
  <c r="M2324"/>
  <c r="O2324" s="1"/>
  <c r="U2324" s="1"/>
  <c r="V2324" s="1"/>
  <c r="AB2323"/>
  <c r="AC2323" s="1"/>
  <c r="Y2323"/>
  <c r="X2323"/>
  <c r="W2323"/>
  <c r="S2323"/>
  <c r="T2323" s="1"/>
  <c r="R2323"/>
  <c r="Z2323" s="1"/>
  <c r="AA2323" s="1"/>
  <c r="M2323"/>
  <c r="O2323" s="1"/>
  <c r="U2323" s="1"/>
  <c r="V2323" s="1"/>
  <c r="W2322"/>
  <c r="R2322"/>
  <c r="Z2322" s="1"/>
  <c r="M2322"/>
  <c r="O2322" s="1"/>
  <c r="U2322" s="1"/>
  <c r="V2322" s="1"/>
  <c r="Y2321"/>
  <c r="W2321"/>
  <c r="R2321"/>
  <c r="Z2321" s="1"/>
  <c r="O2321"/>
  <c r="U2321" s="1"/>
  <c r="V2321" s="1"/>
  <c r="M2321"/>
  <c r="AB2320"/>
  <c r="AC2320" s="1"/>
  <c r="Y2320"/>
  <c r="X2320"/>
  <c r="W2320"/>
  <c r="R2320"/>
  <c r="Z2320" s="1"/>
  <c r="M2320"/>
  <c r="O2320" s="1"/>
  <c r="U2320" s="1"/>
  <c r="V2320" s="1"/>
  <c r="AB2319"/>
  <c r="AC2319" s="1"/>
  <c r="Y2319"/>
  <c r="X2319"/>
  <c r="W2319"/>
  <c r="S2319"/>
  <c r="T2319" s="1"/>
  <c r="AD2319" s="1"/>
  <c r="R2319"/>
  <c r="Z2319" s="1"/>
  <c r="AA2319" s="1"/>
  <c r="M2319"/>
  <c r="O2319" s="1"/>
  <c r="U2319" s="1"/>
  <c r="V2319" s="1"/>
  <c r="W2318"/>
  <c r="R2318"/>
  <c r="Z2318" s="1"/>
  <c r="M2318"/>
  <c r="O2318" s="1"/>
  <c r="U2318" s="1"/>
  <c r="V2318" s="1"/>
  <c r="Y2317"/>
  <c r="W2317"/>
  <c r="R2317"/>
  <c r="Z2317" s="1"/>
  <c r="O2317"/>
  <c r="U2317" s="1"/>
  <c r="V2317" s="1"/>
  <c r="M2317"/>
  <c r="AB2316"/>
  <c r="AC2316" s="1"/>
  <c r="Y2316"/>
  <c r="X2316"/>
  <c r="W2316"/>
  <c r="R2316"/>
  <c r="Z2316" s="1"/>
  <c r="M2316"/>
  <c r="O2316" s="1"/>
  <c r="U2316" s="1"/>
  <c r="V2316" s="1"/>
  <c r="AB2315"/>
  <c r="AC2315" s="1"/>
  <c r="Y2315"/>
  <c r="X2315"/>
  <c r="W2315"/>
  <c r="S2315"/>
  <c r="T2315" s="1"/>
  <c r="R2315"/>
  <c r="Z2315" s="1"/>
  <c r="AA2315" s="1"/>
  <c r="M2315"/>
  <c r="O2315" s="1"/>
  <c r="U2315" s="1"/>
  <c r="V2315" s="1"/>
  <c r="W2314"/>
  <c r="R2314"/>
  <c r="Z2314" s="1"/>
  <c r="M2314"/>
  <c r="O2314" s="1"/>
  <c r="U2314" s="1"/>
  <c r="V2314" s="1"/>
  <c r="Y2313"/>
  <c r="W2313"/>
  <c r="R2313"/>
  <c r="Z2313" s="1"/>
  <c r="O2313"/>
  <c r="U2313" s="1"/>
  <c r="V2313" s="1"/>
  <c r="M2313"/>
  <c r="AB2312"/>
  <c r="AC2312" s="1"/>
  <c r="Y2312"/>
  <c r="X2312"/>
  <c r="W2312"/>
  <c r="R2312"/>
  <c r="Z2312" s="1"/>
  <c r="M2312"/>
  <c r="O2312" s="1"/>
  <c r="U2312" s="1"/>
  <c r="V2312" s="1"/>
  <c r="AB2311"/>
  <c r="AC2311" s="1"/>
  <c r="Y2311"/>
  <c r="X2311"/>
  <c r="W2311"/>
  <c r="S2311"/>
  <c r="T2311" s="1"/>
  <c r="R2311"/>
  <c r="Z2311" s="1"/>
  <c r="AA2311" s="1"/>
  <c r="M2311"/>
  <c r="O2311" s="1"/>
  <c r="U2311" s="1"/>
  <c r="V2311" s="1"/>
  <c r="W2310"/>
  <c r="R2310"/>
  <c r="Z2310" s="1"/>
  <c r="M2310"/>
  <c r="O2310" s="1"/>
  <c r="U2310" s="1"/>
  <c r="V2310" s="1"/>
  <c r="Y2309"/>
  <c r="W2309"/>
  <c r="R2309"/>
  <c r="Z2309" s="1"/>
  <c r="O2309"/>
  <c r="U2309" s="1"/>
  <c r="V2309" s="1"/>
  <c r="M2309"/>
  <c r="AB2308"/>
  <c r="AC2308" s="1"/>
  <c r="Y2308"/>
  <c r="X2308"/>
  <c r="W2308"/>
  <c r="R2308"/>
  <c r="Z2308" s="1"/>
  <c r="M2308"/>
  <c r="O2308" s="1"/>
  <c r="U2308" s="1"/>
  <c r="V2308" s="1"/>
  <c r="AB2307"/>
  <c r="AC2307" s="1"/>
  <c r="Y2307"/>
  <c r="X2307"/>
  <c r="W2307"/>
  <c r="S2307"/>
  <c r="T2307" s="1"/>
  <c r="R2307"/>
  <c r="Z2307" s="1"/>
  <c r="AA2307" s="1"/>
  <c r="M2307"/>
  <c r="O2307" s="1"/>
  <c r="U2307" s="1"/>
  <c r="V2307" s="1"/>
  <c r="W2306"/>
  <c r="R2306"/>
  <c r="Z2306" s="1"/>
  <c r="M2306"/>
  <c r="O2306" s="1"/>
  <c r="U2306" s="1"/>
  <c r="V2306" s="1"/>
  <c r="Y2305"/>
  <c r="W2305"/>
  <c r="R2305"/>
  <c r="Z2305" s="1"/>
  <c r="O2305"/>
  <c r="U2305" s="1"/>
  <c r="V2305" s="1"/>
  <c r="M2305"/>
  <c r="AB2304"/>
  <c r="AC2304" s="1"/>
  <c r="Y2304"/>
  <c r="X2304"/>
  <c r="W2304"/>
  <c r="R2304"/>
  <c r="Z2304" s="1"/>
  <c r="M2304"/>
  <c r="O2304" s="1"/>
  <c r="U2304" s="1"/>
  <c r="V2304" s="1"/>
  <c r="AB2303"/>
  <c r="AC2303" s="1"/>
  <c r="Y2303"/>
  <c r="X2303"/>
  <c r="W2303"/>
  <c r="S2303"/>
  <c r="T2303" s="1"/>
  <c r="AD2303" s="1"/>
  <c r="R2303"/>
  <c r="Z2303" s="1"/>
  <c r="AA2303" s="1"/>
  <c r="M2303"/>
  <c r="O2303" s="1"/>
  <c r="U2303" s="1"/>
  <c r="V2303" s="1"/>
  <c r="W2302"/>
  <c r="R2302"/>
  <c r="Z2302" s="1"/>
  <c r="M2302"/>
  <c r="O2302" s="1"/>
  <c r="U2302" s="1"/>
  <c r="V2302" s="1"/>
  <c r="Y2301"/>
  <c r="W2301"/>
  <c r="R2301"/>
  <c r="Z2301" s="1"/>
  <c r="O2301"/>
  <c r="U2301" s="1"/>
  <c r="V2301" s="1"/>
  <c r="M2301"/>
  <c r="AB2300"/>
  <c r="AC2300" s="1"/>
  <c r="Y2300"/>
  <c r="X2300"/>
  <c r="W2300"/>
  <c r="R2300"/>
  <c r="Z2300" s="1"/>
  <c r="M2300"/>
  <c r="O2300" s="1"/>
  <c r="U2300" s="1"/>
  <c r="V2300" s="1"/>
  <c r="AB2299"/>
  <c r="AC2299" s="1"/>
  <c r="Y2299"/>
  <c r="X2299"/>
  <c r="W2299"/>
  <c r="S2299"/>
  <c r="T2299" s="1"/>
  <c r="R2299"/>
  <c r="Z2299" s="1"/>
  <c r="AA2299" s="1"/>
  <c r="M2299"/>
  <c r="O2299" s="1"/>
  <c r="U2299" s="1"/>
  <c r="V2299" s="1"/>
  <c r="W2298"/>
  <c r="R2298"/>
  <c r="Z2298" s="1"/>
  <c r="M2298"/>
  <c r="O2298" s="1"/>
  <c r="U2298" s="1"/>
  <c r="V2298" s="1"/>
  <c r="Y2297"/>
  <c r="W2297"/>
  <c r="R2297"/>
  <c r="Z2297" s="1"/>
  <c r="O2297"/>
  <c r="U2297" s="1"/>
  <c r="V2297" s="1"/>
  <c r="M2297"/>
  <c r="AB2296"/>
  <c r="AC2296" s="1"/>
  <c r="Y2296"/>
  <c r="X2296"/>
  <c r="W2296"/>
  <c r="R2296"/>
  <c r="Z2296" s="1"/>
  <c r="M2296"/>
  <c r="O2296" s="1"/>
  <c r="U2296" s="1"/>
  <c r="V2296" s="1"/>
  <c r="AB2295"/>
  <c r="AC2295" s="1"/>
  <c r="Y2295"/>
  <c r="X2295"/>
  <c r="W2295"/>
  <c r="S2295"/>
  <c r="T2295" s="1"/>
  <c r="R2295"/>
  <c r="Z2295" s="1"/>
  <c r="AA2295" s="1"/>
  <c r="M2295"/>
  <c r="O2295" s="1"/>
  <c r="W2294"/>
  <c r="R2294"/>
  <c r="Z2294" s="1"/>
  <c r="M2294"/>
  <c r="O2294" s="1"/>
  <c r="Y2293"/>
  <c r="W2293"/>
  <c r="R2293"/>
  <c r="Z2293" s="1"/>
  <c r="O2293"/>
  <c r="U2293" s="1"/>
  <c r="V2293" s="1"/>
  <c r="M2293"/>
  <c r="AB2292"/>
  <c r="AC2292" s="1"/>
  <c r="Y2292"/>
  <c r="X2292"/>
  <c r="W2292"/>
  <c r="R2292"/>
  <c r="Z2292" s="1"/>
  <c r="M2292"/>
  <c r="O2292" s="1"/>
  <c r="U2292" s="1"/>
  <c r="V2292" s="1"/>
  <c r="AB2291"/>
  <c r="AC2291" s="1"/>
  <c r="Y2291"/>
  <c r="X2291"/>
  <c r="W2291"/>
  <c r="S2291"/>
  <c r="T2291" s="1"/>
  <c r="R2291"/>
  <c r="Z2291" s="1"/>
  <c r="AA2291" s="1"/>
  <c r="M2291"/>
  <c r="O2291" s="1"/>
  <c r="U2291" s="1"/>
  <c r="V2291" s="1"/>
  <c r="W2290"/>
  <c r="R2290"/>
  <c r="Z2290" s="1"/>
  <c r="M2290"/>
  <c r="O2290" s="1"/>
  <c r="U2290" s="1"/>
  <c r="V2290" s="1"/>
  <c r="Y2289"/>
  <c r="W2289"/>
  <c r="R2289"/>
  <c r="Z2289" s="1"/>
  <c r="O2289"/>
  <c r="U2289" s="1"/>
  <c r="V2289" s="1"/>
  <c r="M2289"/>
  <c r="AB2288"/>
  <c r="AC2288" s="1"/>
  <c r="Y2288"/>
  <c r="X2288"/>
  <c r="W2288"/>
  <c r="R2288"/>
  <c r="Z2288" s="1"/>
  <c r="M2288"/>
  <c r="O2288" s="1"/>
  <c r="U2288" s="1"/>
  <c r="V2288" s="1"/>
  <c r="AB2287"/>
  <c r="AC2287" s="1"/>
  <c r="Y2287"/>
  <c r="X2287"/>
  <c r="W2287"/>
  <c r="S2287"/>
  <c r="T2287" s="1"/>
  <c r="AD2287" s="1"/>
  <c r="R2287"/>
  <c r="Z2287" s="1"/>
  <c r="AA2287" s="1"/>
  <c r="M2287"/>
  <c r="O2287" s="1"/>
  <c r="U2287" s="1"/>
  <c r="V2287" s="1"/>
  <c r="W2286"/>
  <c r="R2286"/>
  <c r="Z2286" s="1"/>
  <c r="M2286"/>
  <c r="O2286" s="1"/>
  <c r="U2286" s="1"/>
  <c r="V2286" s="1"/>
  <c r="Y2285"/>
  <c r="W2285"/>
  <c r="R2285"/>
  <c r="Z2285" s="1"/>
  <c r="O2285"/>
  <c r="U2285" s="1"/>
  <c r="V2285" s="1"/>
  <c r="M2285"/>
  <c r="AB2284"/>
  <c r="AC2284" s="1"/>
  <c r="Y2284"/>
  <c r="X2284"/>
  <c r="W2284"/>
  <c r="R2284"/>
  <c r="Z2284" s="1"/>
  <c r="M2284"/>
  <c r="O2284" s="1"/>
  <c r="U2284" s="1"/>
  <c r="V2284" s="1"/>
  <c r="AB2283"/>
  <c r="AC2283" s="1"/>
  <c r="Y2283"/>
  <c r="X2283"/>
  <c r="W2283"/>
  <c r="S2283"/>
  <c r="T2283" s="1"/>
  <c r="R2283"/>
  <c r="Z2283" s="1"/>
  <c r="AA2283" s="1"/>
  <c r="M2283"/>
  <c r="O2283" s="1"/>
  <c r="U2283" s="1"/>
  <c r="V2283" s="1"/>
  <c r="W2282"/>
  <c r="R2282"/>
  <c r="Z2282" s="1"/>
  <c r="M2282"/>
  <c r="O2282" s="1"/>
  <c r="U2282" s="1"/>
  <c r="V2282" s="1"/>
  <c r="Y2281"/>
  <c r="W2281"/>
  <c r="R2281"/>
  <c r="Z2281" s="1"/>
  <c r="O2281"/>
  <c r="U2281" s="1"/>
  <c r="V2281" s="1"/>
  <c r="M2281"/>
  <c r="AB2280"/>
  <c r="AC2280" s="1"/>
  <c r="Y2280"/>
  <c r="X2280"/>
  <c r="W2280"/>
  <c r="R2280"/>
  <c r="Z2280" s="1"/>
  <c r="M2280"/>
  <c r="O2280" s="1"/>
  <c r="U2280" s="1"/>
  <c r="V2280" s="1"/>
  <c r="AB2279"/>
  <c r="AC2279" s="1"/>
  <c r="Y2279"/>
  <c r="X2279"/>
  <c r="W2279"/>
  <c r="S2279"/>
  <c r="T2279" s="1"/>
  <c r="R2279"/>
  <c r="Z2279" s="1"/>
  <c r="AA2279" s="1"/>
  <c r="M2279"/>
  <c r="O2279" s="1"/>
  <c r="U2279" s="1"/>
  <c r="V2279" s="1"/>
  <c r="W2278"/>
  <c r="R2278"/>
  <c r="Z2278" s="1"/>
  <c r="M2278"/>
  <c r="O2278" s="1"/>
  <c r="Y2277"/>
  <c r="W2277"/>
  <c r="R2277"/>
  <c r="Z2277" s="1"/>
  <c r="O2277"/>
  <c r="U2277" s="1"/>
  <c r="M2277"/>
  <c r="AB2276"/>
  <c r="AC2276" s="1"/>
  <c r="Y2276"/>
  <c r="X2276"/>
  <c r="W2276"/>
  <c r="R2276"/>
  <c r="Z2276" s="1"/>
  <c r="M2276"/>
  <c r="O2276" s="1"/>
  <c r="AB2275"/>
  <c r="AC2275" s="1"/>
  <c r="Y2275"/>
  <c r="X2275"/>
  <c r="W2275"/>
  <c r="S2275"/>
  <c r="T2275" s="1"/>
  <c r="R2275"/>
  <c r="Z2275" s="1"/>
  <c r="AA2275" s="1"/>
  <c r="M2275"/>
  <c r="O2275" s="1"/>
  <c r="U2275" s="1"/>
  <c r="V2275" s="1"/>
  <c r="W2274"/>
  <c r="R2274"/>
  <c r="Z2274" s="1"/>
  <c r="M2274"/>
  <c r="O2274" s="1"/>
  <c r="U2274" s="1"/>
  <c r="V2274" s="1"/>
  <c r="Y2273"/>
  <c r="W2273"/>
  <c r="R2273"/>
  <c r="Z2273" s="1"/>
  <c r="O2273"/>
  <c r="U2273" s="1"/>
  <c r="V2273" s="1"/>
  <c r="M2273"/>
  <c r="AB2272"/>
  <c r="AC2272" s="1"/>
  <c r="Y2272"/>
  <c r="X2272"/>
  <c r="W2272"/>
  <c r="R2272"/>
  <c r="Z2272" s="1"/>
  <c r="M2272"/>
  <c r="O2272" s="1"/>
  <c r="U2272" s="1"/>
  <c r="V2272" s="1"/>
  <c r="AB2271"/>
  <c r="AC2271" s="1"/>
  <c r="Y2271"/>
  <c r="X2271"/>
  <c r="W2271"/>
  <c r="S2271"/>
  <c r="T2271" s="1"/>
  <c r="AD2271" s="1"/>
  <c r="R2271"/>
  <c r="Z2271" s="1"/>
  <c r="AA2271" s="1"/>
  <c r="M2271"/>
  <c r="O2271" s="1"/>
  <c r="U2271" s="1"/>
  <c r="V2271" s="1"/>
  <c r="W2270"/>
  <c r="R2270"/>
  <c r="Z2270" s="1"/>
  <c r="M2270"/>
  <c r="O2270" s="1"/>
  <c r="U2270" s="1"/>
  <c r="V2270" s="1"/>
  <c r="Y2269"/>
  <c r="W2269"/>
  <c r="R2269"/>
  <c r="Z2269" s="1"/>
  <c r="O2269"/>
  <c r="U2269" s="1"/>
  <c r="V2269" s="1"/>
  <c r="M2269"/>
  <c r="AB2268"/>
  <c r="AC2268" s="1"/>
  <c r="Y2268"/>
  <c r="X2268"/>
  <c r="W2268"/>
  <c r="R2268"/>
  <c r="Z2268" s="1"/>
  <c r="M2268"/>
  <c r="O2268" s="1"/>
  <c r="U2268" s="1"/>
  <c r="V2268" s="1"/>
  <c r="AB2267"/>
  <c r="AC2267" s="1"/>
  <c r="Y2267"/>
  <c r="X2267"/>
  <c r="W2267"/>
  <c r="S2267"/>
  <c r="T2267" s="1"/>
  <c r="R2267"/>
  <c r="Z2267" s="1"/>
  <c r="AA2267" s="1"/>
  <c r="M2267"/>
  <c r="O2267" s="1"/>
  <c r="U2267" s="1"/>
  <c r="V2267" s="1"/>
  <c r="W2266"/>
  <c r="R2266"/>
  <c r="Z2266" s="1"/>
  <c r="M2266"/>
  <c r="O2266" s="1"/>
  <c r="U2266" s="1"/>
  <c r="V2266" s="1"/>
  <c r="Y2265"/>
  <c r="W2265"/>
  <c r="R2265"/>
  <c r="Z2265" s="1"/>
  <c r="O2265"/>
  <c r="U2265" s="1"/>
  <c r="V2265" s="1"/>
  <c r="M2265"/>
  <c r="AB2264"/>
  <c r="AC2264" s="1"/>
  <c r="Y2264"/>
  <c r="X2264"/>
  <c r="W2264"/>
  <c r="R2264"/>
  <c r="Z2264" s="1"/>
  <c r="M2264"/>
  <c r="O2264" s="1"/>
  <c r="U2264" s="1"/>
  <c r="V2264" s="1"/>
  <c r="AB2263"/>
  <c r="AC2263" s="1"/>
  <c r="Y2263"/>
  <c r="X2263"/>
  <c r="W2263"/>
  <c r="S2263"/>
  <c r="T2263" s="1"/>
  <c r="R2263"/>
  <c r="Z2263" s="1"/>
  <c r="AA2263" s="1"/>
  <c r="M2263"/>
  <c r="O2263" s="1"/>
  <c r="U2263" s="1"/>
  <c r="V2263" s="1"/>
  <c r="W2262"/>
  <c r="R2262"/>
  <c r="Z2262" s="1"/>
  <c r="M2262"/>
  <c r="O2262" s="1"/>
  <c r="U2262" s="1"/>
  <c r="V2262" s="1"/>
  <c r="Y2261"/>
  <c r="W2261"/>
  <c r="R2261"/>
  <c r="Z2261" s="1"/>
  <c r="O2261"/>
  <c r="U2261" s="1"/>
  <c r="V2261" s="1"/>
  <c r="M2261"/>
  <c r="AB2260"/>
  <c r="AC2260" s="1"/>
  <c r="Y2260"/>
  <c r="X2260"/>
  <c r="W2260"/>
  <c r="R2260"/>
  <c r="Z2260" s="1"/>
  <c r="M2260"/>
  <c r="O2260" s="1"/>
  <c r="U2260" s="1"/>
  <c r="V2260" s="1"/>
  <c r="AB2259"/>
  <c r="AC2259" s="1"/>
  <c r="Y2259"/>
  <c r="X2259"/>
  <c r="W2259"/>
  <c r="S2259"/>
  <c r="T2259" s="1"/>
  <c r="R2259"/>
  <c r="Z2259" s="1"/>
  <c r="AA2259" s="1"/>
  <c r="M2259"/>
  <c r="O2259" s="1"/>
  <c r="U2259" s="1"/>
  <c r="V2259" s="1"/>
  <c r="W2258"/>
  <c r="R2258"/>
  <c r="Z2258" s="1"/>
  <c r="M2258"/>
  <c r="O2258" s="1"/>
  <c r="U2258" s="1"/>
  <c r="V2258" s="1"/>
  <c r="Y2257"/>
  <c r="W2257"/>
  <c r="R2257"/>
  <c r="Z2257" s="1"/>
  <c r="O2257"/>
  <c r="U2257" s="1"/>
  <c r="V2257" s="1"/>
  <c r="M2257"/>
  <c r="AB2256"/>
  <c r="AC2256" s="1"/>
  <c r="Y2256"/>
  <c r="X2256"/>
  <c r="W2256"/>
  <c r="R2256"/>
  <c r="Z2256" s="1"/>
  <c r="M2256"/>
  <c r="O2256" s="1"/>
  <c r="U2256" s="1"/>
  <c r="V2256" s="1"/>
  <c r="AB2255"/>
  <c r="AC2255" s="1"/>
  <c r="Y2255"/>
  <c r="X2255"/>
  <c r="W2255"/>
  <c r="S2255"/>
  <c r="T2255" s="1"/>
  <c r="AD2255" s="1"/>
  <c r="R2255"/>
  <c r="Z2255" s="1"/>
  <c r="AA2255" s="1"/>
  <c r="M2255"/>
  <c r="O2255" s="1"/>
  <c r="U2255" s="1"/>
  <c r="V2255" s="1"/>
  <c r="W2254"/>
  <c r="R2254"/>
  <c r="Z2254" s="1"/>
  <c r="M2254"/>
  <c r="O2254" s="1"/>
  <c r="U2254" s="1"/>
  <c r="V2254" s="1"/>
  <c r="Y2253"/>
  <c r="W2253"/>
  <c r="R2253"/>
  <c r="Z2253" s="1"/>
  <c r="O2253"/>
  <c r="U2253" s="1"/>
  <c r="V2253" s="1"/>
  <c r="M2253"/>
  <c r="AB2252"/>
  <c r="AC2252" s="1"/>
  <c r="Y2252"/>
  <c r="X2252"/>
  <c r="W2252"/>
  <c r="R2252"/>
  <c r="Z2252" s="1"/>
  <c r="M2252"/>
  <c r="O2252" s="1"/>
  <c r="U2252" s="1"/>
  <c r="V2252" s="1"/>
  <c r="AB2251"/>
  <c r="AC2251" s="1"/>
  <c r="X2251"/>
  <c r="W2251"/>
  <c r="S2251"/>
  <c r="T2251" s="1"/>
  <c r="R2251"/>
  <c r="Y2251" s="1"/>
  <c r="M2251"/>
  <c r="O2251" s="1"/>
  <c r="U2251" s="1"/>
  <c r="V2251" s="1"/>
  <c r="W2250"/>
  <c r="R2250"/>
  <c r="Z2250" s="1"/>
  <c r="M2250"/>
  <c r="O2250" s="1"/>
  <c r="U2250" s="1"/>
  <c r="V2250" s="1"/>
  <c r="Y2249"/>
  <c r="W2249"/>
  <c r="R2249"/>
  <c r="Z2249" s="1"/>
  <c r="O2249"/>
  <c r="U2249" s="1"/>
  <c r="V2249" s="1"/>
  <c r="M2249"/>
  <c r="AB2248"/>
  <c r="AC2248" s="1"/>
  <c r="Y2248"/>
  <c r="X2248"/>
  <c r="W2248"/>
  <c r="R2248"/>
  <c r="Z2248" s="1"/>
  <c r="M2248"/>
  <c r="O2248" s="1"/>
  <c r="U2248" s="1"/>
  <c r="V2248" s="1"/>
  <c r="AB2247"/>
  <c r="AC2247" s="1"/>
  <c r="X2247"/>
  <c r="W2247"/>
  <c r="S2247"/>
  <c r="T2247" s="1"/>
  <c r="R2247"/>
  <c r="Y2247" s="1"/>
  <c r="M2247"/>
  <c r="O2247" s="1"/>
  <c r="U2247" s="1"/>
  <c r="V2247" s="1"/>
  <c r="W2246"/>
  <c r="R2246"/>
  <c r="Z2246" s="1"/>
  <c r="M2246"/>
  <c r="O2246" s="1"/>
  <c r="U2246" s="1"/>
  <c r="V2246" s="1"/>
  <c r="Y2245"/>
  <c r="W2245"/>
  <c r="R2245"/>
  <c r="Z2245" s="1"/>
  <c r="O2245"/>
  <c r="U2245" s="1"/>
  <c r="V2245" s="1"/>
  <c r="M2245"/>
  <c r="AB2244"/>
  <c r="AC2244" s="1"/>
  <c r="Y2244"/>
  <c r="X2244"/>
  <c r="W2244"/>
  <c r="R2244"/>
  <c r="Z2244" s="1"/>
  <c r="M2244"/>
  <c r="O2244" s="1"/>
  <c r="U2244" s="1"/>
  <c r="V2244" s="1"/>
  <c r="AB2243"/>
  <c r="AC2243" s="1"/>
  <c r="X2243"/>
  <c r="W2243"/>
  <c r="S2243"/>
  <c r="T2243" s="1"/>
  <c r="R2243"/>
  <c r="Y2243" s="1"/>
  <c r="M2243"/>
  <c r="O2243" s="1"/>
  <c r="W2242"/>
  <c r="R2242"/>
  <c r="Z2242" s="1"/>
  <c r="M2242"/>
  <c r="O2242" s="1"/>
  <c r="U2242" s="1"/>
  <c r="V2242" s="1"/>
  <c r="Y2241"/>
  <c r="W2241"/>
  <c r="R2241"/>
  <c r="Z2241" s="1"/>
  <c r="O2241"/>
  <c r="U2241" s="1"/>
  <c r="V2241" s="1"/>
  <c r="M2241"/>
  <c r="AB2240"/>
  <c r="AC2240" s="1"/>
  <c r="Y2240"/>
  <c r="X2240"/>
  <c r="W2240"/>
  <c r="R2240"/>
  <c r="Z2240" s="1"/>
  <c r="M2240"/>
  <c r="O2240" s="1"/>
  <c r="U2240" s="1"/>
  <c r="V2240" s="1"/>
  <c r="AB2239"/>
  <c r="AC2239" s="1"/>
  <c r="X2239"/>
  <c r="W2239"/>
  <c r="S2239"/>
  <c r="T2239" s="1"/>
  <c r="R2239"/>
  <c r="Y2239" s="1"/>
  <c r="M2239"/>
  <c r="O2239" s="1"/>
  <c r="U2239" s="1"/>
  <c r="V2239" s="1"/>
  <c r="W2238"/>
  <c r="R2238"/>
  <c r="Z2238" s="1"/>
  <c r="M2238"/>
  <c r="O2238" s="1"/>
  <c r="U2238" s="1"/>
  <c r="V2238" s="1"/>
  <c r="Y2237"/>
  <c r="W2237"/>
  <c r="R2237"/>
  <c r="Z2237" s="1"/>
  <c r="O2237"/>
  <c r="U2237" s="1"/>
  <c r="V2237" s="1"/>
  <c r="M2237"/>
  <c r="AB2236"/>
  <c r="AC2236" s="1"/>
  <c r="Y2236"/>
  <c r="X2236"/>
  <c r="W2236"/>
  <c r="R2236"/>
  <c r="Z2236" s="1"/>
  <c r="M2236"/>
  <c r="O2236" s="1"/>
  <c r="U2236" s="1"/>
  <c r="V2236" s="1"/>
  <c r="AB2235"/>
  <c r="AC2235" s="1"/>
  <c r="X2235"/>
  <c r="W2235"/>
  <c r="S2235"/>
  <c r="T2235" s="1"/>
  <c r="R2235"/>
  <c r="Y2235" s="1"/>
  <c r="M2235"/>
  <c r="O2235" s="1"/>
  <c r="U2235" s="1"/>
  <c r="V2235" s="1"/>
  <c r="W2234"/>
  <c r="R2234"/>
  <c r="Z2234" s="1"/>
  <c r="M2234"/>
  <c r="O2234" s="1"/>
  <c r="U2234" s="1"/>
  <c r="V2234" s="1"/>
  <c r="Y2233"/>
  <c r="W2233"/>
  <c r="R2233"/>
  <c r="Z2233" s="1"/>
  <c r="O2233"/>
  <c r="U2233" s="1"/>
  <c r="V2233" s="1"/>
  <c r="M2233"/>
  <c r="AB2232"/>
  <c r="AC2232" s="1"/>
  <c r="Y2232"/>
  <c r="X2232"/>
  <c r="W2232"/>
  <c r="R2232"/>
  <c r="Z2232" s="1"/>
  <c r="M2232"/>
  <c r="O2232" s="1"/>
  <c r="U2232" s="1"/>
  <c r="V2232" s="1"/>
  <c r="AB2231"/>
  <c r="AC2231" s="1"/>
  <c r="X2231"/>
  <c r="W2231"/>
  <c r="S2231"/>
  <c r="T2231" s="1"/>
  <c r="R2231"/>
  <c r="Y2231" s="1"/>
  <c r="M2231"/>
  <c r="O2231" s="1"/>
  <c r="U2231" s="1"/>
  <c r="V2231" s="1"/>
  <c r="W2230"/>
  <c r="R2230"/>
  <c r="Z2230" s="1"/>
  <c r="M2230"/>
  <c r="O2230" s="1"/>
  <c r="U2230" s="1"/>
  <c r="V2230" s="1"/>
  <c r="Y2229"/>
  <c r="W2229"/>
  <c r="R2229"/>
  <c r="Z2229" s="1"/>
  <c r="O2229"/>
  <c r="U2229" s="1"/>
  <c r="V2229" s="1"/>
  <c r="M2229"/>
  <c r="AB2228"/>
  <c r="AC2228" s="1"/>
  <c r="Y2228"/>
  <c r="X2228"/>
  <c r="W2228"/>
  <c r="R2228"/>
  <c r="Z2228" s="1"/>
  <c r="M2228"/>
  <c r="O2228" s="1"/>
  <c r="U2228" s="1"/>
  <c r="V2228" s="1"/>
  <c r="AB2227"/>
  <c r="AC2227" s="1"/>
  <c r="X2227"/>
  <c r="W2227"/>
  <c r="S2227"/>
  <c r="T2227" s="1"/>
  <c r="R2227"/>
  <c r="Y2227" s="1"/>
  <c r="M2227"/>
  <c r="O2227" s="1"/>
  <c r="U2227" s="1"/>
  <c r="V2227" s="1"/>
  <c r="W2226"/>
  <c r="R2226"/>
  <c r="Z2226" s="1"/>
  <c r="M2226"/>
  <c r="O2226" s="1"/>
  <c r="U2226" s="1"/>
  <c r="V2226" s="1"/>
  <c r="Y2225"/>
  <c r="W2225"/>
  <c r="R2225"/>
  <c r="Z2225" s="1"/>
  <c r="O2225"/>
  <c r="U2225" s="1"/>
  <c r="V2225" s="1"/>
  <c r="M2225"/>
  <c r="AB2224"/>
  <c r="AC2224" s="1"/>
  <c r="Y2224"/>
  <c r="X2224"/>
  <c r="W2224"/>
  <c r="R2224"/>
  <c r="Z2224" s="1"/>
  <c r="M2224"/>
  <c r="O2224" s="1"/>
  <c r="U2224" s="1"/>
  <c r="V2224" s="1"/>
  <c r="AB2223"/>
  <c r="AC2223" s="1"/>
  <c r="X2223"/>
  <c r="W2223"/>
  <c r="S2223"/>
  <c r="T2223" s="1"/>
  <c r="R2223"/>
  <c r="Y2223" s="1"/>
  <c r="M2223"/>
  <c r="O2223" s="1"/>
  <c r="U2223" s="1"/>
  <c r="V2223" s="1"/>
  <c r="W2222"/>
  <c r="R2222"/>
  <c r="Z2222" s="1"/>
  <c r="M2222"/>
  <c r="O2222" s="1"/>
  <c r="U2222" s="1"/>
  <c r="V2222" s="1"/>
  <c r="Y2221"/>
  <c r="W2221"/>
  <c r="R2221"/>
  <c r="Z2221" s="1"/>
  <c r="O2221"/>
  <c r="U2221" s="1"/>
  <c r="V2221" s="1"/>
  <c r="M2221"/>
  <c r="AB2220"/>
  <c r="AC2220" s="1"/>
  <c r="Y2220"/>
  <c r="X2220"/>
  <c r="W2220"/>
  <c r="R2220"/>
  <c r="Z2220" s="1"/>
  <c r="M2220"/>
  <c r="O2220" s="1"/>
  <c r="U2220" s="1"/>
  <c r="V2220" s="1"/>
  <c r="X2219"/>
  <c r="W2219"/>
  <c r="S2219"/>
  <c r="T2219" s="1"/>
  <c r="R2219"/>
  <c r="AB2219" s="1"/>
  <c r="AC2219" s="1"/>
  <c r="M2219"/>
  <c r="O2219" s="1"/>
  <c r="U2219" s="1"/>
  <c r="V2219" s="1"/>
  <c r="W2218"/>
  <c r="R2218"/>
  <c r="Z2218" s="1"/>
  <c r="M2218"/>
  <c r="O2218" s="1"/>
  <c r="Y2217"/>
  <c r="W2217"/>
  <c r="R2217"/>
  <c r="Z2217" s="1"/>
  <c r="O2217"/>
  <c r="U2217" s="1"/>
  <c r="V2217" s="1"/>
  <c r="M2217"/>
  <c r="AB2216"/>
  <c r="AC2216" s="1"/>
  <c r="X2216"/>
  <c r="W2216"/>
  <c r="R2216"/>
  <c r="Y2216" s="1"/>
  <c r="M2216"/>
  <c r="O2216" s="1"/>
  <c r="U2216" s="1"/>
  <c r="V2216" s="1"/>
  <c r="X2215"/>
  <c r="W2215"/>
  <c r="S2215"/>
  <c r="T2215" s="1"/>
  <c r="R2215"/>
  <c r="AB2215" s="1"/>
  <c r="AC2215" s="1"/>
  <c r="M2215"/>
  <c r="O2215" s="1"/>
  <c r="U2215" s="1"/>
  <c r="V2215" s="1"/>
  <c r="W2214"/>
  <c r="R2214"/>
  <c r="Z2214" s="1"/>
  <c r="M2214"/>
  <c r="O2214" s="1"/>
  <c r="U2214" s="1"/>
  <c r="V2214" s="1"/>
  <c r="Y2213"/>
  <c r="W2213"/>
  <c r="R2213"/>
  <c r="Z2213" s="1"/>
  <c r="O2213"/>
  <c r="U2213" s="1"/>
  <c r="V2213" s="1"/>
  <c r="M2213"/>
  <c r="AB2212"/>
  <c r="AC2212" s="1"/>
  <c r="X2212"/>
  <c r="W2212"/>
  <c r="R2212"/>
  <c r="Y2212" s="1"/>
  <c r="M2212"/>
  <c r="O2212" s="1"/>
  <c r="U2212" s="1"/>
  <c r="V2212" s="1"/>
  <c r="W2211"/>
  <c r="S2211"/>
  <c r="T2211" s="1"/>
  <c r="R2211"/>
  <c r="AB2211" s="1"/>
  <c r="AC2211" s="1"/>
  <c r="M2211"/>
  <c r="O2211" s="1"/>
  <c r="U2211" s="1"/>
  <c r="V2211" s="1"/>
  <c r="W2210"/>
  <c r="R2210"/>
  <c r="Z2210" s="1"/>
  <c r="M2210"/>
  <c r="O2210" s="1"/>
  <c r="U2210" s="1"/>
  <c r="V2210" s="1"/>
  <c r="Y2209"/>
  <c r="W2209"/>
  <c r="R2209"/>
  <c r="Z2209" s="1"/>
  <c r="O2209"/>
  <c r="U2209" s="1"/>
  <c r="V2209" s="1"/>
  <c r="M2209"/>
  <c r="AB2208"/>
  <c r="AC2208" s="1"/>
  <c r="X2208"/>
  <c r="W2208"/>
  <c r="R2208"/>
  <c r="Y2208" s="1"/>
  <c r="M2208"/>
  <c r="O2208" s="1"/>
  <c r="U2208" s="1"/>
  <c r="V2208" s="1"/>
  <c r="W2207"/>
  <c r="S2207"/>
  <c r="T2207" s="1"/>
  <c r="R2207"/>
  <c r="AB2207" s="1"/>
  <c r="AC2207" s="1"/>
  <c r="M2207"/>
  <c r="O2207" s="1"/>
  <c r="U2207" s="1"/>
  <c r="V2207" s="1"/>
  <c r="W2206"/>
  <c r="R2206"/>
  <c r="Z2206" s="1"/>
  <c r="M2206"/>
  <c r="O2206" s="1"/>
  <c r="U2206" s="1"/>
  <c r="V2206" s="1"/>
  <c r="Y2205"/>
  <c r="W2205"/>
  <c r="R2205"/>
  <c r="Z2205" s="1"/>
  <c r="O2205"/>
  <c r="U2205" s="1"/>
  <c r="V2205" s="1"/>
  <c r="M2205"/>
  <c r="AB2204"/>
  <c r="AC2204" s="1"/>
  <c r="X2204"/>
  <c r="W2204"/>
  <c r="R2204"/>
  <c r="Y2204" s="1"/>
  <c r="M2204"/>
  <c r="O2204" s="1"/>
  <c r="U2204" s="1"/>
  <c r="V2204" s="1"/>
  <c r="W2203"/>
  <c r="S2203"/>
  <c r="T2203" s="1"/>
  <c r="R2203"/>
  <c r="AB2203" s="1"/>
  <c r="AC2203" s="1"/>
  <c r="M2203"/>
  <c r="O2203" s="1"/>
  <c r="U2203" s="1"/>
  <c r="V2203" s="1"/>
  <c r="W2202"/>
  <c r="R2202"/>
  <c r="Z2202" s="1"/>
  <c r="O2202"/>
  <c r="U2202" s="1"/>
  <c r="V2202" s="1"/>
  <c r="M2202"/>
  <c r="Y2201"/>
  <c r="W2201"/>
  <c r="R2201"/>
  <c r="Z2201" s="1"/>
  <c r="O2201"/>
  <c r="U2201" s="1"/>
  <c r="M2201"/>
  <c r="AB2200"/>
  <c r="AC2200" s="1"/>
  <c r="X2200"/>
  <c r="W2200"/>
  <c r="S2200"/>
  <c r="R2200"/>
  <c r="Y2200" s="1"/>
  <c r="M2200"/>
  <c r="T2200" s="1"/>
  <c r="W2199"/>
  <c r="S2199"/>
  <c r="T2199" s="1"/>
  <c r="R2199"/>
  <c r="AB2199" s="1"/>
  <c r="AC2199" s="1"/>
  <c r="M2199"/>
  <c r="O2199" s="1"/>
  <c r="U2199" s="1"/>
  <c r="V2199" s="1"/>
  <c r="W2198"/>
  <c r="R2198"/>
  <c r="Z2198" s="1"/>
  <c r="O2198"/>
  <c r="U2198" s="1"/>
  <c r="V2198" s="1"/>
  <c r="M2198"/>
  <c r="Y2197"/>
  <c r="X2197"/>
  <c r="W2197"/>
  <c r="R2197"/>
  <c r="Z2197" s="1"/>
  <c r="O2197"/>
  <c r="U2197" s="1"/>
  <c r="V2197" s="1"/>
  <c r="M2197"/>
  <c r="AB2196"/>
  <c r="AC2196" s="1"/>
  <c r="X2196"/>
  <c r="W2196"/>
  <c r="S2196"/>
  <c r="R2196"/>
  <c r="Y2196" s="1"/>
  <c r="M2196"/>
  <c r="T2196" s="1"/>
  <c r="W2195"/>
  <c r="S2195"/>
  <c r="T2195" s="1"/>
  <c r="R2195"/>
  <c r="AB2195" s="1"/>
  <c r="AC2195" s="1"/>
  <c r="M2195"/>
  <c r="O2195" s="1"/>
  <c r="U2195" s="1"/>
  <c r="V2195" s="1"/>
  <c r="W2194"/>
  <c r="R2194"/>
  <c r="Z2194" s="1"/>
  <c r="O2194"/>
  <c r="U2194" s="1"/>
  <c r="V2194" s="1"/>
  <c r="M2194"/>
  <c r="Y2193"/>
  <c r="X2193"/>
  <c r="W2193"/>
  <c r="R2193"/>
  <c r="Z2193" s="1"/>
  <c r="O2193"/>
  <c r="U2193" s="1"/>
  <c r="V2193" s="1"/>
  <c r="M2193"/>
  <c r="AB2192"/>
  <c r="AC2192" s="1"/>
  <c r="X2192"/>
  <c r="W2192"/>
  <c r="S2192"/>
  <c r="R2192"/>
  <c r="Y2192" s="1"/>
  <c r="M2192"/>
  <c r="T2192" s="1"/>
  <c r="W2191"/>
  <c r="S2191"/>
  <c r="T2191" s="1"/>
  <c r="R2191"/>
  <c r="AB2191" s="1"/>
  <c r="AC2191" s="1"/>
  <c r="M2191"/>
  <c r="O2191" s="1"/>
  <c r="U2191" s="1"/>
  <c r="V2191" s="1"/>
  <c r="W2190"/>
  <c r="R2190"/>
  <c r="Z2190" s="1"/>
  <c r="O2190"/>
  <c r="U2190" s="1"/>
  <c r="V2190" s="1"/>
  <c r="M2190"/>
  <c r="Y2189"/>
  <c r="X2189"/>
  <c r="W2189"/>
  <c r="R2189"/>
  <c r="Z2189" s="1"/>
  <c r="O2189"/>
  <c r="U2189" s="1"/>
  <c r="V2189" s="1"/>
  <c r="M2189"/>
  <c r="AB2188"/>
  <c r="AC2188" s="1"/>
  <c r="X2188"/>
  <c r="W2188"/>
  <c r="S2188"/>
  <c r="R2188"/>
  <c r="Y2188" s="1"/>
  <c r="M2188"/>
  <c r="T2188" s="1"/>
  <c r="W2187"/>
  <c r="S2187"/>
  <c r="T2187" s="1"/>
  <c r="R2187"/>
  <c r="AB2187" s="1"/>
  <c r="AC2187" s="1"/>
  <c r="M2187"/>
  <c r="O2187" s="1"/>
  <c r="U2187" s="1"/>
  <c r="V2187" s="1"/>
  <c r="W2186"/>
  <c r="R2186"/>
  <c r="Z2186" s="1"/>
  <c r="O2186"/>
  <c r="U2186" s="1"/>
  <c r="V2186" s="1"/>
  <c r="M2186"/>
  <c r="Y2185"/>
  <c r="X2185"/>
  <c r="W2185"/>
  <c r="R2185"/>
  <c r="Z2185" s="1"/>
  <c r="O2185"/>
  <c r="U2185" s="1"/>
  <c r="V2185" s="1"/>
  <c r="M2185"/>
  <c r="AB2184"/>
  <c r="AC2184" s="1"/>
  <c r="X2184"/>
  <c r="W2184"/>
  <c r="S2184"/>
  <c r="R2184"/>
  <c r="Y2184" s="1"/>
  <c r="M2184"/>
  <c r="T2184" s="1"/>
  <c r="W2183"/>
  <c r="S2183"/>
  <c r="T2183" s="1"/>
  <c r="R2183"/>
  <c r="AB2183" s="1"/>
  <c r="AC2183" s="1"/>
  <c r="M2183"/>
  <c r="O2183" s="1"/>
  <c r="U2183" s="1"/>
  <c r="V2183" s="1"/>
  <c r="W2182"/>
  <c r="R2182"/>
  <c r="Z2182" s="1"/>
  <c r="O2182"/>
  <c r="U2182" s="1"/>
  <c r="V2182" s="1"/>
  <c r="M2182"/>
  <c r="AC2181"/>
  <c r="AB2181"/>
  <c r="Y2181"/>
  <c r="X2181"/>
  <c r="W2181"/>
  <c r="R2181"/>
  <c r="Z2181" s="1"/>
  <c r="O2181"/>
  <c r="U2181" s="1"/>
  <c r="V2181" s="1"/>
  <c r="M2181"/>
  <c r="AB2180"/>
  <c r="AC2180" s="1"/>
  <c r="X2180"/>
  <c r="W2180"/>
  <c r="S2180"/>
  <c r="R2180"/>
  <c r="Y2180" s="1"/>
  <c r="M2180"/>
  <c r="T2180" s="1"/>
  <c r="W2179"/>
  <c r="S2179"/>
  <c r="T2179" s="1"/>
  <c r="R2179"/>
  <c r="AB2179" s="1"/>
  <c r="AC2179" s="1"/>
  <c r="M2179"/>
  <c r="O2179" s="1"/>
  <c r="U2179" s="1"/>
  <c r="V2179" s="1"/>
  <c r="W2178"/>
  <c r="R2178"/>
  <c r="Z2178" s="1"/>
  <c r="O2178"/>
  <c r="U2178" s="1"/>
  <c r="V2178" s="1"/>
  <c r="M2178"/>
  <c r="AC2177"/>
  <c r="AB2177"/>
  <c r="Y2177"/>
  <c r="X2177"/>
  <c r="W2177"/>
  <c r="R2177"/>
  <c r="Z2177" s="1"/>
  <c r="O2177"/>
  <c r="U2177" s="1"/>
  <c r="V2177" s="1"/>
  <c r="M2177"/>
  <c r="AB2176"/>
  <c r="AC2176" s="1"/>
  <c r="X2176"/>
  <c r="W2176"/>
  <c r="S2176"/>
  <c r="R2176"/>
  <c r="Y2176" s="1"/>
  <c r="M2176"/>
  <c r="T2176" s="1"/>
  <c r="W2175"/>
  <c r="S2175"/>
  <c r="T2175" s="1"/>
  <c r="R2175"/>
  <c r="AB2175" s="1"/>
  <c r="AC2175" s="1"/>
  <c r="M2175"/>
  <c r="O2175" s="1"/>
  <c r="U2175" s="1"/>
  <c r="V2175" s="1"/>
  <c r="W2174"/>
  <c r="R2174"/>
  <c r="Z2174" s="1"/>
  <c r="O2174"/>
  <c r="U2174" s="1"/>
  <c r="V2174" s="1"/>
  <c r="M2174"/>
  <c r="AC2173"/>
  <c r="AB2173"/>
  <c r="Y2173"/>
  <c r="X2173"/>
  <c r="W2173"/>
  <c r="R2173"/>
  <c r="Z2173" s="1"/>
  <c r="O2173"/>
  <c r="U2173" s="1"/>
  <c r="V2173" s="1"/>
  <c r="M2173"/>
  <c r="AB2172"/>
  <c r="AC2172" s="1"/>
  <c r="X2172"/>
  <c r="W2172"/>
  <c r="S2172"/>
  <c r="R2172"/>
  <c r="Y2172" s="1"/>
  <c r="M2172"/>
  <c r="T2172" s="1"/>
  <c r="W2171"/>
  <c r="S2171"/>
  <c r="T2171" s="1"/>
  <c r="R2171"/>
  <c r="AB2171" s="1"/>
  <c r="AC2171" s="1"/>
  <c r="M2171"/>
  <c r="O2171" s="1"/>
  <c r="U2171" s="1"/>
  <c r="V2171" s="1"/>
  <c r="W2170"/>
  <c r="R2170"/>
  <c r="Z2170" s="1"/>
  <c r="O2170"/>
  <c r="U2170" s="1"/>
  <c r="V2170" s="1"/>
  <c r="M2170"/>
  <c r="AC2169"/>
  <c r="AB2169"/>
  <c r="Y2169"/>
  <c r="X2169"/>
  <c r="W2169"/>
  <c r="R2169"/>
  <c r="Z2169" s="1"/>
  <c r="O2169"/>
  <c r="U2169" s="1"/>
  <c r="V2169" s="1"/>
  <c r="M2169"/>
  <c r="AB2168"/>
  <c r="AC2168" s="1"/>
  <c r="X2168"/>
  <c r="W2168"/>
  <c r="S2168"/>
  <c r="R2168"/>
  <c r="Y2168" s="1"/>
  <c r="M2168"/>
  <c r="T2168" s="1"/>
  <c r="W2167"/>
  <c r="S2167"/>
  <c r="T2167" s="1"/>
  <c r="R2167"/>
  <c r="AB2167" s="1"/>
  <c r="AC2167" s="1"/>
  <c r="M2167"/>
  <c r="O2167" s="1"/>
  <c r="U2167" s="1"/>
  <c r="V2167" s="1"/>
  <c r="W2166"/>
  <c r="R2166"/>
  <c r="Z2166" s="1"/>
  <c r="O2166"/>
  <c r="U2166" s="1"/>
  <c r="V2166" s="1"/>
  <c r="M2166"/>
  <c r="AC2165"/>
  <c r="AB2165"/>
  <c r="Y2165"/>
  <c r="X2165"/>
  <c r="W2165"/>
  <c r="R2165"/>
  <c r="Z2165" s="1"/>
  <c r="O2165"/>
  <c r="U2165" s="1"/>
  <c r="V2165" s="1"/>
  <c r="M2165"/>
  <c r="AB2164"/>
  <c r="AC2164" s="1"/>
  <c r="X2164"/>
  <c r="W2164"/>
  <c r="S2164"/>
  <c r="R2164"/>
  <c r="Y2164" s="1"/>
  <c r="M2164"/>
  <c r="T2164" s="1"/>
  <c r="W2163"/>
  <c r="S2163"/>
  <c r="T2163" s="1"/>
  <c r="R2163"/>
  <c r="AB2163" s="1"/>
  <c r="AC2163" s="1"/>
  <c r="M2163"/>
  <c r="O2163" s="1"/>
  <c r="U2163" s="1"/>
  <c r="V2163" s="1"/>
  <c r="W2162"/>
  <c r="R2162"/>
  <c r="Z2162" s="1"/>
  <c r="O2162"/>
  <c r="U2162" s="1"/>
  <c r="V2162" s="1"/>
  <c r="M2162"/>
  <c r="AC2161"/>
  <c r="AB2161"/>
  <c r="Y2161"/>
  <c r="X2161"/>
  <c r="W2161"/>
  <c r="R2161"/>
  <c r="Z2161" s="1"/>
  <c r="O2161"/>
  <c r="U2161" s="1"/>
  <c r="V2161" s="1"/>
  <c r="M2161"/>
  <c r="AB2160"/>
  <c r="AC2160" s="1"/>
  <c r="X2160"/>
  <c r="W2160"/>
  <c r="S2160"/>
  <c r="R2160"/>
  <c r="Y2160" s="1"/>
  <c r="M2160"/>
  <c r="T2160" s="1"/>
  <c r="W2159"/>
  <c r="S2159"/>
  <c r="T2159" s="1"/>
  <c r="R2159"/>
  <c r="AB2159" s="1"/>
  <c r="AC2159" s="1"/>
  <c r="M2159"/>
  <c r="O2159" s="1"/>
  <c r="U2159" s="1"/>
  <c r="V2159" s="1"/>
  <c r="W2158"/>
  <c r="R2158"/>
  <c r="Z2158" s="1"/>
  <c r="O2158"/>
  <c r="U2158" s="1"/>
  <c r="V2158" s="1"/>
  <c r="M2158"/>
  <c r="AC2157"/>
  <c r="AB2157"/>
  <c r="Y2157"/>
  <c r="X2157"/>
  <c r="W2157"/>
  <c r="R2157"/>
  <c r="Z2157" s="1"/>
  <c r="O2157"/>
  <c r="U2157" s="1"/>
  <c r="V2157" s="1"/>
  <c r="M2157"/>
  <c r="AB2156"/>
  <c r="AC2156" s="1"/>
  <c r="X2156"/>
  <c r="W2156"/>
  <c r="S2156"/>
  <c r="R2156"/>
  <c r="Y2156" s="1"/>
  <c r="M2156"/>
  <c r="T2156" s="1"/>
  <c r="W2155"/>
  <c r="S2155"/>
  <c r="T2155" s="1"/>
  <c r="R2155"/>
  <c r="AB2155" s="1"/>
  <c r="AC2155" s="1"/>
  <c r="M2155"/>
  <c r="O2155" s="1"/>
  <c r="U2155" s="1"/>
  <c r="V2155" s="1"/>
  <c r="W2154"/>
  <c r="R2154"/>
  <c r="Z2154" s="1"/>
  <c r="O2154"/>
  <c r="U2154" s="1"/>
  <c r="V2154" s="1"/>
  <c r="M2154"/>
  <c r="AC2153"/>
  <c r="AB2153"/>
  <c r="Y2153"/>
  <c r="X2153"/>
  <c r="W2153"/>
  <c r="R2153"/>
  <c r="Z2153" s="1"/>
  <c r="O2153"/>
  <c r="U2153" s="1"/>
  <c r="M2153"/>
  <c r="AB2152"/>
  <c r="AC2152" s="1"/>
  <c r="X2152"/>
  <c r="W2152"/>
  <c r="S2152"/>
  <c r="R2152"/>
  <c r="Y2152" s="1"/>
  <c r="M2152"/>
  <c r="T2152" s="1"/>
  <c r="W2151"/>
  <c r="S2151"/>
  <c r="T2151" s="1"/>
  <c r="R2151"/>
  <c r="AB2151" s="1"/>
  <c r="AC2151" s="1"/>
  <c r="M2151"/>
  <c r="O2151" s="1"/>
  <c r="U2151" s="1"/>
  <c r="V2151" s="1"/>
  <c r="W2150"/>
  <c r="R2150"/>
  <c r="Z2150" s="1"/>
  <c r="O2150"/>
  <c r="U2150" s="1"/>
  <c r="V2150" s="1"/>
  <c r="M2150"/>
  <c r="AC2149"/>
  <c r="AB2149"/>
  <c r="Y2149"/>
  <c r="X2149"/>
  <c r="W2149"/>
  <c r="R2149"/>
  <c r="Z2149" s="1"/>
  <c r="O2149"/>
  <c r="U2149" s="1"/>
  <c r="V2149" s="1"/>
  <c r="M2149"/>
  <c r="AB2148"/>
  <c r="AC2148" s="1"/>
  <c r="X2148"/>
  <c r="W2148"/>
  <c r="S2148"/>
  <c r="R2148"/>
  <c r="Y2148" s="1"/>
  <c r="M2148"/>
  <c r="T2148" s="1"/>
  <c r="W2147"/>
  <c r="S2147"/>
  <c r="T2147" s="1"/>
  <c r="R2147"/>
  <c r="AB2147" s="1"/>
  <c r="AC2147" s="1"/>
  <c r="M2147"/>
  <c r="O2147" s="1"/>
  <c r="U2147" s="1"/>
  <c r="V2147" s="1"/>
  <c r="W2146"/>
  <c r="R2146"/>
  <c r="Z2146" s="1"/>
  <c r="O2146"/>
  <c r="U2146" s="1"/>
  <c r="V2146" s="1"/>
  <c r="M2146"/>
  <c r="AC2145"/>
  <c r="AB2145"/>
  <c r="Y2145"/>
  <c r="X2145"/>
  <c r="W2145"/>
  <c r="R2145"/>
  <c r="Z2145" s="1"/>
  <c r="O2145"/>
  <c r="U2145" s="1"/>
  <c r="V2145" s="1"/>
  <c r="M2145"/>
  <c r="AB2144"/>
  <c r="AC2144" s="1"/>
  <c r="X2144"/>
  <c r="W2144"/>
  <c r="S2144"/>
  <c r="R2144"/>
  <c r="Y2144" s="1"/>
  <c r="M2144"/>
  <c r="T2144" s="1"/>
  <c r="W2143"/>
  <c r="S2143"/>
  <c r="T2143" s="1"/>
  <c r="R2143"/>
  <c r="AB2143" s="1"/>
  <c r="AC2143" s="1"/>
  <c r="M2143"/>
  <c r="O2143" s="1"/>
  <c r="U2143" s="1"/>
  <c r="V2143" s="1"/>
  <c r="W2142"/>
  <c r="R2142"/>
  <c r="Z2142" s="1"/>
  <c r="O2142"/>
  <c r="U2142" s="1"/>
  <c r="V2142" s="1"/>
  <c r="M2142"/>
  <c r="AC2141"/>
  <c r="AB2141"/>
  <c r="Y2141"/>
  <c r="X2141"/>
  <c r="W2141"/>
  <c r="R2141"/>
  <c r="Z2141" s="1"/>
  <c r="O2141"/>
  <c r="U2141" s="1"/>
  <c r="V2141" s="1"/>
  <c r="M2141"/>
  <c r="AB2140"/>
  <c r="AC2140" s="1"/>
  <c r="X2140"/>
  <c r="W2140"/>
  <c r="S2140"/>
  <c r="R2140"/>
  <c r="Y2140" s="1"/>
  <c r="M2140"/>
  <c r="T2140" s="1"/>
  <c r="W2139"/>
  <c r="S2139"/>
  <c r="T2139" s="1"/>
  <c r="R2139"/>
  <c r="AB2139" s="1"/>
  <c r="AC2139" s="1"/>
  <c r="M2139"/>
  <c r="O2139" s="1"/>
  <c r="U2139" s="1"/>
  <c r="V2139" s="1"/>
  <c r="W2138"/>
  <c r="R2138"/>
  <c r="Z2138" s="1"/>
  <c r="O2138"/>
  <c r="U2138" s="1"/>
  <c r="V2138" s="1"/>
  <c r="M2138"/>
  <c r="AC2137"/>
  <c r="AB2137"/>
  <c r="Y2137"/>
  <c r="X2137"/>
  <c r="W2137"/>
  <c r="R2137"/>
  <c r="Z2137" s="1"/>
  <c r="O2137"/>
  <c r="U2137" s="1"/>
  <c r="V2137" s="1"/>
  <c r="M2137"/>
  <c r="AB2136"/>
  <c r="AC2136" s="1"/>
  <c r="X2136"/>
  <c r="W2136"/>
  <c r="S2136"/>
  <c r="R2136"/>
  <c r="Y2136" s="1"/>
  <c r="M2136"/>
  <c r="T2136" s="1"/>
  <c r="W2135"/>
  <c r="S2135"/>
  <c r="T2135" s="1"/>
  <c r="R2135"/>
  <c r="AB2135" s="1"/>
  <c r="AC2135" s="1"/>
  <c r="M2135"/>
  <c r="O2135" s="1"/>
  <c r="U2135" s="1"/>
  <c r="V2135" s="1"/>
  <c r="W2134"/>
  <c r="R2134"/>
  <c r="Z2134" s="1"/>
  <c r="O2134"/>
  <c r="U2134" s="1"/>
  <c r="V2134" s="1"/>
  <c r="M2134"/>
  <c r="AC2133"/>
  <c r="AB2133"/>
  <c r="Y2133"/>
  <c r="X2133"/>
  <c r="W2133"/>
  <c r="R2133"/>
  <c r="Z2133" s="1"/>
  <c r="O2133"/>
  <c r="U2133" s="1"/>
  <c r="V2133" s="1"/>
  <c r="M2133"/>
  <c r="AB2132"/>
  <c r="AC2132" s="1"/>
  <c r="X2132"/>
  <c r="W2132"/>
  <c r="S2132"/>
  <c r="R2132"/>
  <c r="Y2132" s="1"/>
  <c r="M2132"/>
  <c r="T2132" s="1"/>
  <c r="W2131"/>
  <c r="S2131"/>
  <c r="T2131" s="1"/>
  <c r="R2131"/>
  <c r="AB2131" s="1"/>
  <c r="AC2131" s="1"/>
  <c r="M2131"/>
  <c r="O2131" s="1"/>
  <c r="U2131" s="1"/>
  <c r="V2131" s="1"/>
  <c r="W2130"/>
  <c r="R2130"/>
  <c r="Z2130" s="1"/>
  <c r="O2130"/>
  <c r="U2130" s="1"/>
  <c r="V2130" s="1"/>
  <c r="M2130"/>
  <c r="AC2129"/>
  <c r="AB2129"/>
  <c r="Y2129"/>
  <c r="X2129"/>
  <c r="W2129"/>
  <c r="R2129"/>
  <c r="Z2129" s="1"/>
  <c r="O2129"/>
  <c r="U2129" s="1"/>
  <c r="V2129" s="1"/>
  <c r="M2129"/>
  <c r="AB2128"/>
  <c r="AC2128" s="1"/>
  <c r="X2128"/>
  <c r="W2128"/>
  <c r="S2128"/>
  <c r="R2128"/>
  <c r="Y2128" s="1"/>
  <c r="M2128"/>
  <c r="T2128" s="1"/>
  <c r="W2127"/>
  <c r="S2127"/>
  <c r="T2127" s="1"/>
  <c r="R2127"/>
  <c r="AB2127" s="1"/>
  <c r="AC2127" s="1"/>
  <c r="M2127"/>
  <c r="O2127" s="1"/>
  <c r="U2127" s="1"/>
  <c r="V2127" s="1"/>
  <c r="W2126"/>
  <c r="R2126"/>
  <c r="Z2126" s="1"/>
  <c r="O2126"/>
  <c r="U2126" s="1"/>
  <c r="V2126" s="1"/>
  <c r="M2126"/>
  <c r="AC2125"/>
  <c r="AB2125"/>
  <c r="Y2125"/>
  <c r="X2125"/>
  <c r="W2125"/>
  <c r="R2125"/>
  <c r="Z2125" s="1"/>
  <c r="O2125"/>
  <c r="U2125" s="1"/>
  <c r="V2125" s="1"/>
  <c r="M2125"/>
  <c r="AB2124"/>
  <c r="AC2124" s="1"/>
  <c r="X2124"/>
  <c r="W2124"/>
  <c r="S2124"/>
  <c r="R2124"/>
  <c r="Y2124" s="1"/>
  <c r="M2124"/>
  <c r="T2124" s="1"/>
  <c r="W2123"/>
  <c r="S2123"/>
  <c r="T2123" s="1"/>
  <c r="R2123"/>
  <c r="AB2123" s="1"/>
  <c r="AC2123" s="1"/>
  <c r="M2123"/>
  <c r="O2123" s="1"/>
  <c r="U2123" s="1"/>
  <c r="V2123" s="1"/>
  <c r="W2122"/>
  <c r="R2122"/>
  <c r="Z2122" s="1"/>
  <c r="O2122"/>
  <c r="U2122" s="1"/>
  <c r="V2122" s="1"/>
  <c r="M2122"/>
  <c r="AC2121"/>
  <c r="AB2121"/>
  <c r="Y2121"/>
  <c r="X2121"/>
  <c r="W2121"/>
  <c r="R2121"/>
  <c r="Z2121" s="1"/>
  <c r="O2121"/>
  <c r="U2121" s="1"/>
  <c r="V2121" s="1"/>
  <c r="M2121"/>
  <c r="AB2120"/>
  <c r="AC2120" s="1"/>
  <c r="X2120"/>
  <c r="W2120"/>
  <c r="S2120"/>
  <c r="R2120"/>
  <c r="Y2120" s="1"/>
  <c r="M2120"/>
  <c r="T2120" s="1"/>
  <c r="W2119"/>
  <c r="S2119"/>
  <c r="T2119" s="1"/>
  <c r="R2119"/>
  <c r="AB2119" s="1"/>
  <c r="AC2119" s="1"/>
  <c r="M2119"/>
  <c r="O2119" s="1"/>
  <c r="U2119" s="1"/>
  <c r="V2119" s="1"/>
  <c r="W2118"/>
  <c r="R2118"/>
  <c r="Z2118" s="1"/>
  <c r="O2118"/>
  <c r="U2118" s="1"/>
  <c r="V2118" s="1"/>
  <c r="M2118"/>
  <c r="AC2117"/>
  <c r="AB2117"/>
  <c r="Y2117"/>
  <c r="X2117"/>
  <c r="W2117"/>
  <c r="R2117"/>
  <c r="Z2117" s="1"/>
  <c r="O2117"/>
  <c r="U2117" s="1"/>
  <c r="V2117" s="1"/>
  <c r="M2117"/>
  <c r="AB2116"/>
  <c r="AC2116" s="1"/>
  <c r="X2116"/>
  <c r="W2116"/>
  <c r="S2116"/>
  <c r="R2116"/>
  <c r="Y2116" s="1"/>
  <c r="M2116"/>
  <c r="T2116" s="1"/>
  <c r="W2115"/>
  <c r="S2115"/>
  <c r="T2115" s="1"/>
  <c r="R2115"/>
  <c r="AB2115" s="1"/>
  <c r="AC2115" s="1"/>
  <c r="M2115"/>
  <c r="O2115" s="1"/>
  <c r="U2115" s="1"/>
  <c r="V2115" s="1"/>
  <c r="W2114"/>
  <c r="R2114"/>
  <c r="Z2114" s="1"/>
  <c r="O2114"/>
  <c r="U2114" s="1"/>
  <c r="V2114" s="1"/>
  <c r="M2114"/>
  <c r="AC2113"/>
  <c r="AB2113"/>
  <c r="Y2113"/>
  <c r="X2113"/>
  <c r="W2113"/>
  <c r="R2113"/>
  <c r="Z2113" s="1"/>
  <c r="O2113"/>
  <c r="U2113" s="1"/>
  <c r="V2113" s="1"/>
  <c r="M2113"/>
  <c r="AB2112"/>
  <c r="AC2112" s="1"/>
  <c r="X2112"/>
  <c r="W2112"/>
  <c r="S2112"/>
  <c r="R2112"/>
  <c r="Y2112" s="1"/>
  <c r="M2112"/>
  <c r="T2112" s="1"/>
  <c r="W2111"/>
  <c r="S2111"/>
  <c r="T2111" s="1"/>
  <c r="R2111"/>
  <c r="AB2111" s="1"/>
  <c r="AC2111" s="1"/>
  <c r="M2111"/>
  <c r="O2111" s="1"/>
  <c r="U2111" s="1"/>
  <c r="V2111" s="1"/>
  <c r="W2110"/>
  <c r="R2110"/>
  <c r="Z2110" s="1"/>
  <c r="O2110"/>
  <c r="U2110" s="1"/>
  <c r="V2110" s="1"/>
  <c r="M2110"/>
  <c r="AC2109"/>
  <c r="AB2109"/>
  <c r="Y2109"/>
  <c r="X2109"/>
  <c r="W2109"/>
  <c r="R2109"/>
  <c r="Z2109" s="1"/>
  <c r="O2109"/>
  <c r="U2109" s="1"/>
  <c r="V2109" s="1"/>
  <c r="M2109"/>
  <c r="AB2108"/>
  <c r="AC2108" s="1"/>
  <c r="X2108"/>
  <c r="W2108"/>
  <c r="S2108"/>
  <c r="R2108"/>
  <c r="Y2108" s="1"/>
  <c r="M2108"/>
  <c r="T2108" s="1"/>
  <c r="W2107"/>
  <c r="S2107"/>
  <c r="T2107" s="1"/>
  <c r="R2107"/>
  <c r="AB2107" s="1"/>
  <c r="AC2107" s="1"/>
  <c r="M2107"/>
  <c r="O2107" s="1"/>
  <c r="U2107" s="1"/>
  <c r="V2107" s="1"/>
  <c r="W2106"/>
  <c r="R2106"/>
  <c r="Z2106" s="1"/>
  <c r="O2106"/>
  <c r="U2106" s="1"/>
  <c r="V2106" s="1"/>
  <c r="M2106"/>
  <c r="AC2105"/>
  <c r="AB2105"/>
  <c r="Y2105"/>
  <c r="X2105"/>
  <c r="W2105"/>
  <c r="R2105"/>
  <c r="Z2105" s="1"/>
  <c r="O2105"/>
  <c r="U2105" s="1"/>
  <c r="V2105" s="1"/>
  <c r="M2105"/>
  <c r="AB2104"/>
  <c r="AC2104" s="1"/>
  <c r="X2104"/>
  <c r="W2104"/>
  <c r="S2104"/>
  <c r="R2104"/>
  <c r="Y2104" s="1"/>
  <c r="M2104"/>
  <c r="T2104" s="1"/>
  <c r="W2103"/>
  <c r="S2103"/>
  <c r="T2103" s="1"/>
  <c r="R2103"/>
  <c r="AB2103" s="1"/>
  <c r="AC2103" s="1"/>
  <c r="M2103"/>
  <c r="O2103" s="1"/>
  <c r="U2103" s="1"/>
  <c r="V2103" s="1"/>
  <c r="W2102"/>
  <c r="R2102"/>
  <c r="Z2102" s="1"/>
  <c r="O2102"/>
  <c r="U2102" s="1"/>
  <c r="V2102" s="1"/>
  <c r="M2102"/>
  <c r="AC2101"/>
  <c r="AB2101"/>
  <c r="Y2101"/>
  <c r="X2101"/>
  <c r="W2101"/>
  <c r="R2101"/>
  <c r="Z2101" s="1"/>
  <c r="O2101"/>
  <c r="U2101" s="1"/>
  <c r="V2101" s="1"/>
  <c r="M2101"/>
  <c r="AB2100"/>
  <c r="AC2100" s="1"/>
  <c r="X2100"/>
  <c r="W2100"/>
  <c r="S2100"/>
  <c r="R2100"/>
  <c r="Y2100" s="1"/>
  <c r="M2100"/>
  <c r="T2100" s="1"/>
  <c r="W2099"/>
  <c r="S2099"/>
  <c r="T2099" s="1"/>
  <c r="R2099"/>
  <c r="AB2099" s="1"/>
  <c r="AC2099" s="1"/>
  <c r="M2099"/>
  <c r="O2099" s="1"/>
  <c r="U2099" s="1"/>
  <c r="V2099" s="1"/>
  <c r="W2098"/>
  <c r="R2098"/>
  <c r="Z2098" s="1"/>
  <c r="O2098"/>
  <c r="U2098" s="1"/>
  <c r="V2098" s="1"/>
  <c r="M2098"/>
  <c r="AC2097"/>
  <c r="AB2097"/>
  <c r="Y2097"/>
  <c r="X2097"/>
  <c r="W2097"/>
  <c r="R2097"/>
  <c r="Z2097" s="1"/>
  <c r="O2097"/>
  <c r="U2097" s="1"/>
  <c r="V2097" s="1"/>
  <c r="M2097"/>
  <c r="AB2096"/>
  <c r="AC2096" s="1"/>
  <c r="Y2096"/>
  <c r="X2096"/>
  <c r="W2096"/>
  <c r="S2096"/>
  <c r="R2096"/>
  <c r="Z2096" s="1"/>
  <c r="AA2096" s="1"/>
  <c r="M2096"/>
  <c r="T2096" s="1"/>
  <c r="W2095"/>
  <c r="S2095"/>
  <c r="T2095" s="1"/>
  <c r="R2095"/>
  <c r="AB2095" s="1"/>
  <c r="AC2095" s="1"/>
  <c r="M2095"/>
  <c r="O2095" s="1"/>
  <c r="U2095" s="1"/>
  <c r="V2095" s="1"/>
  <c r="W2094"/>
  <c r="R2094"/>
  <c r="Z2094" s="1"/>
  <c r="O2094"/>
  <c r="U2094" s="1"/>
  <c r="V2094" s="1"/>
  <c r="M2094"/>
  <c r="AC2093"/>
  <c r="AB2093"/>
  <c r="Y2093"/>
  <c r="X2093"/>
  <c r="W2093"/>
  <c r="R2093"/>
  <c r="Z2093" s="1"/>
  <c r="O2093"/>
  <c r="U2093" s="1"/>
  <c r="M2093"/>
  <c r="AB2092"/>
  <c r="AC2092" s="1"/>
  <c r="Y2092"/>
  <c r="X2092"/>
  <c r="W2092"/>
  <c r="S2092"/>
  <c r="R2092"/>
  <c r="Z2092" s="1"/>
  <c r="AA2092" s="1"/>
  <c r="M2092"/>
  <c r="T2092" s="1"/>
  <c r="W2091"/>
  <c r="S2091"/>
  <c r="T2091" s="1"/>
  <c r="R2091"/>
  <c r="AB2091" s="1"/>
  <c r="AC2091" s="1"/>
  <c r="M2091"/>
  <c r="O2091" s="1"/>
  <c r="W2090"/>
  <c r="R2090"/>
  <c r="Z2090" s="1"/>
  <c r="O2090"/>
  <c r="U2090" s="1"/>
  <c r="V2090" s="1"/>
  <c r="M2090"/>
  <c r="AC2089"/>
  <c r="AB2089"/>
  <c r="Y2089"/>
  <c r="X2089"/>
  <c r="W2089"/>
  <c r="R2089"/>
  <c r="Z2089" s="1"/>
  <c r="O2089"/>
  <c r="U2089" s="1"/>
  <c r="V2089" s="1"/>
  <c r="M2089"/>
  <c r="AB2088"/>
  <c r="AC2088" s="1"/>
  <c r="Y2088"/>
  <c r="X2088"/>
  <c r="W2088"/>
  <c r="S2088"/>
  <c r="R2088"/>
  <c r="Z2088" s="1"/>
  <c r="AA2088" s="1"/>
  <c r="M2088"/>
  <c r="T2088" s="1"/>
  <c r="W2087"/>
  <c r="S2087"/>
  <c r="T2087" s="1"/>
  <c r="R2087"/>
  <c r="AB2087" s="1"/>
  <c r="AC2087" s="1"/>
  <c r="M2087"/>
  <c r="O2087" s="1"/>
  <c r="U2087" s="1"/>
  <c r="V2087" s="1"/>
  <c r="W2086"/>
  <c r="R2086"/>
  <c r="Z2086" s="1"/>
  <c r="O2086"/>
  <c r="U2086" s="1"/>
  <c r="V2086" s="1"/>
  <c r="M2086"/>
  <c r="AC2085"/>
  <c r="AB2085"/>
  <c r="Y2085"/>
  <c r="X2085"/>
  <c r="W2085"/>
  <c r="R2085"/>
  <c r="Z2085" s="1"/>
  <c r="O2085"/>
  <c r="U2085" s="1"/>
  <c r="V2085" s="1"/>
  <c r="M2085"/>
  <c r="AB2084"/>
  <c r="AC2084" s="1"/>
  <c r="Y2084"/>
  <c r="X2084"/>
  <c r="W2084"/>
  <c r="S2084"/>
  <c r="R2084"/>
  <c r="Z2084" s="1"/>
  <c r="AA2084" s="1"/>
  <c r="M2084"/>
  <c r="T2084" s="1"/>
  <c r="W2083"/>
  <c r="S2083"/>
  <c r="T2083" s="1"/>
  <c r="R2083"/>
  <c r="AB2083" s="1"/>
  <c r="AC2083" s="1"/>
  <c r="M2083"/>
  <c r="O2083" s="1"/>
  <c r="U2083" s="1"/>
  <c r="V2083" s="1"/>
  <c r="W2082"/>
  <c r="R2082"/>
  <c r="Z2082" s="1"/>
  <c r="O2082"/>
  <c r="U2082" s="1"/>
  <c r="V2082" s="1"/>
  <c r="M2082"/>
  <c r="AC2081"/>
  <c r="AB2081"/>
  <c r="Y2081"/>
  <c r="X2081"/>
  <c r="W2081"/>
  <c r="R2081"/>
  <c r="Z2081" s="1"/>
  <c r="O2081"/>
  <c r="U2081" s="1"/>
  <c r="V2081" s="1"/>
  <c r="M2081"/>
  <c r="AB2080"/>
  <c r="AC2080" s="1"/>
  <c r="X2080"/>
  <c r="W2080"/>
  <c r="S2080"/>
  <c r="R2080"/>
  <c r="Y2080" s="1"/>
  <c r="M2080"/>
  <c r="T2080" s="1"/>
  <c r="W2079"/>
  <c r="S2079"/>
  <c r="T2079" s="1"/>
  <c r="R2079"/>
  <c r="AB2079" s="1"/>
  <c r="AC2079" s="1"/>
  <c r="M2079"/>
  <c r="O2079" s="1"/>
  <c r="U2079" s="1"/>
  <c r="V2079" s="1"/>
  <c r="W2078"/>
  <c r="R2078"/>
  <c r="Z2078" s="1"/>
  <c r="O2078"/>
  <c r="U2078" s="1"/>
  <c r="V2078" s="1"/>
  <c r="M2078"/>
  <c r="AC2077"/>
  <c r="AB2077"/>
  <c r="Y2077"/>
  <c r="X2077"/>
  <c r="W2077"/>
  <c r="R2077"/>
  <c r="Z2077" s="1"/>
  <c r="O2077"/>
  <c r="U2077" s="1"/>
  <c r="V2077" s="1"/>
  <c r="M2077"/>
  <c r="AB2076"/>
  <c r="AC2076" s="1"/>
  <c r="X2076"/>
  <c r="W2076"/>
  <c r="S2076"/>
  <c r="R2076"/>
  <c r="Y2076" s="1"/>
  <c r="M2076"/>
  <c r="T2076" s="1"/>
  <c r="W2075"/>
  <c r="S2075"/>
  <c r="T2075" s="1"/>
  <c r="R2075"/>
  <c r="AB2075" s="1"/>
  <c r="AC2075" s="1"/>
  <c r="M2075"/>
  <c r="O2075" s="1"/>
  <c r="U2075" s="1"/>
  <c r="V2075" s="1"/>
  <c r="W2074"/>
  <c r="R2074"/>
  <c r="Z2074" s="1"/>
  <c r="O2074"/>
  <c r="U2074" s="1"/>
  <c r="V2074" s="1"/>
  <c r="M2074"/>
  <c r="AC2073"/>
  <c r="AB2073"/>
  <c r="Y2073"/>
  <c r="X2073"/>
  <c r="W2073"/>
  <c r="R2073"/>
  <c r="Z2073" s="1"/>
  <c r="O2073"/>
  <c r="U2073" s="1"/>
  <c r="V2073" s="1"/>
  <c r="M2073"/>
  <c r="AB2072"/>
  <c r="AC2072" s="1"/>
  <c r="X2072"/>
  <c r="W2072"/>
  <c r="S2072"/>
  <c r="R2072"/>
  <c r="Y2072" s="1"/>
  <c r="M2072"/>
  <c r="T2072" s="1"/>
  <c r="W2071"/>
  <c r="S2071"/>
  <c r="T2071" s="1"/>
  <c r="R2071"/>
  <c r="AB2071" s="1"/>
  <c r="AC2071" s="1"/>
  <c r="M2071"/>
  <c r="O2071" s="1"/>
  <c r="W2070"/>
  <c r="R2070"/>
  <c r="Z2070" s="1"/>
  <c r="O2070"/>
  <c r="U2070" s="1"/>
  <c r="V2070" s="1"/>
  <c r="M2070"/>
  <c r="AC2069"/>
  <c r="AB2069"/>
  <c r="Y2069"/>
  <c r="X2069"/>
  <c r="W2069"/>
  <c r="R2069"/>
  <c r="Z2069" s="1"/>
  <c r="O2069"/>
  <c r="M2069"/>
  <c r="AB2068"/>
  <c r="AC2068" s="1"/>
  <c r="X2068"/>
  <c r="W2068"/>
  <c r="S2068"/>
  <c r="R2068"/>
  <c r="Y2068" s="1"/>
  <c r="M2068"/>
  <c r="O2068" s="1"/>
  <c r="U2068" s="1"/>
  <c r="V2068" s="1"/>
  <c r="W2067"/>
  <c r="S2067"/>
  <c r="T2067" s="1"/>
  <c r="R2067"/>
  <c r="AB2067" s="1"/>
  <c r="AC2067" s="1"/>
  <c r="M2067"/>
  <c r="O2067" s="1"/>
  <c r="U2067" s="1"/>
  <c r="V2067" s="1"/>
  <c r="Z2066"/>
  <c r="W2066"/>
  <c r="R2066"/>
  <c r="O2066"/>
  <c r="U2066" s="1"/>
  <c r="V2066" s="1"/>
  <c r="M2066"/>
  <c r="AC2065"/>
  <c r="AB2065"/>
  <c r="Y2065"/>
  <c r="X2065"/>
  <c r="W2065"/>
  <c r="R2065"/>
  <c r="Z2065" s="1"/>
  <c r="O2065"/>
  <c r="U2065" s="1"/>
  <c r="V2065" s="1"/>
  <c r="M2065"/>
  <c r="AB2064"/>
  <c r="AC2064" s="1"/>
  <c r="X2064"/>
  <c r="W2064"/>
  <c r="S2064"/>
  <c r="R2064"/>
  <c r="Y2064" s="1"/>
  <c r="M2064"/>
  <c r="O2064" s="1"/>
  <c r="U2064" s="1"/>
  <c r="V2064" s="1"/>
  <c r="W2063"/>
  <c r="S2063"/>
  <c r="T2063" s="1"/>
  <c r="R2063"/>
  <c r="AB2063" s="1"/>
  <c r="AC2063" s="1"/>
  <c r="M2063"/>
  <c r="O2063" s="1"/>
  <c r="U2063" s="1"/>
  <c r="V2063" s="1"/>
  <c r="Z2062"/>
  <c r="W2062"/>
  <c r="R2062"/>
  <c r="O2062"/>
  <c r="U2062" s="1"/>
  <c r="V2062" s="1"/>
  <c r="M2062"/>
  <c r="AC2061"/>
  <c r="AB2061"/>
  <c r="Y2061"/>
  <c r="X2061"/>
  <c r="W2061"/>
  <c r="R2061"/>
  <c r="Z2061" s="1"/>
  <c r="M2061"/>
  <c r="O2061" s="1"/>
  <c r="U2061" s="1"/>
  <c r="V2061" s="1"/>
  <c r="AB2060"/>
  <c r="AC2060" s="1"/>
  <c r="X2060"/>
  <c r="W2060"/>
  <c r="S2060"/>
  <c r="T2060" s="1"/>
  <c r="R2060"/>
  <c r="Y2060" s="1"/>
  <c r="M2060"/>
  <c r="O2060" s="1"/>
  <c r="U2060" s="1"/>
  <c r="V2060" s="1"/>
  <c r="W2059"/>
  <c r="V2059"/>
  <c r="S2059"/>
  <c r="T2059" s="1"/>
  <c r="R2059"/>
  <c r="M2059"/>
  <c r="O2059" s="1"/>
  <c r="U2059" s="1"/>
  <c r="W2058"/>
  <c r="R2058"/>
  <c r="Z2058" s="1"/>
  <c r="O2058"/>
  <c r="U2058" s="1"/>
  <c r="V2058" s="1"/>
  <c r="M2058"/>
  <c r="AB2057"/>
  <c r="AC2057" s="1"/>
  <c r="Y2057"/>
  <c r="X2057"/>
  <c r="W2057"/>
  <c r="R2057"/>
  <c r="Z2057" s="1"/>
  <c r="M2057"/>
  <c r="O2057" s="1"/>
  <c r="U2057" s="1"/>
  <c r="V2057" s="1"/>
  <c r="AB2056"/>
  <c r="AC2056" s="1"/>
  <c r="X2056"/>
  <c r="W2056"/>
  <c r="S2056"/>
  <c r="T2056" s="1"/>
  <c r="R2056"/>
  <c r="Y2056" s="1"/>
  <c r="M2056"/>
  <c r="O2056" s="1"/>
  <c r="U2056" s="1"/>
  <c r="V2056" s="1"/>
  <c r="W2055"/>
  <c r="R2055"/>
  <c r="Z2055" s="1"/>
  <c r="AA2055" s="1"/>
  <c r="M2055"/>
  <c r="O2055" s="1"/>
  <c r="U2055" s="1"/>
  <c r="V2055" s="1"/>
  <c r="Y2054"/>
  <c r="W2054"/>
  <c r="R2054"/>
  <c r="S2054" s="1"/>
  <c r="T2054" s="1"/>
  <c r="M2054"/>
  <c r="O2054" s="1"/>
  <c r="U2054" s="1"/>
  <c r="V2054" s="1"/>
  <c r="AB2053"/>
  <c r="AC2053" s="1"/>
  <c r="Y2053"/>
  <c r="X2053"/>
  <c r="W2053"/>
  <c r="S2053"/>
  <c r="T2053" s="1"/>
  <c r="R2053"/>
  <c r="Z2053" s="1"/>
  <c r="AA2053" s="1"/>
  <c r="M2053"/>
  <c r="O2053" s="1"/>
  <c r="U2053" s="1"/>
  <c r="V2053" s="1"/>
  <c r="W2052"/>
  <c r="R2052"/>
  <c r="Z2052" s="1"/>
  <c r="M2052"/>
  <c r="O2052" s="1"/>
  <c r="U2052" s="1"/>
  <c r="V2052" s="1"/>
  <c r="Y2051"/>
  <c r="W2051"/>
  <c r="R2051"/>
  <c r="Z2051" s="1"/>
  <c r="O2051"/>
  <c r="U2051" s="1"/>
  <c r="V2051" s="1"/>
  <c r="M2051"/>
  <c r="AB2050"/>
  <c r="AC2050" s="1"/>
  <c r="Y2050"/>
  <c r="X2050"/>
  <c r="W2050"/>
  <c r="R2050"/>
  <c r="Z2050" s="1"/>
  <c r="M2050"/>
  <c r="O2050" s="1"/>
  <c r="U2050" s="1"/>
  <c r="V2050" s="1"/>
  <c r="AB2049"/>
  <c r="AC2049" s="1"/>
  <c r="Y2049"/>
  <c r="X2049"/>
  <c r="W2049"/>
  <c r="S2049"/>
  <c r="T2049" s="1"/>
  <c r="R2049"/>
  <c r="Z2049" s="1"/>
  <c r="AA2049" s="1"/>
  <c r="M2049"/>
  <c r="O2049" s="1"/>
  <c r="U2049" s="1"/>
  <c r="V2049" s="1"/>
  <c r="W2048"/>
  <c r="R2048"/>
  <c r="Z2048" s="1"/>
  <c r="M2048"/>
  <c r="O2048" s="1"/>
  <c r="U2048" s="1"/>
  <c r="V2048" s="1"/>
  <c r="Y2047"/>
  <c r="W2047"/>
  <c r="R2047"/>
  <c r="Z2047" s="1"/>
  <c r="O2047"/>
  <c r="U2047" s="1"/>
  <c r="V2047" s="1"/>
  <c r="M2047"/>
  <c r="AB2046"/>
  <c r="AC2046" s="1"/>
  <c r="Y2046"/>
  <c r="X2046"/>
  <c r="W2046"/>
  <c r="R2046"/>
  <c r="Z2046" s="1"/>
  <c r="M2046"/>
  <c r="O2046" s="1"/>
  <c r="U2046" s="1"/>
  <c r="V2046" s="1"/>
  <c r="AB2045"/>
  <c r="AC2045" s="1"/>
  <c r="Y2045"/>
  <c r="X2045"/>
  <c r="W2045"/>
  <c r="S2045"/>
  <c r="T2045" s="1"/>
  <c r="AD2045" s="1"/>
  <c r="R2045"/>
  <c r="Z2045" s="1"/>
  <c r="AA2045" s="1"/>
  <c r="M2045"/>
  <c r="O2045" s="1"/>
  <c r="U2045" s="1"/>
  <c r="V2045" s="1"/>
  <c r="W2044"/>
  <c r="R2044"/>
  <c r="Z2044" s="1"/>
  <c r="M2044"/>
  <c r="O2044" s="1"/>
  <c r="U2044" s="1"/>
  <c r="V2044" s="1"/>
  <c r="Y2043"/>
  <c r="W2043"/>
  <c r="R2043"/>
  <c r="Z2043" s="1"/>
  <c r="O2043"/>
  <c r="U2043" s="1"/>
  <c r="V2043" s="1"/>
  <c r="M2043"/>
  <c r="AB2042"/>
  <c r="AC2042" s="1"/>
  <c r="Y2042"/>
  <c r="X2042"/>
  <c r="W2042"/>
  <c r="R2042"/>
  <c r="Z2042" s="1"/>
  <c r="M2042"/>
  <c r="O2042" s="1"/>
  <c r="U2042" s="1"/>
  <c r="V2042" s="1"/>
  <c r="AB2041"/>
  <c r="AC2041" s="1"/>
  <c r="Y2041"/>
  <c r="X2041"/>
  <c r="W2041"/>
  <c r="S2041"/>
  <c r="T2041" s="1"/>
  <c r="AD2041" s="1"/>
  <c r="R2041"/>
  <c r="Z2041" s="1"/>
  <c r="AA2041" s="1"/>
  <c r="M2041"/>
  <c r="O2041" s="1"/>
  <c r="U2041" s="1"/>
  <c r="V2041" s="1"/>
  <c r="W2040"/>
  <c r="R2040"/>
  <c r="Z2040" s="1"/>
  <c r="M2040"/>
  <c r="O2040" s="1"/>
  <c r="U2040" s="1"/>
  <c r="V2040" s="1"/>
  <c r="Y2039"/>
  <c r="W2039"/>
  <c r="R2039"/>
  <c r="Z2039" s="1"/>
  <c r="O2039"/>
  <c r="U2039" s="1"/>
  <c r="V2039" s="1"/>
  <c r="M2039"/>
  <c r="AB2038"/>
  <c r="AC2038" s="1"/>
  <c r="Y2038"/>
  <c r="X2038"/>
  <c r="W2038"/>
  <c r="R2038"/>
  <c r="Z2038" s="1"/>
  <c r="M2038"/>
  <c r="O2038" s="1"/>
  <c r="U2038" s="1"/>
  <c r="V2038" s="1"/>
  <c r="AB2037"/>
  <c r="AC2037" s="1"/>
  <c r="Y2037"/>
  <c r="X2037"/>
  <c r="W2037"/>
  <c r="S2037"/>
  <c r="T2037" s="1"/>
  <c r="R2037"/>
  <c r="Z2037" s="1"/>
  <c r="AA2037" s="1"/>
  <c r="M2037"/>
  <c r="O2037" s="1"/>
  <c r="U2037" s="1"/>
  <c r="V2037" s="1"/>
  <c r="W2036"/>
  <c r="R2036"/>
  <c r="Z2036" s="1"/>
  <c r="M2036"/>
  <c r="O2036" s="1"/>
  <c r="U2036" s="1"/>
  <c r="V2036" s="1"/>
  <c r="Y2035"/>
  <c r="W2035"/>
  <c r="R2035"/>
  <c r="Z2035" s="1"/>
  <c r="O2035"/>
  <c r="U2035" s="1"/>
  <c r="V2035" s="1"/>
  <c r="M2035"/>
  <c r="AB2034"/>
  <c r="AC2034" s="1"/>
  <c r="Y2034"/>
  <c r="X2034"/>
  <c r="W2034"/>
  <c r="R2034"/>
  <c r="Z2034" s="1"/>
  <c r="M2034"/>
  <c r="O2034" s="1"/>
  <c r="U2034" s="1"/>
  <c r="V2034" s="1"/>
  <c r="AB2033"/>
  <c r="AC2033" s="1"/>
  <c r="Y2033"/>
  <c r="X2033"/>
  <c r="W2033"/>
  <c r="S2033"/>
  <c r="T2033" s="1"/>
  <c r="R2033"/>
  <c r="Z2033" s="1"/>
  <c r="AA2033" s="1"/>
  <c r="M2033"/>
  <c r="O2033" s="1"/>
  <c r="U2033" s="1"/>
  <c r="V2033" s="1"/>
  <c r="W2032"/>
  <c r="R2032"/>
  <c r="Z2032" s="1"/>
  <c r="M2032"/>
  <c r="O2032" s="1"/>
  <c r="U2032" s="1"/>
  <c r="V2032" s="1"/>
  <c r="Y2031"/>
  <c r="W2031"/>
  <c r="R2031"/>
  <c r="Z2031" s="1"/>
  <c r="O2031"/>
  <c r="U2031" s="1"/>
  <c r="V2031" s="1"/>
  <c r="M2031"/>
  <c r="AB2030"/>
  <c r="AC2030" s="1"/>
  <c r="Y2030"/>
  <c r="X2030"/>
  <c r="W2030"/>
  <c r="R2030"/>
  <c r="Z2030" s="1"/>
  <c r="M2030"/>
  <c r="O2030" s="1"/>
  <c r="U2030" s="1"/>
  <c r="V2030" s="1"/>
  <c r="AB2029"/>
  <c r="AC2029" s="1"/>
  <c r="Y2029"/>
  <c r="X2029"/>
  <c r="W2029"/>
  <c r="S2029"/>
  <c r="T2029" s="1"/>
  <c r="AD2029" s="1"/>
  <c r="R2029"/>
  <c r="Z2029" s="1"/>
  <c r="AA2029" s="1"/>
  <c r="M2029"/>
  <c r="O2029" s="1"/>
  <c r="U2029" s="1"/>
  <c r="V2029" s="1"/>
  <c r="W2028"/>
  <c r="R2028"/>
  <c r="Z2028" s="1"/>
  <c r="M2028"/>
  <c r="O2028" s="1"/>
  <c r="U2028" s="1"/>
  <c r="V2028" s="1"/>
  <c r="Y2027"/>
  <c r="W2027"/>
  <c r="R2027"/>
  <c r="Z2027" s="1"/>
  <c r="O2027"/>
  <c r="U2027" s="1"/>
  <c r="V2027" s="1"/>
  <c r="M2027"/>
  <c r="AB2026"/>
  <c r="AC2026" s="1"/>
  <c r="Y2026"/>
  <c r="X2026"/>
  <c r="W2026"/>
  <c r="R2026"/>
  <c r="Z2026" s="1"/>
  <c r="M2026"/>
  <c r="O2026" s="1"/>
  <c r="U2026" s="1"/>
  <c r="V2026" s="1"/>
  <c r="AB2025"/>
  <c r="AC2025" s="1"/>
  <c r="X2025"/>
  <c r="W2025"/>
  <c r="S2025"/>
  <c r="T2025" s="1"/>
  <c r="R2025"/>
  <c r="Y2025" s="1"/>
  <c r="M2025"/>
  <c r="O2025" s="1"/>
  <c r="W2024"/>
  <c r="R2024"/>
  <c r="Z2024" s="1"/>
  <c r="M2024"/>
  <c r="O2024" s="1"/>
  <c r="Y2023"/>
  <c r="W2023"/>
  <c r="R2023"/>
  <c r="Z2023" s="1"/>
  <c r="O2023"/>
  <c r="U2023" s="1"/>
  <c r="V2023" s="1"/>
  <c r="M2023"/>
  <c r="AB2022"/>
  <c r="AC2022" s="1"/>
  <c r="Y2022"/>
  <c r="X2022"/>
  <c r="W2022"/>
  <c r="R2022"/>
  <c r="Z2022" s="1"/>
  <c r="M2022"/>
  <c r="O2022" s="1"/>
  <c r="U2022" s="1"/>
  <c r="V2022" s="1"/>
  <c r="AB2021"/>
  <c r="AC2021" s="1"/>
  <c r="Y2021"/>
  <c r="X2021"/>
  <c r="W2021"/>
  <c r="S2021"/>
  <c r="T2021" s="1"/>
  <c r="AD2021" s="1"/>
  <c r="R2021"/>
  <c r="Z2021" s="1"/>
  <c r="AA2021" s="1"/>
  <c r="M2021"/>
  <c r="O2021" s="1"/>
  <c r="U2021" s="1"/>
  <c r="V2021" s="1"/>
  <c r="W2020"/>
  <c r="R2020"/>
  <c r="Z2020" s="1"/>
  <c r="M2020"/>
  <c r="O2020" s="1"/>
  <c r="U2020" s="1"/>
  <c r="V2020" s="1"/>
  <c r="W2019"/>
  <c r="R2019"/>
  <c r="Y2019" s="1"/>
  <c r="O2019"/>
  <c r="U2019" s="1"/>
  <c r="V2019" s="1"/>
  <c r="M2019"/>
  <c r="AB2018"/>
  <c r="AC2018" s="1"/>
  <c r="Y2018"/>
  <c r="X2018"/>
  <c r="W2018"/>
  <c r="R2018"/>
  <c r="Z2018" s="1"/>
  <c r="M2018"/>
  <c r="O2018" s="1"/>
  <c r="U2018" s="1"/>
  <c r="V2018" s="1"/>
  <c r="AB2017"/>
  <c r="AC2017" s="1"/>
  <c r="X2017"/>
  <c r="W2017"/>
  <c r="S2017"/>
  <c r="T2017" s="1"/>
  <c r="R2017"/>
  <c r="Y2017" s="1"/>
  <c r="M2017"/>
  <c r="O2017" s="1"/>
  <c r="U2017" s="1"/>
  <c r="V2017" s="1"/>
  <c r="W2016"/>
  <c r="R2016"/>
  <c r="Z2016" s="1"/>
  <c r="M2016"/>
  <c r="O2016" s="1"/>
  <c r="U2016" s="1"/>
  <c r="V2016" s="1"/>
  <c r="W2015"/>
  <c r="R2015"/>
  <c r="Y2015" s="1"/>
  <c r="O2015"/>
  <c r="U2015" s="1"/>
  <c r="V2015" s="1"/>
  <c r="M2015"/>
  <c r="AB2014"/>
  <c r="AC2014" s="1"/>
  <c r="Y2014"/>
  <c r="X2014"/>
  <c r="W2014"/>
  <c r="R2014"/>
  <c r="Z2014" s="1"/>
  <c r="M2014"/>
  <c r="O2014" s="1"/>
  <c r="U2014" s="1"/>
  <c r="V2014" s="1"/>
  <c r="AB2013"/>
  <c r="AC2013" s="1"/>
  <c r="X2013"/>
  <c r="W2013"/>
  <c r="S2013"/>
  <c r="T2013" s="1"/>
  <c r="R2013"/>
  <c r="Y2013" s="1"/>
  <c r="M2013"/>
  <c r="O2013" s="1"/>
  <c r="U2013" s="1"/>
  <c r="V2013" s="1"/>
  <c r="W2012"/>
  <c r="R2012"/>
  <c r="Z2012" s="1"/>
  <c r="M2012"/>
  <c r="O2012" s="1"/>
  <c r="U2012" s="1"/>
  <c r="V2012" s="1"/>
  <c r="Y2011"/>
  <c r="W2011"/>
  <c r="R2011"/>
  <c r="Z2011" s="1"/>
  <c r="O2011"/>
  <c r="U2011" s="1"/>
  <c r="V2011" s="1"/>
  <c r="M2011"/>
  <c r="AB2010"/>
  <c r="AC2010" s="1"/>
  <c r="Y2010"/>
  <c r="X2010"/>
  <c r="W2010"/>
  <c r="R2010"/>
  <c r="Z2010" s="1"/>
  <c r="M2010"/>
  <c r="O2010" s="1"/>
  <c r="U2010" s="1"/>
  <c r="V2010" s="1"/>
  <c r="AB2009"/>
  <c r="AC2009" s="1"/>
  <c r="X2009"/>
  <c r="W2009"/>
  <c r="S2009"/>
  <c r="T2009" s="1"/>
  <c r="R2009"/>
  <c r="Y2009" s="1"/>
  <c r="M2009"/>
  <c r="O2009" s="1"/>
  <c r="U2009" s="1"/>
  <c r="V2009" s="1"/>
  <c r="W2008"/>
  <c r="R2008"/>
  <c r="Z2008" s="1"/>
  <c r="M2008"/>
  <c r="O2008" s="1"/>
  <c r="U2008" s="1"/>
  <c r="V2008" s="1"/>
  <c r="Y2007"/>
  <c r="W2007"/>
  <c r="R2007"/>
  <c r="Z2007" s="1"/>
  <c r="O2007"/>
  <c r="U2007" s="1"/>
  <c r="V2007" s="1"/>
  <c r="M2007"/>
  <c r="AB2006"/>
  <c r="AC2006" s="1"/>
  <c r="Y2006"/>
  <c r="X2006"/>
  <c r="W2006"/>
  <c r="R2006"/>
  <c r="Z2006" s="1"/>
  <c r="M2006"/>
  <c r="O2006" s="1"/>
  <c r="U2006" s="1"/>
  <c r="V2006" s="1"/>
  <c r="AB2005"/>
  <c r="AC2005" s="1"/>
  <c r="X2005"/>
  <c r="W2005"/>
  <c r="S2005"/>
  <c r="T2005" s="1"/>
  <c r="R2005"/>
  <c r="Y2005" s="1"/>
  <c r="M2005"/>
  <c r="O2005" s="1"/>
  <c r="U2005" s="1"/>
  <c r="V2005" s="1"/>
  <c r="W2004"/>
  <c r="R2004"/>
  <c r="Z2004" s="1"/>
  <c r="M2004"/>
  <c r="O2004" s="1"/>
  <c r="U2004" s="1"/>
  <c r="V2004" s="1"/>
  <c r="Y2003"/>
  <c r="W2003"/>
  <c r="R2003"/>
  <c r="Z2003" s="1"/>
  <c r="O2003"/>
  <c r="U2003" s="1"/>
  <c r="M2003"/>
  <c r="AB2002"/>
  <c r="AC2002" s="1"/>
  <c r="Y2002"/>
  <c r="X2002"/>
  <c r="W2002"/>
  <c r="R2002"/>
  <c r="Z2002" s="1"/>
  <c r="M2002"/>
  <c r="O2002" s="1"/>
  <c r="AB2001"/>
  <c r="AC2001" s="1"/>
  <c r="X2001"/>
  <c r="W2001"/>
  <c r="S2001"/>
  <c r="R2001"/>
  <c r="Y2001" s="1"/>
  <c r="M2001"/>
  <c r="T2001" s="1"/>
  <c r="W2000"/>
  <c r="R2000"/>
  <c r="Z2000" s="1"/>
  <c r="M2000"/>
  <c r="O2000" s="1"/>
  <c r="W1999"/>
  <c r="R1999"/>
  <c r="Y1999" s="1"/>
  <c r="O1999"/>
  <c r="U1999" s="1"/>
  <c r="M1999"/>
  <c r="AC1998"/>
  <c r="AB1998"/>
  <c r="Y1998"/>
  <c r="X1998"/>
  <c r="W1998"/>
  <c r="R1998"/>
  <c r="Z1998" s="1"/>
  <c r="M1998"/>
  <c r="O1998" s="1"/>
  <c r="AB1997"/>
  <c r="AC1997" s="1"/>
  <c r="X1997"/>
  <c r="W1997"/>
  <c r="S1997"/>
  <c r="R1997"/>
  <c r="Y1997" s="1"/>
  <c r="M1997"/>
  <c r="T1997" s="1"/>
  <c r="W1996"/>
  <c r="R1996"/>
  <c r="Z1996" s="1"/>
  <c r="M1996"/>
  <c r="O1996" s="1"/>
  <c r="W1995"/>
  <c r="R1995"/>
  <c r="Y1995" s="1"/>
  <c r="O1995"/>
  <c r="U1995" s="1"/>
  <c r="M1995"/>
  <c r="AC1994"/>
  <c r="AB1994"/>
  <c r="Y1994"/>
  <c r="X1994"/>
  <c r="W1994"/>
  <c r="R1994"/>
  <c r="Z1994" s="1"/>
  <c r="M1994"/>
  <c r="O1994" s="1"/>
  <c r="AB1993"/>
  <c r="AC1993" s="1"/>
  <c r="X1993"/>
  <c r="W1993"/>
  <c r="S1993"/>
  <c r="R1993"/>
  <c r="Y1993" s="1"/>
  <c r="M1993"/>
  <c r="T1993" s="1"/>
  <c r="W1992"/>
  <c r="S1992"/>
  <c r="T1992" s="1"/>
  <c r="R1992"/>
  <c r="Z1992" s="1"/>
  <c r="AA1992" s="1"/>
  <c r="M1992"/>
  <c r="O1992" s="1"/>
  <c r="W1991"/>
  <c r="R1991"/>
  <c r="Y1991" s="1"/>
  <c r="O1991"/>
  <c r="U1991" s="1"/>
  <c r="V1991" s="1"/>
  <c r="M1991"/>
  <c r="AC1990"/>
  <c r="AB1990"/>
  <c r="Y1990"/>
  <c r="X1990"/>
  <c r="W1990"/>
  <c r="R1990"/>
  <c r="Z1990" s="1"/>
  <c r="O1990"/>
  <c r="U1990" s="1"/>
  <c r="V1990" s="1"/>
  <c r="M1990"/>
  <c r="AB1989"/>
  <c r="AC1989" s="1"/>
  <c r="X1989"/>
  <c r="W1989"/>
  <c r="S1989"/>
  <c r="R1989"/>
  <c r="Y1989" s="1"/>
  <c r="M1989"/>
  <c r="T1989" s="1"/>
  <c r="W1988"/>
  <c r="R1988"/>
  <c r="Z1988" s="1"/>
  <c r="M1988"/>
  <c r="O1988" s="1"/>
  <c r="U1988" s="1"/>
  <c r="V1988" s="1"/>
  <c r="W1987"/>
  <c r="R1987"/>
  <c r="Y1987" s="1"/>
  <c r="O1987"/>
  <c r="U1987" s="1"/>
  <c r="V1987" s="1"/>
  <c r="M1987"/>
  <c r="AC1986"/>
  <c r="AB1986"/>
  <c r="Y1986"/>
  <c r="X1986"/>
  <c r="W1986"/>
  <c r="R1986"/>
  <c r="Z1986" s="1"/>
  <c r="O1986"/>
  <c r="U1986" s="1"/>
  <c r="V1986" s="1"/>
  <c r="M1986"/>
  <c r="AB1985"/>
  <c r="AC1985" s="1"/>
  <c r="X1985"/>
  <c r="W1985"/>
  <c r="S1985"/>
  <c r="R1985"/>
  <c r="Y1985" s="1"/>
  <c r="M1985"/>
  <c r="T1985" s="1"/>
  <c r="W1984"/>
  <c r="R1984"/>
  <c r="Z1984" s="1"/>
  <c r="M1984"/>
  <c r="O1984" s="1"/>
  <c r="U1984" s="1"/>
  <c r="V1984" s="1"/>
  <c r="W1983"/>
  <c r="R1983"/>
  <c r="Y1983" s="1"/>
  <c r="O1983"/>
  <c r="U1983" s="1"/>
  <c r="V1983" s="1"/>
  <c r="M1983"/>
  <c r="AC1982"/>
  <c r="AB1982"/>
  <c r="Y1982"/>
  <c r="X1982"/>
  <c r="W1982"/>
  <c r="R1982"/>
  <c r="Z1982" s="1"/>
  <c r="O1982"/>
  <c r="U1982" s="1"/>
  <c r="V1982" s="1"/>
  <c r="M1982"/>
  <c r="AB1981"/>
  <c r="AC1981" s="1"/>
  <c r="X1981"/>
  <c r="W1981"/>
  <c r="S1981"/>
  <c r="R1981"/>
  <c r="Y1981" s="1"/>
  <c r="M1981"/>
  <c r="T1981" s="1"/>
  <c r="W1980"/>
  <c r="R1980"/>
  <c r="Z1980" s="1"/>
  <c r="M1980"/>
  <c r="O1980" s="1"/>
  <c r="U1980" s="1"/>
  <c r="V1980" s="1"/>
  <c r="W1979"/>
  <c r="R1979"/>
  <c r="Y1979" s="1"/>
  <c r="O1979"/>
  <c r="U1979" s="1"/>
  <c r="V1979" s="1"/>
  <c r="M1979"/>
  <c r="AC1978"/>
  <c r="AB1978"/>
  <c r="Y1978"/>
  <c r="X1978"/>
  <c r="W1978"/>
  <c r="R1978"/>
  <c r="Z1978" s="1"/>
  <c r="O1978"/>
  <c r="U1978" s="1"/>
  <c r="V1978" s="1"/>
  <c r="M1978"/>
  <c r="AB1977"/>
  <c r="AC1977" s="1"/>
  <c r="Y1977"/>
  <c r="X1977"/>
  <c r="W1977"/>
  <c r="S1977"/>
  <c r="R1977"/>
  <c r="Z1977" s="1"/>
  <c r="AA1977" s="1"/>
  <c r="M1977"/>
  <c r="T1977" s="1"/>
  <c r="W1976"/>
  <c r="R1976"/>
  <c r="Z1976" s="1"/>
  <c r="M1976"/>
  <c r="O1976" s="1"/>
  <c r="U1976" s="1"/>
  <c r="V1976" s="1"/>
  <c r="W1975"/>
  <c r="R1975"/>
  <c r="Y1975" s="1"/>
  <c r="O1975"/>
  <c r="U1975" s="1"/>
  <c r="V1975" s="1"/>
  <c r="M1975"/>
  <c r="AC1974"/>
  <c r="AB1974"/>
  <c r="Y1974"/>
  <c r="X1974"/>
  <c r="W1974"/>
  <c r="R1974"/>
  <c r="Z1974" s="1"/>
  <c r="O1974"/>
  <c r="U1974" s="1"/>
  <c r="V1974" s="1"/>
  <c r="M1974"/>
  <c r="AB1973"/>
  <c r="AC1973" s="1"/>
  <c r="Y1973"/>
  <c r="X1973"/>
  <c r="W1973"/>
  <c r="S1973"/>
  <c r="R1973"/>
  <c r="Z1973" s="1"/>
  <c r="AA1973" s="1"/>
  <c r="M1973"/>
  <c r="T1973" s="1"/>
  <c r="W1972"/>
  <c r="R1972"/>
  <c r="Z1972" s="1"/>
  <c r="M1972"/>
  <c r="O1972" s="1"/>
  <c r="U1972" s="1"/>
  <c r="V1972" s="1"/>
  <c r="W1971"/>
  <c r="R1971"/>
  <c r="Y1971" s="1"/>
  <c r="O1971"/>
  <c r="U1971" s="1"/>
  <c r="V1971" s="1"/>
  <c r="M1971"/>
  <c r="AC1970"/>
  <c r="AB1970"/>
  <c r="Y1970"/>
  <c r="X1970"/>
  <c r="W1970"/>
  <c r="R1970"/>
  <c r="Z1970" s="1"/>
  <c r="O1970"/>
  <c r="U1970" s="1"/>
  <c r="V1970" s="1"/>
  <c r="M1970"/>
  <c r="AB1969"/>
  <c r="AC1969" s="1"/>
  <c r="Y1969"/>
  <c r="X1969"/>
  <c r="W1969"/>
  <c r="S1969"/>
  <c r="R1969"/>
  <c r="Z1969" s="1"/>
  <c r="AA1969" s="1"/>
  <c r="M1969"/>
  <c r="T1969" s="1"/>
  <c r="W1968"/>
  <c r="R1968"/>
  <c r="Z1968" s="1"/>
  <c r="M1968"/>
  <c r="O1968" s="1"/>
  <c r="U1968" s="1"/>
  <c r="V1968" s="1"/>
  <c r="W1967"/>
  <c r="R1967"/>
  <c r="Y1967" s="1"/>
  <c r="O1967"/>
  <c r="U1967" s="1"/>
  <c r="V1967" s="1"/>
  <c r="M1967"/>
  <c r="AC1966"/>
  <c r="AB1966"/>
  <c r="Y1966"/>
  <c r="X1966"/>
  <c r="W1966"/>
  <c r="R1966"/>
  <c r="Z1966" s="1"/>
  <c r="O1966"/>
  <c r="U1966" s="1"/>
  <c r="V1966" s="1"/>
  <c r="M1966"/>
  <c r="AB1965"/>
  <c r="AC1965" s="1"/>
  <c r="Y1965"/>
  <c r="X1965"/>
  <c r="W1965"/>
  <c r="S1965"/>
  <c r="T1965" s="1"/>
  <c r="R1965"/>
  <c r="Z1965" s="1"/>
  <c r="AA1965" s="1"/>
  <c r="M1965"/>
  <c r="O1965" s="1"/>
  <c r="U1965" s="1"/>
  <c r="V1965" s="1"/>
  <c r="W1964"/>
  <c r="R1964"/>
  <c r="Z1964" s="1"/>
  <c r="M1964"/>
  <c r="O1964" s="1"/>
  <c r="U1964" s="1"/>
  <c r="V1964" s="1"/>
  <c r="Y1963"/>
  <c r="W1963"/>
  <c r="R1963"/>
  <c r="Z1963" s="1"/>
  <c r="O1963"/>
  <c r="U1963" s="1"/>
  <c r="V1963" s="1"/>
  <c r="M1963"/>
  <c r="AB1962"/>
  <c r="AC1962" s="1"/>
  <c r="Y1962"/>
  <c r="X1962"/>
  <c r="W1962"/>
  <c r="R1962"/>
  <c r="Z1962" s="1"/>
  <c r="M1962"/>
  <c r="O1962" s="1"/>
  <c r="U1962" s="1"/>
  <c r="V1962" s="1"/>
  <c r="AB1961"/>
  <c r="AC1961" s="1"/>
  <c r="X1961"/>
  <c r="W1961"/>
  <c r="S1961"/>
  <c r="T1961" s="1"/>
  <c r="R1961"/>
  <c r="Y1961" s="1"/>
  <c r="M1961"/>
  <c r="O1961" s="1"/>
  <c r="U1961" s="1"/>
  <c r="V1961" s="1"/>
  <c r="W1960"/>
  <c r="R1960"/>
  <c r="Z1960" s="1"/>
  <c r="M1960"/>
  <c r="O1960" s="1"/>
  <c r="U1960" s="1"/>
  <c r="V1960" s="1"/>
  <c r="Y1959"/>
  <c r="W1959"/>
  <c r="R1959"/>
  <c r="Z1959" s="1"/>
  <c r="O1959"/>
  <c r="U1959" s="1"/>
  <c r="V1959" s="1"/>
  <c r="M1959"/>
  <c r="AB1958"/>
  <c r="AC1958" s="1"/>
  <c r="Y1958"/>
  <c r="X1958"/>
  <c r="W1958"/>
  <c r="R1958"/>
  <c r="Z1958" s="1"/>
  <c r="M1958"/>
  <c r="O1958" s="1"/>
  <c r="U1958" s="1"/>
  <c r="V1958" s="1"/>
  <c r="AB1957"/>
  <c r="AC1957" s="1"/>
  <c r="X1957"/>
  <c r="W1957"/>
  <c r="S1957"/>
  <c r="T1957" s="1"/>
  <c r="R1957"/>
  <c r="Y1957" s="1"/>
  <c r="M1957"/>
  <c r="O1957" s="1"/>
  <c r="U1957" s="1"/>
  <c r="V1957" s="1"/>
  <c r="W1956"/>
  <c r="R1956"/>
  <c r="Z1956" s="1"/>
  <c r="M1956"/>
  <c r="O1956" s="1"/>
  <c r="U1956" s="1"/>
  <c r="V1956" s="1"/>
  <c r="Y1955"/>
  <c r="W1955"/>
  <c r="R1955"/>
  <c r="Z1955" s="1"/>
  <c r="O1955"/>
  <c r="U1955" s="1"/>
  <c r="V1955" s="1"/>
  <c r="M1955"/>
  <c r="AB1954"/>
  <c r="AC1954" s="1"/>
  <c r="Y1954"/>
  <c r="X1954"/>
  <c r="W1954"/>
  <c r="R1954"/>
  <c r="Z1954" s="1"/>
  <c r="M1954"/>
  <c r="O1954" s="1"/>
  <c r="U1954" s="1"/>
  <c r="V1954" s="1"/>
  <c r="AB1953"/>
  <c r="AC1953" s="1"/>
  <c r="X1953"/>
  <c r="W1953"/>
  <c r="S1953"/>
  <c r="T1953" s="1"/>
  <c r="R1953"/>
  <c r="Y1953" s="1"/>
  <c r="M1953"/>
  <c r="O1953" s="1"/>
  <c r="U1953" s="1"/>
  <c r="V1953" s="1"/>
  <c r="W1952"/>
  <c r="R1952"/>
  <c r="Z1952" s="1"/>
  <c r="M1952"/>
  <c r="O1952" s="1"/>
  <c r="U1952" s="1"/>
  <c r="V1952" s="1"/>
  <c r="Y1951"/>
  <c r="W1951"/>
  <c r="S1951"/>
  <c r="T1951" s="1"/>
  <c r="R1951"/>
  <c r="Z1951" s="1"/>
  <c r="AA1951" s="1"/>
  <c r="O1951"/>
  <c r="U1951" s="1"/>
  <c r="V1951" s="1"/>
  <c r="M1951"/>
  <c r="X1950"/>
  <c r="W1950"/>
  <c r="R1950"/>
  <c r="AB1950" s="1"/>
  <c r="AC1950" s="1"/>
  <c r="M1950"/>
  <c r="O1950" s="1"/>
  <c r="U1950" s="1"/>
  <c r="V1950" s="1"/>
  <c r="AC1949"/>
  <c r="AB1949"/>
  <c r="Y1949"/>
  <c r="X1949"/>
  <c r="W1949"/>
  <c r="S1949"/>
  <c r="T1949" s="1"/>
  <c r="AD1949" s="1"/>
  <c r="R1949"/>
  <c r="Z1949" s="1"/>
  <c r="AA1949" s="1"/>
  <c r="O1949"/>
  <c r="U1949" s="1"/>
  <c r="V1949" s="1"/>
  <c r="M1949"/>
  <c r="W1948"/>
  <c r="R1948"/>
  <c r="Z1948" s="1"/>
  <c r="M1948"/>
  <c r="O1948" s="1"/>
  <c r="U1948" s="1"/>
  <c r="V1948" s="1"/>
  <c r="Y1947"/>
  <c r="W1947"/>
  <c r="S1947"/>
  <c r="T1947" s="1"/>
  <c r="R1947"/>
  <c r="Z1947" s="1"/>
  <c r="AA1947" s="1"/>
  <c r="O1947"/>
  <c r="U1947" s="1"/>
  <c r="V1947" s="1"/>
  <c r="M1947"/>
  <c r="W1946"/>
  <c r="R1946"/>
  <c r="AB1946" s="1"/>
  <c r="AC1946" s="1"/>
  <c r="M1946"/>
  <c r="O1946" s="1"/>
  <c r="U1946" s="1"/>
  <c r="V1946" s="1"/>
  <c r="AC1945"/>
  <c r="AB1945"/>
  <c r="Y1945"/>
  <c r="X1945"/>
  <c r="W1945"/>
  <c r="S1945"/>
  <c r="T1945" s="1"/>
  <c r="AD1945" s="1"/>
  <c r="R1945"/>
  <c r="Z1945" s="1"/>
  <c r="AA1945" s="1"/>
  <c r="O1945"/>
  <c r="U1945" s="1"/>
  <c r="V1945" s="1"/>
  <c r="M1945"/>
  <c r="X1944"/>
  <c r="W1944"/>
  <c r="R1944"/>
  <c r="Z1944" s="1"/>
  <c r="M1944"/>
  <c r="O1944" s="1"/>
  <c r="U1944" s="1"/>
  <c r="V1944" s="1"/>
  <c r="Y1943"/>
  <c r="W1943"/>
  <c r="S1943"/>
  <c r="T1943" s="1"/>
  <c r="R1943"/>
  <c r="Z1943" s="1"/>
  <c r="AA1943" s="1"/>
  <c r="O1943"/>
  <c r="U1943" s="1"/>
  <c r="V1943" s="1"/>
  <c r="M1943"/>
  <c r="W1942"/>
  <c r="R1942"/>
  <c r="AB1942" s="1"/>
  <c r="AC1942" s="1"/>
  <c r="M1942"/>
  <c r="O1942" s="1"/>
  <c r="U1942" s="1"/>
  <c r="V1942" s="1"/>
  <c r="AC1941"/>
  <c r="AB1941"/>
  <c r="Y1941"/>
  <c r="X1941"/>
  <c r="W1941"/>
  <c r="S1941"/>
  <c r="T1941" s="1"/>
  <c r="R1941"/>
  <c r="Z1941" s="1"/>
  <c r="AA1941" s="1"/>
  <c r="O1941"/>
  <c r="U1941" s="1"/>
  <c r="V1941" s="1"/>
  <c r="M1941"/>
  <c r="AB1940"/>
  <c r="AC1940" s="1"/>
  <c r="X1940"/>
  <c r="W1940"/>
  <c r="R1940"/>
  <c r="Z1940" s="1"/>
  <c r="M1940"/>
  <c r="O1940" s="1"/>
  <c r="U1940" s="1"/>
  <c r="V1940" s="1"/>
  <c r="Y1939"/>
  <c r="W1939"/>
  <c r="S1939"/>
  <c r="T1939" s="1"/>
  <c r="R1939"/>
  <c r="Z1939" s="1"/>
  <c r="AA1939" s="1"/>
  <c r="O1939"/>
  <c r="U1939" s="1"/>
  <c r="V1939" s="1"/>
  <c r="M1939"/>
  <c r="W1938"/>
  <c r="R1938"/>
  <c r="AB1938" s="1"/>
  <c r="AC1938" s="1"/>
  <c r="M1938"/>
  <c r="O1938" s="1"/>
  <c r="U1938" s="1"/>
  <c r="V1938" s="1"/>
  <c r="AC1937"/>
  <c r="AB1937"/>
  <c r="Y1937"/>
  <c r="X1937"/>
  <c r="W1937"/>
  <c r="S1937"/>
  <c r="T1937" s="1"/>
  <c r="R1937"/>
  <c r="Z1937" s="1"/>
  <c r="AA1937" s="1"/>
  <c r="O1937"/>
  <c r="U1937" s="1"/>
  <c r="V1937" s="1"/>
  <c r="M1937"/>
  <c r="AB1936"/>
  <c r="AC1936" s="1"/>
  <c r="X1936"/>
  <c r="W1936"/>
  <c r="R1936"/>
  <c r="Z1936" s="1"/>
  <c r="M1936"/>
  <c r="O1936" s="1"/>
  <c r="U1936" s="1"/>
  <c r="V1936" s="1"/>
  <c r="Y1935"/>
  <c r="W1935"/>
  <c r="S1935"/>
  <c r="T1935" s="1"/>
  <c r="R1935"/>
  <c r="Z1935" s="1"/>
  <c r="AA1935" s="1"/>
  <c r="O1935"/>
  <c r="U1935" s="1"/>
  <c r="V1935" s="1"/>
  <c r="M1935"/>
  <c r="W1934"/>
  <c r="R1934"/>
  <c r="AB1934" s="1"/>
  <c r="AC1934" s="1"/>
  <c r="M1934"/>
  <c r="O1934" s="1"/>
  <c r="U1934" s="1"/>
  <c r="V1934" s="1"/>
  <c r="AC1933"/>
  <c r="AB1933"/>
  <c r="Y1933"/>
  <c r="X1933"/>
  <c r="W1933"/>
  <c r="S1933"/>
  <c r="T1933" s="1"/>
  <c r="AD1933" s="1"/>
  <c r="R1933"/>
  <c r="Z1933" s="1"/>
  <c r="AA1933" s="1"/>
  <c r="O1933"/>
  <c r="U1933" s="1"/>
  <c r="V1933" s="1"/>
  <c r="M1933"/>
  <c r="AB1932"/>
  <c r="AC1932" s="1"/>
  <c r="X1932"/>
  <c r="W1932"/>
  <c r="R1932"/>
  <c r="Z1932" s="1"/>
  <c r="M1932"/>
  <c r="O1932" s="1"/>
  <c r="U1932" s="1"/>
  <c r="V1932" s="1"/>
  <c r="Y1931"/>
  <c r="W1931"/>
  <c r="S1931"/>
  <c r="T1931" s="1"/>
  <c r="R1931"/>
  <c r="Z1931" s="1"/>
  <c r="AA1931" s="1"/>
  <c r="O1931"/>
  <c r="U1931" s="1"/>
  <c r="V1931" s="1"/>
  <c r="M1931"/>
  <c r="W1930"/>
  <c r="R1930"/>
  <c r="AB1930" s="1"/>
  <c r="AC1930" s="1"/>
  <c r="M1930"/>
  <c r="O1930" s="1"/>
  <c r="U1930" s="1"/>
  <c r="V1930" s="1"/>
  <c r="AC1929"/>
  <c r="AB1929"/>
  <c r="Y1929"/>
  <c r="X1929"/>
  <c r="W1929"/>
  <c r="S1929"/>
  <c r="T1929" s="1"/>
  <c r="R1929"/>
  <c r="Z1929" s="1"/>
  <c r="AA1929" s="1"/>
  <c r="O1929"/>
  <c r="U1929" s="1"/>
  <c r="V1929" s="1"/>
  <c r="M1929"/>
  <c r="AB1928"/>
  <c r="AC1928" s="1"/>
  <c r="X1928"/>
  <c r="W1928"/>
  <c r="R1928"/>
  <c r="Z1928" s="1"/>
  <c r="M1928"/>
  <c r="O1928" s="1"/>
  <c r="U1928" s="1"/>
  <c r="V1928" s="1"/>
  <c r="Y1927"/>
  <c r="W1927"/>
  <c r="S1927"/>
  <c r="T1927" s="1"/>
  <c r="R1927"/>
  <c r="Z1927" s="1"/>
  <c r="AA1927" s="1"/>
  <c r="O1927"/>
  <c r="U1927" s="1"/>
  <c r="V1927" s="1"/>
  <c r="M1927"/>
  <c r="W1926"/>
  <c r="R1926"/>
  <c r="AB1926" s="1"/>
  <c r="AC1926" s="1"/>
  <c r="M1926"/>
  <c r="O1926" s="1"/>
  <c r="U1926" s="1"/>
  <c r="V1926" s="1"/>
  <c r="AC1925"/>
  <c r="AB1925"/>
  <c r="Y1925"/>
  <c r="X1925"/>
  <c r="W1925"/>
  <c r="S1925"/>
  <c r="T1925" s="1"/>
  <c r="R1925"/>
  <c r="Z1925" s="1"/>
  <c r="AA1925" s="1"/>
  <c r="O1925"/>
  <c r="U1925" s="1"/>
  <c r="V1925" s="1"/>
  <c r="M1925"/>
  <c r="AB1924"/>
  <c r="AC1924" s="1"/>
  <c r="X1924"/>
  <c r="W1924"/>
  <c r="R1924"/>
  <c r="Z1924" s="1"/>
  <c r="M1924"/>
  <c r="O1924" s="1"/>
  <c r="U1924" s="1"/>
  <c r="V1924" s="1"/>
  <c r="Y1923"/>
  <c r="W1923"/>
  <c r="S1923"/>
  <c r="T1923" s="1"/>
  <c r="R1923"/>
  <c r="Z1923" s="1"/>
  <c r="AA1923" s="1"/>
  <c r="O1923"/>
  <c r="U1923" s="1"/>
  <c r="V1923" s="1"/>
  <c r="M1923"/>
  <c r="W1922"/>
  <c r="R1922"/>
  <c r="AB1922" s="1"/>
  <c r="AC1922" s="1"/>
  <c r="M1922"/>
  <c r="O1922" s="1"/>
  <c r="U1922" s="1"/>
  <c r="V1922" s="1"/>
  <c r="AC1921"/>
  <c r="AB1921"/>
  <c r="Y1921"/>
  <c r="X1921"/>
  <c r="W1921"/>
  <c r="S1921"/>
  <c r="T1921" s="1"/>
  <c r="R1921"/>
  <c r="Z1921" s="1"/>
  <c r="AA1921" s="1"/>
  <c r="O1921"/>
  <c r="U1921" s="1"/>
  <c r="V1921" s="1"/>
  <c r="M1921"/>
  <c r="AB1920"/>
  <c r="AC1920" s="1"/>
  <c r="X1920"/>
  <c r="W1920"/>
  <c r="R1920"/>
  <c r="Z1920" s="1"/>
  <c r="M1920"/>
  <c r="O1920" s="1"/>
  <c r="U1920" s="1"/>
  <c r="V1920" s="1"/>
  <c r="Y1919"/>
  <c r="W1919"/>
  <c r="S1919"/>
  <c r="T1919" s="1"/>
  <c r="R1919"/>
  <c r="Z1919" s="1"/>
  <c r="AA1919" s="1"/>
  <c r="O1919"/>
  <c r="U1919" s="1"/>
  <c r="V1919" s="1"/>
  <c r="M1919"/>
  <c r="W1918"/>
  <c r="R1918"/>
  <c r="AB1918" s="1"/>
  <c r="AC1918" s="1"/>
  <c r="M1918"/>
  <c r="O1918" s="1"/>
  <c r="U1918" s="1"/>
  <c r="V1918" s="1"/>
  <c r="Y1917"/>
  <c r="W1917"/>
  <c r="S1917"/>
  <c r="T1917" s="1"/>
  <c r="R1917"/>
  <c r="AB1917" s="1"/>
  <c r="AC1917" s="1"/>
  <c r="O1917"/>
  <c r="U1917" s="1"/>
  <c r="V1917" s="1"/>
  <c r="M1917"/>
  <c r="AB1916"/>
  <c r="AC1916" s="1"/>
  <c r="X1916"/>
  <c r="W1916"/>
  <c r="R1916"/>
  <c r="Z1916" s="1"/>
  <c r="M1916"/>
  <c r="O1916" s="1"/>
  <c r="U1916" s="1"/>
  <c r="V1916" s="1"/>
  <c r="Y1915"/>
  <c r="W1915"/>
  <c r="S1915"/>
  <c r="T1915" s="1"/>
  <c r="R1915"/>
  <c r="Z1915" s="1"/>
  <c r="AA1915" s="1"/>
  <c r="O1915"/>
  <c r="U1915" s="1"/>
  <c r="V1915" s="1"/>
  <c r="M1915"/>
  <c r="W1914"/>
  <c r="R1914"/>
  <c r="AB1914" s="1"/>
  <c r="AC1914" s="1"/>
  <c r="M1914"/>
  <c r="O1914" s="1"/>
  <c r="U1914" s="1"/>
  <c r="V1914" s="1"/>
  <c r="Y1913"/>
  <c r="W1913"/>
  <c r="R1913"/>
  <c r="O1913"/>
  <c r="U1913" s="1"/>
  <c r="V1913" s="1"/>
  <c r="M1913"/>
  <c r="AB1912"/>
  <c r="AC1912" s="1"/>
  <c r="X1912"/>
  <c r="W1912"/>
  <c r="R1912"/>
  <c r="Z1912" s="1"/>
  <c r="M1912"/>
  <c r="O1912" s="1"/>
  <c r="U1912" s="1"/>
  <c r="V1912" s="1"/>
  <c r="W1911"/>
  <c r="S1911"/>
  <c r="T1911" s="1"/>
  <c r="R1911"/>
  <c r="Y1911" s="1"/>
  <c r="M1911"/>
  <c r="O1911" s="1"/>
  <c r="U1911" s="1"/>
  <c r="V1911" s="1"/>
  <c r="W1910"/>
  <c r="R1910"/>
  <c r="AB1910" s="1"/>
  <c r="AC1910" s="1"/>
  <c r="M1910"/>
  <c r="O1910" s="1"/>
  <c r="U1910" s="1"/>
  <c r="V1910" s="1"/>
  <c r="Y1909"/>
  <c r="W1909"/>
  <c r="R1909"/>
  <c r="O1909"/>
  <c r="U1909" s="1"/>
  <c r="V1909" s="1"/>
  <c r="M1909"/>
  <c r="AB1908"/>
  <c r="AC1908" s="1"/>
  <c r="X1908"/>
  <c r="W1908"/>
  <c r="R1908"/>
  <c r="Z1908" s="1"/>
  <c r="M1908"/>
  <c r="O1908" s="1"/>
  <c r="U1908" s="1"/>
  <c r="V1908" s="1"/>
  <c r="X1907"/>
  <c r="W1907"/>
  <c r="S1907"/>
  <c r="T1907" s="1"/>
  <c r="R1907"/>
  <c r="Y1907" s="1"/>
  <c r="M1907"/>
  <c r="O1907" s="1"/>
  <c r="U1907" s="1"/>
  <c r="V1907" s="1"/>
  <c r="W1906"/>
  <c r="R1906"/>
  <c r="AB1906" s="1"/>
  <c r="AC1906" s="1"/>
  <c r="M1906"/>
  <c r="O1906" s="1"/>
  <c r="U1906" s="1"/>
  <c r="V1906" s="1"/>
  <c r="Y1905"/>
  <c r="W1905"/>
  <c r="R1905"/>
  <c r="O1905"/>
  <c r="U1905" s="1"/>
  <c r="V1905" s="1"/>
  <c r="M1905"/>
  <c r="AB1904"/>
  <c r="AC1904" s="1"/>
  <c r="X1904"/>
  <c r="W1904"/>
  <c r="R1904"/>
  <c r="Z1904" s="1"/>
  <c r="M1904"/>
  <c r="O1904" s="1"/>
  <c r="U1904" s="1"/>
  <c r="V1904" s="1"/>
  <c r="AB1903"/>
  <c r="AC1903" s="1"/>
  <c r="X1903"/>
  <c r="W1903"/>
  <c r="S1903"/>
  <c r="T1903" s="1"/>
  <c r="R1903"/>
  <c r="Y1903" s="1"/>
  <c r="M1903"/>
  <c r="O1903" s="1"/>
  <c r="U1903" s="1"/>
  <c r="V1903" s="1"/>
  <c r="W1902"/>
  <c r="R1902"/>
  <c r="AB1902" s="1"/>
  <c r="AC1902" s="1"/>
  <c r="M1902"/>
  <c r="O1902" s="1"/>
  <c r="U1902" s="1"/>
  <c r="V1902" s="1"/>
  <c r="Y1901"/>
  <c r="W1901"/>
  <c r="R1901"/>
  <c r="O1901"/>
  <c r="U1901" s="1"/>
  <c r="V1901" s="1"/>
  <c r="M1901"/>
  <c r="AB1900"/>
  <c r="AC1900" s="1"/>
  <c r="Y1900"/>
  <c r="X1900"/>
  <c r="W1900"/>
  <c r="R1900"/>
  <c r="Z1900" s="1"/>
  <c r="M1900"/>
  <c r="O1900" s="1"/>
  <c r="U1900" s="1"/>
  <c r="V1900" s="1"/>
  <c r="AB1899"/>
  <c r="AC1899" s="1"/>
  <c r="X1899"/>
  <c r="W1899"/>
  <c r="S1899"/>
  <c r="T1899" s="1"/>
  <c r="R1899"/>
  <c r="Y1899" s="1"/>
  <c r="M1899"/>
  <c r="O1899" s="1"/>
  <c r="U1899" s="1"/>
  <c r="V1899" s="1"/>
  <c r="W1898"/>
  <c r="R1898"/>
  <c r="AB1898" s="1"/>
  <c r="AC1898" s="1"/>
  <c r="M1898"/>
  <c r="O1898" s="1"/>
  <c r="U1898" s="1"/>
  <c r="V1898" s="1"/>
  <c r="Y1897"/>
  <c r="W1897"/>
  <c r="R1897"/>
  <c r="O1897"/>
  <c r="U1897" s="1"/>
  <c r="V1897" s="1"/>
  <c r="M1897"/>
  <c r="AB1896"/>
  <c r="AC1896" s="1"/>
  <c r="Y1896"/>
  <c r="X1896"/>
  <c r="W1896"/>
  <c r="R1896"/>
  <c r="Z1896" s="1"/>
  <c r="M1896"/>
  <c r="O1896" s="1"/>
  <c r="U1896" s="1"/>
  <c r="V1896" s="1"/>
  <c r="AB1895"/>
  <c r="AC1895" s="1"/>
  <c r="X1895"/>
  <c r="W1895"/>
  <c r="S1895"/>
  <c r="T1895" s="1"/>
  <c r="R1895"/>
  <c r="Y1895" s="1"/>
  <c r="M1895"/>
  <c r="O1895" s="1"/>
  <c r="U1895" s="1"/>
  <c r="V1895" s="1"/>
  <c r="W1894"/>
  <c r="R1894"/>
  <c r="AB1894" s="1"/>
  <c r="AC1894" s="1"/>
  <c r="M1894"/>
  <c r="O1894" s="1"/>
  <c r="U1894" s="1"/>
  <c r="V1894" s="1"/>
  <c r="Y1893"/>
  <c r="W1893"/>
  <c r="R1893"/>
  <c r="O1893"/>
  <c r="U1893" s="1"/>
  <c r="V1893" s="1"/>
  <c r="M1893"/>
  <c r="AB1892"/>
  <c r="AC1892" s="1"/>
  <c r="Y1892"/>
  <c r="X1892"/>
  <c r="W1892"/>
  <c r="R1892"/>
  <c r="Z1892" s="1"/>
  <c r="M1892"/>
  <c r="O1892" s="1"/>
  <c r="U1892" s="1"/>
  <c r="V1892" s="1"/>
  <c r="AB1891"/>
  <c r="AC1891" s="1"/>
  <c r="X1891"/>
  <c r="W1891"/>
  <c r="S1891"/>
  <c r="T1891" s="1"/>
  <c r="R1891"/>
  <c r="Y1891" s="1"/>
  <c r="M1891"/>
  <c r="O1891" s="1"/>
  <c r="U1891" s="1"/>
  <c r="V1891" s="1"/>
  <c r="W1890"/>
  <c r="R1890"/>
  <c r="AB1890" s="1"/>
  <c r="AC1890" s="1"/>
  <c r="M1890"/>
  <c r="O1890" s="1"/>
  <c r="U1890" s="1"/>
  <c r="V1890" s="1"/>
  <c r="Y1889"/>
  <c r="W1889"/>
  <c r="R1889"/>
  <c r="O1889"/>
  <c r="U1889" s="1"/>
  <c r="V1889" s="1"/>
  <c r="M1889"/>
  <c r="AB1888"/>
  <c r="AC1888" s="1"/>
  <c r="Y1888"/>
  <c r="X1888"/>
  <c r="W1888"/>
  <c r="R1888"/>
  <c r="Z1888" s="1"/>
  <c r="M1888"/>
  <c r="O1888" s="1"/>
  <c r="U1888" s="1"/>
  <c r="V1888" s="1"/>
  <c r="AB1887"/>
  <c r="AC1887" s="1"/>
  <c r="X1887"/>
  <c r="W1887"/>
  <c r="S1887"/>
  <c r="T1887" s="1"/>
  <c r="R1887"/>
  <c r="Y1887" s="1"/>
  <c r="M1887"/>
  <c r="O1887" s="1"/>
  <c r="U1887" s="1"/>
  <c r="V1887" s="1"/>
  <c r="W1886"/>
  <c r="R1886"/>
  <c r="AB1886" s="1"/>
  <c r="AC1886" s="1"/>
  <c r="M1886"/>
  <c r="O1886" s="1"/>
  <c r="U1886" s="1"/>
  <c r="V1886" s="1"/>
  <c r="Y1885"/>
  <c r="W1885"/>
  <c r="R1885"/>
  <c r="O1885"/>
  <c r="U1885" s="1"/>
  <c r="V1885" s="1"/>
  <c r="M1885"/>
  <c r="AB1884"/>
  <c r="AC1884" s="1"/>
  <c r="Y1884"/>
  <c r="X1884"/>
  <c r="W1884"/>
  <c r="R1884"/>
  <c r="Z1884" s="1"/>
  <c r="M1884"/>
  <c r="O1884" s="1"/>
  <c r="U1884" s="1"/>
  <c r="V1884" s="1"/>
  <c r="AB1883"/>
  <c r="AC1883" s="1"/>
  <c r="X1883"/>
  <c r="W1883"/>
  <c r="S1883"/>
  <c r="T1883" s="1"/>
  <c r="R1883"/>
  <c r="Y1883" s="1"/>
  <c r="M1883"/>
  <c r="O1883" s="1"/>
  <c r="U1883" s="1"/>
  <c r="V1883" s="1"/>
  <c r="W1882"/>
  <c r="R1882"/>
  <c r="AB1882" s="1"/>
  <c r="AC1882" s="1"/>
  <c r="M1882"/>
  <c r="O1882" s="1"/>
  <c r="U1882" s="1"/>
  <c r="V1882" s="1"/>
  <c r="Y1881"/>
  <c r="W1881"/>
  <c r="R1881"/>
  <c r="O1881"/>
  <c r="U1881" s="1"/>
  <c r="V1881" s="1"/>
  <c r="M1881"/>
  <c r="AB1880"/>
  <c r="AC1880" s="1"/>
  <c r="Y1880"/>
  <c r="X1880"/>
  <c r="W1880"/>
  <c r="R1880"/>
  <c r="Z1880" s="1"/>
  <c r="M1880"/>
  <c r="O1880" s="1"/>
  <c r="U1880" s="1"/>
  <c r="V1880" s="1"/>
  <c r="AB1879"/>
  <c r="AC1879" s="1"/>
  <c r="X1879"/>
  <c r="W1879"/>
  <c r="S1879"/>
  <c r="T1879" s="1"/>
  <c r="R1879"/>
  <c r="Y1879" s="1"/>
  <c r="M1879"/>
  <c r="O1879" s="1"/>
  <c r="U1879" s="1"/>
  <c r="V1879" s="1"/>
  <c r="W1878"/>
  <c r="R1878"/>
  <c r="AB1878" s="1"/>
  <c r="AC1878" s="1"/>
  <c r="M1878"/>
  <c r="O1878" s="1"/>
  <c r="U1878" s="1"/>
  <c r="V1878" s="1"/>
  <c r="Y1877"/>
  <c r="W1877"/>
  <c r="R1877"/>
  <c r="O1877"/>
  <c r="U1877" s="1"/>
  <c r="V1877" s="1"/>
  <c r="M1877"/>
  <c r="AB1876"/>
  <c r="AC1876" s="1"/>
  <c r="Y1876"/>
  <c r="X1876"/>
  <c r="W1876"/>
  <c r="R1876"/>
  <c r="Z1876" s="1"/>
  <c r="M1876"/>
  <c r="O1876" s="1"/>
  <c r="AB1875"/>
  <c r="AC1875" s="1"/>
  <c r="X1875"/>
  <c r="W1875"/>
  <c r="S1875"/>
  <c r="T1875" s="1"/>
  <c r="R1875"/>
  <c r="Y1875" s="1"/>
  <c r="M1875"/>
  <c r="O1875" s="1"/>
  <c r="W1874"/>
  <c r="R1874"/>
  <c r="AB1874" s="1"/>
  <c r="AC1874" s="1"/>
  <c r="M1874"/>
  <c r="O1874" s="1"/>
  <c r="Y1873"/>
  <c r="W1873"/>
  <c r="R1873"/>
  <c r="O1873"/>
  <c r="U1873" s="1"/>
  <c r="V1873" s="1"/>
  <c r="M1873"/>
  <c r="AB1872"/>
  <c r="AC1872" s="1"/>
  <c r="Y1872"/>
  <c r="X1872"/>
  <c r="W1872"/>
  <c r="R1872"/>
  <c r="Z1872" s="1"/>
  <c r="M1872"/>
  <c r="O1872" s="1"/>
  <c r="U1872" s="1"/>
  <c r="V1872" s="1"/>
  <c r="AB1871"/>
  <c r="AC1871" s="1"/>
  <c r="X1871"/>
  <c r="W1871"/>
  <c r="S1871"/>
  <c r="T1871" s="1"/>
  <c r="R1871"/>
  <c r="Y1871" s="1"/>
  <c r="M1871"/>
  <c r="O1871" s="1"/>
  <c r="U1871" s="1"/>
  <c r="V1871" s="1"/>
  <c r="W1870"/>
  <c r="R1870"/>
  <c r="AB1870" s="1"/>
  <c r="AC1870" s="1"/>
  <c r="M1870"/>
  <c r="O1870" s="1"/>
  <c r="U1870" s="1"/>
  <c r="V1870" s="1"/>
  <c r="Y1869"/>
  <c r="W1869"/>
  <c r="R1869"/>
  <c r="O1869"/>
  <c r="U1869" s="1"/>
  <c r="V1869" s="1"/>
  <c r="M1869"/>
  <c r="AB1868"/>
  <c r="AC1868" s="1"/>
  <c r="Y1868"/>
  <c r="X1868"/>
  <c r="W1868"/>
  <c r="R1868"/>
  <c r="Z1868" s="1"/>
  <c r="M1868"/>
  <c r="O1868" s="1"/>
  <c r="U1868" s="1"/>
  <c r="V1868" s="1"/>
  <c r="AB1867"/>
  <c r="AC1867" s="1"/>
  <c r="X1867"/>
  <c r="W1867"/>
  <c r="S1867"/>
  <c r="T1867" s="1"/>
  <c r="R1867"/>
  <c r="Y1867" s="1"/>
  <c r="M1867"/>
  <c r="O1867" s="1"/>
  <c r="U1867" s="1"/>
  <c r="V1867" s="1"/>
  <c r="W1866"/>
  <c r="R1866"/>
  <c r="AB1866" s="1"/>
  <c r="AC1866" s="1"/>
  <c r="M1866"/>
  <c r="O1866" s="1"/>
  <c r="U1866" s="1"/>
  <c r="V1866" s="1"/>
  <c r="Y1865"/>
  <c r="W1865"/>
  <c r="R1865"/>
  <c r="O1865"/>
  <c r="U1865" s="1"/>
  <c r="V1865" s="1"/>
  <c r="M1865"/>
  <c r="AB1864"/>
  <c r="AC1864" s="1"/>
  <c r="Y1864"/>
  <c r="X1864"/>
  <c r="W1864"/>
  <c r="R1864"/>
  <c r="Z1864" s="1"/>
  <c r="M1864"/>
  <c r="O1864" s="1"/>
  <c r="U1864" s="1"/>
  <c r="V1864" s="1"/>
  <c r="AB1863"/>
  <c r="AC1863" s="1"/>
  <c r="X1863"/>
  <c r="W1863"/>
  <c r="S1863"/>
  <c r="T1863" s="1"/>
  <c r="R1863"/>
  <c r="Y1863" s="1"/>
  <c r="M1863"/>
  <c r="O1863" s="1"/>
  <c r="U1863" s="1"/>
  <c r="V1863" s="1"/>
  <c r="W1862"/>
  <c r="R1862"/>
  <c r="AB1862" s="1"/>
  <c r="AC1862" s="1"/>
  <c r="M1862"/>
  <c r="O1862" s="1"/>
  <c r="Y1861"/>
  <c r="W1861"/>
  <c r="R1861"/>
  <c r="O1861"/>
  <c r="U1861" s="1"/>
  <c r="V1861" s="1"/>
  <c r="M1861"/>
  <c r="AB1860"/>
  <c r="AC1860" s="1"/>
  <c r="Y1860"/>
  <c r="X1860"/>
  <c r="W1860"/>
  <c r="R1860"/>
  <c r="Z1860" s="1"/>
  <c r="M1860"/>
  <c r="O1860" s="1"/>
  <c r="U1860" s="1"/>
  <c r="V1860" s="1"/>
  <c r="AB1859"/>
  <c r="AC1859" s="1"/>
  <c r="X1859"/>
  <c r="W1859"/>
  <c r="S1859"/>
  <c r="T1859" s="1"/>
  <c r="R1859"/>
  <c r="Y1859" s="1"/>
  <c r="M1859"/>
  <c r="O1859" s="1"/>
  <c r="U1859" s="1"/>
  <c r="V1859" s="1"/>
  <c r="W1858"/>
  <c r="R1858"/>
  <c r="AB1858" s="1"/>
  <c r="AC1858" s="1"/>
  <c r="M1858"/>
  <c r="O1858" s="1"/>
  <c r="U1858" s="1"/>
  <c r="V1858" s="1"/>
  <c r="Y1857"/>
  <c r="W1857"/>
  <c r="R1857"/>
  <c r="O1857"/>
  <c r="U1857" s="1"/>
  <c r="M1857"/>
  <c r="AB1856"/>
  <c r="AC1856" s="1"/>
  <c r="Y1856"/>
  <c r="X1856"/>
  <c r="W1856"/>
  <c r="R1856"/>
  <c r="Z1856" s="1"/>
  <c r="M1856"/>
  <c r="O1856" s="1"/>
  <c r="AB1855"/>
  <c r="AC1855" s="1"/>
  <c r="X1855"/>
  <c r="W1855"/>
  <c r="S1855"/>
  <c r="T1855" s="1"/>
  <c r="R1855"/>
  <c r="Y1855" s="1"/>
  <c r="M1855"/>
  <c r="O1855" s="1"/>
  <c r="W1854"/>
  <c r="R1854"/>
  <c r="AB1854" s="1"/>
  <c r="AC1854" s="1"/>
  <c r="M1854"/>
  <c r="O1854" s="1"/>
  <c r="Y1853"/>
  <c r="W1853"/>
  <c r="R1853"/>
  <c r="O1853"/>
  <c r="U1853" s="1"/>
  <c r="M1853"/>
  <c r="AB1852"/>
  <c r="AC1852" s="1"/>
  <c r="Y1852"/>
  <c r="X1852"/>
  <c r="W1852"/>
  <c r="R1852"/>
  <c r="Z1852" s="1"/>
  <c r="M1852"/>
  <c r="O1852" s="1"/>
  <c r="U1852" s="1"/>
  <c r="V1852" s="1"/>
  <c r="AB1851"/>
  <c r="AC1851" s="1"/>
  <c r="X1851"/>
  <c r="W1851"/>
  <c r="S1851"/>
  <c r="T1851" s="1"/>
  <c r="R1851"/>
  <c r="Y1851" s="1"/>
  <c r="M1851"/>
  <c r="O1851" s="1"/>
  <c r="W1850"/>
  <c r="R1850"/>
  <c r="AB1850" s="1"/>
  <c r="AC1850" s="1"/>
  <c r="M1850"/>
  <c r="O1850" s="1"/>
  <c r="U1850" s="1"/>
  <c r="V1850" s="1"/>
  <c r="Y1849"/>
  <c r="W1849"/>
  <c r="R1849"/>
  <c r="O1849"/>
  <c r="U1849" s="1"/>
  <c r="V1849" s="1"/>
  <c r="M1849"/>
  <c r="AB1848"/>
  <c r="AC1848" s="1"/>
  <c r="Y1848"/>
  <c r="X1848"/>
  <c r="W1848"/>
  <c r="R1848"/>
  <c r="Z1848" s="1"/>
  <c r="M1848"/>
  <c r="O1848" s="1"/>
  <c r="U1848" s="1"/>
  <c r="V1848" s="1"/>
  <c r="AB1847"/>
  <c r="AC1847" s="1"/>
  <c r="X1847"/>
  <c r="W1847"/>
  <c r="S1847"/>
  <c r="T1847" s="1"/>
  <c r="R1847"/>
  <c r="Y1847" s="1"/>
  <c r="M1847"/>
  <c r="O1847" s="1"/>
  <c r="U1847" s="1"/>
  <c r="V1847" s="1"/>
  <c r="W1846"/>
  <c r="R1846"/>
  <c r="AB1846" s="1"/>
  <c r="AC1846" s="1"/>
  <c r="M1846"/>
  <c r="O1846" s="1"/>
  <c r="U1846" s="1"/>
  <c r="V1846" s="1"/>
  <c r="Y1845"/>
  <c r="W1845"/>
  <c r="R1845"/>
  <c r="O1845"/>
  <c r="U1845" s="1"/>
  <c r="V1845" s="1"/>
  <c r="M1845"/>
  <c r="AB1844"/>
  <c r="AC1844" s="1"/>
  <c r="Y1844"/>
  <c r="X1844"/>
  <c r="W1844"/>
  <c r="R1844"/>
  <c r="Z1844" s="1"/>
  <c r="M1844"/>
  <c r="O1844" s="1"/>
  <c r="U1844" s="1"/>
  <c r="V1844" s="1"/>
  <c r="AB1843"/>
  <c r="AC1843" s="1"/>
  <c r="X1843"/>
  <c r="W1843"/>
  <c r="S1843"/>
  <c r="T1843" s="1"/>
  <c r="R1843"/>
  <c r="Y1843" s="1"/>
  <c r="M1843"/>
  <c r="O1843" s="1"/>
  <c r="U1843" s="1"/>
  <c r="V1843" s="1"/>
  <c r="W1842"/>
  <c r="R1842"/>
  <c r="AB1842" s="1"/>
  <c r="AC1842" s="1"/>
  <c r="M1842"/>
  <c r="O1842" s="1"/>
  <c r="U1842" s="1"/>
  <c r="V1842" s="1"/>
  <c r="Y1841"/>
  <c r="W1841"/>
  <c r="R1841"/>
  <c r="O1841"/>
  <c r="U1841" s="1"/>
  <c r="V1841" s="1"/>
  <c r="M1841"/>
  <c r="AB1840"/>
  <c r="AC1840" s="1"/>
  <c r="Y1840"/>
  <c r="X1840"/>
  <c r="W1840"/>
  <c r="R1840"/>
  <c r="Z1840" s="1"/>
  <c r="M1840"/>
  <c r="O1840" s="1"/>
  <c r="U1840" s="1"/>
  <c r="V1840" s="1"/>
  <c r="AB1839"/>
  <c r="AC1839" s="1"/>
  <c r="X1839"/>
  <c r="W1839"/>
  <c r="S1839"/>
  <c r="T1839" s="1"/>
  <c r="R1839"/>
  <c r="Y1839" s="1"/>
  <c r="M1839"/>
  <c r="O1839" s="1"/>
  <c r="U1839" s="1"/>
  <c r="V1839" s="1"/>
  <c r="W1838"/>
  <c r="R1838"/>
  <c r="AB1838" s="1"/>
  <c r="AC1838" s="1"/>
  <c r="M1838"/>
  <c r="O1838" s="1"/>
  <c r="U1838" s="1"/>
  <c r="V1838" s="1"/>
  <c r="Y1837"/>
  <c r="W1837"/>
  <c r="R1837"/>
  <c r="O1837"/>
  <c r="U1837" s="1"/>
  <c r="V1837" s="1"/>
  <c r="M1837"/>
  <c r="AB1836"/>
  <c r="AC1836" s="1"/>
  <c r="Y1836"/>
  <c r="X1836"/>
  <c r="W1836"/>
  <c r="R1836"/>
  <c r="Z1836" s="1"/>
  <c r="M1836"/>
  <c r="O1836" s="1"/>
  <c r="AB1835"/>
  <c r="AC1835" s="1"/>
  <c r="X1835"/>
  <c r="W1835"/>
  <c r="S1835"/>
  <c r="T1835" s="1"/>
  <c r="R1835"/>
  <c r="Y1835" s="1"/>
  <c r="M1835"/>
  <c r="O1835" s="1"/>
  <c r="W1834"/>
  <c r="R1834"/>
  <c r="AB1834" s="1"/>
  <c r="AC1834" s="1"/>
  <c r="M1834"/>
  <c r="O1834" s="1"/>
  <c r="Y1833"/>
  <c r="W1833"/>
  <c r="R1833"/>
  <c r="O1833"/>
  <c r="U1833" s="1"/>
  <c r="M1833"/>
  <c r="AB1832"/>
  <c r="AC1832" s="1"/>
  <c r="Y1832"/>
  <c r="X1832"/>
  <c r="W1832"/>
  <c r="R1832"/>
  <c r="Z1832" s="1"/>
  <c r="M1832"/>
  <c r="O1832" s="1"/>
  <c r="AB1831"/>
  <c r="AC1831" s="1"/>
  <c r="X1831"/>
  <c r="W1831"/>
  <c r="S1831"/>
  <c r="T1831" s="1"/>
  <c r="R1831"/>
  <c r="Y1831" s="1"/>
  <c r="M1831"/>
  <c r="O1831" s="1"/>
  <c r="W1830"/>
  <c r="R1830"/>
  <c r="AB1830" s="1"/>
  <c r="AC1830" s="1"/>
  <c r="M1830"/>
  <c r="O1830" s="1"/>
  <c r="U1830" s="1"/>
  <c r="V1830" s="1"/>
  <c r="Y1829"/>
  <c r="W1829"/>
  <c r="R1829"/>
  <c r="O1829"/>
  <c r="U1829" s="1"/>
  <c r="M1829"/>
  <c r="AB1828"/>
  <c r="AC1828" s="1"/>
  <c r="Y1828"/>
  <c r="X1828"/>
  <c r="W1828"/>
  <c r="R1828"/>
  <c r="Z1828" s="1"/>
  <c r="M1828"/>
  <c r="O1828" s="1"/>
  <c r="U1828" s="1"/>
  <c r="V1828" s="1"/>
  <c r="AB1827"/>
  <c r="AC1827" s="1"/>
  <c r="X1827"/>
  <c r="W1827"/>
  <c r="S1827"/>
  <c r="T1827" s="1"/>
  <c r="R1827"/>
  <c r="Y1827" s="1"/>
  <c r="M1827"/>
  <c r="O1827" s="1"/>
  <c r="W1826"/>
  <c r="R1826"/>
  <c r="AB1826" s="1"/>
  <c r="AC1826" s="1"/>
  <c r="M1826"/>
  <c r="O1826" s="1"/>
  <c r="Y1825"/>
  <c r="W1825"/>
  <c r="R1825"/>
  <c r="O1825"/>
  <c r="U1825" s="1"/>
  <c r="M1825"/>
  <c r="AB1824"/>
  <c r="AC1824" s="1"/>
  <c r="Y1824"/>
  <c r="X1824"/>
  <c r="W1824"/>
  <c r="R1824"/>
  <c r="Z1824" s="1"/>
  <c r="M1824"/>
  <c r="O1824" s="1"/>
  <c r="AB1823"/>
  <c r="AC1823" s="1"/>
  <c r="X1823"/>
  <c r="W1823"/>
  <c r="S1823"/>
  <c r="T1823" s="1"/>
  <c r="R1823"/>
  <c r="Y1823" s="1"/>
  <c r="M1823"/>
  <c r="O1823" s="1"/>
  <c r="W1822"/>
  <c r="R1822"/>
  <c r="AB1822" s="1"/>
  <c r="AC1822" s="1"/>
  <c r="M1822"/>
  <c r="O1822" s="1"/>
  <c r="Y1821"/>
  <c r="W1821"/>
  <c r="R1821"/>
  <c r="O1821"/>
  <c r="U1821" s="1"/>
  <c r="M1821"/>
  <c r="AB1820"/>
  <c r="AC1820" s="1"/>
  <c r="Y1820"/>
  <c r="X1820"/>
  <c r="W1820"/>
  <c r="R1820"/>
  <c r="Z1820" s="1"/>
  <c r="M1820"/>
  <c r="O1820" s="1"/>
  <c r="AB1819"/>
  <c r="AC1819" s="1"/>
  <c r="X1819"/>
  <c r="W1819"/>
  <c r="S1819"/>
  <c r="T1819" s="1"/>
  <c r="R1819"/>
  <c r="Y1819" s="1"/>
  <c r="M1819"/>
  <c r="O1819" s="1"/>
  <c r="W1818"/>
  <c r="R1818"/>
  <c r="AB1818" s="1"/>
  <c r="AC1818" s="1"/>
  <c r="M1818"/>
  <c r="O1818" s="1"/>
  <c r="Y1817"/>
  <c r="W1817"/>
  <c r="R1817"/>
  <c r="O1817"/>
  <c r="U1817" s="1"/>
  <c r="M1817"/>
  <c r="AB1816"/>
  <c r="AC1816" s="1"/>
  <c r="Y1816"/>
  <c r="X1816"/>
  <c r="W1816"/>
  <c r="R1816"/>
  <c r="Z1816" s="1"/>
  <c r="M1816"/>
  <c r="O1816" s="1"/>
  <c r="AB1815"/>
  <c r="AC1815" s="1"/>
  <c r="X1815"/>
  <c r="W1815"/>
  <c r="S1815"/>
  <c r="T1815" s="1"/>
  <c r="R1815"/>
  <c r="Y1815" s="1"/>
  <c r="M1815"/>
  <c r="O1815" s="1"/>
  <c r="W1814"/>
  <c r="R1814"/>
  <c r="AB1814" s="1"/>
  <c r="AC1814" s="1"/>
  <c r="M1814"/>
  <c r="O1814" s="1"/>
  <c r="Y1813"/>
  <c r="W1813"/>
  <c r="R1813"/>
  <c r="O1813"/>
  <c r="U1813" s="1"/>
  <c r="V1813" s="1"/>
  <c r="M1813"/>
  <c r="AB1812"/>
  <c r="AC1812" s="1"/>
  <c r="Y1812"/>
  <c r="X1812"/>
  <c r="W1812"/>
  <c r="R1812"/>
  <c r="Z1812" s="1"/>
  <c r="M1812"/>
  <c r="O1812" s="1"/>
  <c r="U1812" s="1"/>
  <c r="V1812" s="1"/>
  <c r="AB1811"/>
  <c r="AC1811" s="1"/>
  <c r="X1811"/>
  <c r="W1811"/>
  <c r="S1811"/>
  <c r="T1811" s="1"/>
  <c r="R1811"/>
  <c r="Y1811" s="1"/>
  <c r="M1811"/>
  <c r="O1811" s="1"/>
  <c r="U1811" s="1"/>
  <c r="V1811" s="1"/>
  <c r="W1810"/>
  <c r="R1810"/>
  <c r="AB1810" s="1"/>
  <c r="AC1810" s="1"/>
  <c r="M1810"/>
  <c r="O1810" s="1"/>
  <c r="U1810" s="1"/>
  <c r="V1810" s="1"/>
  <c r="Y1809"/>
  <c r="W1809"/>
  <c r="R1809"/>
  <c r="O1809"/>
  <c r="U1809" s="1"/>
  <c r="V1809" s="1"/>
  <c r="M1809"/>
  <c r="AB1808"/>
  <c r="AC1808" s="1"/>
  <c r="Y1808"/>
  <c r="X1808"/>
  <c r="W1808"/>
  <c r="R1808"/>
  <c r="Z1808" s="1"/>
  <c r="M1808"/>
  <c r="O1808" s="1"/>
  <c r="U1808" s="1"/>
  <c r="V1808" s="1"/>
  <c r="AB1807"/>
  <c r="AC1807" s="1"/>
  <c r="X1807"/>
  <c r="W1807"/>
  <c r="S1807"/>
  <c r="T1807" s="1"/>
  <c r="R1807"/>
  <c r="Y1807" s="1"/>
  <c r="M1807"/>
  <c r="O1807" s="1"/>
  <c r="U1807" s="1"/>
  <c r="V1807" s="1"/>
  <c r="W1806"/>
  <c r="R1806"/>
  <c r="AB1806" s="1"/>
  <c r="AC1806" s="1"/>
  <c r="M1806"/>
  <c r="O1806" s="1"/>
  <c r="U1806" s="1"/>
  <c r="V1806" s="1"/>
  <c r="Y1805"/>
  <c r="W1805"/>
  <c r="R1805"/>
  <c r="O1805"/>
  <c r="U1805" s="1"/>
  <c r="V1805" s="1"/>
  <c r="M1805"/>
  <c r="AB1804"/>
  <c r="AC1804" s="1"/>
  <c r="Y1804"/>
  <c r="X1804"/>
  <c r="W1804"/>
  <c r="R1804"/>
  <c r="Z1804" s="1"/>
  <c r="M1804"/>
  <c r="O1804" s="1"/>
  <c r="U1804" s="1"/>
  <c r="V1804" s="1"/>
  <c r="AB1803"/>
  <c r="AC1803" s="1"/>
  <c r="X1803"/>
  <c r="W1803"/>
  <c r="S1803"/>
  <c r="T1803" s="1"/>
  <c r="R1803"/>
  <c r="Y1803" s="1"/>
  <c r="M1803"/>
  <c r="O1803" s="1"/>
  <c r="U1803" s="1"/>
  <c r="V1803" s="1"/>
  <c r="W1802"/>
  <c r="R1802"/>
  <c r="AB1802" s="1"/>
  <c r="AC1802" s="1"/>
  <c r="M1802"/>
  <c r="O1802" s="1"/>
  <c r="U1802" s="1"/>
  <c r="V1802" s="1"/>
  <c r="Y1801"/>
  <c r="W1801"/>
  <c r="R1801"/>
  <c r="O1801"/>
  <c r="U1801" s="1"/>
  <c r="V1801" s="1"/>
  <c r="M1801"/>
  <c r="AB1800"/>
  <c r="AC1800" s="1"/>
  <c r="Y1800"/>
  <c r="X1800"/>
  <c r="W1800"/>
  <c r="R1800"/>
  <c r="Z1800" s="1"/>
  <c r="M1800"/>
  <c r="O1800" s="1"/>
  <c r="U1800" s="1"/>
  <c r="V1800" s="1"/>
  <c r="AB1799"/>
  <c r="AC1799" s="1"/>
  <c r="X1799"/>
  <c r="W1799"/>
  <c r="S1799"/>
  <c r="T1799" s="1"/>
  <c r="R1799"/>
  <c r="Y1799" s="1"/>
  <c r="M1799"/>
  <c r="O1799" s="1"/>
  <c r="U1799" s="1"/>
  <c r="V1799" s="1"/>
  <c r="W1798"/>
  <c r="R1798"/>
  <c r="AB1798" s="1"/>
  <c r="AC1798" s="1"/>
  <c r="M1798"/>
  <c r="O1798" s="1"/>
  <c r="U1798" s="1"/>
  <c r="V1798" s="1"/>
  <c r="Y1797"/>
  <c r="W1797"/>
  <c r="R1797"/>
  <c r="O1797"/>
  <c r="U1797" s="1"/>
  <c r="V1797" s="1"/>
  <c r="M1797"/>
  <c r="AB1796"/>
  <c r="AC1796" s="1"/>
  <c r="Y1796"/>
  <c r="X1796"/>
  <c r="W1796"/>
  <c r="R1796"/>
  <c r="Z1796" s="1"/>
  <c r="M1796"/>
  <c r="O1796" s="1"/>
  <c r="U1796" s="1"/>
  <c r="V1796" s="1"/>
  <c r="AB1795"/>
  <c r="AC1795" s="1"/>
  <c r="X1795"/>
  <c r="W1795"/>
  <c r="S1795"/>
  <c r="T1795" s="1"/>
  <c r="R1795"/>
  <c r="Y1795" s="1"/>
  <c r="M1795"/>
  <c r="O1795" s="1"/>
  <c r="U1795" s="1"/>
  <c r="V1795" s="1"/>
  <c r="W1794"/>
  <c r="R1794"/>
  <c r="AB1794" s="1"/>
  <c r="AC1794" s="1"/>
  <c r="M1794"/>
  <c r="O1794" s="1"/>
  <c r="U1794" s="1"/>
  <c r="V1794" s="1"/>
  <c r="Y1793"/>
  <c r="W1793"/>
  <c r="R1793"/>
  <c r="O1793"/>
  <c r="U1793" s="1"/>
  <c r="V1793" s="1"/>
  <c r="M1793"/>
  <c r="AB1792"/>
  <c r="AC1792" s="1"/>
  <c r="Y1792"/>
  <c r="X1792"/>
  <c r="W1792"/>
  <c r="R1792"/>
  <c r="Z1792" s="1"/>
  <c r="M1792"/>
  <c r="O1792" s="1"/>
  <c r="U1792" s="1"/>
  <c r="V1792" s="1"/>
  <c r="AB1791"/>
  <c r="AC1791" s="1"/>
  <c r="X1791"/>
  <c r="W1791"/>
  <c r="S1791"/>
  <c r="T1791" s="1"/>
  <c r="R1791"/>
  <c r="Y1791" s="1"/>
  <c r="M1791"/>
  <c r="O1791" s="1"/>
  <c r="U1791" s="1"/>
  <c r="V1791" s="1"/>
  <c r="W1790"/>
  <c r="R1790"/>
  <c r="AB1790" s="1"/>
  <c r="AC1790" s="1"/>
  <c r="M1790"/>
  <c r="O1790" s="1"/>
  <c r="U1790" s="1"/>
  <c r="V1790" s="1"/>
  <c r="Y1789"/>
  <c r="W1789"/>
  <c r="R1789"/>
  <c r="O1789"/>
  <c r="U1789" s="1"/>
  <c r="V1789" s="1"/>
  <c r="M1789"/>
  <c r="AB1788"/>
  <c r="AC1788" s="1"/>
  <c r="Y1788"/>
  <c r="X1788"/>
  <c r="W1788"/>
  <c r="R1788"/>
  <c r="Z1788" s="1"/>
  <c r="M1788"/>
  <c r="O1788" s="1"/>
  <c r="U1788" s="1"/>
  <c r="V1788" s="1"/>
  <c r="AB1787"/>
  <c r="AC1787" s="1"/>
  <c r="X1787"/>
  <c r="W1787"/>
  <c r="S1787"/>
  <c r="T1787" s="1"/>
  <c r="R1787"/>
  <c r="Y1787" s="1"/>
  <c r="M1787"/>
  <c r="O1787" s="1"/>
  <c r="U1787" s="1"/>
  <c r="V1787" s="1"/>
  <c r="W1786"/>
  <c r="R1786"/>
  <c r="AB1786" s="1"/>
  <c r="AC1786" s="1"/>
  <c r="O1786"/>
  <c r="U1786" s="1"/>
  <c r="V1786" s="1"/>
  <c r="M1786"/>
  <c r="Y1785"/>
  <c r="W1785"/>
  <c r="R1785"/>
  <c r="O1785"/>
  <c r="U1785" s="1"/>
  <c r="V1785" s="1"/>
  <c r="M1785"/>
  <c r="AB1784"/>
  <c r="AC1784" s="1"/>
  <c r="Y1784"/>
  <c r="X1784"/>
  <c r="W1784"/>
  <c r="R1784"/>
  <c r="Z1784" s="1"/>
  <c r="M1784"/>
  <c r="O1784" s="1"/>
  <c r="U1784" s="1"/>
  <c r="V1784" s="1"/>
  <c r="AB1783"/>
  <c r="AC1783" s="1"/>
  <c r="X1783"/>
  <c r="W1783"/>
  <c r="S1783"/>
  <c r="T1783" s="1"/>
  <c r="R1783"/>
  <c r="Y1783" s="1"/>
  <c r="M1783"/>
  <c r="O1783" s="1"/>
  <c r="U1783" s="1"/>
  <c r="V1783" s="1"/>
  <c r="W1782"/>
  <c r="R1782"/>
  <c r="AB1782" s="1"/>
  <c r="AC1782" s="1"/>
  <c r="O1782"/>
  <c r="U1782" s="1"/>
  <c r="V1782" s="1"/>
  <c r="M1782"/>
  <c r="Y1781"/>
  <c r="W1781"/>
  <c r="R1781"/>
  <c r="O1781"/>
  <c r="U1781" s="1"/>
  <c r="V1781" s="1"/>
  <c r="M1781"/>
  <c r="AB1780"/>
  <c r="AC1780" s="1"/>
  <c r="Y1780"/>
  <c r="X1780"/>
  <c r="W1780"/>
  <c r="R1780"/>
  <c r="Z1780" s="1"/>
  <c r="M1780"/>
  <c r="O1780" s="1"/>
  <c r="U1780" s="1"/>
  <c r="V1780" s="1"/>
  <c r="AB1779"/>
  <c r="AC1779" s="1"/>
  <c r="X1779"/>
  <c r="W1779"/>
  <c r="S1779"/>
  <c r="T1779" s="1"/>
  <c r="R1779"/>
  <c r="Y1779" s="1"/>
  <c r="M1779"/>
  <c r="O1779" s="1"/>
  <c r="U1779" s="1"/>
  <c r="V1779" s="1"/>
  <c r="W1778"/>
  <c r="R1778"/>
  <c r="AB1778" s="1"/>
  <c r="AC1778" s="1"/>
  <c r="O1778"/>
  <c r="U1778" s="1"/>
  <c r="V1778" s="1"/>
  <c r="M1778"/>
  <c r="Y1777"/>
  <c r="W1777"/>
  <c r="R1777"/>
  <c r="O1777"/>
  <c r="U1777" s="1"/>
  <c r="V1777" s="1"/>
  <c r="M1777"/>
  <c r="AB1776"/>
  <c r="AC1776" s="1"/>
  <c r="Y1776"/>
  <c r="X1776"/>
  <c r="W1776"/>
  <c r="R1776"/>
  <c r="Z1776" s="1"/>
  <c r="M1776"/>
  <c r="O1776" s="1"/>
  <c r="U1776" s="1"/>
  <c r="V1776" s="1"/>
  <c r="AB1775"/>
  <c r="AC1775" s="1"/>
  <c r="X1775"/>
  <c r="W1775"/>
  <c r="S1775"/>
  <c r="T1775" s="1"/>
  <c r="R1775"/>
  <c r="Y1775" s="1"/>
  <c r="M1775"/>
  <c r="O1775" s="1"/>
  <c r="U1775" s="1"/>
  <c r="V1775" s="1"/>
  <c r="W1774"/>
  <c r="R1774"/>
  <c r="AB1774" s="1"/>
  <c r="AC1774" s="1"/>
  <c r="M1774"/>
  <c r="O1774" s="1"/>
  <c r="U1774" s="1"/>
  <c r="V1774" s="1"/>
  <c r="Y1773"/>
  <c r="W1773"/>
  <c r="R1773"/>
  <c r="O1773"/>
  <c r="U1773" s="1"/>
  <c r="V1773" s="1"/>
  <c r="M1773"/>
  <c r="AB1772"/>
  <c r="AC1772" s="1"/>
  <c r="Y1772"/>
  <c r="X1772"/>
  <c r="W1772"/>
  <c r="R1772"/>
  <c r="Z1772" s="1"/>
  <c r="M1772"/>
  <c r="O1772" s="1"/>
  <c r="U1772" s="1"/>
  <c r="V1772" s="1"/>
  <c r="AB1771"/>
  <c r="AC1771" s="1"/>
  <c r="X1771"/>
  <c r="W1771"/>
  <c r="S1771"/>
  <c r="T1771" s="1"/>
  <c r="R1771"/>
  <c r="Y1771" s="1"/>
  <c r="M1771"/>
  <c r="O1771" s="1"/>
  <c r="U1771" s="1"/>
  <c r="V1771" s="1"/>
  <c r="W1770"/>
  <c r="R1770"/>
  <c r="AB1770" s="1"/>
  <c r="AC1770" s="1"/>
  <c r="M1770"/>
  <c r="O1770" s="1"/>
  <c r="U1770" s="1"/>
  <c r="V1770" s="1"/>
  <c r="Y1769"/>
  <c r="W1769"/>
  <c r="R1769"/>
  <c r="O1769"/>
  <c r="U1769" s="1"/>
  <c r="V1769" s="1"/>
  <c r="M1769"/>
  <c r="AB1768"/>
  <c r="AC1768" s="1"/>
  <c r="Y1768"/>
  <c r="X1768"/>
  <c r="W1768"/>
  <c r="R1768"/>
  <c r="Z1768" s="1"/>
  <c r="M1768"/>
  <c r="O1768" s="1"/>
  <c r="U1768" s="1"/>
  <c r="V1768" s="1"/>
  <c r="AB1767"/>
  <c r="AC1767" s="1"/>
  <c r="X1767"/>
  <c r="W1767"/>
  <c r="S1767"/>
  <c r="T1767" s="1"/>
  <c r="R1767"/>
  <c r="Y1767" s="1"/>
  <c r="M1767"/>
  <c r="O1767" s="1"/>
  <c r="U1767" s="1"/>
  <c r="V1767" s="1"/>
  <c r="W1766"/>
  <c r="R1766"/>
  <c r="AB1766" s="1"/>
  <c r="AC1766" s="1"/>
  <c r="O1766"/>
  <c r="U1766" s="1"/>
  <c r="V1766" s="1"/>
  <c r="M1766"/>
  <c r="Y1765"/>
  <c r="W1765"/>
  <c r="R1765"/>
  <c r="O1765"/>
  <c r="U1765" s="1"/>
  <c r="V1765" s="1"/>
  <c r="M1765"/>
  <c r="AB1764"/>
  <c r="AC1764" s="1"/>
  <c r="Y1764"/>
  <c r="X1764"/>
  <c r="W1764"/>
  <c r="R1764"/>
  <c r="Z1764" s="1"/>
  <c r="M1764"/>
  <c r="O1764" s="1"/>
  <c r="U1764" s="1"/>
  <c r="V1764" s="1"/>
  <c r="AB1763"/>
  <c r="AC1763" s="1"/>
  <c r="X1763"/>
  <c r="W1763"/>
  <c r="S1763"/>
  <c r="T1763" s="1"/>
  <c r="R1763"/>
  <c r="Y1763" s="1"/>
  <c r="M1763"/>
  <c r="O1763" s="1"/>
  <c r="U1763" s="1"/>
  <c r="V1763" s="1"/>
  <c r="W1762"/>
  <c r="R1762"/>
  <c r="AB1762" s="1"/>
  <c r="AC1762" s="1"/>
  <c r="O1762"/>
  <c r="U1762" s="1"/>
  <c r="V1762" s="1"/>
  <c r="M1762"/>
  <c r="Y1761"/>
  <c r="W1761"/>
  <c r="R1761"/>
  <c r="O1761"/>
  <c r="U1761" s="1"/>
  <c r="V1761" s="1"/>
  <c r="M1761"/>
  <c r="AB1760"/>
  <c r="AC1760" s="1"/>
  <c r="Y1760"/>
  <c r="X1760"/>
  <c r="W1760"/>
  <c r="R1760"/>
  <c r="Z1760" s="1"/>
  <c r="M1760"/>
  <c r="O1760" s="1"/>
  <c r="U1760" s="1"/>
  <c r="V1760" s="1"/>
  <c r="AB1759"/>
  <c r="AC1759" s="1"/>
  <c r="X1759"/>
  <c r="W1759"/>
  <c r="S1759"/>
  <c r="T1759" s="1"/>
  <c r="R1759"/>
  <c r="Y1759" s="1"/>
  <c r="M1759"/>
  <c r="O1759" s="1"/>
  <c r="U1759" s="1"/>
  <c r="V1759" s="1"/>
  <c r="W1758"/>
  <c r="R1758"/>
  <c r="AB1758" s="1"/>
  <c r="AC1758" s="1"/>
  <c r="O1758"/>
  <c r="U1758" s="1"/>
  <c r="V1758" s="1"/>
  <c r="M1758"/>
  <c r="Y1757"/>
  <c r="W1757"/>
  <c r="R1757"/>
  <c r="O1757"/>
  <c r="U1757" s="1"/>
  <c r="V1757" s="1"/>
  <c r="M1757"/>
  <c r="AB1756"/>
  <c r="AC1756" s="1"/>
  <c r="Y1756"/>
  <c r="X1756"/>
  <c r="W1756"/>
  <c r="S1756"/>
  <c r="R1756"/>
  <c r="Z1756" s="1"/>
  <c r="M1756"/>
  <c r="T1756" s="1"/>
  <c r="AB1755"/>
  <c r="AC1755" s="1"/>
  <c r="X1755"/>
  <c r="W1755"/>
  <c r="S1755"/>
  <c r="T1755" s="1"/>
  <c r="R1755"/>
  <c r="Y1755" s="1"/>
  <c r="M1755"/>
  <c r="O1755" s="1"/>
  <c r="U1755" s="1"/>
  <c r="V1755" s="1"/>
  <c r="W1754"/>
  <c r="R1754"/>
  <c r="AB1754" s="1"/>
  <c r="AC1754" s="1"/>
  <c r="O1754"/>
  <c r="U1754" s="1"/>
  <c r="V1754" s="1"/>
  <c r="M1754"/>
  <c r="Y1753"/>
  <c r="W1753"/>
  <c r="R1753"/>
  <c r="O1753"/>
  <c r="U1753" s="1"/>
  <c r="V1753" s="1"/>
  <c r="M1753"/>
  <c r="AB1752"/>
  <c r="AC1752" s="1"/>
  <c r="Y1752"/>
  <c r="X1752"/>
  <c r="W1752"/>
  <c r="R1752"/>
  <c r="Z1752" s="1"/>
  <c r="M1752"/>
  <c r="O1752" s="1"/>
  <c r="U1752" s="1"/>
  <c r="V1752" s="1"/>
  <c r="AB1751"/>
  <c r="AC1751" s="1"/>
  <c r="X1751"/>
  <c r="W1751"/>
  <c r="S1751"/>
  <c r="T1751" s="1"/>
  <c r="R1751"/>
  <c r="Y1751" s="1"/>
  <c r="M1751"/>
  <c r="O1751" s="1"/>
  <c r="U1751" s="1"/>
  <c r="V1751" s="1"/>
  <c r="W1750"/>
  <c r="R1750"/>
  <c r="AB1750" s="1"/>
  <c r="AC1750" s="1"/>
  <c r="O1750"/>
  <c r="U1750" s="1"/>
  <c r="V1750" s="1"/>
  <c r="M1750"/>
  <c r="Y1749"/>
  <c r="W1749"/>
  <c r="R1749"/>
  <c r="O1749"/>
  <c r="U1749" s="1"/>
  <c r="V1749" s="1"/>
  <c r="M1749"/>
  <c r="AB1748"/>
  <c r="AC1748" s="1"/>
  <c r="Y1748"/>
  <c r="X1748"/>
  <c r="W1748"/>
  <c r="R1748"/>
  <c r="Z1748" s="1"/>
  <c r="M1748"/>
  <c r="O1748" s="1"/>
  <c r="U1748" s="1"/>
  <c r="V1748" s="1"/>
  <c r="AB1747"/>
  <c r="AC1747" s="1"/>
  <c r="X1747"/>
  <c r="W1747"/>
  <c r="S1747"/>
  <c r="T1747" s="1"/>
  <c r="R1747"/>
  <c r="Y1747" s="1"/>
  <c r="M1747"/>
  <c r="O1747" s="1"/>
  <c r="U1747" s="1"/>
  <c r="V1747" s="1"/>
  <c r="W1746"/>
  <c r="R1746"/>
  <c r="AB1746" s="1"/>
  <c r="AC1746" s="1"/>
  <c r="O1746"/>
  <c r="U1746" s="1"/>
  <c r="V1746" s="1"/>
  <c r="M1746"/>
  <c r="Y1745"/>
  <c r="W1745"/>
  <c r="R1745"/>
  <c r="O1745"/>
  <c r="U1745" s="1"/>
  <c r="V1745" s="1"/>
  <c r="M1745"/>
  <c r="AB1744"/>
  <c r="AC1744" s="1"/>
  <c r="Y1744"/>
  <c r="X1744"/>
  <c r="W1744"/>
  <c r="R1744"/>
  <c r="Z1744" s="1"/>
  <c r="M1744"/>
  <c r="O1744" s="1"/>
  <c r="U1744" s="1"/>
  <c r="V1744" s="1"/>
  <c r="AB1743"/>
  <c r="AC1743" s="1"/>
  <c r="X1743"/>
  <c r="W1743"/>
  <c r="S1743"/>
  <c r="T1743" s="1"/>
  <c r="R1743"/>
  <c r="Y1743" s="1"/>
  <c r="M1743"/>
  <c r="O1743" s="1"/>
  <c r="U1743" s="1"/>
  <c r="V1743" s="1"/>
  <c r="W1742"/>
  <c r="R1742"/>
  <c r="AB1742" s="1"/>
  <c r="AC1742" s="1"/>
  <c r="M1742"/>
  <c r="O1742" s="1"/>
  <c r="U1742" s="1"/>
  <c r="V1742" s="1"/>
  <c r="Y1741"/>
  <c r="W1741"/>
  <c r="R1741"/>
  <c r="O1741"/>
  <c r="U1741" s="1"/>
  <c r="V1741" s="1"/>
  <c r="M1741"/>
  <c r="AB1740"/>
  <c r="AC1740" s="1"/>
  <c r="Y1740"/>
  <c r="X1740"/>
  <c r="W1740"/>
  <c r="R1740"/>
  <c r="Z1740" s="1"/>
  <c r="M1740"/>
  <c r="O1740" s="1"/>
  <c r="U1740" s="1"/>
  <c r="V1740" s="1"/>
  <c r="AB1739"/>
  <c r="AC1739" s="1"/>
  <c r="X1739"/>
  <c r="W1739"/>
  <c r="S1739"/>
  <c r="T1739" s="1"/>
  <c r="R1739"/>
  <c r="Y1739" s="1"/>
  <c r="M1739"/>
  <c r="O1739" s="1"/>
  <c r="U1739" s="1"/>
  <c r="V1739" s="1"/>
  <c r="W1738"/>
  <c r="R1738"/>
  <c r="AB1738" s="1"/>
  <c r="AC1738" s="1"/>
  <c r="O1738"/>
  <c r="U1738" s="1"/>
  <c r="V1738" s="1"/>
  <c r="M1738"/>
  <c r="Y1737"/>
  <c r="W1737"/>
  <c r="R1737"/>
  <c r="O1737"/>
  <c r="U1737" s="1"/>
  <c r="V1737" s="1"/>
  <c r="M1737"/>
  <c r="AB1736"/>
  <c r="AC1736" s="1"/>
  <c r="Y1736"/>
  <c r="X1736"/>
  <c r="W1736"/>
  <c r="R1736"/>
  <c r="Z1736" s="1"/>
  <c r="M1736"/>
  <c r="O1736" s="1"/>
  <c r="U1736" s="1"/>
  <c r="V1736" s="1"/>
  <c r="AB1735"/>
  <c r="AC1735" s="1"/>
  <c r="X1735"/>
  <c r="W1735"/>
  <c r="S1735"/>
  <c r="T1735" s="1"/>
  <c r="R1735"/>
  <c r="Y1735" s="1"/>
  <c r="M1735"/>
  <c r="O1735" s="1"/>
  <c r="U1735" s="1"/>
  <c r="V1735" s="1"/>
  <c r="W1734"/>
  <c r="R1734"/>
  <c r="AB1734" s="1"/>
  <c r="AC1734" s="1"/>
  <c r="O1734"/>
  <c r="U1734" s="1"/>
  <c r="V1734" s="1"/>
  <c r="M1734"/>
  <c r="Y1733"/>
  <c r="W1733"/>
  <c r="R1733"/>
  <c r="O1733"/>
  <c r="U1733" s="1"/>
  <c r="V1733" s="1"/>
  <c r="M1733"/>
  <c r="AB1732"/>
  <c r="AC1732" s="1"/>
  <c r="Y1732"/>
  <c r="X1732"/>
  <c r="W1732"/>
  <c r="R1732"/>
  <c r="Z1732" s="1"/>
  <c r="M1732"/>
  <c r="O1732" s="1"/>
  <c r="U1732" s="1"/>
  <c r="V1732" s="1"/>
  <c r="AB1731"/>
  <c r="AC1731" s="1"/>
  <c r="X1731"/>
  <c r="W1731"/>
  <c r="S1731"/>
  <c r="T1731" s="1"/>
  <c r="R1731"/>
  <c r="Y1731" s="1"/>
  <c r="M1731"/>
  <c r="O1731" s="1"/>
  <c r="U1731" s="1"/>
  <c r="V1731" s="1"/>
  <c r="W1730"/>
  <c r="R1730"/>
  <c r="AB1730" s="1"/>
  <c r="AC1730" s="1"/>
  <c r="O1730"/>
  <c r="U1730" s="1"/>
  <c r="V1730" s="1"/>
  <c r="M1730"/>
  <c r="Y1729"/>
  <c r="W1729"/>
  <c r="R1729"/>
  <c r="O1729"/>
  <c r="U1729" s="1"/>
  <c r="V1729" s="1"/>
  <c r="M1729"/>
  <c r="AB1728"/>
  <c r="AC1728" s="1"/>
  <c r="Y1728"/>
  <c r="X1728"/>
  <c r="W1728"/>
  <c r="R1728"/>
  <c r="Z1728" s="1"/>
  <c r="M1728"/>
  <c r="O1728" s="1"/>
  <c r="U1728" s="1"/>
  <c r="V1728" s="1"/>
  <c r="AB1727"/>
  <c r="AC1727" s="1"/>
  <c r="X1727"/>
  <c r="W1727"/>
  <c r="S1727"/>
  <c r="T1727" s="1"/>
  <c r="R1727"/>
  <c r="Y1727" s="1"/>
  <c r="M1727"/>
  <c r="O1727" s="1"/>
  <c r="U1727" s="1"/>
  <c r="V1727" s="1"/>
  <c r="W1726"/>
  <c r="R1726"/>
  <c r="AB1726" s="1"/>
  <c r="AC1726" s="1"/>
  <c r="O1726"/>
  <c r="U1726" s="1"/>
  <c r="V1726" s="1"/>
  <c r="M1726"/>
  <c r="Y1725"/>
  <c r="W1725"/>
  <c r="R1725"/>
  <c r="O1725"/>
  <c r="U1725" s="1"/>
  <c r="V1725" s="1"/>
  <c r="M1725"/>
  <c r="AB1724"/>
  <c r="AC1724" s="1"/>
  <c r="Y1724"/>
  <c r="X1724"/>
  <c r="W1724"/>
  <c r="R1724"/>
  <c r="Z1724" s="1"/>
  <c r="M1724"/>
  <c r="O1724" s="1"/>
  <c r="U1724" s="1"/>
  <c r="V1724" s="1"/>
  <c r="AB1723"/>
  <c r="AC1723" s="1"/>
  <c r="X1723"/>
  <c r="W1723"/>
  <c r="S1723"/>
  <c r="T1723" s="1"/>
  <c r="R1723"/>
  <c r="Y1723" s="1"/>
  <c r="M1723"/>
  <c r="O1723" s="1"/>
  <c r="U1723" s="1"/>
  <c r="V1723" s="1"/>
  <c r="W1722"/>
  <c r="R1722"/>
  <c r="AB1722" s="1"/>
  <c r="AC1722" s="1"/>
  <c r="O1722"/>
  <c r="U1722" s="1"/>
  <c r="V1722" s="1"/>
  <c r="M1722"/>
  <c r="Y1721"/>
  <c r="W1721"/>
  <c r="R1721"/>
  <c r="O1721"/>
  <c r="U1721" s="1"/>
  <c r="V1721" s="1"/>
  <c r="M1721"/>
  <c r="AB1720"/>
  <c r="AC1720" s="1"/>
  <c r="Y1720"/>
  <c r="X1720"/>
  <c r="W1720"/>
  <c r="R1720"/>
  <c r="Z1720" s="1"/>
  <c r="M1720"/>
  <c r="O1720" s="1"/>
  <c r="U1720" s="1"/>
  <c r="V1720" s="1"/>
  <c r="AB1719"/>
  <c r="AC1719" s="1"/>
  <c r="X1719"/>
  <c r="W1719"/>
  <c r="S1719"/>
  <c r="T1719" s="1"/>
  <c r="R1719"/>
  <c r="Y1719" s="1"/>
  <c r="M1719"/>
  <c r="O1719" s="1"/>
  <c r="U1719" s="1"/>
  <c r="V1719" s="1"/>
  <c r="Z1718"/>
  <c r="W1718"/>
  <c r="R1718"/>
  <c r="O1718"/>
  <c r="U1718" s="1"/>
  <c r="V1718" s="1"/>
  <c r="M1718"/>
  <c r="Y1717"/>
  <c r="W1717"/>
  <c r="U1717"/>
  <c r="V1717" s="1"/>
  <c r="R1717"/>
  <c r="O1717"/>
  <c r="M1717"/>
  <c r="AB1716"/>
  <c r="AC1716" s="1"/>
  <c r="Y1716"/>
  <c r="X1716"/>
  <c r="W1716"/>
  <c r="R1716"/>
  <c r="Z1716" s="1"/>
  <c r="M1716"/>
  <c r="O1716" s="1"/>
  <c r="U1716" s="1"/>
  <c r="V1716" s="1"/>
  <c r="AB1715"/>
  <c r="AC1715" s="1"/>
  <c r="X1715"/>
  <c r="W1715"/>
  <c r="S1715"/>
  <c r="T1715" s="1"/>
  <c r="R1715"/>
  <c r="Y1715" s="1"/>
  <c r="M1715"/>
  <c r="O1715" s="1"/>
  <c r="U1715" s="1"/>
  <c r="V1715" s="1"/>
  <c r="Z1714"/>
  <c r="W1714"/>
  <c r="R1714"/>
  <c r="O1714"/>
  <c r="U1714" s="1"/>
  <c r="V1714" s="1"/>
  <c r="M1714"/>
  <c r="Y1713"/>
  <c r="W1713"/>
  <c r="U1713"/>
  <c r="V1713" s="1"/>
  <c r="R1713"/>
  <c r="O1713"/>
  <c r="M1713"/>
  <c r="AB1712"/>
  <c r="AC1712" s="1"/>
  <c r="Y1712"/>
  <c r="X1712"/>
  <c r="W1712"/>
  <c r="R1712"/>
  <c r="Z1712" s="1"/>
  <c r="M1712"/>
  <c r="O1712" s="1"/>
  <c r="U1712" s="1"/>
  <c r="V1712" s="1"/>
  <c r="AB1711"/>
  <c r="AC1711" s="1"/>
  <c r="X1711"/>
  <c r="W1711"/>
  <c r="S1711"/>
  <c r="T1711" s="1"/>
  <c r="R1711"/>
  <c r="Y1711" s="1"/>
  <c r="M1711"/>
  <c r="O1711" s="1"/>
  <c r="U1711" s="1"/>
  <c r="V1711" s="1"/>
  <c r="Z1710"/>
  <c r="W1710"/>
  <c r="R1710"/>
  <c r="M1710"/>
  <c r="O1710" s="1"/>
  <c r="U1710" s="1"/>
  <c r="V1710" s="1"/>
  <c r="Y1709"/>
  <c r="W1709"/>
  <c r="U1709"/>
  <c r="V1709" s="1"/>
  <c r="R1709"/>
  <c r="O1709"/>
  <c r="M1709"/>
  <c r="AB1708"/>
  <c r="AC1708" s="1"/>
  <c r="Y1708"/>
  <c r="X1708"/>
  <c r="W1708"/>
  <c r="R1708"/>
  <c r="Z1708" s="1"/>
  <c r="M1708"/>
  <c r="O1708" s="1"/>
  <c r="U1708" s="1"/>
  <c r="V1708" s="1"/>
  <c r="AB1707"/>
  <c r="AC1707" s="1"/>
  <c r="X1707"/>
  <c r="W1707"/>
  <c r="S1707"/>
  <c r="T1707" s="1"/>
  <c r="R1707"/>
  <c r="Y1707" s="1"/>
  <c r="M1707"/>
  <c r="O1707" s="1"/>
  <c r="U1707" s="1"/>
  <c r="V1707" s="1"/>
  <c r="Z1706"/>
  <c r="W1706"/>
  <c r="V1706"/>
  <c r="R1706"/>
  <c r="M1706"/>
  <c r="O1706" s="1"/>
  <c r="U1706" s="1"/>
  <c r="Y1705"/>
  <c r="W1705"/>
  <c r="R1705"/>
  <c r="O1705"/>
  <c r="U1705" s="1"/>
  <c r="V1705" s="1"/>
  <c r="M1705"/>
  <c r="AB1704"/>
  <c r="AC1704" s="1"/>
  <c r="Y1704"/>
  <c r="X1704"/>
  <c r="W1704"/>
  <c r="R1704"/>
  <c r="Z1704" s="1"/>
  <c r="M1704"/>
  <c r="O1704" s="1"/>
  <c r="U1704" s="1"/>
  <c r="V1704" s="1"/>
  <c r="AB1703"/>
  <c r="AC1703" s="1"/>
  <c r="X1703"/>
  <c r="W1703"/>
  <c r="S1703"/>
  <c r="T1703" s="1"/>
  <c r="R1703"/>
  <c r="Y1703" s="1"/>
  <c r="M1703"/>
  <c r="O1703" s="1"/>
  <c r="U1703" s="1"/>
  <c r="V1703" s="1"/>
  <c r="W1702"/>
  <c r="V1702"/>
  <c r="S1702"/>
  <c r="T1702" s="1"/>
  <c r="R1702"/>
  <c r="M1702"/>
  <c r="O1702" s="1"/>
  <c r="U1702" s="1"/>
  <c r="W1701"/>
  <c r="R1701"/>
  <c r="Z1701" s="1"/>
  <c r="O1701"/>
  <c r="U1701" s="1"/>
  <c r="V1701" s="1"/>
  <c r="M1701"/>
  <c r="AB1700"/>
  <c r="AC1700" s="1"/>
  <c r="Y1700"/>
  <c r="X1700"/>
  <c r="W1700"/>
  <c r="R1700"/>
  <c r="Z1700" s="1"/>
  <c r="M1700"/>
  <c r="O1700" s="1"/>
  <c r="U1700" s="1"/>
  <c r="V1700" s="1"/>
  <c r="AB1699"/>
  <c r="AC1699" s="1"/>
  <c r="X1699"/>
  <c r="W1699"/>
  <c r="S1699"/>
  <c r="T1699" s="1"/>
  <c r="R1699"/>
  <c r="Y1699" s="1"/>
  <c r="M1699"/>
  <c r="O1699" s="1"/>
  <c r="U1699" s="1"/>
  <c r="V1699" s="1"/>
  <c r="W1698"/>
  <c r="V1698"/>
  <c r="S1698"/>
  <c r="T1698" s="1"/>
  <c r="R1698"/>
  <c r="M1698"/>
  <c r="O1698" s="1"/>
  <c r="U1698" s="1"/>
  <c r="W1697"/>
  <c r="R1697"/>
  <c r="Z1697" s="1"/>
  <c r="O1697"/>
  <c r="U1697" s="1"/>
  <c r="V1697" s="1"/>
  <c r="M1697"/>
  <c r="AB1696"/>
  <c r="AC1696" s="1"/>
  <c r="Y1696"/>
  <c r="X1696"/>
  <c r="W1696"/>
  <c r="R1696"/>
  <c r="Z1696" s="1"/>
  <c r="M1696"/>
  <c r="O1696" s="1"/>
  <c r="U1696" s="1"/>
  <c r="V1696" s="1"/>
  <c r="AB1695"/>
  <c r="AC1695" s="1"/>
  <c r="X1695"/>
  <c r="W1695"/>
  <c r="S1695"/>
  <c r="T1695" s="1"/>
  <c r="R1695"/>
  <c r="Y1695" s="1"/>
  <c r="M1695"/>
  <c r="O1695" s="1"/>
  <c r="U1695" s="1"/>
  <c r="V1695" s="1"/>
  <c r="W1694"/>
  <c r="V1694"/>
  <c r="S1694"/>
  <c r="T1694" s="1"/>
  <c r="R1694"/>
  <c r="M1694"/>
  <c r="O1694" s="1"/>
  <c r="U1694" s="1"/>
  <c r="W1693"/>
  <c r="R1693"/>
  <c r="Z1693" s="1"/>
  <c r="O1693"/>
  <c r="U1693" s="1"/>
  <c r="V1693" s="1"/>
  <c r="M1693"/>
  <c r="AB1692"/>
  <c r="AC1692" s="1"/>
  <c r="Y1692"/>
  <c r="X1692"/>
  <c r="W1692"/>
  <c r="R1692"/>
  <c r="Z1692" s="1"/>
  <c r="M1692"/>
  <c r="O1692" s="1"/>
  <c r="U1692" s="1"/>
  <c r="V1692" s="1"/>
  <c r="AB1691"/>
  <c r="AC1691" s="1"/>
  <c r="X1691"/>
  <c r="W1691"/>
  <c r="S1691"/>
  <c r="T1691" s="1"/>
  <c r="R1691"/>
  <c r="Y1691" s="1"/>
  <c r="M1691"/>
  <c r="O1691" s="1"/>
  <c r="U1691" s="1"/>
  <c r="V1691" s="1"/>
  <c r="W1690"/>
  <c r="V1690"/>
  <c r="S1690"/>
  <c r="T1690" s="1"/>
  <c r="R1690"/>
  <c r="M1690"/>
  <c r="O1690" s="1"/>
  <c r="U1690" s="1"/>
  <c r="W1689"/>
  <c r="R1689"/>
  <c r="Z1689" s="1"/>
  <c r="O1689"/>
  <c r="U1689" s="1"/>
  <c r="V1689" s="1"/>
  <c r="M1689"/>
  <c r="AB1688"/>
  <c r="AC1688" s="1"/>
  <c r="Y1688"/>
  <c r="X1688"/>
  <c r="W1688"/>
  <c r="R1688"/>
  <c r="Z1688" s="1"/>
  <c r="M1688"/>
  <c r="O1688" s="1"/>
  <c r="U1688" s="1"/>
  <c r="V1688" s="1"/>
  <c r="AB1687"/>
  <c r="AC1687" s="1"/>
  <c r="X1687"/>
  <c r="W1687"/>
  <c r="S1687"/>
  <c r="T1687" s="1"/>
  <c r="R1687"/>
  <c r="Y1687" s="1"/>
  <c r="M1687"/>
  <c r="O1687" s="1"/>
  <c r="U1687" s="1"/>
  <c r="V1687" s="1"/>
  <c r="W1686"/>
  <c r="V1686"/>
  <c r="S1686"/>
  <c r="T1686" s="1"/>
  <c r="R1686"/>
  <c r="O1686"/>
  <c r="U1686" s="1"/>
  <c r="M1686"/>
  <c r="W1685"/>
  <c r="R1685"/>
  <c r="Z1685" s="1"/>
  <c r="O1685"/>
  <c r="U1685" s="1"/>
  <c r="V1685" s="1"/>
  <c r="M1685"/>
  <c r="AB1684"/>
  <c r="AC1684" s="1"/>
  <c r="Y1684"/>
  <c r="X1684"/>
  <c r="W1684"/>
  <c r="S1684"/>
  <c r="R1684"/>
  <c r="Z1684" s="1"/>
  <c r="AA1684" s="1"/>
  <c r="O1684"/>
  <c r="U1684" s="1"/>
  <c r="V1684" s="1"/>
  <c r="M1684"/>
  <c r="T1684" s="1"/>
  <c r="AB1683"/>
  <c r="AC1683" s="1"/>
  <c r="X1683"/>
  <c r="W1683"/>
  <c r="S1683"/>
  <c r="T1683" s="1"/>
  <c r="R1683"/>
  <c r="Y1683" s="1"/>
  <c r="M1683"/>
  <c r="O1683" s="1"/>
  <c r="U1683" s="1"/>
  <c r="V1683" s="1"/>
  <c r="W1682"/>
  <c r="R1682"/>
  <c r="O1682"/>
  <c r="M1682"/>
  <c r="Z1681"/>
  <c r="W1681"/>
  <c r="V1681"/>
  <c r="U1681"/>
  <c r="R1681"/>
  <c r="O1681"/>
  <c r="M1681"/>
  <c r="AC1680"/>
  <c r="AB1680"/>
  <c r="Y1680"/>
  <c r="X1680"/>
  <c r="W1680"/>
  <c r="S1680"/>
  <c r="R1680"/>
  <c r="Z1680" s="1"/>
  <c r="AA1680" s="1"/>
  <c r="M1680"/>
  <c r="T1680" s="1"/>
  <c r="AB1679"/>
  <c r="AC1679" s="1"/>
  <c r="X1679"/>
  <c r="W1679"/>
  <c r="T1679"/>
  <c r="S1679"/>
  <c r="R1679"/>
  <c r="Y1679" s="1"/>
  <c r="M1679"/>
  <c r="O1679" s="1"/>
  <c r="U1679" s="1"/>
  <c r="V1679" s="1"/>
  <c r="W1678"/>
  <c r="V1678"/>
  <c r="S1678"/>
  <c r="T1678" s="1"/>
  <c r="R1678"/>
  <c r="O1678"/>
  <c r="U1678" s="1"/>
  <c r="M1678"/>
  <c r="W1677"/>
  <c r="R1677"/>
  <c r="Z1677" s="1"/>
  <c r="O1677"/>
  <c r="U1677" s="1"/>
  <c r="V1677" s="1"/>
  <c r="M1677"/>
  <c r="AB1676"/>
  <c r="AC1676" s="1"/>
  <c r="Y1676"/>
  <c r="X1676"/>
  <c r="W1676"/>
  <c r="S1676"/>
  <c r="R1676"/>
  <c r="Z1676" s="1"/>
  <c r="AA1676" s="1"/>
  <c r="O1676"/>
  <c r="U1676" s="1"/>
  <c r="V1676" s="1"/>
  <c r="M1676"/>
  <c r="T1676" s="1"/>
  <c r="AB1675"/>
  <c r="AC1675" s="1"/>
  <c r="X1675"/>
  <c r="W1675"/>
  <c r="S1675"/>
  <c r="T1675" s="1"/>
  <c r="R1675"/>
  <c r="Y1675" s="1"/>
  <c r="M1675"/>
  <c r="O1675" s="1"/>
  <c r="U1675" s="1"/>
  <c r="V1675" s="1"/>
  <c r="W1674"/>
  <c r="R1674"/>
  <c r="O1674"/>
  <c r="M1674"/>
  <c r="X1673"/>
  <c r="W1673"/>
  <c r="R1673"/>
  <c r="Y1673" s="1"/>
  <c r="M1673"/>
  <c r="O1673" s="1"/>
  <c r="AC1672"/>
  <c r="AB1672"/>
  <c r="Y1672"/>
  <c r="X1672"/>
  <c r="W1672"/>
  <c r="S1672"/>
  <c r="T1672" s="1"/>
  <c r="R1672"/>
  <c r="Z1672" s="1"/>
  <c r="AA1672" s="1"/>
  <c r="M1672"/>
  <c r="O1672" s="1"/>
  <c r="U1672" s="1"/>
  <c r="V1672" s="1"/>
  <c r="AB1671"/>
  <c r="AC1671" s="1"/>
  <c r="Z1671"/>
  <c r="X1671"/>
  <c r="W1671"/>
  <c r="S1671"/>
  <c r="R1671"/>
  <c r="Y1671" s="1"/>
  <c r="M1671"/>
  <c r="T1671" s="1"/>
  <c r="W1670"/>
  <c r="S1670"/>
  <c r="T1670" s="1"/>
  <c r="R1670"/>
  <c r="Z1670" s="1"/>
  <c r="AA1670" s="1"/>
  <c r="M1670"/>
  <c r="O1670" s="1"/>
  <c r="W1669"/>
  <c r="R1669"/>
  <c r="Y1669" s="1"/>
  <c r="O1669"/>
  <c r="U1669" s="1"/>
  <c r="V1669" s="1"/>
  <c r="M1669"/>
  <c r="AC1668"/>
  <c r="AB1668"/>
  <c r="Y1668"/>
  <c r="X1668"/>
  <c r="W1668"/>
  <c r="R1668"/>
  <c r="Z1668" s="1"/>
  <c r="O1668"/>
  <c r="U1668" s="1"/>
  <c r="V1668" s="1"/>
  <c r="M1668"/>
  <c r="AB1667"/>
  <c r="AC1667" s="1"/>
  <c r="Y1667"/>
  <c r="X1667"/>
  <c r="W1667"/>
  <c r="S1667"/>
  <c r="R1667"/>
  <c r="Z1667" s="1"/>
  <c r="AA1667" s="1"/>
  <c r="M1667"/>
  <c r="T1667" s="1"/>
  <c r="W1666"/>
  <c r="S1666"/>
  <c r="T1666" s="1"/>
  <c r="R1666"/>
  <c r="Z1666" s="1"/>
  <c r="AA1666" s="1"/>
  <c r="M1666"/>
  <c r="O1666" s="1"/>
  <c r="U1666" s="1"/>
  <c r="V1666" s="1"/>
  <c r="W1665"/>
  <c r="R1665"/>
  <c r="Y1665" s="1"/>
  <c r="O1665"/>
  <c r="U1665" s="1"/>
  <c r="V1665" s="1"/>
  <c r="M1665"/>
  <c r="AC1664"/>
  <c r="AB1664"/>
  <c r="Y1664"/>
  <c r="X1664"/>
  <c r="W1664"/>
  <c r="R1664"/>
  <c r="Z1664" s="1"/>
  <c r="O1664"/>
  <c r="U1664" s="1"/>
  <c r="V1664" s="1"/>
  <c r="M1664"/>
  <c r="AB1663"/>
  <c r="AC1663" s="1"/>
  <c r="Y1663"/>
  <c r="X1663"/>
  <c r="W1663"/>
  <c r="S1663"/>
  <c r="R1663"/>
  <c r="Z1663" s="1"/>
  <c r="AA1663" s="1"/>
  <c r="M1663"/>
  <c r="T1663" s="1"/>
  <c r="W1662"/>
  <c r="S1662"/>
  <c r="T1662" s="1"/>
  <c r="R1662"/>
  <c r="Z1662" s="1"/>
  <c r="AA1662" s="1"/>
  <c r="M1662"/>
  <c r="O1662" s="1"/>
  <c r="W1661"/>
  <c r="R1661"/>
  <c r="Y1661" s="1"/>
  <c r="O1661"/>
  <c r="U1661" s="1"/>
  <c r="V1661" s="1"/>
  <c r="M1661"/>
  <c r="AC1660"/>
  <c r="AB1660"/>
  <c r="Y1660"/>
  <c r="X1660"/>
  <c r="W1660"/>
  <c r="R1660"/>
  <c r="Z1660" s="1"/>
  <c r="O1660"/>
  <c r="U1660" s="1"/>
  <c r="M1660"/>
  <c r="AB1659"/>
  <c r="AC1659" s="1"/>
  <c r="Y1659"/>
  <c r="X1659"/>
  <c r="W1659"/>
  <c r="S1659"/>
  <c r="R1659"/>
  <c r="Z1659" s="1"/>
  <c r="AA1659" s="1"/>
  <c r="M1659"/>
  <c r="T1659" s="1"/>
  <c r="W1658"/>
  <c r="S1658"/>
  <c r="T1658" s="1"/>
  <c r="R1658"/>
  <c r="Z1658" s="1"/>
  <c r="AA1658" s="1"/>
  <c r="M1658"/>
  <c r="O1658" s="1"/>
  <c r="U1658" s="1"/>
  <c r="V1658" s="1"/>
  <c r="W1657"/>
  <c r="R1657"/>
  <c r="Y1657" s="1"/>
  <c r="O1657"/>
  <c r="U1657" s="1"/>
  <c r="V1657" s="1"/>
  <c r="M1657"/>
  <c r="AC1656"/>
  <c r="AB1656"/>
  <c r="Y1656"/>
  <c r="X1656"/>
  <c r="W1656"/>
  <c r="R1656"/>
  <c r="Z1656" s="1"/>
  <c r="O1656"/>
  <c r="U1656" s="1"/>
  <c r="V1656" s="1"/>
  <c r="M1656"/>
  <c r="AB1655"/>
  <c r="AC1655" s="1"/>
  <c r="Y1655"/>
  <c r="X1655"/>
  <c r="W1655"/>
  <c r="S1655"/>
  <c r="R1655"/>
  <c r="Z1655" s="1"/>
  <c r="AA1655" s="1"/>
  <c r="M1655"/>
  <c r="T1655" s="1"/>
  <c r="W1654"/>
  <c r="S1654"/>
  <c r="T1654" s="1"/>
  <c r="R1654"/>
  <c r="Z1654" s="1"/>
  <c r="AA1654" s="1"/>
  <c r="M1654"/>
  <c r="O1654" s="1"/>
  <c r="U1654" s="1"/>
  <c r="V1654" s="1"/>
  <c r="W1653"/>
  <c r="R1653"/>
  <c r="Y1653" s="1"/>
  <c r="O1653"/>
  <c r="U1653" s="1"/>
  <c r="V1653" s="1"/>
  <c r="M1653"/>
  <c r="AC1652"/>
  <c r="AB1652"/>
  <c r="Y1652"/>
  <c r="X1652"/>
  <c r="W1652"/>
  <c r="R1652"/>
  <c r="Z1652" s="1"/>
  <c r="O1652"/>
  <c r="U1652" s="1"/>
  <c r="V1652" s="1"/>
  <c r="M1652"/>
  <c r="AB1651"/>
  <c r="AC1651" s="1"/>
  <c r="Y1651"/>
  <c r="X1651"/>
  <c r="W1651"/>
  <c r="S1651"/>
  <c r="R1651"/>
  <c r="Z1651" s="1"/>
  <c r="AA1651" s="1"/>
  <c r="M1651"/>
  <c r="T1651" s="1"/>
  <c r="W1650"/>
  <c r="S1650"/>
  <c r="T1650" s="1"/>
  <c r="R1650"/>
  <c r="Z1650" s="1"/>
  <c r="AA1650" s="1"/>
  <c r="M1650"/>
  <c r="O1650" s="1"/>
  <c r="U1650" s="1"/>
  <c r="V1650" s="1"/>
  <c r="W1649"/>
  <c r="R1649"/>
  <c r="Y1649" s="1"/>
  <c r="O1649"/>
  <c r="U1649" s="1"/>
  <c r="V1649" s="1"/>
  <c r="M1649"/>
  <c r="AC1648"/>
  <c r="AB1648"/>
  <c r="Y1648"/>
  <c r="X1648"/>
  <c r="W1648"/>
  <c r="R1648"/>
  <c r="Z1648" s="1"/>
  <c r="O1648"/>
  <c r="U1648" s="1"/>
  <c r="V1648" s="1"/>
  <c r="M1648"/>
  <c r="AB1647"/>
  <c r="AC1647" s="1"/>
  <c r="Y1647"/>
  <c r="X1647"/>
  <c r="W1647"/>
  <c r="S1647"/>
  <c r="R1647"/>
  <c r="Z1647" s="1"/>
  <c r="AA1647" s="1"/>
  <c r="M1647"/>
  <c r="T1647" s="1"/>
  <c r="W1646"/>
  <c r="S1646"/>
  <c r="T1646" s="1"/>
  <c r="R1646"/>
  <c r="Z1646" s="1"/>
  <c r="AA1646" s="1"/>
  <c r="M1646"/>
  <c r="O1646" s="1"/>
  <c r="U1646" s="1"/>
  <c r="V1646" s="1"/>
  <c r="W1645"/>
  <c r="R1645"/>
  <c r="Y1645" s="1"/>
  <c r="O1645"/>
  <c r="U1645" s="1"/>
  <c r="V1645" s="1"/>
  <c r="M1645"/>
  <c r="AC1644"/>
  <c r="AB1644"/>
  <c r="Y1644"/>
  <c r="X1644"/>
  <c r="W1644"/>
  <c r="R1644"/>
  <c r="Z1644" s="1"/>
  <c r="O1644"/>
  <c r="U1644" s="1"/>
  <c r="M1644"/>
  <c r="AB1643"/>
  <c r="AC1643" s="1"/>
  <c r="Y1643"/>
  <c r="X1643"/>
  <c r="W1643"/>
  <c r="S1643"/>
  <c r="R1643"/>
  <c r="Z1643" s="1"/>
  <c r="AA1643" s="1"/>
  <c r="M1643"/>
  <c r="T1643" s="1"/>
  <c r="W1642"/>
  <c r="S1642"/>
  <c r="T1642" s="1"/>
  <c r="R1642"/>
  <c r="Z1642" s="1"/>
  <c r="AA1642" s="1"/>
  <c r="M1642"/>
  <c r="O1642" s="1"/>
  <c r="W1641"/>
  <c r="R1641"/>
  <c r="Y1641" s="1"/>
  <c r="O1641"/>
  <c r="U1641" s="1"/>
  <c r="V1641" s="1"/>
  <c r="M1641"/>
  <c r="AC1640"/>
  <c r="AB1640"/>
  <c r="Y1640"/>
  <c r="X1640"/>
  <c r="W1640"/>
  <c r="R1640"/>
  <c r="Z1640" s="1"/>
  <c r="O1640"/>
  <c r="U1640" s="1"/>
  <c r="M1640"/>
  <c r="AB1639"/>
  <c r="AC1639" s="1"/>
  <c r="Y1639"/>
  <c r="X1639"/>
  <c r="W1639"/>
  <c r="S1639"/>
  <c r="R1639"/>
  <c r="Z1639" s="1"/>
  <c r="AA1639" s="1"/>
  <c r="M1639"/>
  <c r="T1639" s="1"/>
  <c r="W1638"/>
  <c r="S1638"/>
  <c r="T1638" s="1"/>
  <c r="R1638"/>
  <c r="Z1638" s="1"/>
  <c r="AA1638" s="1"/>
  <c r="M1638"/>
  <c r="O1638" s="1"/>
  <c r="U1638" s="1"/>
  <c r="V1638" s="1"/>
  <c r="W1637"/>
  <c r="R1637"/>
  <c r="Y1637" s="1"/>
  <c r="O1637"/>
  <c r="U1637" s="1"/>
  <c r="V1637" s="1"/>
  <c r="M1637"/>
  <c r="AC1636"/>
  <c r="AB1636"/>
  <c r="Y1636"/>
  <c r="X1636"/>
  <c r="W1636"/>
  <c r="R1636"/>
  <c r="Z1636" s="1"/>
  <c r="O1636"/>
  <c r="U1636" s="1"/>
  <c r="V1636" s="1"/>
  <c r="M1636"/>
  <c r="AB1635"/>
  <c r="AC1635" s="1"/>
  <c r="X1635"/>
  <c r="W1635"/>
  <c r="S1635"/>
  <c r="R1635"/>
  <c r="Y1635" s="1"/>
  <c r="M1635"/>
  <c r="T1635" s="1"/>
  <c r="W1634"/>
  <c r="S1634"/>
  <c r="T1634" s="1"/>
  <c r="R1634"/>
  <c r="Z1634" s="1"/>
  <c r="AA1634" s="1"/>
  <c r="M1634"/>
  <c r="O1634" s="1"/>
  <c r="U1634" s="1"/>
  <c r="V1634" s="1"/>
  <c r="W1633"/>
  <c r="R1633"/>
  <c r="Y1633" s="1"/>
  <c r="O1633"/>
  <c r="U1633" s="1"/>
  <c r="V1633" s="1"/>
  <c r="M1633"/>
  <c r="AC1632"/>
  <c r="AB1632"/>
  <c r="Y1632"/>
  <c r="X1632"/>
  <c r="W1632"/>
  <c r="R1632"/>
  <c r="Z1632" s="1"/>
  <c r="O1632"/>
  <c r="U1632" s="1"/>
  <c r="V1632" s="1"/>
  <c r="M1632"/>
  <c r="AB1631"/>
  <c r="AC1631" s="1"/>
  <c r="X1631"/>
  <c r="W1631"/>
  <c r="S1631"/>
  <c r="R1631"/>
  <c r="Y1631" s="1"/>
  <c r="M1631"/>
  <c r="T1631" s="1"/>
  <c r="W1630"/>
  <c r="S1630"/>
  <c r="T1630" s="1"/>
  <c r="R1630"/>
  <c r="Z1630" s="1"/>
  <c r="AA1630" s="1"/>
  <c r="M1630"/>
  <c r="O1630" s="1"/>
  <c r="U1630" s="1"/>
  <c r="V1630" s="1"/>
  <c r="W1629"/>
  <c r="R1629"/>
  <c r="Y1629" s="1"/>
  <c r="O1629"/>
  <c r="U1629" s="1"/>
  <c r="V1629" s="1"/>
  <c r="M1629"/>
  <c r="AC1628"/>
  <c r="AB1628"/>
  <c r="Y1628"/>
  <c r="X1628"/>
  <c r="W1628"/>
  <c r="R1628"/>
  <c r="Z1628" s="1"/>
  <c r="O1628"/>
  <c r="U1628" s="1"/>
  <c r="V1628" s="1"/>
  <c r="M1628"/>
  <c r="AB1627"/>
  <c r="AC1627" s="1"/>
  <c r="X1627"/>
  <c r="W1627"/>
  <c r="S1627"/>
  <c r="R1627"/>
  <c r="Y1627" s="1"/>
  <c r="M1627"/>
  <c r="T1627" s="1"/>
  <c r="W1626"/>
  <c r="S1626"/>
  <c r="T1626" s="1"/>
  <c r="R1626"/>
  <c r="Z1626" s="1"/>
  <c r="AA1626" s="1"/>
  <c r="M1626"/>
  <c r="O1626" s="1"/>
  <c r="U1626" s="1"/>
  <c r="V1626" s="1"/>
  <c r="W1625"/>
  <c r="R1625"/>
  <c r="Y1625" s="1"/>
  <c r="O1625"/>
  <c r="U1625" s="1"/>
  <c r="V1625" s="1"/>
  <c r="M1625"/>
  <c r="AC1624"/>
  <c r="AB1624"/>
  <c r="Y1624"/>
  <c r="X1624"/>
  <c r="W1624"/>
  <c r="R1624"/>
  <c r="Z1624" s="1"/>
  <c r="O1624"/>
  <c r="U1624" s="1"/>
  <c r="V1624" s="1"/>
  <c r="M1624"/>
  <c r="AB1623"/>
  <c r="AC1623" s="1"/>
  <c r="X1623"/>
  <c r="W1623"/>
  <c r="S1623"/>
  <c r="R1623"/>
  <c r="Y1623" s="1"/>
  <c r="M1623"/>
  <c r="T1623" s="1"/>
  <c r="W1622"/>
  <c r="S1622"/>
  <c r="T1622" s="1"/>
  <c r="R1622"/>
  <c r="Z1622" s="1"/>
  <c r="AA1622" s="1"/>
  <c r="M1622"/>
  <c r="O1622" s="1"/>
  <c r="U1622" s="1"/>
  <c r="V1622" s="1"/>
  <c r="W1621"/>
  <c r="R1621"/>
  <c r="Y1621" s="1"/>
  <c r="O1621"/>
  <c r="U1621" s="1"/>
  <c r="V1621" s="1"/>
  <c r="M1621"/>
  <c r="AC1620"/>
  <c r="AB1620"/>
  <c r="Y1620"/>
  <c r="X1620"/>
  <c r="W1620"/>
  <c r="R1620"/>
  <c r="Z1620" s="1"/>
  <c r="O1620"/>
  <c r="U1620" s="1"/>
  <c r="V1620" s="1"/>
  <c r="M1620"/>
  <c r="AB1619"/>
  <c r="AC1619" s="1"/>
  <c r="X1619"/>
  <c r="W1619"/>
  <c r="S1619"/>
  <c r="R1619"/>
  <c r="Y1619" s="1"/>
  <c r="M1619"/>
  <c r="T1619" s="1"/>
  <c r="W1618"/>
  <c r="S1618"/>
  <c r="T1618" s="1"/>
  <c r="R1618"/>
  <c r="Z1618" s="1"/>
  <c r="AA1618" s="1"/>
  <c r="M1618"/>
  <c r="O1618" s="1"/>
  <c r="U1618" s="1"/>
  <c r="V1618" s="1"/>
  <c r="W1617"/>
  <c r="R1617"/>
  <c r="Y1617" s="1"/>
  <c r="O1617"/>
  <c r="U1617" s="1"/>
  <c r="V1617" s="1"/>
  <c r="M1617"/>
  <c r="AC1616"/>
  <c r="AB1616"/>
  <c r="Y1616"/>
  <c r="X1616"/>
  <c r="W1616"/>
  <c r="R1616"/>
  <c r="Z1616" s="1"/>
  <c r="O1616"/>
  <c r="U1616" s="1"/>
  <c r="V1616" s="1"/>
  <c r="M1616"/>
  <c r="AB1615"/>
  <c r="AC1615" s="1"/>
  <c r="X1615"/>
  <c r="W1615"/>
  <c r="S1615"/>
  <c r="R1615"/>
  <c r="Y1615" s="1"/>
  <c r="M1615"/>
  <c r="T1615" s="1"/>
  <c r="W1614"/>
  <c r="S1614"/>
  <c r="T1614" s="1"/>
  <c r="R1614"/>
  <c r="Z1614" s="1"/>
  <c r="AA1614" s="1"/>
  <c r="M1614"/>
  <c r="O1614" s="1"/>
  <c r="U1614" s="1"/>
  <c r="V1614" s="1"/>
  <c r="W1613"/>
  <c r="R1613"/>
  <c r="Y1613" s="1"/>
  <c r="O1613"/>
  <c r="U1613" s="1"/>
  <c r="V1613" s="1"/>
  <c r="M1613"/>
  <c r="AC1612"/>
  <c r="AB1612"/>
  <c r="Y1612"/>
  <c r="X1612"/>
  <c r="W1612"/>
  <c r="R1612"/>
  <c r="Z1612" s="1"/>
  <c r="O1612"/>
  <c r="U1612" s="1"/>
  <c r="V1612" s="1"/>
  <c r="M1612"/>
  <c r="AB1611"/>
  <c r="AC1611" s="1"/>
  <c r="X1611"/>
  <c r="W1611"/>
  <c r="S1611"/>
  <c r="R1611"/>
  <c r="Y1611" s="1"/>
  <c r="M1611"/>
  <c r="T1611" s="1"/>
  <c r="W1610"/>
  <c r="S1610"/>
  <c r="T1610" s="1"/>
  <c r="R1610"/>
  <c r="Z1610" s="1"/>
  <c r="AA1610" s="1"/>
  <c r="M1610"/>
  <c r="O1610" s="1"/>
  <c r="U1610" s="1"/>
  <c r="V1610" s="1"/>
  <c r="W1609"/>
  <c r="R1609"/>
  <c r="Y1609" s="1"/>
  <c r="O1609"/>
  <c r="U1609" s="1"/>
  <c r="V1609" s="1"/>
  <c r="M1609"/>
  <c r="AC1608"/>
  <c r="AB1608"/>
  <c r="Y1608"/>
  <c r="X1608"/>
  <c r="W1608"/>
  <c r="R1608"/>
  <c r="Z1608" s="1"/>
  <c r="O1608"/>
  <c r="U1608" s="1"/>
  <c r="V1608" s="1"/>
  <c r="M1608"/>
  <c r="AB1607"/>
  <c r="AC1607" s="1"/>
  <c r="X1607"/>
  <c r="W1607"/>
  <c r="S1607"/>
  <c r="R1607"/>
  <c r="Y1607" s="1"/>
  <c r="M1607"/>
  <c r="T1607" s="1"/>
  <c r="W1606"/>
  <c r="S1606"/>
  <c r="T1606" s="1"/>
  <c r="R1606"/>
  <c r="Z1606" s="1"/>
  <c r="AA1606" s="1"/>
  <c r="M1606"/>
  <c r="O1606" s="1"/>
  <c r="U1606" s="1"/>
  <c r="V1606" s="1"/>
  <c r="W1605"/>
  <c r="R1605"/>
  <c r="Y1605" s="1"/>
  <c r="O1605"/>
  <c r="U1605" s="1"/>
  <c r="V1605" s="1"/>
  <c r="M1605"/>
  <c r="AC1604"/>
  <c r="AB1604"/>
  <c r="Y1604"/>
  <c r="X1604"/>
  <c r="W1604"/>
  <c r="R1604"/>
  <c r="Z1604" s="1"/>
  <c r="O1604"/>
  <c r="U1604" s="1"/>
  <c r="M1604"/>
  <c r="AB1603"/>
  <c r="AC1603" s="1"/>
  <c r="X1603"/>
  <c r="W1603"/>
  <c r="S1603"/>
  <c r="R1603"/>
  <c r="Y1603" s="1"/>
  <c r="M1603"/>
  <c r="T1603" s="1"/>
  <c r="W1602"/>
  <c r="S1602"/>
  <c r="T1602" s="1"/>
  <c r="R1602"/>
  <c r="Z1602" s="1"/>
  <c r="AA1602" s="1"/>
  <c r="M1602"/>
  <c r="O1602" s="1"/>
  <c r="U1602" s="1"/>
  <c r="V1602" s="1"/>
  <c r="W1601"/>
  <c r="R1601"/>
  <c r="Y1601" s="1"/>
  <c r="O1601"/>
  <c r="U1601" s="1"/>
  <c r="V1601" s="1"/>
  <c r="M1601"/>
  <c r="AC1600"/>
  <c r="AB1600"/>
  <c r="Y1600"/>
  <c r="X1600"/>
  <c r="W1600"/>
  <c r="R1600"/>
  <c r="Z1600" s="1"/>
  <c r="O1600"/>
  <c r="U1600" s="1"/>
  <c r="V1600" s="1"/>
  <c r="M1600"/>
  <c r="AB1599"/>
  <c r="AC1599" s="1"/>
  <c r="X1599"/>
  <c r="W1599"/>
  <c r="S1599"/>
  <c r="R1599"/>
  <c r="Y1599" s="1"/>
  <c r="M1599"/>
  <c r="T1599" s="1"/>
  <c r="W1598"/>
  <c r="S1598"/>
  <c r="T1598" s="1"/>
  <c r="R1598"/>
  <c r="Z1598" s="1"/>
  <c r="AA1598" s="1"/>
  <c r="M1598"/>
  <c r="O1598" s="1"/>
  <c r="U1598" s="1"/>
  <c r="V1598" s="1"/>
  <c r="W1597"/>
  <c r="R1597"/>
  <c r="Y1597" s="1"/>
  <c r="O1597"/>
  <c r="U1597" s="1"/>
  <c r="V1597" s="1"/>
  <c r="M1597"/>
  <c r="AC1596"/>
  <c r="AB1596"/>
  <c r="Y1596"/>
  <c r="X1596"/>
  <c r="W1596"/>
  <c r="R1596"/>
  <c r="Z1596" s="1"/>
  <c r="O1596"/>
  <c r="U1596" s="1"/>
  <c r="M1596"/>
  <c r="AB1595"/>
  <c r="AC1595" s="1"/>
  <c r="X1595"/>
  <c r="W1595"/>
  <c r="S1595"/>
  <c r="R1595"/>
  <c r="Y1595" s="1"/>
  <c r="M1595"/>
  <c r="T1595" s="1"/>
  <c r="W1594"/>
  <c r="S1594"/>
  <c r="T1594" s="1"/>
  <c r="R1594"/>
  <c r="Z1594" s="1"/>
  <c r="AA1594" s="1"/>
  <c r="M1594"/>
  <c r="O1594" s="1"/>
  <c r="W1593"/>
  <c r="R1593"/>
  <c r="Y1593" s="1"/>
  <c r="O1593"/>
  <c r="U1593" s="1"/>
  <c r="V1593" s="1"/>
  <c r="M1593"/>
  <c r="AC1592"/>
  <c r="AB1592"/>
  <c r="Y1592"/>
  <c r="X1592"/>
  <c r="W1592"/>
  <c r="R1592"/>
  <c r="Z1592" s="1"/>
  <c r="O1592"/>
  <c r="U1592" s="1"/>
  <c r="V1592" s="1"/>
  <c r="M1592"/>
  <c r="AB1591"/>
  <c r="AC1591" s="1"/>
  <c r="X1591"/>
  <c r="W1591"/>
  <c r="S1591"/>
  <c r="R1591"/>
  <c r="Y1591" s="1"/>
  <c r="M1591"/>
  <c r="T1591" s="1"/>
  <c r="W1590"/>
  <c r="S1590"/>
  <c r="T1590" s="1"/>
  <c r="R1590"/>
  <c r="Z1590" s="1"/>
  <c r="AA1590" s="1"/>
  <c r="M1590"/>
  <c r="O1590" s="1"/>
  <c r="U1590" s="1"/>
  <c r="V1590" s="1"/>
  <c r="W1589"/>
  <c r="R1589"/>
  <c r="Y1589" s="1"/>
  <c r="O1589"/>
  <c r="U1589" s="1"/>
  <c r="V1589" s="1"/>
  <c r="M1589"/>
  <c r="AC1588"/>
  <c r="AB1588"/>
  <c r="Y1588"/>
  <c r="X1588"/>
  <c r="W1588"/>
  <c r="R1588"/>
  <c r="Z1588" s="1"/>
  <c r="O1588"/>
  <c r="U1588" s="1"/>
  <c r="V1588" s="1"/>
  <c r="M1588"/>
  <c r="AB1587"/>
  <c r="AC1587" s="1"/>
  <c r="X1587"/>
  <c r="W1587"/>
  <c r="S1587"/>
  <c r="R1587"/>
  <c r="Y1587" s="1"/>
  <c r="M1587"/>
  <c r="T1587" s="1"/>
  <c r="W1586"/>
  <c r="S1586"/>
  <c r="T1586" s="1"/>
  <c r="R1586"/>
  <c r="Z1586" s="1"/>
  <c r="AA1586" s="1"/>
  <c r="M1586"/>
  <c r="O1586" s="1"/>
  <c r="U1586" s="1"/>
  <c r="V1586" s="1"/>
  <c r="W1585"/>
  <c r="R1585"/>
  <c r="Y1585" s="1"/>
  <c r="O1585"/>
  <c r="U1585" s="1"/>
  <c r="V1585" s="1"/>
  <c r="M1585"/>
  <c r="AC1584"/>
  <c r="AB1584"/>
  <c r="Y1584"/>
  <c r="X1584"/>
  <c r="W1584"/>
  <c r="R1584"/>
  <c r="Z1584" s="1"/>
  <c r="O1584"/>
  <c r="U1584" s="1"/>
  <c r="V1584" s="1"/>
  <c r="M1584"/>
  <c r="AB1583"/>
  <c r="AC1583" s="1"/>
  <c r="X1583"/>
  <c r="W1583"/>
  <c r="S1583"/>
  <c r="R1583"/>
  <c r="Y1583" s="1"/>
  <c r="M1583"/>
  <c r="T1583" s="1"/>
  <c r="W1582"/>
  <c r="S1582"/>
  <c r="T1582" s="1"/>
  <c r="R1582"/>
  <c r="Z1582" s="1"/>
  <c r="AA1582" s="1"/>
  <c r="M1582"/>
  <c r="O1582" s="1"/>
  <c r="U1582" s="1"/>
  <c r="V1582" s="1"/>
  <c r="W1581"/>
  <c r="R1581"/>
  <c r="Y1581" s="1"/>
  <c r="O1581"/>
  <c r="U1581" s="1"/>
  <c r="V1581" s="1"/>
  <c r="M1581"/>
  <c r="AC1580"/>
  <c r="AB1580"/>
  <c r="Y1580"/>
  <c r="X1580"/>
  <c r="W1580"/>
  <c r="R1580"/>
  <c r="Z1580" s="1"/>
  <c r="O1580"/>
  <c r="U1580" s="1"/>
  <c r="V1580" s="1"/>
  <c r="M1580"/>
  <c r="AB1579"/>
  <c r="AC1579" s="1"/>
  <c r="X1579"/>
  <c r="W1579"/>
  <c r="S1579"/>
  <c r="R1579"/>
  <c r="Y1579" s="1"/>
  <c r="M1579"/>
  <c r="T1579" s="1"/>
  <c r="W1578"/>
  <c r="S1578"/>
  <c r="T1578" s="1"/>
  <c r="R1578"/>
  <c r="Z1578" s="1"/>
  <c r="AA1578" s="1"/>
  <c r="M1578"/>
  <c r="O1578" s="1"/>
  <c r="U1578" s="1"/>
  <c r="V1578" s="1"/>
  <c r="W1577"/>
  <c r="R1577"/>
  <c r="Y1577" s="1"/>
  <c r="O1577"/>
  <c r="U1577" s="1"/>
  <c r="V1577" s="1"/>
  <c r="M1577"/>
  <c r="AC1576"/>
  <c r="AB1576"/>
  <c r="Y1576"/>
  <c r="X1576"/>
  <c r="W1576"/>
  <c r="R1576"/>
  <c r="Z1576" s="1"/>
  <c r="O1576"/>
  <c r="U1576" s="1"/>
  <c r="V1576" s="1"/>
  <c r="M1576"/>
  <c r="AB1575"/>
  <c r="AC1575" s="1"/>
  <c r="X1575"/>
  <c r="W1575"/>
  <c r="S1575"/>
  <c r="R1575"/>
  <c r="Y1575" s="1"/>
  <c r="M1575"/>
  <c r="T1575" s="1"/>
  <c r="W1574"/>
  <c r="S1574"/>
  <c r="T1574" s="1"/>
  <c r="R1574"/>
  <c r="Z1574" s="1"/>
  <c r="AA1574" s="1"/>
  <c r="M1574"/>
  <c r="O1574" s="1"/>
  <c r="U1574" s="1"/>
  <c r="V1574" s="1"/>
  <c r="W1573"/>
  <c r="R1573"/>
  <c r="Y1573" s="1"/>
  <c r="O1573"/>
  <c r="U1573" s="1"/>
  <c r="V1573" s="1"/>
  <c r="M1573"/>
  <c r="AC1572"/>
  <c r="AB1572"/>
  <c r="Y1572"/>
  <c r="X1572"/>
  <c r="W1572"/>
  <c r="R1572"/>
  <c r="Z1572" s="1"/>
  <c r="O1572"/>
  <c r="U1572" s="1"/>
  <c r="V1572" s="1"/>
  <c r="M1572"/>
  <c r="AB1571"/>
  <c r="AC1571" s="1"/>
  <c r="X1571"/>
  <c r="W1571"/>
  <c r="S1571"/>
  <c r="R1571"/>
  <c r="Y1571" s="1"/>
  <c r="M1571"/>
  <c r="T1571" s="1"/>
  <c r="W1570"/>
  <c r="S1570"/>
  <c r="T1570" s="1"/>
  <c r="R1570"/>
  <c r="Z1570" s="1"/>
  <c r="AA1570" s="1"/>
  <c r="M1570"/>
  <c r="O1570" s="1"/>
  <c r="U1570" s="1"/>
  <c r="V1570" s="1"/>
  <c r="W1569"/>
  <c r="R1569"/>
  <c r="Y1569" s="1"/>
  <c r="O1569"/>
  <c r="U1569" s="1"/>
  <c r="V1569" s="1"/>
  <c r="M1569"/>
  <c r="AC1568"/>
  <c r="AB1568"/>
  <c r="Y1568"/>
  <c r="X1568"/>
  <c r="W1568"/>
  <c r="R1568"/>
  <c r="Z1568" s="1"/>
  <c r="O1568"/>
  <c r="U1568" s="1"/>
  <c r="V1568" s="1"/>
  <c r="M1568"/>
  <c r="AB1567"/>
  <c r="AC1567" s="1"/>
  <c r="X1567"/>
  <c r="W1567"/>
  <c r="S1567"/>
  <c r="R1567"/>
  <c r="Y1567" s="1"/>
  <c r="M1567"/>
  <c r="T1567" s="1"/>
  <c r="W1566"/>
  <c r="S1566"/>
  <c r="T1566" s="1"/>
  <c r="R1566"/>
  <c r="Z1566" s="1"/>
  <c r="AA1566" s="1"/>
  <c r="M1566"/>
  <c r="O1566" s="1"/>
  <c r="U1566" s="1"/>
  <c r="V1566" s="1"/>
  <c r="W1565"/>
  <c r="R1565"/>
  <c r="Y1565" s="1"/>
  <c r="O1565"/>
  <c r="U1565" s="1"/>
  <c r="V1565" s="1"/>
  <c r="M1565"/>
  <c r="AC1564"/>
  <c r="AB1564"/>
  <c r="Y1564"/>
  <c r="X1564"/>
  <c r="W1564"/>
  <c r="R1564"/>
  <c r="Z1564" s="1"/>
  <c r="O1564"/>
  <c r="U1564" s="1"/>
  <c r="V1564" s="1"/>
  <c r="M1564"/>
  <c r="AB1563"/>
  <c r="AC1563" s="1"/>
  <c r="X1563"/>
  <c r="W1563"/>
  <c r="S1563"/>
  <c r="R1563"/>
  <c r="Y1563" s="1"/>
  <c r="M1563"/>
  <c r="T1563" s="1"/>
  <c r="W1562"/>
  <c r="S1562"/>
  <c r="T1562" s="1"/>
  <c r="R1562"/>
  <c r="Z1562" s="1"/>
  <c r="AA1562" s="1"/>
  <c r="M1562"/>
  <c r="O1562" s="1"/>
  <c r="U1562" s="1"/>
  <c r="V1562" s="1"/>
  <c r="W1561"/>
  <c r="R1561"/>
  <c r="Y1561" s="1"/>
  <c r="O1561"/>
  <c r="U1561" s="1"/>
  <c r="V1561" s="1"/>
  <c r="M1561"/>
  <c r="AC1560"/>
  <c r="AB1560"/>
  <c r="Y1560"/>
  <c r="X1560"/>
  <c r="W1560"/>
  <c r="R1560"/>
  <c r="Z1560" s="1"/>
  <c r="O1560"/>
  <c r="U1560" s="1"/>
  <c r="V1560" s="1"/>
  <c r="M1560"/>
  <c r="AB1559"/>
  <c r="AC1559" s="1"/>
  <c r="X1559"/>
  <c r="W1559"/>
  <c r="S1559"/>
  <c r="R1559"/>
  <c r="Y1559" s="1"/>
  <c r="M1559"/>
  <c r="T1559" s="1"/>
  <c r="W1558"/>
  <c r="S1558"/>
  <c r="T1558" s="1"/>
  <c r="R1558"/>
  <c r="Z1558" s="1"/>
  <c r="AA1558" s="1"/>
  <c r="M1558"/>
  <c r="O1558" s="1"/>
  <c r="W1557"/>
  <c r="R1557"/>
  <c r="Y1557" s="1"/>
  <c r="O1557"/>
  <c r="U1557" s="1"/>
  <c r="V1557" s="1"/>
  <c r="M1557"/>
  <c r="AC1556"/>
  <c r="AB1556"/>
  <c r="Y1556"/>
  <c r="X1556"/>
  <c r="W1556"/>
  <c r="S1556"/>
  <c r="R1556"/>
  <c r="Z1556" s="1"/>
  <c r="AA1556" s="1"/>
  <c r="O1556"/>
  <c r="U1556" s="1"/>
  <c r="V1556" s="1"/>
  <c r="M1556"/>
  <c r="T1556" s="1"/>
  <c r="AB1555"/>
  <c r="AC1555" s="1"/>
  <c r="X1555"/>
  <c r="W1555"/>
  <c r="S1555"/>
  <c r="R1555"/>
  <c r="Y1555" s="1"/>
  <c r="M1555"/>
  <c r="T1555" s="1"/>
  <c r="W1554"/>
  <c r="S1554"/>
  <c r="T1554" s="1"/>
  <c r="R1554"/>
  <c r="Z1554" s="1"/>
  <c r="AA1554" s="1"/>
  <c r="O1554"/>
  <c r="U1554" s="1"/>
  <c r="V1554" s="1"/>
  <c r="M1554"/>
  <c r="W1553"/>
  <c r="R1553"/>
  <c r="Y1553" s="1"/>
  <c r="O1553"/>
  <c r="U1553" s="1"/>
  <c r="V1553" s="1"/>
  <c r="M1553"/>
  <c r="AC1552"/>
  <c r="AB1552"/>
  <c r="Y1552"/>
  <c r="X1552"/>
  <c r="W1552"/>
  <c r="S1552"/>
  <c r="R1552"/>
  <c r="Z1552" s="1"/>
  <c r="AA1552" s="1"/>
  <c r="O1552"/>
  <c r="U1552" s="1"/>
  <c r="V1552" s="1"/>
  <c r="M1552"/>
  <c r="T1552" s="1"/>
  <c r="AB1551"/>
  <c r="AC1551" s="1"/>
  <c r="X1551"/>
  <c r="W1551"/>
  <c r="S1551"/>
  <c r="R1551"/>
  <c r="Y1551" s="1"/>
  <c r="M1551"/>
  <c r="T1551" s="1"/>
  <c r="W1550"/>
  <c r="S1550"/>
  <c r="T1550" s="1"/>
  <c r="R1550"/>
  <c r="Z1550" s="1"/>
  <c r="AA1550" s="1"/>
  <c r="O1550"/>
  <c r="U1550" s="1"/>
  <c r="V1550" s="1"/>
  <c r="M1550"/>
  <c r="W1549"/>
  <c r="R1549"/>
  <c r="Y1549" s="1"/>
  <c r="O1549"/>
  <c r="U1549" s="1"/>
  <c r="V1549" s="1"/>
  <c r="M1549"/>
  <c r="AC1548"/>
  <c r="AB1548"/>
  <c r="Y1548"/>
  <c r="X1548"/>
  <c r="W1548"/>
  <c r="S1548"/>
  <c r="R1548"/>
  <c r="Z1548" s="1"/>
  <c r="AA1548" s="1"/>
  <c r="O1548"/>
  <c r="U1548" s="1"/>
  <c r="V1548" s="1"/>
  <c r="M1548"/>
  <c r="T1548" s="1"/>
  <c r="AB1547"/>
  <c r="AC1547" s="1"/>
  <c r="X1547"/>
  <c r="W1547"/>
  <c r="S1547"/>
  <c r="R1547"/>
  <c r="Y1547" s="1"/>
  <c r="M1547"/>
  <c r="T1547" s="1"/>
  <c r="W1546"/>
  <c r="S1546"/>
  <c r="T1546" s="1"/>
  <c r="R1546"/>
  <c r="Z1546" s="1"/>
  <c r="AA1546" s="1"/>
  <c r="O1546"/>
  <c r="U1546" s="1"/>
  <c r="V1546" s="1"/>
  <c r="M1546"/>
  <c r="W1545"/>
  <c r="R1545"/>
  <c r="Y1545" s="1"/>
  <c r="O1545"/>
  <c r="U1545" s="1"/>
  <c r="V1545" s="1"/>
  <c r="M1545"/>
  <c r="AC1544"/>
  <c r="AB1544"/>
  <c r="Y1544"/>
  <c r="X1544"/>
  <c r="W1544"/>
  <c r="S1544"/>
  <c r="R1544"/>
  <c r="Z1544" s="1"/>
  <c r="AA1544" s="1"/>
  <c r="O1544"/>
  <c r="U1544" s="1"/>
  <c r="V1544" s="1"/>
  <c r="M1544"/>
  <c r="T1544" s="1"/>
  <c r="AB1543"/>
  <c r="AC1543" s="1"/>
  <c r="X1543"/>
  <c r="W1543"/>
  <c r="S1543"/>
  <c r="R1543"/>
  <c r="Y1543" s="1"/>
  <c r="M1543"/>
  <c r="T1543" s="1"/>
  <c r="W1542"/>
  <c r="S1542"/>
  <c r="T1542" s="1"/>
  <c r="R1542"/>
  <c r="Z1542" s="1"/>
  <c r="AA1542" s="1"/>
  <c r="O1542"/>
  <c r="U1542" s="1"/>
  <c r="V1542" s="1"/>
  <c r="M1542"/>
  <c r="W1541"/>
  <c r="R1541"/>
  <c r="Y1541" s="1"/>
  <c r="O1541"/>
  <c r="U1541" s="1"/>
  <c r="V1541" s="1"/>
  <c r="M1541"/>
  <c r="AC1540"/>
  <c r="AB1540"/>
  <c r="Y1540"/>
  <c r="X1540"/>
  <c r="W1540"/>
  <c r="S1540"/>
  <c r="R1540"/>
  <c r="Z1540" s="1"/>
  <c r="AA1540" s="1"/>
  <c r="O1540"/>
  <c r="U1540" s="1"/>
  <c r="M1540"/>
  <c r="T1540" s="1"/>
  <c r="AB1539"/>
  <c r="AC1539" s="1"/>
  <c r="X1539"/>
  <c r="W1539"/>
  <c r="S1539"/>
  <c r="R1539"/>
  <c r="Y1539" s="1"/>
  <c r="M1539"/>
  <c r="T1539" s="1"/>
  <c r="W1538"/>
  <c r="S1538"/>
  <c r="T1538" s="1"/>
  <c r="R1538"/>
  <c r="Z1538" s="1"/>
  <c r="AA1538" s="1"/>
  <c r="O1538"/>
  <c r="U1538" s="1"/>
  <c r="V1538" s="1"/>
  <c r="M1538"/>
  <c r="W1537"/>
  <c r="R1537"/>
  <c r="Y1537" s="1"/>
  <c r="O1537"/>
  <c r="U1537" s="1"/>
  <c r="V1537" s="1"/>
  <c r="M1537"/>
  <c r="AC1536"/>
  <c r="AB1536"/>
  <c r="Y1536"/>
  <c r="X1536"/>
  <c r="W1536"/>
  <c r="S1536"/>
  <c r="R1536"/>
  <c r="Z1536" s="1"/>
  <c r="AA1536" s="1"/>
  <c r="O1536"/>
  <c r="U1536" s="1"/>
  <c r="M1536"/>
  <c r="T1536" s="1"/>
  <c r="AB1535"/>
  <c r="AC1535" s="1"/>
  <c r="X1535"/>
  <c r="W1535"/>
  <c r="S1535"/>
  <c r="R1535"/>
  <c r="Y1535" s="1"/>
  <c r="M1535"/>
  <c r="T1535" s="1"/>
  <c r="W1534"/>
  <c r="S1534"/>
  <c r="T1534" s="1"/>
  <c r="R1534"/>
  <c r="Z1534" s="1"/>
  <c r="AA1534" s="1"/>
  <c r="O1534"/>
  <c r="U1534" s="1"/>
  <c r="V1534" s="1"/>
  <c r="M1534"/>
  <c r="W1533"/>
  <c r="R1533"/>
  <c r="Y1533" s="1"/>
  <c r="O1533"/>
  <c r="U1533" s="1"/>
  <c r="V1533" s="1"/>
  <c r="M1533"/>
  <c r="AC1532"/>
  <c r="AB1532"/>
  <c r="Y1532"/>
  <c r="X1532"/>
  <c r="W1532"/>
  <c r="S1532"/>
  <c r="R1532"/>
  <c r="Z1532" s="1"/>
  <c r="AA1532" s="1"/>
  <c r="O1532"/>
  <c r="U1532" s="1"/>
  <c r="M1532"/>
  <c r="T1532" s="1"/>
  <c r="AB1531"/>
  <c r="AC1531" s="1"/>
  <c r="X1531"/>
  <c r="W1531"/>
  <c r="S1531"/>
  <c r="R1531"/>
  <c r="Y1531" s="1"/>
  <c r="M1531"/>
  <c r="T1531" s="1"/>
  <c r="W1530"/>
  <c r="S1530"/>
  <c r="T1530" s="1"/>
  <c r="R1530"/>
  <c r="Z1530" s="1"/>
  <c r="AA1530" s="1"/>
  <c r="O1530"/>
  <c r="U1530" s="1"/>
  <c r="V1530" s="1"/>
  <c r="M1530"/>
  <c r="W1529"/>
  <c r="R1529"/>
  <c r="Y1529" s="1"/>
  <c r="O1529"/>
  <c r="U1529" s="1"/>
  <c r="V1529" s="1"/>
  <c r="M1529"/>
  <c r="AC1528"/>
  <c r="AB1528"/>
  <c r="Y1528"/>
  <c r="X1528"/>
  <c r="W1528"/>
  <c r="S1528"/>
  <c r="R1528"/>
  <c r="Z1528" s="1"/>
  <c r="AA1528" s="1"/>
  <c r="O1528"/>
  <c r="U1528" s="1"/>
  <c r="M1528"/>
  <c r="T1528" s="1"/>
  <c r="AB1527"/>
  <c r="AC1527" s="1"/>
  <c r="X1527"/>
  <c r="W1527"/>
  <c r="S1527"/>
  <c r="R1527"/>
  <c r="Y1527" s="1"/>
  <c r="M1527"/>
  <c r="T1527" s="1"/>
  <c r="W1526"/>
  <c r="S1526"/>
  <c r="T1526" s="1"/>
  <c r="R1526"/>
  <c r="Z1526" s="1"/>
  <c r="AA1526" s="1"/>
  <c r="O1526"/>
  <c r="U1526" s="1"/>
  <c r="V1526" s="1"/>
  <c r="M1526"/>
  <c r="W1525"/>
  <c r="R1525"/>
  <c r="Y1525" s="1"/>
  <c r="O1525"/>
  <c r="U1525" s="1"/>
  <c r="V1525" s="1"/>
  <c r="M1525"/>
  <c r="AC1524"/>
  <c r="AB1524"/>
  <c r="Y1524"/>
  <c r="X1524"/>
  <c r="W1524"/>
  <c r="S1524"/>
  <c r="R1524"/>
  <c r="Z1524" s="1"/>
  <c r="O1524"/>
  <c r="U1524" s="1"/>
  <c r="M1524"/>
  <c r="T1524" s="1"/>
  <c r="AB1523"/>
  <c r="AC1523" s="1"/>
  <c r="X1523"/>
  <c r="W1523"/>
  <c r="S1523"/>
  <c r="R1523"/>
  <c r="Y1523" s="1"/>
  <c r="M1523"/>
  <c r="T1523" s="1"/>
  <c r="W1522"/>
  <c r="S1522"/>
  <c r="T1522" s="1"/>
  <c r="R1522"/>
  <c r="Z1522" s="1"/>
  <c r="AA1522" s="1"/>
  <c r="O1522"/>
  <c r="U1522" s="1"/>
  <c r="V1522" s="1"/>
  <c r="M1522"/>
  <c r="W1521"/>
  <c r="R1521"/>
  <c r="Y1521" s="1"/>
  <c r="O1521"/>
  <c r="U1521" s="1"/>
  <c r="V1521" s="1"/>
  <c r="M1521"/>
  <c r="AC1520"/>
  <c r="AB1520"/>
  <c r="Y1520"/>
  <c r="X1520"/>
  <c r="W1520"/>
  <c r="R1520"/>
  <c r="Z1520" s="1"/>
  <c r="O1520"/>
  <c r="U1520" s="1"/>
  <c r="M1520"/>
  <c r="AB1519"/>
  <c r="AC1519" s="1"/>
  <c r="X1519"/>
  <c r="W1519"/>
  <c r="S1519"/>
  <c r="R1519"/>
  <c r="Y1519" s="1"/>
  <c r="M1519"/>
  <c r="T1519" s="1"/>
  <c r="W1518"/>
  <c r="S1518"/>
  <c r="T1518" s="1"/>
  <c r="R1518"/>
  <c r="Z1518" s="1"/>
  <c r="AA1518" s="1"/>
  <c r="O1518"/>
  <c r="U1518" s="1"/>
  <c r="V1518" s="1"/>
  <c r="M1518"/>
  <c r="W1517"/>
  <c r="R1517"/>
  <c r="Y1517" s="1"/>
  <c r="O1517"/>
  <c r="U1517" s="1"/>
  <c r="M1517"/>
  <c r="AC1516"/>
  <c r="AB1516"/>
  <c r="Y1516"/>
  <c r="X1516"/>
  <c r="W1516"/>
  <c r="R1516"/>
  <c r="Z1516" s="1"/>
  <c r="O1516"/>
  <c r="U1516" s="1"/>
  <c r="M1516"/>
  <c r="AB1515"/>
  <c r="AC1515" s="1"/>
  <c r="X1515"/>
  <c r="W1515"/>
  <c r="S1515"/>
  <c r="R1515"/>
  <c r="Y1515" s="1"/>
  <c r="M1515"/>
  <c r="T1515" s="1"/>
  <c r="W1514"/>
  <c r="R1514"/>
  <c r="Z1514" s="1"/>
  <c r="M1514"/>
  <c r="O1514" s="1"/>
  <c r="W1513"/>
  <c r="R1513"/>
  <c r="Y1513" s="1"/>
  <c r="O1513"/>
  <c r="U1513" s="1"/>
  <c r="M1513"/>
  <c r="AC1512"/>
  <c r="AB1512"/>
  <c r="Y1512"/>
  <c r="X1512"/>
  <c r="W1512"/>
  <c r="R1512"/>
  <c r="Z1512" s="1"/>
  <c r="O1512"/>
  <c r="U1512" s="1"/>
  <c r="M1512"/>
  <c r="AB1511"/>
  <c r="AC1511" s="1"/>
  <c r="X1511"/>
  <c r="W1511"/>
  <c r="S1511"/>
  <c r="R1511"/>
  <c r="Y1511" s="1"/>
  <c r="M1511"/>
  <c r="T1511" s="1"/>
  <c r="W1510"/>
  <c r="R1510"/>
  <c r="Z1510" s="1"/>
  <c r="M1510"/>
  <c r="O1510" s="1"/>
  <c r="W1509"/>
  <c r="R1509"/>
  <c r="Y1509" s="1"/>
  <c r="O1509"/>
  <c r="U1509" s="1"/>
  <c r="M1509"/>
  <c r="AC1508"/>
  <c r="AB1508"/>
  <c r="Y1508"/>
  <c r="X1508"/>
  <c r="W1508"/>
  <c r="R1508"/>
  <c r="Z1508" s="1"/>
  <c r="O1508"/>
  <c r="U1508" s="1"/>
  <c r="M1508"/>
  <c r="AB1507"/>
  <c r="AC1507" s="1"/>
  <c r="X1507"/>
  <c r="W1507"/>
  <c r="S1507"/>
  <c r="R1507"/>
  <c r="Y1507" s="1"/>
  <c r="M1507"/>
  <c r="T1507" s="1"/>
  <c r="W1506"/>
  <c r="R1506"/>
  <c r="Z1506" s="1"/>
  <c r="M1506"/>
  <c r="O1506" s="1"/>
  <c r="W1505"/>
  <c r="R1505"/>
  <c r="Y1505" s="1"/>
  <c r="O1505"/>
  <c r="U1505" s="1"/>
  <c r="M1505"/>
  <c r="AC1504"/>
  <c r="AB1504"/>
  <c r="Y1504"/>
  <c r="X1504"/>
  <c r="W1504"/>
  <c r="R1504"/>
  <c r="Z1504" s="1"/>
  <c r="O1504"/>
  <c r="U1504" s="1"/>
  <c r="M1504"/>
  <c r="AB1503"/>
  <c r="AC1503" s="1"/>
  <c r="X1503"/>
  <c r="W1503"/>
  <c r="S1503"/>
  <c r="R1503"/>
  <c r="Y1503" s="1"/>
  <c r="M1503"/>
  <c r="T1503" s="1"/>
  <c r="W1502"/>
  <c r="R1502"/>
  <c r="Z1502" s="1"/>
  <c r="M1502"/>
  <c r="O1502" s="1"/>
  <c r="W1501"/>
  <c r="R1501"/>
  <c r="Y1501" s="1"/>
  <c r="O1501"/>
  <c r="U1501" s="1"/>
  <c r="M1501"/>
  <c r="AC1500"/>
  <c r="AB1500"/>
  <c r="Y1500"/>
  <c r="X1500"/>
  <c r="W1500"/>
  <c r="R1500"/>
  <c r="Z1500" s="1"/>
  <c r="O1500"/>
  <c r="U1500" s="1"/>
  <c r="M1500"/>
  <c r="AB1499"/>
  <c r="AC1499" s="1"/>
  <c r="X1499"/>
  <c r="W1499"/>
  <c r="S1499"/>
  <c r="R1499"/>
  <c r="Y1499" s="1"/>
  <c r="M1499"/>
  <c r="T1499" s="1"/>
  <c r="W1498"/>
  <c r="R1498"/>
  <c r="Z1498" s="1"/>
  <c r="M1498"/>
  <c r="O1498" s="1"/>
  <c r="W1497"/>
  <c r="R1497"/>
  <c r="Y1497" s="1"/>
  <c r="O1497"/>
  <c r="U1497" s="1"/>
  <c r="M1497"/>
  <c r="AC1496"/>
  <c r="AB1496"/>
  <c r="Y1496"/>
  <c r="X1496"/>
  <c r="W1496"/>
  <c r="R1496"/>
  <c r="Z1496" s="1"/>
  <c r="M1496"/>
  <c r="O1496" s="1"/>
  <c r="AB1495"/>
  <c r="AC1495" s="1"/>
  <c r="X1495"/>
  <c r="W1495"/>
  <c r="S1495"/>
  <c r="R1495"/>
  <c r="Y1495" s="1"/>
  <c r="M1495"/>
  <c r="T1495" s="1"/>
  <c r="W1494"/>
  <c r="R1494"/>
  <c r="Z1494" s="1"/>
  <c r="M1494"/>
  <c r="O1494" s="1"/>
  <c r="W1493"/>
  <c r="R1493"/>
  <c r="Y1493" s="1"/>
  <c r="O1493"/>
  <c r="U1493" s="1"/>
  <c r="M1493"/>
  <c r="AC1492"/>
  <c r="AB1492"/>
  <c r="Y1492"/>
  <c r="X1492"/>
  <c r="W1492"/>
  <c r="R1492"/>
  <c r="Z1492" s="1"/>
  <c r="M1492"/>
  <c r="O1492" s="1"/>
  <c r="AB1491"/>
  <c r="AC1491" s="1"/>
  <c r="X1491"/>
  <c r="W1491"/>
  <c r="S1491"/>
  <c r="R1491"/>
  <c r="Y1491" s="1"/>
  <c r="M1491"/>
  <c r="T1491" s="1"/>
  <c r="W1490"/>
  <c r="R1490"/>
  <c r="Z1490" s="1"/>
  <c r="M1490"/>
  <c r="O1490" s="1"/>
  <c r="U1490" s="1"/>
  <c r="V1490" s="1"/>
  <c r="W1489"/>
  <c r="R1489"/>
  <c r="Y1489" s="1"/>
  <c r="O1489"/>
  <c r="U1489" s="1"/>
  <c r="V1489" s="1"/>
  <c r="M1489"/>
  <c r="AC1488"/>
  <c r="AB1488"/>
  <c r="Y1488"/>
  <c r="X1488"/>
  <c r="W1488"/>
  <c r="R1488"/>
  <c r="Z1488" s="1"/>
  <c r="M1488"/>
  <c r="O1488" s="1"/>
  <c r="U1488" s="1"/>
  <c r="V1488" s="1"/>
  <c r="AB1487"/>
  <c r="AC1487" s="1"/>
  <c r="X1487"/>
  <c r="W1487"/>
  <c r="S1487"/>
  <c r="R1487"/>
  <c r="Y1487" s="1"/>
  <c r="M1487"/>
  <c r="T1487" s="1"/>
  <c r="W1486"/>
  <c r="R1486"/>
  <c r="Z1486" s="1"/>
  <c r="M1486"/>
  <c r="O1486" s="1"/>
  <c r="U1486" s="1"/>
  <c r="V1486" s="1"/>
  <c r="W1485"/>
  <c r="R1485"/>
  <c r="Y1485" s="1"/>
  <c r="O1485"/>
  <c r="U1485" s="1"/>
  <c r="V1485" s="1"/>
  <c r="M1485"/>
  <c r="AC1484"/>
  <c r="AB1484"/>
  <c r="Y1484"/>
  <c r="X1484"/>
  <c r="W1484"/>
  <c r="R1484"/>
  <c r="Z1484" s="1"/>
  <c r="M1484"/>
  <c r="O1484" s="1"/>
  <c r="U1484" s="1"/>
  <c r="V1484" s="1"/>
  <c r="AB1483"/>
  <c r="AC1483" s="1"/>
  <c r="X1483"/>
  <c r="W1483"/>
  <c r="S1483"/>
  <c r="R1483"/>
  <c r="Y1483" s="1"/>
  <c r="M1483"/>
  <c r="T1483" s="1"/>
  <c r="W1482"/>
  <c r="R1482"/>
  <c r="Z1482" s="1"/>
  <c r="M1482"/>
  <c r="O1482" s="1"/>
  <c r="U1482" s="1"/>
  <c r="V1482" s="1"/>
  <c r="W1481"/>
  <c r="R1481"/>
  <c r="Y1481" s="1"/>
  <c r="O1481"/>
  <c r="U1481" s="1"/>
  <c r="V1481" s="1"/>
  <c r="M1481"/>
  <c r="AC1480"/>
  <c r="AB1480"/>
  <c r="Y1480"/>
  <c r="X1480"/>
  <c r="W1480"/>
  <c r="R1480"/>
  <c r="Z1480" s="1"/>
  <c r="M1480"/>
  <c r="O1480" s="1"/>
  <c r="U1480" s="1"/>
  <c r="V1480" s="1"/>
  <c r="AB1479"/>
  <c r="AC1479" s="1"/>
  <c r="X1479"/>
  <c r="W1479"/>
  <c r="S1479"/>
  <c r="R1479"/>
  <c r="Y1479" s="1"/>
  <c r="M1479"/>
  <c r="T1479" s="1"/>
  <c r="W1478"/>
  <c r="R1478"/>
  <c r="Z1478" s="1"/>
  <c r="M1478"/>
  <c r="O1478" s="1"/>
  <c r="U1478" s="1"/>
  <c r="V1478" s="1"/>
  <c r="W1477"/>
  <c r="R1477"/>
  <c r="Y1477" s="1"/>
  <c r="O1477"/>
  <c r="U1477" s="1"/>
  <c r="V1477" s="1"/>
  <c r="M1477"/>
  <c r="AC1476"/>
  <c r="AB1476"/>
  <c r="Y1476"/>
  <c r="X1476"/>
  <c r="W1476"/>
  <c r="R1476"/>
  <c r="Z1476" s="1"/>
  <c r="M1476"/>
  <c r="O1476" s="1"/>
  <c r="U1476" s="1"/>
  <c r="V1476" s="1"/>
  <c r="AB1475"/>
  <c r="AC1475" s="1"/>
  <c r="X1475"/>
  <c r="W1475"/>
  <c r="S1475"/>
  <c r="R1475"/>
  <c r="Y1475" s="1"/>
  <c r="M1475"/>
  <c r="T1475" s="1"/>
  <c r="W1474"/>
  <c r="R1474"/>
  <c r="Z1474" s="1"/>
  <c r="M1474"/>
  <c r="O1474" s="1"/>
  <c r="U1474" s="1"/>
  <c r="V1474" s="1"/>
  <c r="W1473"/>
  <c r="R1473"/>
  <c r="Y1473" s="1"/>
  <c r="O1473"/>
  <c r="U1473" s="1"/>
  <c r="V1473" s="1"/>
  <c r="M1473"/>
  <c r="AC1472"/>
  <c r="AB1472"/>
  <c r="Y1472"/>
  <c r="X1472"/>
  <c r="W1472"/>
  <c r="R1472"/>
  <c r="Z1472" s="1"/>
  <c r="M1472"/>
  <c r="O1472" s="1"/>
  <c r="U1472" s="1"/>
  <c r="V1472" s="1"/>
  <c r="AB1471"/>
  <c r="AC1471" s="1"/>
  <c r="X1471"/>
  <c r="W1471"/>
  <c r="S1471"/>
  <c r="R1471"/>
  <c r="Y1471" s="1"/>
  <c r="M1471"/>
  <c r="T1471" s="1"/>
  <c r="W1470"/>
  <c r="R1470"/>
  <c r="Z1470" s="1"/>
  <c r="M1470"/>
  <c r="O1470" s="1"/>
  <c r="U1470" s="1"/>
  <c r="V1470" s="1"/>
  <c r="W1469"/>
  <c r="R1469"/>
  <c r="Y1469" s="1"/>
  <c r="O1469"/>
  <c r="U1469" s="1"/>
  <c r="V1469" s="1"/>
  <c r="M1469"/>
  <c r="AB1468"/>
  <c r="AC1468" s="1"/>
  <c r="Y1468"/>
  <c r="X1468"/>
  <c r="W1468"/>
  <c r="R1468"/>
  <c r="Z1468" s="1"/>
  <c r="M1468"/>
  <c r="O1468" s="1"/>
  <c r="U1468" s="1"/>
  <c r="V1468" s="1"/>
  <c r="AB1467"/>
  <c r="AC1467" s="1"/>
  <c r="X1467"/>
  <c r="W1467"/>
  <c r="S1467"/>
  <c r="T1467" s="1"/>
  <c r="R1467"/>
  <c r="Y1467" s="1"/>
  <c r="M1467"/>
  <c r="O1467" s="1"/>
  <c r="U1467" s="1"/>
  <c r="V1467" s="1"/>
  <c r="W1466"/>
  <c r="R1466"/>
  <c r="Z1466" s="1"/>
  <c r="M1466"/>
  <c r="O1466" s="1"/>
  <c r="U1466" s="1"/>
  <c r="V1466" s="1"/>
  <c r="W1465"/>
  <c r="R1465"/>
  <c r="Y1465" s="1"/>
  <c r="O1465"/>
  <c r="U1465" s="1"/>
  <c r="V1465" s="1"/>
  <c r="M1465"/>
  <c r="AB1464"/>
  <c r="AC1464" s="1"/>
  <c r="Y1464"/>
  <c r="X1464"/>
  <c r="W1464"/>
  <c r="R1464"/>
  <c r="Z1464" s="1"/>
  <c r="M1464"/>
  <c r="O1464" s="1"/>
  <c r="U1464" s="1"/>
  <c r="V1464" s="1"/>
  <c r="AB1463"/>
  <c r="AC1463" s="1"/>
  <c r="X1463"/>
  <c r="W1463"/>
  <c r="S1463"/>
  <c r="T1463" s="1"/>
  <c r="R1463"/>
  <c r="Y1463" s="1"/>
  <c r="M1463"/>
  <c r="O1463" s="1"/>
  <c r="U1463" s="1"/>
  <c r="V1463" s="1"/>
  <c r="W1462"/>
  <c r="R1462"/>
  <c r="Z1462" s="1"/>
  <c r="M1462"/>
  <c r="O1462" s="1"/>
  <c r="U1462" s="1"/>
  <c r="V1462" s="1"/>
  <c r="W1461"/>
  <c r="R1461"/>
  <c r="Y1461" s="1"/>
  <c r="O1461"/>
  <c r="U1461" s="1"/>
  <c r="V1461" s="1"/>
  <c r="M1461"/>
  <c r="AB1460"/>
  <c r="AC1460" s="1"/>
  <c r="Y1460"/>
  <c r="X1460"/>
  <c r="W1460"/>
  <c r="R1460"/>
  <c r="Z1460" s="1"/>
  <c r="M1460"/>
  <c r="O1460" s="1"/>
  <c r="U1460" s="1"/>
  <c r="V1460" s="1"/>
  <c r="AB1459"/>
  <c r="AC1459" s="1"/>
  <c r="X1459"/>
  <c r="W1459"/>
  <c r="S1459"/>
  <c r="T1459" s="1"/>
  <c r="R1459"/>
  <c r="Y1459" s="1"/>
  <c r="M1459"/>
  <c r="O1459" s="1"/>
  <c r="U1459" s="1"/>
  <c r="V1459" s="1"/>
  <c r="W1458"/>
  <c r="R1458"/>
  <c r="Z1458" s="1"/>
  <c r="M1458"/>
  <c r="O1458" s="1"/>
  <c r="U1458" s="1"/>
  <c r="V1458" s="1"/>
  <c r="W1457"/>
  <c r="R1457"/>
  <c r="Y1457" s="1"/>
  <c r="O1457"/>
  <c r="U1457" s="1"/>
  <c r="V1457" s="1"/>
  <c r="M1457"/>
  <c r="AB1456"/>
  <c r="AC1456" s="1"/>
  <c r="Y1456"/>
  <c r="X1456"/>
  <c r="W1456"/>
  <c r="R1456"/>
  <c r="Z1456" s="1"/>
  <c r="M1456"/>
  <c r="O1456" s="1"/>
  <c r="U1456" s="1"/>
  <c r="V1456" s="1"/>
  <c r="AB1455"/>
  <c r="AC1455" s="1"/>
  <c r="X1455"/>
  <c r="W1455"/>
  <c r="S1455"/>
  <c r="T1455" s="1"/>
  <c r="R1455"/>
  <c r="Y1455" s="1"/>
  <c r="M1455"/>
  <c r="O1455" s="1"/>
  <c r="U1455" s="1"/>
  <c r="V1455" s="1"/>
  <c r="W1454"/>
  <c r="R1454"/>
  <c r="Z1454" s="1"/>
  <c r="M1454"/>
  <c r="O1454" s="1"/>
  <c r="U1454" s="1"/>
  <c r="V1454" s="1"/>
  <c r="W1453"/>
  <c r="R1453"/>
  <c r="Y1453" s="1"/>
  <c r="O1453"/>
  <c r="U1453" s="1"/>
  <c r="V1453" s="1"/>
  <c r="M1453"/>
  <c r="AB1452"/>
  <c r="AC1452" s="1"/>
  <c r="Y1452"/>
  <c r="X1452"/>
  <c r="W1452"/>
  <c r="R1452"/>
  <c r="Z1452" s="1"/>
  <c r="M1452"/>
  <c r="O1452" s="1"/>
  <c r="U1452" s="1"/>
  <c r="V1452" s="1"/>
  <c r="AB1451"/>
  <c r="AC1451" s="1"/>
  <c r="X1451"/>
  <c r="W1451"/>
  <c r="S1451"/>
  <c r="T1451" s="1"/>
  <c r="R1451"/>
  <c r="Y1451" s="1"/>
  <c r="M1451"/>
  <c r="O1451" s="1"/>
  <c r="U1451" s="1"/>
  <c r="V1451" s="1"/>
  <c r="W1450"/>
  <c r="R1450"/>
  <c r="Z1450" s="1"/>
  <c r="M1450"/>
  <c r="O1450" s="1"/>
  <c r="U1450" s="1"/>
  <c r="V1450" s="1"/>
  <c r="W1449"/>
  <c r="R1449"/>
  <c r="Y1449" s="1"/>
  <c r="O1449"/>
  <c r="U1449" s="1"/>
  <c r="V1449" s="1"/>
  <c r="M1449"/>
  <c r="AB1448"/>
  <c r="AC1448" s="1"/>
  <c r="Y1448"/>
  <c r="X1448"/>
  <c r="W1448"/>
  <c r="R1448"/>
  <c r="Z1448" s="1"/>
  <c r="M1448"/>
  <c r="O1448" s="1"/>
  <c r="U1448" s="1"/>
  <c r="V1448" s="1"/>
  <c r="AB1447"/>
  <c r="AC1447" s="1"/>
  <c r="X1447"/>
  <c r="W1447"/>
  <c r="S1447"/>
  <c r="T1447" s="1"/>
  <c r="R1447"/>
  <c r="Y1447" s="1"/>
  <c r="M1447"/>
  <c r="O1447" s="1"/>
  <c r="U1447" s="1"/>
  <c r="V1447" s="1"/>
  <c r="W1446"/>
  <c r="R1446"/>
  <c r="Z1446" s="1"/>
  <c r="M1446"/>
  <c r="O1446" s="1"/>
  <c r="U1446" s="1"/>
  <c r="V1446" s="1"/>
  <c r="W1445"/>
  <c r="R1445"/>
  <c r="Y1445" s="1"/>
  <c r="O1445"/>
  <c r="U1445" s="1"/>
  <c r="V1445" s="1"/>
  <c r="M1445"/>
  <c r="AB1444"/>
  <c r="AC1444" s="1"/>
  <c r="Y1444"/>
  <c r="X1444"/>
  <c r="W1444"/>
  <c r="R1444"/>
  <c r="Z1444" s="1"/>
  <c r="M1444"/>
  <c r="O1444" s="1"/>
  <c r="U1444" s="1"/>
  <c r="V1444" s="1"/>
  <c r="AB1443"/>
  <c r="AC1443" s="1"/>
  <c r="X1443"/>
  <c r="W1443"/>
  <c r="S1443"/>
  <c r="T1443" s="1"/>
  <c r="R1443"/>
  <c r="Y1443" s="1"/>
  <c r="M1443"/>
  <c r="O1443" s="1"/>
  <c r="U1443" s="1"/>
  <c r="V1443" s="1"/>
  <c r="W1442"/>
  <c r="R1442"/>
  <c r="Z1442" s="1"/>
  <c r="M1442"/>
  <c r="O1442" s="1"/>
  <c r="U1442" s="1"/>
  <c r="V1442" s="1"/>
  <c r="W1441"/>
  <c r="R1441"/>
  <c r="Y1441" s="1"/>
  <c r="O1441"/>
  <c r="U1441" s="1"/>
  <c r="V1441" s="1"/>
  <c r="M1441"/>
  <c r="AB1440"/>
  <c r="AC1440" s="1"/>
  <c r="Y1440"/>
  <c r="X1440"/>
  <c r="W1440"/>
  <c r="R1440"/>
  <c r="Z1440" s="1"/>
  <c r="M1440"/>
  <c r="O1440" s="1"/>
  <c r="U1440" s="1"/>
  <c r="V1440" s="1"/>
  <c r="AB1439"/>
  <c r="AC1439" s="1"/>
  <c r="X1439"/>
  <c r="W1439"/>
  <c r="S1439"/>
  <c r="T1439" s="1"/>
  <c r="R1439"/>
  <c r="Y1439" s="1"/>
  <c r="M1439"/>
  <c r="O1439" s="1"/>
  <c r="U1439" s="1"/>
  <c r="V1439" s="1"/>
  <c r="W1438"/>
  <c r="R1438"/>
  <c r="Z1438" s="1"/>
  <c r="M1438"/>
  <c r="O1438" s="1"/>
  <c r="U1438" s="1"/>
  <c r="V1438" s="1"/>
  <c r="W1437"/>
  <c r="R1437"/>
  <c r="Y1437" s="1"/>
  <c r="O1437"/>
  <c r="U1437" s="1"/>
  <c r="V1437" s="1"/>
  <c r="M1437"/>
  <c r="AB1436"/>
  <c r="AC1436" s="1"/>
  <c r="Y1436"/>
  <c r="X1436"/>
  <c r="W1436"/>
  <c r="R1436"/>
  <c r="Z1436" s="1"/>
  <c r="M1436"/>
  <c r="O1436" s="1"/>
  <c r="U1436" s="1"/>
  <c r="V1436" s="1"/>
  <c r="AB1435"/>
  <c r="AC1435" s="1"/>
  <c r="X1435"/>
  <c r="W1435"/>
  <c r="S1435"/>
  <c r="T1435" s="1"/>
  <c r="R1435"/>
  <c r="Y1435" s="1"/>
  <c r="M1435"/>
  <c r="O1435" s="1"/>
  <c r="U1435" s="1"/>
  <c r="V1435" s="1"/>
  <c r="W1434"/>
  <c r="R1434"/>
  <c r="Z1434" s="1"/>
  <c r="M1434"/>
  <c r="O1434" s="1"/>
  <c r="U1434" s="1"/>
  <c r="V1434" s="1"/>
  <c r="W1433"/>
  <c r="R1433"/>
  <c r="Y1433" s="1"/>
  <c r="O1433"/>
  <c r="U1433" s="1"/>
  <c r="V1433" s="1"/>
  <c r="M1433"/>
  <c r="AB1432"/>
  <c r="AC1432" s="1"/>
  <c r="Y1432"/>
  <c r="X1432"/>
  <c r="W1432"/>
  <c r="R1432"/>
  <c r="Z1432" s="1"/>
  <c r="M1432"/>
  <c r="O1432" s="1"/>
  <c r="U1432" s="1"/>
  <c r="V1432" s="1"/>
  <c r="AB1431"/>
  <c r="AC1431" s="1"/>
  <c r="X1431"/>
  <c r="W1431"/>
  <c r="S1431"/>
  <c r="R1431"/>
  <c r="Y1431" s="1"/>
  <c r="M1431"/>
  <c r="T1431" s="1"/>
  <c r="W1430"/>
  <c r="R1430"/>
  <c r="Z1430" s="1"/>
  <c r="M1430"/>
  <c r="O1430" s="1"/>
  <c r="U1430" s="1"/>
  <c r="V1430" s="1"/>
  <c r="W1429"/>
  <c r="R1429"/>
  <c r="Y1429" s="1"/>
  <c r="O1429"/>
  <c r="U1429" s="1"/>
  <c r="V1429" s="1"/>
  <c r="M1429"/>
  <c r="AB1428"/>
  <c r="AC1428" s="1"/>
  <c r="Y1428"/>
  <c r="X1428"/>
  <c r="W1428"/>
  <c r="R1428"/>
  <c r="Z1428" s="1"/>
  <c r="M1428"/>
  <c r="O1428" s="1"/>
  <c r="U1428" s="1"/>
  <c r="V1428" s="1"/>
  <c r="AB1427"/>
  <c r="AC1427" s="1"/>
  <c r="Y1427"/>
  <c r="X1427"/>
  <c r="W1427"/>
  <c r="S1427"/>
  <c r="T1427" s="1"/>
  <c r="R1427"/>
  <c r="Z1427" s="1"/>
  <c r="AA1427" s="1"/>
  <c r="M1427"/>
  <c r="O1427" s="1"/>
  <c r="U1427" s="1"/>
  <c r="V1427" s="1"/>
  <c r="W1426"/>
  <c r="R1426"/>
  <c r="Z1426" s="1"/>
  <c r="M1426"/>
  <c r="O1426" s="1"/>
  <c r="U1426" s="1"/>
  <c r="V1426" s="1"/>
  <c r="W1425"/>
  <c r="R1425"/>
  <c r="Y1425" s="1"/>
  <c r="O1425"/>
  <c r="U1425" s="1"/>
  <c r="V1425" s="1"/>
  <c r="M1425"/>
  <c r="AB1424"/>
  <c r="AC1424" s="1"/>
  <c r="Y1424"/>
  <c r="X1424"/>
  <c r="W1424"/>
  <c r="R1424"/>
  <c r="Z1424" s="1"/>
  <c r="M1424"/>
  <c r="O1424" s="1"/>
  <c r="U1424" s="1"/>
  <c r="V1424" s="1"/>
  <c r="AB1423"/>
  <c r="AC1423" s="1"/>
  <c r="X1423"/>
  <c r="W1423"/>
  <c r="S1423"/>
  <c r="T1423" s="1"/>
  <c r="R1423"/>
  <c r="Y1423" s="1"/>
  <c r="M1423"/>
  <c r="O1423" s="1"/>
  <c r="U1423" s="1"/>
  <c r="V1423" s="1"/>
  <c r="W1422"/>
  <c r="R1422"/>
  <c r="Z1422" s="1"/>
  <c r="M1422"/>
  <c r="O1422" s="1"/>
  <c r="U1422" s="1"/>
  <c r="V1422" s="1"/>
  <c r="W1421"/>
  <c r="R1421"/>
  <c r="Y1421" s="1"/>
  <c r="O1421"/>
  <c r="U1421" s="1"/>
  <c r="V1421" s="1"/>
  <c r="M1421"/>
  <c r="AB1420"/>
  <c r="AC1420" s="1"/>
  <c r="Y1420"/>
  <c r="X1420"/>
  <c r="W1420"/>
  <c r="R1420"/>
  <c r="Z1420" s="1"/>
  <c r="M1420"/>
  <c r="O1420" s="1"/>
  <c r="U1420" s="1"/>
  <c r="V1420" s="1"/>
  <c r="AB1419"/>
  <c r="AC1419" s="1"/>
  <c r="X1419"/>
  <c r="W1419"/>
  <c r="S1419"/>
  <c r="T1419" s="1"/>
  <c r="R1419"/>
  <c r="Y1419" s="1"/>
  <c r="M1419"/>
  <c r="O1419" s="1"/>
  <c r="U1419" s="1"/>
  <c r="V1419" s="1"/>
  <c r="W1418"/>
  <c r="R1418"/>
  <c r="Z1418" s="1"/>
  <c r="M1418"/>
  <c r="O1418" s="1"/>
  <c r="U1418" s="1"/>
  <c r="V1418" s="1"/>
  <c r="W1417"/>
  <c r="R1417"/>
  <c r="Y1417" s="1"/>
  <c r="O1417"/>
  <c r="U1417" s="1"/>
  <c r="V1417" s="1"/>
  <c r="M1417"/>
  <c r="AB1416"/>
  <c r="AC1416" s="1"/>
  <c r="Y1416"/>
  <c r="X1416"/>
  <c r="W1416"/>
  <c r="R1416"/>
  <c r="Z1416" s="1"/>
  <c r="M1416"/>
  <c r="O1416" s="1"/>
  <c r="U1416" s="1"/>
  <c r="V1416" s="1"/>
  <c r="AB1415"/>
  <c r="AC1415" s="1"/>
  <c r="X1415"/>
  <c r="W1415"/>
  <c r="S1415"/>
  <c r="T1415" s="1"/>
  <c r="R1415"/>
  <c r="Y1415" s="1"/>
  <c r="M1415"/>
  <c r="O1415" s="1"/>
  <c r="U1415" s="1"/>
  <c r="V1415" s="1"/>
  <c r="W1414"/>
  <c r="R1414"/>
  <c r="Z1414" s="1"/>
  <c r="M1414"/>
  <c r="O1414" s="1"/>
  <c r="U1414" s="1"/>
  <c r="V1414" s="1"/>
  <c r="Y1413"/>
  <c r="W1413"/>
  <c r="R1413"/>
  <c r="Z1413" s="1"/>
  <c r="O1413"/>
  <c r="U1413" s="1"/>
  <c r="V1413" s="1"/>
  <c r="M1413"/>
  <c r="AB1412"/>
  <c r="AC1412" s="1"/>
  <c r="Y1412"/>
  <c r="X1412"/>
  <c r="W1412"/>
  <c r="R1412"/>
  <c r="Z1412" s="1"/>
  <c r="M1412"/>
  <c r="O1412" s="1"/>
  <c r="U1412" s="1"/>
  <c r="V1412" s="1"/>
  <c r="AB1411"/>
  <c r="AC1411" s="1"/>
  <c r="X1411"/>
  <c r="W1411"/>
  <c r="S1411"/>
  <c r="T1411" s="1"/>
  <c r="R1411"/>
  <c r="Y1411" s="1"/>
  <c r="M1411"/>
  <c r="O1411" s="1"/>
  <c r="U1411" s="1"/>
  <c r="V1411" s="1"/>
  <c r="W1410"/>
  <c r="R1410"/>
  <c r="Z1410" s="1"/>
  <c r="M1410"/>
  <c r="O1410" s="1"/>
  <c r="U1410" s="1"/>
  <c r="V1410" s="1"/>
  <c r="Y1409"/>
  <c r="W1409"/>
  <c r="R1409"/>
  <c r="Z1409" s="1"/>
  <c r="O1409"/>
  <c r="U1409" s="1"/>
  <c r="V1409" s="1"/>
  <c r="M1409"/>
  <c r="AB1408"/>
  <c r="AC1408" s="1"/>
  <c r="Y1408"/>
  <c r="X1408"/>
  <c r="W1408"/>
  <c r="R1408"/>
  <c r="Z1408" s="1"/>
  <c r="M1408"/>
  <c r="O1408" s="1"/>
  <c r="U1408" s="1"/>
  <c r="V1408" s="1"/>
  <c r="AB1407"/>
  <c r="AC1407" s="1"/>
  <c r="X1407"/>
  <c r="W1407"/>
  <c r="S1407"/>
  <c r="T1407" s="1"/>
  <c r="R1407"/>
  <c r="Y1407" s="1"/>
  <c r="M1407"/>
  <c r="O1407" s="1"/>
  <c r="U1407" s="1"/>
  <c r="V1407" s="1"/>
  <c r="W1406"/>
  <c r="R1406"/>
  <c r="Z1406" s="1"/>
  <c r="M1406"/>
  <c r="O1406" s="1"/>
  <c r="U1406" s="1"/>
  <c r="V1406" s="1"/>
  <c r="Y1405"/>
  <c r="W1405"/>
  <c r="R1405"/>
  <c r="Z1405" s="1"/>
  <c r="O1405"/>
  <c r="U1405" s="1"/>
  <c r="V1405" s="1"/>
  <c r="M1405"/>
  <c r="AB1404"/>
  <c r="AC1404" s="1"/>
  <c r="Y1404"/>
  <c r="X1404"/>
  <c r="W1404"/>
  <c r="R1404"/>
  <c r="Z1404" s="1"/>
  <c r="M1404"/>
  <c r="O1404" s="1"/>
  <c r="U1404" s="1"/>
  <c r="V1404" s="1"/>
  <c r="AB1403"/>
  <c r="AC1403" s="1"/>
  <c r="X1403"/>
  <c r="W1403"/>
  <c r="S1403"/>
  <c r="T1403" s="1"/>
  <c r="R1403"/>
  <c r="Y1403" s="1"/>
  <c r="M1403"/>
  <c r="O1403" s="1"/>
  <c r="U1403" s="1"/>
  <c r="V1403" s="1"/>
  <c r="W1402"/>
  <c r="R1402"/>
  <c r="Z1402" s="1"/>
  <c r="M1402"/>
  <c r="O1402" s="1"/>
  <c r="U1402" s="1"/>
  <c r="V1402" s="1"/>
  <c r="W1401"/>
  <c r="R1401"/>
  <c r="Y1401" s="1"/>
  <c r="O1401"/>
  <c r="U1401" s="1"/>
  <c r="V1401" s="1"/>
  <c r="M1401"/>
  <c r="AB1400"/>
  <c r="AC1400" s="1"/>
  <c r="Y1400"/>
  <c r="X1400"/>
  <c r="W1400"/>
  <c r="R1400"/>
  <c r="Z1400" s="1"/>
  <c r="M1400"/>
  <c r="O1400" s="1"/>
  <c r="U1400" s="1"/>
  <c r="V1400" s="1"/>
  <c r="AB1399"/>
  <c r="AC1399" s="1"/>
  <c r="X1399"/>
  <c r="W1399"/>
  <c r="S1399"/>
  <c r="T1399" s="1"/>
  <c r="R1399"/>
  <c r="Y1399" s="1"/>
  <c r="M1399"/>
  <c r="O1399" s="1"/>
  <c r="U1399" s="1"/>
  <c r="V1399" s="1"/>
  <c r="W1398"/>
  <c r="R1398"/>
  <c r="Z1398" s="1"/>
  <c r="M1398"/>
  <c r="O1398" s="1"/>
  <c r="U1398" s="1"/>
  <c r="V1398" s="1"/>
  <c r="Y1397"/>
  <c r="W1397"/>
  <c r="R1397"/>
  <c r="Z1397" s="1"/>
  <c r="O1397"/>
  <c r="U1397" s="1"/>
  <c r="V1397" s="1"/>
  <c r="M1397"/>
  <c r="AB1396"/>
  <c r="AC1396" s="1"/>
  <c r="Y1396"/>
  <c r="X1396"/>
  <c r="W1396"/>
  <c r="R1396"/>
  <c r="Z1396" s="1"/>
  <c r="M1396"/>
  <c r="O1396" s="1"/>
  <c r="U1396" s="1"/>
  <c r="V1396" s="1"/>
  <c r="AB1395"/>
  <c r="AC1395" s="1"/>
  <c r="X1395"/>
  <c r="W1395"/>
  <c r="S1395"/>
  <c r="T1395" s="1"/>
  <c r="R1395"/>
  <c r="Y1395" s="1"/>
  <c r="M1395"/>
  <c r="O1395" s="1"/>
  <c r="U1395" s="1"/>
  <c r="V1395" s="1"/>
  <c r="W1394"/>
  <c r="R1394"/>
  <c r="Z1394" s="1"/>
  <c r="M1394"/>
  <c r="O1394" s="1"/>
  <c r="U1394" s="1"/>
  <c r="V1394" s="1"/>
  <c r="Y1393"/>
  <c r="W1393"/>
  <c r="R1393"/>
  <c r="Z1393" s="1"/>
  <c r="O1393"/>
  <c r="U1393" s="1"/>
  <c r="V1393" s="1"/>
  <c r="M1393"/>
  <c r="AB1392"/>
  <c r="AC1392" s="1"/>
  <c r="Y1392"/>
  <c r="X1392"/>
  <c r="W1392"/>
  <c r="R1392"/>
  <c r="Z1392" s="1"/>
  <c r="M1392"/>
  <c r="O1392" s="1"/>
  <c r="U1392" s="1"/>
  <c r="V1392" s="1"/>
  <c r="AB1391"/>
  <c r="AC1391" s="1"/>
  <c r="X1391"/>
  <c r="W1391"/>
  <c r="S1391"/>
  <c r="T1391" s="1"/>
  <c r="R1391"/>
  <c r="Y1391" s="1"/>
  <c r="M1391"/>
  <c r="O1391" s="1"/>
  <c r="U1391" s="1"/>
  <c r="V1391" s="1"/>
  <c r="W1390"/>
  <c r="R1390"/>
  <c r="M1390"/>
  <c r="O1390" s="1"/>
  <c r="U1390" s="1"/>
  <c r="V1390" s="1"/>
  <c r="W1389"/>
  <c r="U1389"/>
  <c r="V1389" s="1"/>
  <c r="R1389"/>
  <c r="O1389"/>
  <c r="M1389"/>
  <c r="AC1388"/>
  <c r="AB1388"/>
  <c r="Y1388"/>
  <c r="X1388"/>
  <c r="W1388"/>
  <c r="R1388"/>
  <c r="Z1388" s="1"/>
  <c r="O1388"/>
  <c r="U1388" s="1"/>
  <c r="V1388" s="1"/>
  <c r="M1388"/>
  <c r="AB1387"/>
  <c r="AC1387" s="1"/>
  <c r="X1387"/>
  <c r="W1387"/>
  <c r="S1387"/>
  <c r="T1387" s="1"/>
  <c r="R1387"/>
  <c r="Y1387" s="1"/>
  <c r="M1387"/>
  <c r="O1387" s="1"/>
  <c r="U1387" s="1"/>
  <c r="V1387" s="1"/>
  <c r="W1386"/>
  <c r="R1386"/>
  <c r="M1386"/>
  <c r="O1386" s="1"/>
  <c r="Z1385"/>
  <c r="W1385"/>
  <c r="U1385"/>
  <c r="V1385" s="1"/>
  <c r="R1385"/>
  <c r="O1385"/>
  <c r="M1385"/>
  <c r="AC1384"/>
  <c r="AB1384"/>
  <c r="Y1384"/>
  <c r="X1384"/>
  <c r="W1384"/>
  <c r="R1384"/>
  <c r="Z1384" s="1"/>
  <c r="O1384"/>
  <c r="U1384" s="1"/>
  <c r="V1384" s="1"/>
  <c r="M1384"/>
  <c r="AB1383"/>
  <c r="AC1383" s="1"/>
  <c r="X1383"/>
  <c r="W1383"/>
  <c r="S1383"/>
  <c r="T1383" s="1"/>
  <c r="R1383"/>
  <c r="Y1383" s="1"/>
  <c r="M1383"/>
  <c r="O1383" s="1"/>
  <c r="U1383" s="1"/>
  <c r="V1383" s="1"/>
  <c r="W1382"/>
  <c r="R1382"/>
  <c r="M1382"/>
  <c r="O1382" s="1"/>
  <c r="Z1381"/>
  <c r="W1381"/>
  <c r="U1381"/>
  <c r="V1381" s="1"/>
  <c r="R1381"/>
  <c r="O1381"/>
  <c r="M1381"/>
  <c r="AC1380"/>
  <c r="AB1380"/>
  <c r="Y1380"/>
  <c r="X1380"/>
  <c r="W1380"/>
  <c r="R1380"/>
  <c r="Z1380" s="1"/>
  <c r="O1380"/>
  <c r="U1380" s="1"/>
  <c r="V1380" s="1"/>
  <c r="M1380"/>
  <c r="AB1379"/>
  <c r="AC1379" s="1"/>
  <c r="Y1379"/>
  <c r="X1379"/>
  <c r="W1379"/>
  <c r="S1379"/>
  <c r="T1379" s="1"/>
  <c r="AD1379" s="1"/>
  <c r="R1379"/>
  <c r="Z1379" s="1"/>
  <c r="AA1379" s="1"/>
  <c r="M1379"/>
  <c r="O1379" s="1"/>
  <c r="U1379" s="1"/>
  <c r="V1379" s="1"/>
  <c r="W1378"/>
  <c r="S1378"/>
  <c r="T1378" s="1"/>
  <c r="R1378"/>
  <c r="M1378"/>
  <c r="O1378" s="1"/>
  <c r="Z1377"/>
  <c r="W1377"/>
  <c r="V1377"/>
  <c r="U1377"/>
  <c r="R1377"/>
  <c r="O1377"/>
  <c r="M1377"/>
  <c r="AC1376"/>
  <c r="AB1376"/>
  <c r="Y1376"/>
  <c r="X1376"/>
  <c r="W1376"/>
  <c r="R1376"/>
  <c r="Z1376" s="1"/>
  <c r="O1376"/>
  <c r="U1376" s="1"/>
  <c r="V1376" s="1"/>
  <c r="M1376"/>
  <c r="AB1375"/>
  <c r="AC1375" s="1"/>
  <c r="X1375"/>
  <c r="W1375"/>
  <c r="S1375"/>
  <c r="T1375" s="1"/>
  <c r="R1375"/>
  <c r="Y1375" s="1"/>
  <c r="M1375"/>
  <c r="O1375" s="1"/>
  <c r="U1375" s="1"/>
  <c r="V1375" s="1"/>
  <c r="W1374"/>
  <c r="S1374"/>
  <c r="T1374" s="1"/>
  <c r="R1374"/>
  <c r="M1374"/>
  <c r="O1374" s="1"/>
  <c r="Z1373"/>
  <c r="W1373"/>
  <c r="V1373"/>
  <c r="U1373"/>
  <c r="R1373"/>
  <c r="O1373"/>
  <c r="M1373"/>
  <c r="AC1372"/>
  <c r="AB1372"/>
  <c r="Y1372"/>
  <c r="X1372"/>
  <c r="W1372"/>
  <c r="R1372"/>
  <c r="Z1372" s="1"/>
  <c r="O1372"/>
  <c r="U1372" s="1"/>
  <c r="V1372" s="1"/>
  <c r="M1372"/>
  <c r="AB1371"/>
  <c r="AC1371" s="1"/>
  <c r="X1371"/>
  <c r="W1371"/>
  <c r="S1371"/>
  <c r="T1371" s="1"/>
  <c r="R1371"/>
  <c r="Y1371" s="1"/>
  <c r="M1371"/>
  <c r="O1371" s="1"/>
  <c r="U1371" s="1"/>
  <c r="V1371" s="1"/>
  <c r="W1370"/>
  <c r="S1370"/>
  <c r="T1370" s="1"/>
  <c r="R1370"/>
  <c r="M1370"/>
  <c r="O1370" s="1"/>
  <c r="Z1369"/>
  <c r="W1369"/>
  <c r="V1369"/>
  <c r="U1369"/>
  <c r="R1369"/>
  <c r="O1369"/>
  <c r="M1369"/>
  <c r="AC1368"/>
  <c r="AB1368"/>
  <c r="Y1368"/>
  <c r="X1368"/>
  <c r="W1368"/>
  <c r="R1368"/>
  <c r="Z1368" s="1"/>
  <c r="O1368"/>
  <c r="U1368" s="1"/>
  <c r="V1368" s="1"/>
  <c r="M1368"/>
  <c r="AB1367"/>
  <c r="AC1367" s="1"/>
  <c r="X1367"/>
  <c r="W1367"/>
  <c r="S1367"/>
  <c r="T1367" s="1"/>
  <c r="R1367"/>
  <c r="Y1367" s="1"/>
  <c r="M1367"/>
  <c r="O1367" s="1"/>
  <c r="U1367" s="1"/>
  <c r="V1367" s="1"/>
  <c r="W1366"/>
  <c r="S1366"/>
  <c r="T1366" s="1"/>
  <c r="R1366"/>
  <c r="M1366"/>
  <c r="O1366" s="1"/>
  <c r="Z1365"/>
  <c r="W1365"/>
  <c r="V1365"/>
  <c r="U1365"/>
  <c r="R1365"/>
  <c r="O1365"/>
  <c r="M1365"/>
  <c r="AC1364"/>
  <c r="AB1364"/>
  <c r="Y1364"/>
  <c r="X1364"/>
  <c r="W1364"/>
  <c r="R1364"/>
  <c r="Z1364" s="1"/>
  <c r="O1364"/>
  <c r="U1364" s="1"/>
  <c r="V1364" s="1"/>
  <c r="M1364"/>
  <c r="AB1363"/>
  <c r="AC1363" s="1"/>
  <c r="X1363"/>
  <c r="W1363"/>
  <c r="S1363"/>
  <c r="T1363" s="1"/>
  <c r="R1363"/>
  <c r="Y1363" s="1"/>
  <c r="M1363"/>
  <c r="O1363" s="1"/>
  <c r="U1363" s="1"/>
  <c r="V1363" s="1"/>
  <c r="W1362"/>
  <c r="S1362"/>
  <c r="T1362" s="1"/>
  <c r="R1362"/>
  <c r="M1362"/>
  <c r="O1362" s="1"/>
  <c r="Z1361"/>
  <c r="W1361"/>
  <c r="V1361"/>
  <c r="U1361"/>
  <c r="R1361"/>
  <c r="O1361"/>
  <c r="M1361"/>
  <c r="AC1360"/>
  <c r="AB1360"/>
  <c r="Y1360"/>
  <c r="X1360"/>
  <c r="W1360"/>
  <c r="R1360"/>
  <c r="Z1360" s="1"/>
  <c r="O1360"/>
  <c r="U1360" s="1"/>
  <c r="V1360" s="1"/>
  <c r="M1360"/>
  <c r="AB1359"/>
  <c r="AC1359" s="1"/>
  <c r="X1359"/>
  <c r="W1359"/>
  <c r="S1359"/>
  <c r="T1359" s="1"/>
  <c r="R1359"/>
  <c r="Y1359" s="1"/>
  <c r="M1359"/>
  <c r="O1359" s="1"/>
  <c r="U1359" s="1"/>
  <c r="V1359" s="1"/>
  <c r="W1358"/>
  <c r="S1358"/>
  <c r="T1358" s="1"/>
  <c r="R1358"/>
  <c r="M1358"/>
  <c r="O1358" s="1"/>
  <c r="Z1357"/>
  <c r="W1357"/>
  <c r="V1357"/>
  <c r="U1357"/>
  <c r="R1357"/>
  <c r="O1357"/>
  <c r="M1357"/>
  <c r="AC1356"/>
  <c r="AB1356"/>
  <c r="Y1356"/>
  <c r="X1356"/>
  <c r="W1356"/>
  <c r="R1356"/>
  <c r="Z1356" s="1"/>
  <c r="O1356"/>
  <c r="U1356" s="1"/>
  <c r="V1356" s="1"/>
  <c r="M1356"/>
  <c r="AB1355"/>
  <c r="AC1355" s="1"/>
  <c r="X1355"/>
  <c r="W1355"/>
  <c r="S1355"/>
  <c r="T1355" s="1"/>
  <c r="R1355"/>
  <c r="Y1355" s="1"/>
  <c r="M1355"/>
  <c r="O1355" s="1"/>
  <c r="U1355" s="1"/>
  <c r="V1355" s="1"/>
  <c r="W1354"/>
  <c r="S1354"/>
  <c r="T1354" s="1"/>
  <c r="R1354"/>
  <c r="M1354"/>
  <c r="O1354" s="1"/>
  <c r="Z1353"/>
  <c r="W1353"/>
  <c r="V1353"/>
  <c r="U1353"/>
  <c r="R1353"/>
  <c r="O1353"/>
  <c r="M1353"/>
  <c r="AC1352"/>
  <c r="AB1352"/>
  <c r="Y1352"/>
  <c r="X1352"/>
  <c r="W1352"/>
  <c r="R1352"/>
  <c r="Z1352" s="1"/>
  <c r="O1352"/>
  <c r="U1352" s="1"/>
  <c r="V1352" s="1"/>
  <c r="M1352"/>
  <c r="AB1351"/>
  <c r="AC1351" s="1"/>
  <c r="X1351"/>
  <c r="W1351"/>
  <c r="S1351"/>
  <c r="T1351" s="1"/>
  <c r="R1351"/>
  <c r="Y1351" s="1"/>
  <c r="M1351"/>
  <c r="O1351" s="1"/>
  <c r="U1351" s="1"/>
  <c r="V1351" s="1"/>
  <c r="W1350"/>
  <c r="S1350"/>
  <c r="T1350" s="1"/>
  <c r="R1350"/>
  <c r="M1350"/>
  <c r="O1350" s="1"/>
  <c r="Z1349"/>
  <c r="W1349"/>
  <c r="V1349"/>
  <c r="U1349"/>
  <c r="R1349"/>
  <c r="O1349"/>
  <c r="M1349"/>
  <c r="AC1348"/>
  <c r="AB1348"/>
  <c r="Y1348"/>
  <c r="X1348"/>
  <c r="W1348"/>
  <c r="R1348"/>
  <c r="Z1348" s="1"/>
  <c r="O1348"/>
  <c r="U1348" s="1"/>
  <c r="V1348" s="1"/>
  <c r="M1348"/>
  <c r="AB1347"/>
  <c r="AC1347" s="1"/>
  <c r="X1347"/>
  <c r="W1347"/>
  <c r="S1347"/>
  <c r="T1347" s="1"/>
  <c r="R1347"/>
  <c r="Y1347" s="1"/>
  <c r="M1347"/>
  <c r="O1347" s="1"/>
  <c r="U1347" s="1"/>
  <c r="V1347" s="1"/>
  <c r="AA1346"/>
  <c r="Z1346"/>
  <c r="W1346"/>
  <c r="S1346"/>
  <c r="R1346"/>
  <c r="O1346"/>
  <c r="U1346" s="1"/>
  <c r="V1346" s="1"/>
  <c r="M1346"/>
  <c r="T1346" s="1"/>
  <c r="AB1345"/>
  <c r="AC1345" s="1"/>
  <c r="X1345"/>
  <c r="W1345"/>
  <c r="S1345"/>
  <c r="R1345"/>
  <c r="Z1345" s="1"/>
  <c r="AA1345" s="1"/>
  <c r="M1345"/>
  <c r="T1345" s="1"/>
  <c r="W1344"/>
  <c r="R1344"/>
  <c r="Y1344" s="1"/>
  <c r="O1344"/>
  <c r="U1344" s="1"/>
  <c r="V1344" s="1"/>
  <c r="M1344"/>
  <c r="W1343"/>
  <c r="R1343"/>
  <c r="AB1343" s="1"/>
  <c r="AC1343" s="1"/>
  <c r="O1343"/>
  <c r="U1343" s="1"/>
  <c r="V1343" s="1"/>
  <c r="M1343"/>
  <c r="AC1342"/>
  <c r="AB1342"/>
  <c r="Y1342"/>
  <c r="X1342"/>
  <c r="W1342"/>
  <c r="S1342"/>
  <c r="R1342"/>
  <c r="Z1342" s="1"/>
  <c r="AA1342" s="1"/>
  <c r="O1342"/>
  <c r="U1342" s="1"/>
  <c r="V1342" s="1"/>
  <c r="M1342"/>
  <c r="T1342" s="1"/>
  <c r="AD1342" s="1"/>
  <c r="AB1341"/>
  <c r="AC1341" s="1"/>
  <c r="X1341"/>
  <c r="W1341"/>
  <c r="S1341"/>
  <c r="R1341"/>
  <c r="Z1341" s="1"/>
  <c r="AA1341" s="1"/>
  <c r="M1341"/>
  <c r="T1341" s="1"/>
  <c r="W1340"/>
  <c r="R1340"/>
  <c r="Y1340" s="1"/>
  <c r="O1340"/>
  <c r="U1340" s="1"/>
  <c r="V1340" s="1"/>
  <c r="M1340"/>
  <c r="W1339"/>
  <c r="R1339"/>
  <c r="AB1339" s="1"/>
  <c r="AC1339" s="1"/>
  <c r="O1339"/>
  <c r="U1339" s="1"/>
  <c r="V1339" s="1"/>
  <c r="M1339"/>
  <c r="AC1338"/>
  <c r="AB1338"/>
  <c r="Y1338"/>
  <c r="X1338"/>
  <c r="W1338"/>
  <c r="S1338"/>
  <c r="R1338"/>
  <c r="Z1338" s="1"/>
  <c r="AA1338" s="1"/>
  <c r="O1338"/>
  <c r="U1338" s="1"/>
  <c r="V1338" s="1"/>
  <c r="M1338"/>
  <c r="T1338" s="1"/>
  <c r="AB1337"/>
  <c r="AC1337" s="1"/>
  <c r="X1337"/>
  <c r="W1337"/>
  <c r="S1337"/>
  <c r="R1337"/>
  <c r="Z1337" s="1"/>
  <c r="AA1337" s="1"/>
  <c r="M1337"/>
  <c r="T1337" s="1"/>
  <c r="W1336"/>
  <c r="S1336"/>
  <c r="T1336" s="1"/>
  <c r="R1336"/>
  <c r="Y1336" s="1"/>
  <c r="O1336"/>
  <c r="U1336" s="1"/>
  <c r="V1336" s="1"/>
  <c r="M1336"/>
  <c r="W1335"/>
  <c r="R1335"/>
  <c r="AB1335" s="1"/>
  <c r="AC1335" s="1"/>
  <c r="O1335"/>
  <c r="U1335" s="1"/>
  <c r="V1335" s="1"/>
  <c r="M1335"/>
  <c r="AC1334"/>
  <c r="AB1334"/>
  <c r="Y1334"/>
  <c r="X1334"/>
  <c r="W1334"/>
  <c r="S1334"/>
  <c r="R1334"/>
  <c r="Z1334" s="1"/>
  <c r="AA1334" s="1"/>
  <c r="O1334"/>
  <c r="U1334" s="1"/>
  <c r="V1334" s="1"/>
  <c r="M1334"/>
  <c r="T1334" s="1"/>
  <c r="AB1333"/>
  <c r="AC1333" s="1"/>
  <c r="X1333"/>
  <c r="W1333"/>
  <c r="S1333"/>
  <c r="R1333"/>
  <c r="Z1333" s="1"/>
  <c r="AA1333" s="1"/>
  <c r="M1333"/>
  <c r="T1333" s="1"/>
  <c r="W1332"/>
  <c r="S1332"/>
  <c r="T1332" s="1"/>
  <c r="R1332"/>
  <c r="Y1332" s="1"/>
  <c r="O1332"/>
  <c r="U1332" s="1"/>
  <c r="V1332" s="1"/>
  <c r="M1332"/>
  <c r="W1331"/>
  <c r="R1331"/>
  <c r="AB1331" s="1"/>
  <c r="AC1331" s="1"/>
  <c r="O1331"/>
  <c r="U1331" s="1"/>
  <c r="V1331" s="1"/>
  <c r="M1331"/>
  <c r="AC1330"/>
  <c r="AB1330"/>
  <c r="Y1330"/>
  <c r="X1330"/>
  <c r="W1330"/>
  <c r="S1330"/>
  <c r="R1330"/>
  <c r="Z1330" s="1"/>
  <c r="AA1330" s="1"/>
  <c r="O1330"/>
  <c r="U1330" s="1"/>
  <c r="V1330" s="1"/>
  <c r="M1330"/>
  <c r="T1330" s="1"/>
  <c r="AB1329"/>
  <c r="AC1329" s="1"/>
  <c r="X1329"/>
  <c r="W1329"/>
  <c r="S1329"/>
  <c r="R1329"/>
  <c r="Z1329" s="1"/>
  <c r="AA1329" s="1"/>
  <c r="M1329"/>
  <c r="T1329" s="1"/>
  <c r="W1328"/>
  <c r="S1328"/>
  <c r="T1328" s="1"/>
  <c r="R1328"/>
  <c r="Y1328" s="1"/>
  <c r="O1328"/>
  <c r="U1328" s="1"/>
  <c r="V1328" s="1"/>
  <c r="M1328"/>
  <c r="W1327"/>
  <c r="R1327"/>
  <c r="AB1327" s="1"/>
  <c r="AC1327" s="1"/>
  <c r="O1327"/>
  <c r="U1327" s="1"/>
  <c r="V1327" s="1"/>
  <c r="M1327"/>
  <c r="AC1326"/>
  <c r="AB1326"/>
  <c r="Y1326"/>
  <c r="X1326"/>
  <c r="W1326"/>
  <c r="S1326"/>
  <c r="R1326"/>
  <c r="Z1326" s="1"/>
  <c r="AA1326" s="1"/>
  <c r="O1326"/>
  <c r="U1326" s="1"/>
  <c r="V1326" s="1"/>
  <c r="M1326"/>
  <c r="T1326" s="1"/>
  <c r="AB1325"/>
  <c r="AC1325" s="1"/>
  <c r="X1325"/>
  <c r="W1325"/>
  <c r="S1325"/>
  <c r="R1325"/>
  <c r="Z1325" s="1"/>
  <c r="AA1325" s="1"/>
  <c r="M1325"/>
  <c r="T1325" s="1"/>
  <c r="W1324"/>
  <c r="S1324"/>
  <c r="T1324" s="1"/>
  <c r="R1324"/>
  <c r="Y1324" s="1"/>
  <c r="O1324"/>
  <c r="U1324" s="1"/>
  <c r="V1324" s="1"/>
  <c r="M1324"/>
  <c r="W1323"/>
  <c r="R1323"/>
  <c r="AB1323" s="1"/>
  <c r="AC1323" s="1"/>
  <c r="O1323"/>
  <c r="U1323" s="1"/>
  <c r="V1323" s="1"/>
  <c r="M1323"/>
  <c r="AC1322"/>
  <c r="AB1322"/>
  <c r="Y1322"/>
  <c r="X1322"/>
  <c r="W1322"/>
  <c r="S1322"/>
  <c r="R1322"/>
  <c r="Z1322" s="1"/>
  <c r="AA1322" s="1"/>
  <c r="O1322"/>
  <c r="U1322" s="1"/>
  <c r="V1322" s="1"/>
  <c r="M1322"/>
  <c r="T1322" s="1"/>
  <c r="AB1321"/>
  <c r="AC1321" s="1"/>
  <c r="X1321"/>
  <c r="W1321"/>
  <c r="S1321"/>
  <c r="R1321"/>
  <c r="Z1321" s="1"/>
  <c r="AA1321" s="1"/>
  <c r="M1321"/>
  <c r="T1321" s="1"/>
  <c r="W1320"/>
  <c r="S1320"/>
  <c r="T1320" s="1"/>
  <c r="R1320"/>
  <c r="Y1320" s="1"/>
  <c r="O1320"/>
  <c r="U1320" s="1"/>
  <c r="V1320" s="1"/>
  <c r="M1320"/>
  <c r="W1319"/>
  <c r="R1319"/>
  <c r="AB1319" s="1"/>
  <c r="AC1319" s="1"/>
  <c r="O1319"/>
  <c r="U1319" s="1"/>
  <c r="V1319" s="1"/>
  <c r="M1319"/>
  <c r="AC1318"/>
  <c r="AB1318"/>
  <c r="Y1318"/>
  <c r="X1318"/>
  <c r="W1318"/>
  <c r="S1318"/>
  <c r="R1318"/>
  <c r="Z1318" s="1"/>
  <c r="AA1318" s="1"/>
  <c r="O1318"/>
  <c r="U1318" s="1"/>
  <c r="V1318" s="1"/>
  <c r="M1318"/>
  <c r="T1318" s="1"/>
  <c r="AB1317"/>
  <c r="AC1317" s="1"/>
  <c r="X1317"/>
  <c r="W1317"/>
  <c r="S1317"/>
  <c r="R1317"/>
  <c r="Z1317" s="1"/>
  <c r="AA1317" s="1"/>
  <c r="M1317"/>
  <c r="T1317" s="1"/>
  <c r="W1316"/>
  <c r="S1316"/>
  <c r="T1316" s="1"/>
  <c r="R1316"/>
  <c r="Y1316" s="1"/>
  <c r="O1316"/>
  <c r="U1316" s="1"/>
  <c r="V1316" s="1"/>
  <c r="M1316"/>
  <c r="W1315"/>
  <c r="R1315"/>
  <c r="AB1315" s="1"/>
  <c r="AC1315" s="1"/>
  <c r="O1315"/>
  <c r="U1315" s="1"/>
  <c r="V1315" s="1"/>
  <c r="M1315"/>
  <c r="AC1314"/>
  <c r="AB1314"/>
  <c r="Y1314"/>
  <c r="X1314"/>
  <c r="W1314"/>
  <c r="S1314"/>
  <c r="R1314"/>
  <c r="Z1314" s="1"/>
  <c r="AA1314" s="1"/>
  <c r="O1314"/>
  <c r="U1314" s="1"/>
  <c r="V1314" s="1"/>
  <c r="M1314"/>
  <c r="T1314" s="1"/>
  <c r="AB1313"/>
  <c r="AC1313" s="1"/>
  <c r="X1313"/>
  <c r="W1313"/>
  <c r="S1313"/>
  <c r="R1313"/>
  <c r="Z1313" s="1"/>
  <c r="AA1313" s="1"/>
  <c r="M1313"/>
  <c r="T1313" s="1"/>
  <c r="W1312"/>
  <c r="R1312"/>
  <c r="Y1312" s="1"/>
  <c r="O1312"/>
  <c r="U1312" s="1"/>
  <c r="V1312" s="1"/>
  <c r="M1312"/>
  <c r="W1311"/>
  <c r="R1311"/>
  <c r="AB1311" s="1"/>
  <c r="AC1311" s="1"/>
  <c r="O1311"/>
  <c r="U1311" s="1"/>
  <c r="V1311" s="1"/>
  <c r="M1311"/>
  <c r="AC1310"/>
  <c r="AB1310"/>
  <c r="Y1310"/>
  <c r="X1310"/>
  <c r="W1310"/>
  <c r="S1310"/>
  <c r="R1310"/>
  <c r="Z1310" s="1"/>
  <c r="AA1310" s="1"/>
  <c r="O1310"/>
  <c r="U1310" s="1"/>
  <c r="V1310" s="1"/>
  <c r="M1310"/>
  <c r="T1310" s="1"/>
  <c r="AB1309"/>
  <c r="AC1309" s="1"/>
  <c r="X1309"/>
  <c r="W1309"/>
  <c r="S1309"/>
  <c r="R1309"/>
  <c r="Z1309" s="1"/>
  <c r="AA1309" s="1"/>
  <c r="M1309"/>
  <c r="T1309" s="1"/>
  <c r="W1308"/>
  <c r="R1308"/>
  <c r="Y1308" s="1"/>
  <c r="O1308"/>
  <c r="U1308" s="1"/>
  <c r="V1308" s="1"/>
  <c r="M1308"/>
  <c r="W1307"/>
  <c r="R1307"/>
  <c r="AB1307" s="1"/>
  <c r="AC1307" s="1"/>
  <c r="O1307"/>
  <c r="U1307" s="1"/>
  <c r="V1307" s="1"/>
  <c r="M1307"/>
  <c r="AC1306"/>
  <c r="AB1306"/>
  <c r="Y1306"/>
  <c r="X1306"/>
  <c r="W1306"/>
  <c r="S1306"/>
  <c r="R1306"/>
  <c r="Z1306" s="1"/>
  <c r="AA1306" s="1"/>
  <c r="O1306"/>
  <c r="U1306" s="1"/>
  <c r="V1306" s="1"/>
  <c r="M1306"/>
  <c r="T1306" s="1"/>
  <c r="AB1305"/>
  <c r="AC1305" s="1"/>
  <c r="X1305"/>
  <c r="W1305"/>
  <c r="S1305"/>
  <c r="R1305"/>
  <c r="Z1305" s="1"/>
  <c r="AA1305" s="1"/>
  <c r="M1305"/>
  <c r="T1305" s="1"/>
  <c r="W1304"/>
  <c r="R1304"/>
  <c r="Y1304" s="1"/>
  <c r="O1304"/>
  <c r="U1304" s="1"/>
  <c r="V1304" s="1"/>
  <c r="M1304"/>
  <c r="W1303"/>
  <c r="R1303"/>
  <c r="AB1303" s="1"/>
  <c r="AC1303" s="1"/>
  <c r="O1303"/>
  <c r="U1303" s="1"/>
  <c r="V1303" s="1"/>
  <c r="M1303"/>
  <c r="AC1302"/>
  <c r="AB1302"/>
  <c r="Y1302"/>
  <c r="X1302"/>
  <c r="W1302"/>
  <c r="S1302"/>
  <c r="R1302"/>
  <c r="Z1302" s="1"/>
  <c r="AA1302" s="1"/>
  <c r="O1302"/>
  <c r="U1302" s="1"/>
  <c r="V1302" s="1"/>
  <c r="M1302"/>
  <c r="T1302" s="1"/>
  <c r="AD1302" s="1"/>
  <c r="AB1301"/>
  <c r="AC1301" s="1"/>
  <c r="X1301"/>
  <c r="W1301"/>
  <c r="S1301"/>
  <c r="R1301"/>
  <c r="Z1301" s="1"/>
  <c r="AA1301" s="1"/>
  <c r="M1301"/>
  <c r="T1301" s="1"/>
  <c r="W1300"/>
  <c r="R1300"/>
  <c r="Y1300" s="1"/>
  <c r="O1300"/>
  <c r="U1300" s="1"/>
  <c r="V1300" s="1"/>
  <c r="M1300"/>
  <c r="W1299"/>
  <c r="R1299"/>
  <c r="AB1299" s="1"/>
  <c r="AC1299" s="1"/>
  <c r="O1299"/>
  <c r="U1299" s="1"/>
  <c r="V1299" s="1"/>
  <c r="M1299"/>
  <c r="AC1298"/>
  <c r="AB1298"/>
  <c r="Y1298"/>
  <c r="X1298"/>
  <c r="W1298"/>
  <c r="S1298"/>
  <c r="R1298"/>
  <c r="Z1298" s="1"/>
  <c r="AA1298" s="1"/>
  <c r="O1298"/>
  <c r="U1298" s="1"/>
  <c r="V1298" s="1"/>
  <c r="M1298"/>
  <c r="T1298" s="1"/>
  <c r="AB1297"/>
  <c r="AC1297" s="1"/>
  <c r="X1297"/>
  <c r="W1297"/>
  <c r="S1297"/>
  <c r="R1297"/>
  <c r="Z1297" s="1"/>
  <c r="AA1297" s="1"/>
  <c r="M1297"/>
  <c r="T1297" s="1"/>
  <c r="W1296"/>
  <c r="R1296"/>
  <c r="Y1296" s="1"/>
  <c r="O1296"/>
  <c r="U1296" s="1"/>
  <c r="V1296" s="1"/>
  <c r="M1296"/>
  <c r="W1295"/>
  <c r="R1295"/>
  <c r="AB1295" s="1"/>
  <c r="AC1295" s="1"/>
  <c r="O1295"/>
  <c r="U1295" s="1"/>
  <c r="V1295" s="1"/>
  <c r="M1295"/>
  <c r="AC1294"/>
  <c r="AB1294"/>
  <c r="Y1294"/>
  <c r="X1294"/>
  <c r="W1294"/>
  <c r="S1294"/>
  <c r="R1294"/>
  <c r="Z1294" s="1"/>
  <c r="AA1294" s="1"/>
  <c r="O1294"/>
  <c r="U1294" s="1"/>
  <c r="V1294" s="1"/>
  <c r="M1294"/>
  <c r="T1294" s="1"/>
  <c r="AB1293"/>
  <c r="AC1293" s="1"/>
  <c r="X1293"/>
  <c r="W1293"/>
  <c r="S1293"/>
  <c r="R1293"/>
  <c r="Z1293" s="1"/>
  <c r="AA1293" s="1"/>
  <c r="M1293"/>
  <c r="T1293" s="1"/>
  <c r="W1292"/>
  <c r="R1292"/>
  <c r="Y1292" s="1"/>
  <c r="O1292"/>
  <c r="U1292" s="1"/>
  <c r="V1292" s="1"/>
  <c r="M1292"/>
  <c r="W1291"/>
  <c r="R1291"/>
  <c r="AB1291" s="1"/>
  <c r="AC1291" s="1"/>
  <c r="O1291"/>
  <c r="U1291" s="1"/>
  <c r="V1291" s="1"/>
  <c r="M1291"/>
  <c r="AC1290"/>
  <c r="AB1290"/>
  <c r="Y1290"/>
  <c r="X1290"/>
  <c r="W1290"/>
  <c r="S1290"/>
  <c r="R1290"/>
  <c r="Z1290" s="1"/>
  <c r="AA1290" s="1"/>
  <c r="O1290"/>
  <c r="U1290" s="1"/>
  <c r="V1290" s="1"/>
  <c r="M1290"/>
  <c r="T1290" s="1"/>
  <c r="AB1289"/>
  <c r="AC1289" s="1"/>
  <c r="X1289"/>
  <c r="W1289"/>
  <c r="S1289"/>
  <c r="R1289"/>
  <c r="Z1289" s="1"/>
  <c r="AA1289" s="1"/>
  <c r="M1289"/>
  <c r="T1289" s="1"/>
  <c r="W1288"/>
  <c r="R1288"/>
  <c r="Y1288" s="1"/>
  <c r="O1288"/>
  <c r="U1288" s="1"/>
  <c r="V1288" s="1"/>
  <c r="M1288"/>
  <c r="W1287"/>
  <c r="R1287"/>
  <c r="AB1287" s="1"/>
  <c r="AC1287" s="1"/>
  <c r="O1287"/>
  <c r="U1287" s="1"/>
  <c r="V1287" s="1"/>
  <c r="M1287"/>
  <c r="AC1286"/>
  <c r="AB1286"/>
  <c r="Y1286"/>
  <c r="X1286"/>
  <c r="W1286"/>
  <c r="S1286"/>
  <c r="R1286"/>
  <c r="Z1286" s="1"/>
  <c r="AA1286" s="1"/>
  <c r="O1286"/>
  <c r="U1286" s="1"/>
  <c r="V1286" s="1"/>
  <c r="M1286"/>
  <c r="T1286" s="1"/>
  <c r="AB1285"/>
  <c r="AC1285" s="1"/>
  <c r="X1285"/>
  <c r="W1285"/>
  <c r="S1285"/>
  <c r="R1285"/>
  <c r="Z1285" s="1"/>
  <c r="AA1285" s="1"/>
  <c r="M1285"/>
  <c r="T1285" s="1"/>
  <c r="W1284"/>
  <c r="R1284"/>
  <c r="Y1284" s="1"/>
  <c r="O1284"/>
  <c r="U1284" s="1"/>
  <c r="V1284" s="1"/>
  <c r="M1284"/>
  <c r="W1283"/>
  <c r="R1283"/>
  <c r="AB1283" s="1"/>
  <c r="AC1283" s="1"/>
  <c r="O1283"/>
  <c r="U1283" s="1"/>
  <c r="V1283" s="1"/>
  <c r="M1283"/>
  <c r="AC1282"/>
  <c r="AB1282"/>
  <c r="Y1282"/>
  <c r="X1282"/>
  <c r="W1282"/>
  <c r="S1282"/>
  <c r="R1282"/>
  <c r="Z1282" s="1"/>
  <c r="AA1282" s="1"/>
  <c r="O1282"/>
  <c r="U1282" s="1"/>
  <c r="V1282" s="1"/>
  <c r="M1282"/>
  <c r="T1282" s="1"/>
  <c r="AB1281"/>
  <c r="AC1281" s="1"/>
  <c r="X1281"/>
  <c r="W1281"/>
  <c r="S1281"/>
  <c r="R1281"/>
  <c r="Z1281" s="1"/>
  <c r="AA1281" s="1"/>
  <c r="M1281"/>
  <c r="T1281" s="1"/>
  <c r="W1280"/>
  <c r="S1280"/>
  <c r="T1280" s="1"/>
  <c r="R1280"/>
  <c r="Y1280" s="1"/>
  <c r="O1280"/>
  <c r="U1280" s="1"/>
  <c r="V1280" s="1"/>
  <c r="M1280"/>
  <c r="W1279"/>
  <c r="R1279"/>
  <c r="AB1279" s="1"/>
  <c r="AC1279" s="1"/>
  <c r="O1279"/>
  <c r="U1279" s="1"/>
  <c r="V1279" s="1"/>
  <c r="M1279"/>
  <c r="AC1278"/>
  <c r="AB1278"/>
  <c r="Y1278"/>
  <c r="X1278"/>
  <c r="W1278"/>
  <c r="S1278"/>
  <c r="R1278"/>
  <c r="Z1278" s="1"/>
  <c r="AA1278" s="1"/>
  <c r="O1278"/>
  <c r="U1278" s="1"/>
  <c r="V1278" s="1"/>
  <c r="M1278"/>
  <c r="T1278" s="1"/>
  <c r="AB1277"/>
  <c r="AC1277" s="1"/>
  <c r="X1277"/>
  <c r="W1277"/>
  <c r="S1277"/>
  <c r="R1277"/>
  <c r="Z1277" s="1"/>
  <c r="AA1277" s="1"/>
  <c r="M1277"/>
  <c r="T1277" s="1"/>
  <c r="W1276"/>
  <c r="S1276"/>
  <c r="T1276" s="1"/>
  <c r="R1276"/>
  <c r="Y1276" s="1"/>
  <c r="O1276"/>
  <c r="U1276" s="1"/>
  <c r="V1276" s="1"/>
  <c r="M1276"/>
  <c r="W1275"/>
  <c r="R1275"/>
  <c r="AB1275" s="1"/>
  <c r="AC1275" s="1"/>
  <c r="O1275"/>
  <c r="U1275" s="1"/>
  <c r="V1275" s="1"/>
  <c r="M1275"/>
  <c r="AC1274"/>
  <c r="AB1274"/>
  <c r="Y1274"/>
  <c r="X1274"/>
  <c r="W1274"/>
  <c r="S1274"/>
  <c r="R1274"/>
  <c r="O1274"/>
  <c r="U1274" s="1"/>
  <c r="V1274" s="1"/>
  <c r="M1274"/>
  <c r="T1274" s="1"/>
  <c r="AB1273"/>
  <c r="AC1273" s="1"/>
  <c r="X1273"/>
  <c r="W1273"/>
  <c r="S1273"/>
  <c r="R1273"/>
  <c r="Z1273" s="1"/>
  <c r="AA1273" s="1"/>
  <c r="M1273"/>
  <c r="T1273" s="1"/>
  <c r="W1272"/>
  <c r="S1272"/>
  <c r="T1272" s="1"/>
  <c r="R1272"/>
  <c r="Y1272" s="1"/>
  <c r="O1272"/>
  <c r="U1272" s="1"/>
  <c r="V1272" s="1"/>
  <c r="M1272"/>
  <c r="W1271"/>
  <c r="R1271"/>
  <c r="AB1271" s="1"/>
  <c r="AC1271" s="1"/>
  <c r="O1271"/>
  <c r="U1271" s="1"/>
  <c r="V1271" s="1"/>
  <c r="M1271"/>
  <c r="AC1270"/>
  <c r="AB1270"/>
  <c r="Y1270"/>
  <c r="X1270"/>
  <c r="W1270"/>
  <c r="R1270"/>
  <c r="O1270"/>
  <c r="U1270" s="1"/>
  <c r="V1270" s="1"/>
  <c r="M1270"/>
  <c r="AB1269"/>
  <c r="AC1269" s="1"/>
  <c r="X1269"/>
  <c r="W1269"/>
  <c r="S1269"/>
  <c r="R1269"/>
  <c r="Z1269" s="1"/>
  <c r="AA1269" s="1"/>
  <c r="M1269"/>
  <c r="T1269" s="1"/>
  <c r="W1268"/>
  <c r="S1268"/>
  <c r="T1268" s="1"/>
  <c r="R1268"/>
  <c r="Y1268" s="1"/>
  <c r="O1268"/>
  <c r="U1268" s="1"/>
  <c r="V1268" s="1"/>
  <c r="M1268"/>
  <c r="W1267"/>
  <c r="R1267"/>
  <c r="AB1267" s="1"/>
  <c r="AC1267" s="1"/>
  <c r="O1267"/>
  <c r="U1267" s="1"/>
  <c r="V1267" s="1"/>
  <c r="M1267"/>
  <c r="AC1266"/>
  <c r="AB1266"/>
  <c r="Y1266"/>
  <c r="X1266"/>
  <c r="W1266"/>
  <c r="R1266"/>
  <c r="O1266"/>
  <c r="U1266" s="1"/>
  <c r="V1266" s="1"/>
  <c r="M1266"/>
  <c r="AB1265"/>
  <c r="AC1265" s="1"/>
  <c r="X1265"/>
  <c r="W1265"/>
  <c r="S1265"/>
  <c r="R1265"/>
  <c r="Z1265" s="1"/>
  <c r="AA1265" s="1"/>
  <c r="M1265"/>
  <c r="T1265" s="1"/>
  <c r="W1264"/>
  <c r="S1264"/>
  <c r="T1264" s="1"/>
  <c r="R1264"/>
  <c r="Y1264" s="1"/>
  <c r="O1264"/>
  <c r="U1264" s="1"/>
  <c r="V1264" s="1"/>
  <c r="M1264"/>
  <c r="W1263"/>
  <c r="R1263"/>
  <c r="AB1263" s="1"/>
  <c r="AC1263" s="1"/>
  <c r="O1263"/>
  <c r="U1263" s="1"/>
  <c r="V1263" s="1"/>
  <c r="M1263"/>
  <c r="AC1262"/>
  <c r="AB1262"/>
  <c r="Y1262"/>
  <c r="X1262"/>
  <c r="W1262"/>
  <c r="R1262"/>
  <c r="O1262"/>
  <c r="U1262" s="1"/>
  <c r="V1262" s="1"/>
  <c r="M1262"/>
  <c r="AB1261"/>
  <c r="AC1261" s="1"/>
  <c r="X1261"/>
  <c r="W1261"/>
  <c r="S1261"/>
  <c r="R1261"/>
  <c r="Z1261" s="1"/>
  <c r="AA1261" s="1"/>
  <c r="M1261"/>
  <c r="T1261" s="1"/>
  <c r="W1260"/>
  <c r="S1260"/>
  <c r="T1260" s="1"/>
  <c r="R1260"/>
  <c r="Y1260" s="1"/>
  <c r="O1260"/>
  <c r="U1260" s="1"/>
  <c r="V1260" s="1"/>
  <c r="M1260"/>
  <c r="W1259"/>
  <c r="R1259"/>
  <c r="AB1259" s="1"/>
  <c r="AC1259" s="1"/>
  <c r="O1259"/>
  <c r="U1259" s="1"/>
  <c r="V1259" s="1"/>
  <c r="M1259"/>
  <c r="AC1258"/>
  <c r="AB1258"/>
  <c r="Y1258"/>
  <c r="X1258"/>
  <c r="W1258"/>
  <c r="R1258"/>
  <c r="O1258"/>
  <c r="U1258" s="1"/>
  <c r="V1258" s="1"/>
  <c r="M1258"/>
  <c r="AB1257"/>
  <c r="AC1257" s="1"/>
  <c r="X1257"/>
  <c r="W1257"/>
  <c r="S1257"/>
  <c r="R1257"/>
  <c r="Z1257" s="1"/>
  <c r="AA1257" s="1"/>
  <c r="M1257"/>
  <c r="T1257" s="1"/>
  <c r="W1256"/>
  <c r="S1256"/>
  <c r="T1256" s="1"/>
  <c r="R1256"/>
  <c r="Y1256" s="1"/>
  <c r="M1256"/>
  <c r="O1256" s="1"/>
  <c r="U1256" s="1"/>
  <c r="V1256" s="1"/>
  <c r="W1255"/>
  <c r="R1255"/>
  <c r="AB1255" s="1"/>
  <c r="AC1255" s="1"/>
  <c r="O1255"/>
  <c r="U1255" s="1"/>
  <c r="V1255" s="1"/>
  <c r="M1255"/>
  <c r="AC1254"/>
  <c r="AB1254"/>
  <c r="Y1254"/>
  <c r="X1254"/>
  <c r="W1254"/>
  <c r="R1254"/>
  <c r="O1254"/>
  <c r="U1254" s="1"/>
  <c r="V1254" s="1"/>
  <c r="M1254"/>
  <c r="AB1253"/>
  <c r="AC1253" s="1"/>
  <c r="X1253"/>
  <c r="W1253"/>
  <c r="S1253"/>
  <c r="R1253"/>
  <c r="Z1253" s="1"/>
  <c r="AA1253" s="1"/>
  <c r="M1253"/>
  <c r="T1253" s="1"/>
  <c r="W1252"/>
  <c r="S1252"/>
  <c r="T1252" s="1"/>
  <c r="R1252"/>
  <c r="Y1252" s="1"/>
  <c r="O1252"/>
  <c r="U1252" s="1"/>
  <c r="V1252" s="1"/>
  <c r="M1252"/>
  <c r="W1251"/>
  <c r="R1251"/>
  <c r="AB1251" s="1"/>
  <c r="AC1251" s="1"/>
  <c r="O1251"/>
  <c r="U1251" s="1"/>
  <c r="V1251" s="1"/>
  <c r="M1251"/>
  <c r="AC1250"/>
  <c r="AB1250"/>
  <c r="Y1250"/>
  <c r="X1250"/>
  <c r="W1250"/>
  <c r="R1250"/>
  <c r="O1250"/>
  <c r="U1250" s="1"/>
  <c r="V1250" s="1"/>
  <c r="M1250"/>
  <c r="AB1249"/>
  <c r="AC1249" s="1"/>
  <c r="X1249"/>
  <c r="W1249"/>
  <c r="S1249"/>
  <c r="R1249"/>
  <c r="Z1249" s="1"/>
  <c r="AA1249" s="1"/>
  <c r="M1249"/>
  <c r="T1249" s="1"/>
  <c r="W1248"/>
  <c r="S1248"/>
  <c r="T1248" s="1"/>
  <c r="R1248"/>
  <c r="Y1248" s="1"/>
  <c r="M1248"/>
  <c r="O1248" s="1"/>
  <c r="U1248" s="1"/>
  <c r="V1248" s="1"/>
  <c r="W1247"/>
  <c r="R1247"/>
  <c r="AB1247" s="1"/>
  <c r="AC1247" s="1"/>
  <c r="O1247"/>
  <c r="U1247" s="1"/>
  <c r="V1247" s="1"/>
  <c r="M1247"/>
  <c r="AC1246"/>
  <c r="AB1246"/>
  <c r="Y1246"/>
  <c r="X1246"/>
  <c r="W1246"/>
  <c r="R1246"/>
  <c r="O1246"/>
  <c r="U1246" s="1"/>
  <c r="V1246" s="1"/>
  <c r="M1246"/>
  <c r="AB1245"/>
  <c r="AC1245" s="1"/>
  <c r="X1245"/>
  <c r="W1245"/>
  <c r="S1245"/>
  <c r="R1245"/>
  <c r="Z1245" s="1"/>
  <c r="AA1245" s="1"/>
  <c r="M1245"/>
  <c r="T1245" s="1"/>
  <c r="W1244"/>
  <c r="S1244"/>
  <c r="T1244" s="1"/>
  <c r="R1244"/>
  <c r="Y1244" s="1"/>
  <c r="M1244"/>
  <c r="O1244" s="1"/>
  <c r="U1244" s="1"/>
  <c r="V1244" s="1"/>
  <c r="W1243"/>
  <c r="R1243"/>
  <c r="AB1243" s="1"/>
  <c r="AC1243" s="1"/>
  <c r="O1243"/>
  <c r="U1243" s="1"/>
  <c r="V1243" s="1"/>
  <c r="M1243"/>
  <c r="AC1242"/>
  <c r="AB1242"/>
  <c r="Y1242"/>
  <c r="X1242"/>
  <c r="W1242"/>
  <c r="R1242"/>
  <c r="O1242"/>
  <c r="U1242" s="1"/>
  <c r="V1242" s="1"/>
  <c r="M1242"/>
  <c r="AB1241"/>
  <c r="AC1241" s="1"/>
  <c r="X1241"/>
  <c r="W1241"/>
  <c r="S1241"/>
  <c r="R1241"/>
  <c r="Z1241" s="1"/>
  <c r="AA1241" s="1"/>
  <c r="M1241"/>
  <c r="T1241" s="1"/>
  <c r="W1240"/>
  <c r="S1240"/>
  <c r="T1240" s="1"/>
  <c r="R1240"/>
  <c r="Y1240" s="1"/>
  <c r="M1240"/>
  <c r="O1240" s="1"/>
  <c r="U1240" s="1"/>
  <c r="V1240" s="1"/>
  <c r="W1239"/>
  <c r="R1239"/>
  <c r="AB1239" s="1"/>
  <c r="AC1239" s="1"/>
  <c r="O1239"/>
  <c r="U1239" s="1"/>
  <c r="V1239" s="1"/>
  <c r="M1239"/>
  <c r="AC1238"/>
  <c r="AB1238"/>
  <c r="Y1238"/>
  <c r="X1238"/>
  <c r="W1238"/>
  <c r="R1238"/>
  <c r="O1238"/>
  <c r="U1238" s="1"/>
  <c r="V1238" s="1"/>
  <c r="M1238"/>
  <c r="AB1237"/>
  <c r="AC1237" s="1"/>
  <c r="X1237"/>
  <c r="W1237"/>
  <c r="S1237"/>
  <c r="R1237"/>
  <c r="Z1237" s="1"/>
  <c r="AA1237" s="1"/>
  <c r="M1237"/>
  <c r="T1237" s="1"/>
  <c r="W1236"/>
  <c r="S1236"/>
  <c r="T1236" s="1"/>
  <c r="R1236"/>
  <c r="Y1236" s="1"/>
  <c r="M1236"/>
  <c r="O1236" s="1"/>
  <c r="U1236" s="1"/>
  <c r="V1236" s="1"/>
  <c r="W1235"/>
  <c r="R1235"/>
  <c r="AB1235" s="1"/>
  <c r="AC1235" s="1"/>
  <c r="O1235"/>
  <c r="U1235" s="1"/>
  <c r="V1235" s="1"/>
  <c r="M1235"/>
  <c r="AC1234"/>
  <c r="AB1234"/>
  <c r="Y1234"/>
  <c r="X1234"/>
  <c r="W1234"/>
  <c r="R1234"/>
  <c r="O1234"/>
  <c r="U1234" s="1"/>
  <c r="V1234" s="1"/>
  <c r="M1234"/>
  <c r="AB1233"/>
  <c r="AC1233" s="1"/>
  <c r="X1233"/>
  <c r="W1233"/>
  <c r="S1233"/>
  <c r="R1233"/>
  <c r="Z1233" s="1"/>
  <c r="AA1233" s="1"/>
  <c r="M1233"/>
  <c r="T1233" s="1"/>
  <c r="W1232"/>
  <c r="S1232"/>
  <c r="T1232" s="1"/>
  <c r="R1232"/>
  <c r="Y1232" s="1"/>
  <c r="M1232"/>
  <c r="O1232" s="1"/>
  <c r="U1232" s="1"/>
  <c r="V1232" s="1"/>
  <c r="W1231"/>
  <c r="R1231"/>
  <c r="AB1231" s="1"/>
  <c r="AC1231" s="1"/>
  <c r="O1231"/>
  <c r="U1231" s="1"/>
  <c r="V1231" s="1"/>
  <c r="M1231"/>
  <c r="AC1230"/>
  <c r="AB1230"/>
  <c r="Y1230"/>
  <c r="X1230"/>
  <c r="W1230"/>
  <c r="R1230"/>
  <c r="O1230"/>
  <c r="U1230" s="1"/>
  <c r="V1230" s="1"/>
  <c r="M1230"/>
  <c r="AB1229"/>
  <c r="AC1229" s="1"/>
  <c r="X1229"/>
  <c r="W1229"/>
  <c r="S1229"/>
  <c r="R1229"/>
  <c r="Z1229" s="1"/>
  <c r="AA1229" s="1"/>
  <c r="M1229"/>
  <c r="T1229" s="1"/>
  <c r="W1228"/>
  <c r="S1228"/>
  <c r="T1228" s="1"/>
  <c r="R1228"/>
  <c r="Y1228" s="1"/>
  <c r="M1228"/>
  <c r="O1228" s="1"/>
  <c r="U1228" s="1"/>
  <c r="V1228" s="1"/>
  <c r="W1227"/>
  <c r="R1227"/>
  <c r="AB1227" s="1"/>
  <c r="AC1227" s="1"/>
  <c r="O1227"/>
  <c r="U1227" s="1"/>
  <c r="V1227" s="1"/>
  <c r="M1227"/>
  <c r="AC1226"/>
  <c r="AB1226"/>
  <c r="Y1226"/>
  <c r="X1226"/>
  <c r="W1226"/>
  <c r="R1226"/>
  <c r="O1226"/>
  <c r="U1226" s="1"/>
  <c r="V1226" s="1"/>
  <c r="M1226"/>
  <c r="AB1225"/>
  <c r="AC1225" s="1"/>
  <c r="X1225"/>
  <c r="W1225"/>
  <c r="S1225"/>
  <c r="R1225"/>
  <c r="Z1225" s="1"/>
  <c r="AA1225" s="1"/>
  <c r="M1225"/>
  <c r="T1225" s="1"/>
  <c r="W1224"/>
  <c r="S1224"/>
  <c r="T1224" s="1"/>
  <c r="R1224"/>
  <c r="Y1224" s="1"/>
  <c r="M1224"/>
  <c r="O1224" s="1"/>
  <c r="U1224" s="1"/>
  <c r="V1224" s="1"/>
  <c r="W1223"/>
  <c r="R1223"/>
  <c r="AB1223" s="1"/>
  <c r="AC1223" s="1"/>
  <c r="O1223"/>
  <c r="U1223" s="1"/>
  <c r="V1223" s="1"/>
  <c r="M1223"/>
  <c r="AC1222"/>
  <c r="AB1222"/>
  <c r="Y1222"/>
  <c r="X1222"/>
  <c r="W1222"/>
  <c r="R1222"/>
  <c r="O1222"/>
  <c r="U1222" s="1"/>
  <c r="V1222" s="1"/>
  <c r="M1222"/>
  <c r="AB1221"/>
  <c r="AC1221" s="1"/>
  <c r="X1221"/>
  <c r="W1221"/>
  <c r="S1221"/>
  <c r="R1221"/>
  <c r="Z1221" s="1"/>
  <c r="AA1221" s="1"/>
  <c r="M1221"/>
  <c r="T1221" s="1"/>
  <c r="W1220"/>
  <c r="S1220"/>
  <c r="T1220" s="1"/>
  <c r="R1220"/>
  <c r="Y1220" s="1"/>
  <c r="M1220"/>
  <c r="O1220" s="1"/>
  <c r="U1220" s="1"/>
  <c r="V1220" s="1"/>
  <c r="W1219"/>
  <c r="R1219"/>
  <c r="AB1219" s="1"/>
  <c r="AC1219" s="1"/>
  <c r="O1219"/>
  <c r="U1219" s="1"/>
  <c r="V1219" s="1"/>
  <c r="M1219"/>
  <c r="AC1218"/>
  <c r="AB1218"/>
  <c r="Y1218"/>
  <c r="X1218"/>
  <c r="W1218"/>
  <c r="R1218"/>
  <c r="O1218"/>
  <c r="U1218" s="1"/>
  <c r="V1218" s="1"/>
  <c r="M1218"/>
  <c r="AB1217"/>
  <c r="AC1217" s="1"/>
  <c r="X1217"/>
  <c r="W1217"/>
  <c r="S1217"/>
  <c r="R1217"/>
  <c r="Z1217" s="1"/>
  <c r="AA1217" s="1"/>
  <c r="M1217"/>
  <c r="T1217" s="1"/>
  <c r="W1216"/>
  <c r="S1216"/>
  <c r="T1216" s="1"/>
  <c r="R1216"/>
  <c r="Y1216" s="1"/>
  <c r="M1216"/>
  <c r="O1216" s="1"/>
  <c r="U1216" s="1"/>
  <c r="V1216" s="1"/>
  <c r="W1215"/>
  <c r="R1215"/>
  <c r="AB1215" s="1"/>
  <c r="AC1215" s="1"/>
  <c r="O1215"/>
  <c r="U1215" s="1"/>
  <c r="V1215" s="1"/>
  <c r="M1215"/>
  <c r="AC1214"/>
  <c r="AB1214"/>
  <c r="Y1214"/>
  <c r="X1214"/>
  <c r="W1214"/>
  <c r="R1214"/>
  <c r="O1214"/>
  <c r="U1214" s="1"/>
  <c r="V1214" s="1"/>
  <c r="M1214"/>
  <c r="AB1213"/>
  <c r="AC1213" s="1"/>
  <c r="X1213"/>
  <c r="W1213"/>
  <c r="S1213"/>
  <c r="R1213"/>
  <c r="Z1213" s="1"/>
  <c r="AA1213" s="1"/>
  <c r="M1213"/>
  <c r="T1213" s="1"/>
  <c r="W1212"/>
  <c r="S1212"/>
  <c r="T1212" s="1"/>
  <c r="R1212"/>
  <c r="Y1212" s="1"/>
  <c r="M1212"/>
  <c r="O1212" s="1"/>
  <c r="U1212" s="1"/>
  <c r="V1212" s="1"/>
  <c r="W1211"/>
  <c r="R1211"/>
  <c r="AB1211" s="1"/>
  <c r="AC1211" s="1"/>
  <c r="O1211"/>
  <c r="U1211" s="1"/>
  <c r="V1211" s="1"/>
  <c r="M1211"/>
  <c r="AC1210"/>
  <c r="AB1210"/>
  <c r="Y1210"/>
  <c r="X1210"/>
  <c r="W1210"/>
  <c r="R1210"/>
  <c r="O1210"/>
  <c r="U1210" s="1"/>
  <c r="V1210" s="1"/>
  <c r="M1210"/>
  <c r="AB1209"/>
  <c r="AC1209" s="1"/>
  <c r="X1209"/>
  <c r="W1209"/>
  <c r="S1209"/>
  <c r="R1209"/>
  <c r="Z1209" s="1"/>
  <c r="AA1209" s="1"/>
  <c r="M1209"/>
  <c r="T1209" s="1"/>
  <c r="W1208"/>
  <c r="S1208"/>
  <c r="T1208" s="1"/>
  <c r="R1208"/>
  <c r="Y1208" s="1"/>
  <c r="M1208"/>
  <c r="O1208" s="1"/>
  <c r="U1208" s="1"/>
  <c r="V1208" s="1"/>
  <c r="W1207"/>
  <c r="R1207"/>
  <c r="AB1207" s="1"/>
  <c r="AC1207" s="1"/>
  <c r="O1207"/>
  <c r="U1207" s="1"/>
  <c r="V1207" s="1"/>
  <c r="M1207"/>
  <c r="AC1206"/>
  <c r="AB1206"/>
  <c r="Y1206"/>
  <c r="X1206"/>
  <c r="W1206"/>
  <c r="R1206"/>
  <c r="O1206"/>
  <c r="U1206" s="1"/>
  <c r="V1206" s="1"/>
  <c r="M1206"/>
  <c r="AB1205"/>
  <c r="AC1205" s="1"/>
  <c r="X1205"/>
  <c r="W1205"/>
  <c r="S1205"/>
  <c r="R1205"/>
  <c r="Z1205" s="1"/>
  <c r="AA1205" s="1"/>
  <c r="M1205"/>
  <c r="T1205" s="1"/>
  <c r="W1204"/>
  <c r="R1204"/>
  <c r="Y1204" s="1"/>
  <c r="M1204"/>
  <c r="O1204" s="1"/>
  <c r="U1204" s="1"/>
  <c r="V1204" s="1"/>
  <c r="W1203"/>
  <c r="R1203"/>
  <c r="AB1203" s="1"/>
  <c r="AC1203" s="1"/>
  <c r="O1203"/>
  <c r="U1203" s="1"/>
  <c r="V1203" s="1"/>
  <c r="M1203"/>
  <c r="AC1202"/>
  <c r="AB1202"/>
  <c r="Y1202"/>
  <c r="X1202"/>
  <c r="W1202"/>
  <c r="R1202"/>
  <c r="O1202"/>
  <c r="U1202" s="1"/>
  <c r="V1202" s="1"/>
  <c r="M1202"/>
  <c r="AB1201"/>
  <c r="AC1201" s="1"/>
  <c r="X1201"/>
  <c r="W1201"/>
  <c r="S1201"/>
  <c r="R1201"/>
  <c r="Z1201" s="1"/>
  <c r="AA1201" s="1"/>
  <c r="M1201"/>
  <c r="T1201" s="1"/>
  <c r="W1200"/>
  <c r="R1200"/>
  <c r="Y1200" s="1"/>
  <c r="M1200"/>
  <c r="O1200" s="1"/>
  <c r="U1200" s="1"/>
  <c r="V1200" s="1"/>
  <c r="W1199"/>
  <c r="R1199"/>
  <c r="AB1199" s="1"/>
  <c r="AC1199" s="1"/>
  <c r="O1199"/>
  <c r="U1199" s="1"/>
  <c r="V1199" s="1"/>
  <c r="M1199"/>
  <c r="AC1198"/>
  <c r="AB1198"/>
  <c r="Y1198"/>
  <c r="X1198"/>
  <c r="W1198"/>
  <c r="R1198"/>
  <c r="O1198"/>
  <c r="U1198" s="1"/>
  <c r="V1198" s="1"/>
  <c r="M1198"/>
  <c r="AB1197"/>
  <c r="AC1197" s="1"/>
  <c r="X1197"/>
  <c r="W1197"/>
  <c r="S1197"/>
  <c r="R1197"/>
  <c r="Z1197" s="1"/>
  <c r="AA1197" s="1"/>
  <c r="M1197"/>
  <c r="T1197" s="1"/>
  <c r="W1196"/>
  <c r="R1196"/>
  <c r="Y1196" s="1"/>
  <c r="M1196"/>
  <c r="O1196" s="1"/>
  <c r="U1196" s="1"/>
  <c r="V1196" s="1"/>
  <c r="W1195"/>
  <c r="R1195"/>
  <c r="AB1195" s="1"/>
  <c r="AC1195" s="1"/>
  <c r="O1195"/>
  <c r="U1195" s="1"/>
  <c r="V1195" s="1"/>
  <c r="M1195"/>
  <c r="AC1194"/>
  <c r="AB1194"/>
  <c r="Y1194"/>
  <c r="X1194"/>
  <c r="W1194"/>
  <c r="R1194"/>
  <c r="O1194"/>
  <c r="U1194" s="1"/>
  <c r="V1194" s="1"/>
  <c r="M1194"/>
  <c r="AB1193"/>
  <c r="AC1193" s="1"/>
  <c r="X1193"/>
  <c r="W1193"/>
  <c r="S1193"/>
  <c r="R1193"/>
  <c r="Z1193" s="1"/>
  <c r="AA1193" s="1"/>
  <c r="M1193"/>
  <c r="T1193" s="1"/>
  <c r="W1192"/>
  <c r="R1192"/>
  <c r="Y1192" s="1"/>
  <c r="M1192"/>
  <c r="O1192" s="1"/>
  <c r="U1192" s="1"/>
  <c r="V1192" s="1"/>
  <c r="W1191"/>
  <c r="R1191"/>
  <c r="AB1191" s="1"/>
  <c r="AC1191" s="1"/>
  <c r="O1191"/>
  <c r="U1191" s="1"/>
  <c r="V1191" s="1"/>
  <c r="M1191"/>
  <c r="AC1190"/>
  <c r="AB1190"/>
  <c r="Y1190"/>
  <c r="X1190"/>
  <c r="W1190"/>
  <c r="R1190"/>
  <c r="O1190"/>
  <c r="U1190" s="1"/>
  <c r="V1190" s="1"/>
  <c r="M1190"/>
  <c r="AB1189"/>
  <c r="AC1189" s="1"/>
  <c r="X1189"/>
  <c r="W1189"/>
  <c r="S1189"/>
  <c r="R1189"/>
  <c r="Z1189" s="1"/>
  <c r="AA1189" s="1"/>
  <c r="M1189"/>
  <c r="T1189" s="1"/>
  <c r="W1188"/>
  <c r="R1188"/>
  <c r="Y1188" s="1"/>
  <c r="M1188"/>
  <c r="O1188" s="1"/>
  <c r="U1188" s="1"/>
  <c r="V1188" s="1"/>
  <c r="W1187"/>
  <c r="R1187"/>
  <c r="AB1187" s="1"/>
  <c r="AC1187" s="1"/>
  <c r="O1187"/>
  <c r="U1187" s="1"/>
  <c r="V1187" s="1"/>
  <c r="M1187"/>
  <c r="AC1186"/>
  <c r="AB1186"/>
  <c r="Y1186"/>
  <c r="X1186"/>
  <c r="W1186"/>
  <c r="R1186"/>
  <c r="O1186"/>
  <c r="U1186" s="1"/>
  <c r="V1186" s="1"/>
  <c r="M1186"/>
  <c r="AB1185"/>
  <c r="AC1185" s="1"/>
  <c r="X1185"/>
  <c r="W1185"/>
  <c r="S1185"/>
  <c r="R1185"/>
  <c r="Z1185" s="1"/>
  <c r="AA1185" s="1"/>
  <c r="M1185"/>
  <c r="T1185" s="1"/>
  <c r="W1184"/>
  <c r="R1184"/>
  <c r="Y1184" s="1"/>
  <c r="M1184"/>
  <c r="O1184" s="1"/>
  <c r="U1184" s="1"/>
  <c r="V1184" s="1"/>
  <c r="W1183"/>
  <c r="R1183"/>
  <c r="AB1183" s="1"/>
  <c r="AC1183" s="1"/>
  <c r="O1183"/>
  <c r="U1183" s="1"/>
  <c r="V1183" s="1"/>
  <c r="M1183"/>
  <c r="AC1182"/>
  <c r="AB1182"/>
  <c r="Y1182"/>
  <c r="X1182"/>
  <c r="W1182"/>
  <c r="R1182"/>
  <c r="O1182"/>
  <c r="U1182" s="1"/>
  <c r="V1182" s="1"/>
  <c r="M1182"/>
  <c r="AB1181"/>
  <c r="AC1181" s="1"/>
  <c r="X1181"/>
  <c r="W1181"/>
  <c r="S1181"/>
  <c r="R1181"/>
  <c r="Z1181" s="1"/>
  <c r="AA1181" s="1"/>
  <c r="M1181"/>
  <c r="T1181" s="1"/>
  <c r="W1180"/>
  <c r="S1180"/>
  <c r="T1180" s="1"/>
  <c r="R1180"/>
  <c r="Y1180" s="1"/>
  <c r="M1180"/>
  <c r="O1180" s="1"/>
  <c r="U1180" s="1"/>
  <c r="V1180" s="1"/>
  <c r="W1179"/>
  <c r="R1179"/>
  <c r="AB1179" s="1"/>
  <c r="AC1179" s="1"/>
  <c r="O1179"/>
  <c r="U1179" s="1"/>
  <c r="V1179" s="1"/>
  <c r="M1179"/>
  <c r="AC1178"/>
  <c r="AB1178"/>
  <c r="Y1178"/>
  <c r="X1178"/>
  <c r="W1178"/>
  <c r="R1178"/>
  <c r="O1178"/>
  <c r="U1178" s="1"/>
  <c r="V1178" s="1"/>
  <c r="M1178"/>
  <c r="AB1177"/>
  <c r="AC1177" s="1"/>
  <c r="X1177"/>
  <c r="W1177"/>
  <c r="S1177"/>
  <c r="R1177"/>
  <c r="Z1177" s="1"/>
  <c r="AA1177" s="1"/>
  <c r="M1177"/>
  <c r="T1177" s="1"/>
  <c r="W1176"/>
  <c r="S1176"/>
  <c r="T1176" s="1"/>
  <c r="R1176"/>
  <c r="Y1176" s="1"/>
  <c r="M1176"/>
  <c r="O1176" s="1"/>
  <c r="U1176" s="1"/>
  <c r="V1176" s="1"/>
  <c r="W1175"/>
  <c r="R1175"/>
  <c r="AB1175" s="1"/>
  <c r="AC1175" s="1"/>
  <c r="O1175"/>
  <c r="U1175" s="1"/>
  <c r="V1175" s="1"/>
  <c r="M1175"/>
  <c r="AC1174"/>
  <c r="AB1174"/>
  <c r="Y1174"/>
  <c r="X1174"/>
  <c r="W1174"/>
  <c r="R1174"/>
  <c r="O1174"/>
  <c r="U1174" s="1"/>
  <c r="V1174" s="1"/>
  <c r="M1174"/>
  <c r="AB1173"/>
  <c r="AC1173" s="1"/>
  <c r="X1173"/>
  <c r="W1173"/>
  <c r="S1173"/>
  <c r="R1173"/>
  <c r="Z1173" s="1"/>
  <c r="AA1173" s="1"/>
  <c r="M1173"/>
  <c r="T1173" s="1"/>
  <c r="W1172"/>
  <c r="S1172"/>
  <c r="T1172" s="1"/>
  <c r="R1172"/>
  <c r="Y1172" s="1"/>
  <c r="M1172"/>
  <c r="O1172" s="1"/>
  <c r="U1172" s="1"/>
  <c r="V1172" s="1"/>
  <c r="W1171"/>
  <c r="R1171"/>
  <c r="AB1171" s="1"/>
  <c r="AC1171" s="1"/>
  <c r="O1171"/>
  <c r="U1171" s="1"/>
  <c r="V1171" s="1"/>
  <c r="M1171"/>
  <c r="AC1170"/>
  <c r="AB1170"/>
  <c r="Y1170"/>
  <c r="X1170"/>
  <c r="W1170"/>
  <c r="R1170"/>
  <c r="O1170"/>
  <c r="U1170" s="1"/>
  <c r="V1170" s="1"/>
  <c r="M1170"/>
  <c r="AB1169"/>
  <c r="AC1169" s="1"/>
  <c r="X1169"/>
  <c r="W1169"/>
  <c r="S1169"/>
  <c r="R1169"/>
  <c r="Z1169" s="1"/>
  <c r="AA1169" s="1"/>
  <c r="M1169"/>
  <c r="T1169" s="1"/>
  <c r="W1168"/>
  <c r="S1168"/>
  <c r="T1168" s="1"/>
  <c r="R1168"/>
  <c r="Y1168" s="1"/>
  <c r="M1168"/>
  <c r="O1168" s="1"/>
  <c r="U1168" s="1"/>
  <c r="V1168" s="1"/>
  <c r="W1167"/>
  <c r="R1167"/>
  <c r="AB1167" s="1"/>
  <c r="AC1167" s="1"/>
  <c r="O1167"/>
  <c r="U1167" s="1"/>
  <c r="V1167" s="1"/>
  <c r="M1167"/>
  <c r="AC1166"/>
  <c r="AB1166"/>
  <c r="Y1166"/>
  <c r="X1166"/>
  <c r="W1166"/>
  <c r="R1166"/>
  <c r="O1166"/>
  <c r="U1166" s="1"/>
  <c r="V1166" s="1"/>
  <c r="M1166"/>
  <c r="AB1165"/>
  <c r="AC1165" s="1"/>
  <c r="X1165"/>
  <c r="W1165"/>
  <c r="S1165"/>
  <c r="R1165"/>
  <c r="Z1165" s="1"/>
  <c r="AA1165" s="1"/>
  <c r="M1165"/>
  <c r="T1165" s="1"/>
  <c r="W1164"/>
  <c r="S1164"/>
  <c r="T1164" s="1"/>
  <c r="R1164"/>
  <c r="Y1164" s="1"/>
  <c r="M1164"/>
  <c r="O1164" s="1"/>
  <c r="U1164" s="1"/>
  <c r="V1164" s="1"/>
  <c r="W1163"/>
  <c r="R1163"/>
  <c r="AB1163" s="1"/>
  <c r="AC1163" s="1"/>
  <c r="O1163"/>
  <c r="U1163" s="1"/>
  <c r="V1163" s="1"/>
  <c r="M1163"/>
  <c r="AC1162"/>
  <c r="AB1162"/>
  <c r="Y1162"/>
  <c r="X1162"/>
  <c r="W1162"/>
  <c r="R1162"/>
  <c r="O1162"/>
  <c r="U1162" s="1"/>
  <c r="V1162" s="1"/>
  <c r="M1162"/>
  <c r="AB1161"/>
  <c r="AC1161" s="1"/>
  <c r="X1161"/>
  <c r="W1161"/>
  <c r="S1161"/>
  <c r="R1161"/>
  <c r="Z1161" s="1"/>
  <c r="AA1161" s="1"/>
  <c r="M1161"/>
  <c r="T1161" s="1"/>
  <c r="W1160"/>
  <c r="S1160"/>
  <c r="T1160" s="1"/>
  <c r="R1160"/>
  <c r="Y1160" s="1"/>
  <c r="M1160"/>
  <c r="O1160" s="1"/>
  <c r="U1160" s="1"/>
  <c r="V1160" s="1"/>
  <c r="W1159"/>
  <c r="R1159"/>
  <c r="AB1159" s="1"/>
  <c r="AC1159" s="1"/>
  <c r="O1159"/>
  <c r="U1159" s="1"/>
  <c r="V1159" s="1"/>
  <c r="M1159"/>
  <c r="AC1158"/>
  <c r="AB1158"/>
  <c r="Y1158"/>
  <c r="X1158"/>
  <c r="W1158"/>
  <c r="R1158"/>
  <c r="O1158"/>
  <c r="U1158" s="1"/>
  <c r="V1158" s="1"/>
  <c r="M1158"/>
  <c r="AB1157"/>
  <c r="AC1157" s="1"/>
  <c r="X1157"/>
  <c r="W1157"/>
  <c r="S1157"/>
  <c r="R1157"/>
  <c r="Z1157" s="1"/>
  <c r="AA1157" s="1"/>
  <c r="M1157"/>
  <c r="T1157" s="1"/>
  <c r="W1156"/>
  <c r="S1156"/>
  <c r="T1156" s="1"/>
  <c r="R1156"/>
  <c r="Y1156" s="1"/>
  <c r="M1156"/>
  <c r="O1156" s="1"/>
  <c r="U1156" s="1"/>
  <c r="V1156" s="1"/>
  <c r="W1155"/>
  <c r="R1155"/>
  <c r="AB1155" s="1"/>
  <c r="AC1155" s="1"/>
  <c r="O1155"/>
  <c r="U1155" s="1"/>
  <c r="V1155" s="1"/>
  <c r="M1155"/>
  <c r="AC1154"/>
  <c r="AB1154"/>
  <c r="Y1154"/>
  <c r="X1154"/>
  <c r="W1154"/>
  <c r="R1154"/>
  <c r="O1154"/>
  <c r="U1154" s="1"/>
  <c r="V1154" s="1"/>
  <c r="M1154"/>
  <c r="AB1153"/>
  <c r="AC1153" s="1"/>
  <c r="X1153"/>
  <c r="W1153"/>
  <c r="S1153"/>
  <c r="R1153"/>
  <c r="Z1153" s="1"/>
  <c r="AA1153" s="1"/>
  <c r="M1153"/>
  <c r="T1153" s="1"/>
  <c r="W1152"/>
  <c r="S1152"/>
  <c r="T1152" s="1"/>
  <c r="R1152"/>
  <c r="Y1152" s="1"/>
  <c r="M1152"/>
  <c r="O1152" s="1"/>
  <c r="U1152" s="1"/>
  <c r="V1152" s="1"/>
  <c r="W1151"/>
  <c r="R1151"/>
  <c r="AB1151" s="1"/>
  <c r="AC1151" s="1"/>
  <c r="O1151"/>
  <c r="U1151" s="1"/>
  <c r="V1151" s="1"/>
  <c r="M1151"/>
  <c r="AC1150"/>
  <c r="AB1150"/>
  <c r="Y1150"/>
  <c r="X1150"/>
  <c r="W1150"/>
  <c r="R1150"/>
  <c r="O1150"/>
  <c r="U1150" s="1"/>
  <c r="V1150" s="1"/>
  <c r="M1150"/>
  <c r="AB1149"/>
  <c r="AC1149" s="1"/>
  <c r="X1149"/>
  <c r="W1149"/>
  <c r="S1149"/>
  <c r="R1149"/>
  <c r="Z1149" s="1"/>
  <c r="AA1149" s="1"/>
  <c r="M1149"/>
  <c r="T1149" s="1"/>
  <c r="W1148"/>
  <c r="S1148"/>
  <c r="T1148" s="1"/>
  <c r="R1148"/>
  <c r="Y1148" s="1"/>
  <c r="M1148"/>
  <c r="O1148" s="1"/>
  <c r="U1148" s="1"/>
  <c r="V1148" s="1"/>
  <c r="W1147"/>
  <c r="R1147"/>
  <c r="AB1147" s="1"/>
  <c r="AC1147" s="1"/>
  <c r="O1147"/>
  <c r="U1147" s="1"/>
  <c r="V1147" s="1"/>
  <c r="M1147"/>
  <c r="AC1146"/>
  <c r="AB1146"/>
  <c r="Y1146"/>
  <c r="X1146"/>
  <c r="W1146"/>
  <c r="R1146"/>
  <c r="O1146"/>
  <c r="U1146" s="1"/>
  <c r="V1146" s="1"/>
  <c r="M1146"/>
  <c r="AB1145"/>
  <c r="AC1145" s="1"/>
  <c r="X1145"/>
  <c r="W1145"/>
  <c r="S1145"/>
  <c r="R1145"/>
  <c r="Z1145" s="1"/>
  <c r="AA1145" s="1"/>
  <c r="M1145"/>
  <c r="T1145" s="1"/>
  <c r="W1144"/>
  <c r="S1144"/>
  <c r="T1144" s="1"/>
  <c r="R1144"/>
  <c r="Y1144" s="1"/>
  <c r="M1144"/>
  <c r="O1144" s="1"/>
  <c r="U1144" s="1"/>
  <c r="V1144" s="1"/>
  <c r="W1143"/>
  <c r="R1143"/>
  <c r="AB1143" s="1"/>
  <c r="AC1143" s="1"/>
  <c r="O1143"/>
  <c r="U1143" s="1"/>
  <c r="V1143" s="1"/>
  <c r="M1143"/>
  <c r="AC1142"/>
  <c r="AB1142"/>
  <c r="Y1142"/>
  <c r="X1142"/>
  <c r="W1142"/>
  <c r="R1142"/>
  <c r="O1142"/>
  <c r="U1142" s="1"/>
  <c r="V1142" s="1"/>
  <c r="M1142"/>
  <c r="AB1141"/>
  <c r="AC1141" s="1"/>
  <c r="X1141"/>
  <c r="W1141"/>
  <c r="S1141"/>
  <c r="R1141"/>
  <c r="Z1141" s="1"/>
  <c r="AA1141" s="1"/>
  <c r="M1141"/>
  <c r="T1141" s="1"/>
  <c r="W1140"/>
  <c r="S1140"/>
  <c r="T1140" s="1"/>
  <c r="R1140"/>
  <c r="Y1140" s="1"/>
  <c r="M1140"/>
  <c r="O1140" s="1"/>
  <c r="U1140" s="1"/>
  <c r="V1140" s="1"/>
  <c r="W1139"/>
  <c r="R1139"/>
  <c r="AB1139" s="1"/>
  <c r="AC1139" s="1"/>
  <c r="O1139"/>
  <c r="U1139" s="1"/>
  <c r="V1139" s="1"/>
  <c r="M1139"/>
  <c r="AC1138"/>
  <c r="AB1138"/>
  <c r="Y1138"/>
  <c r="X1138"/>
  <c r="W1138"/>
  <c r="R1138"/>
  <c r="O1138"/>
  <c r="U1138" s="1"/>
  <c r="V1138" s="1"/>
  <c r="M1138"/>
  <c r="AB1137"/>
  <c r="AC1137" s="1"/>
  <c r="X1137"/>
  <c r="W1137"/>
  <c r="S1137"/>
  <c r="R1137"/>
  <c r="Z1137" s="1"/>
  <c r="AA1137" s="1"/>
  <c r="M1137"/>
  <c r="T1137" s="1"/>
  <c r="W1136"/>
  <c r="S1136"/>
  <c r="T1136" s="1"/>
  <c r="R1136"/>
  <c r="Y1136" s="1"/>
  <c r="M1136"/>
  <c r="O1136" s="1"/>
  <c r="U1136" s="1"/>
  <c r="V1136" s="1"/>
  <c r="W1135"/>
  <c r="R1135"/>
  <c r="AB1135" s="1"/>
  <c r="AC1135" s="1"/>
  <c r="O1135"/>
  <c r="U1135" s="1"/>
  <c r="V1135" s="1"/>
  <c r="M1135"/>
  <c r="AC1134"/>
  <c r="AB1134"/>
  <c r="Y1134"/>
  <c r="X1134"/>
  <c r="W1134"/>
  <c r="R1134"/>
  <c r="O1134"/>
  <c r="U1134" s="1"/>
  <c r="V1134" s="1"/>
  <c r="M1134"/>
  <c r="AB1133"/>
  <c r="AC1133" s="1"/>
  <c r="X1133"/>
  <c r="W1133"/>
  <c r="S1133"/>
  <c r="R1133"/>
  <c r="Z1133" s="1"/>
  <c r="AA1133" s="1"/>
  <c r="M1133"/>
  <c r="T1133" s="1"/>
  <c r="W1132"/>
  <c r="S1132"/>
  <c r="T1132" s="1"/>
  <c r="R1132"/>
  <c r="Y1132" s="1"/>
  <c r="M1132"/>
  <c r="O1132" s="1"/>
  <c r="U1132" s="1"/>
  <c r="V1132" s="1"/>
  <c r="W1131"/>
  <c r="R1131"/>
  <c r="AB1131" s="1"/>
  <c r="AC1131" s="1"/>
  <c r="O1131"/>
  <c r="U1131" s="1"/>
  <c r="V1131" s="1"/>
  <c r="M1131"/>
  <c r="AC1130"/>
  <c r="AB1130"/>
  <c r="Y1130"/>
  <c r="X1130"/>
  <c r="W1130"/>
  <c r="R1130"/>
  <c r="O1130"/>
  <c r="U1130" s="1"/>
  <c r="V1130" s="1"/>
  <c r="M1130"/>
  <c r="AB1129"/>
  <c r="AC1129" s="1"/>
  <c r="X1129"/>
  <c r="W1129"/>
  <c r="S1129"/>
  <c r="R1129"/>
  <c r="Z1129" s="1"/>
  <c r="AA1129" s="1"/>
  <c r="M1129"/>
  <c r="T1129" s="1"/>
  <c r="W1128"/>
  <c r="S1128"/>
  <c r="T1128" s="1"/>
  <c r="R1128"/>
  <c r="Y1128" s="1"/>
  <c r="M1128"/>
  <c r="O1128" s="1"/>
  <c r="U1128" s="1"/>
  <c r="V1128" s="1"/>
  <c r="W1127"/>
  <c r="R1127"/>
  <c r="AB1127" s="1"/>
  <c r="AC1127" s="1"/>
  <c r="O1127"/>
  <c r="U1127" s="1"/>
  <c r="V1127" s="1"/>
  <c r="M1127"/>
  <c r="AC1126"/>
  <c r="AB1126"/>
  <c r="Y1126"/>
  <c r="X1126"/>
  <c r="W1126"/>
  <c r="R1126"/>
  <c r="O1126"/>
  <c r="U1126" s="1"/>
  <c r="V1126" s="1"/>
  <c r="M1126"/>
  <c r="AB1125"/>
  <c r="AC1125" s="1"/>
  <c r="X1125"/>
  <c r="W1125"/>
  <c r="S1125"/>
  <c r="R1125"/>
  <c r="Z1125" s="1"/>
  <c r="AA1125" s="1"/>
  <c r="M1125"/>
  <c r="T1125" s="1"/>
  <c r="W1124"/>
  <c r="S1124"/>
  <c r="T1124" s="1"/>
  <c r="R1124"/>
  <c r="Y1124" s="1"/>
  <c r="M1124"/>
  <c r="O1124" s="1"/>
  <c r="U1124" s="1"/>
  <c r="V1124" s="1"/>
  <c r="W1123"/>
  <c r="R1123"/>
  <c r="AB1123" s="1"/>
  <c r="AC1123" s="1"/>
  <c r="O1123"/>
  <c r="U1123" s="1"/>
  <c r="V1123" s="1"/>
  <c r="M1123"/>
  <c r="AC1122"/>
  <c r="AB1122"/>
  <c r="Y1122"/>
  <c r="X1122"/>
  <c r="W1122"/>
  <c r="R1122"/>
  <c r="O1122"/>
  <c r="U1122" s="1"/>
  <c r="V1122" s="1"/>
  <c r="M1122"/>
  <c r="AB1121"/>
  <c r="AC1121" s="1"/>
  <c r="X1121"/>
  <c r="W1121"/>
  <c r="S1121"/>
  <c r="R1121"/>
  <c r="Z1121" s="1"/>
  <c r="AA1121" s="1"/>
  <c r="M1121"/>
  <c r="T1121" s="1"/>
  <c r="W1120"/>
  <c r="S1120"/>
  <c r="T1120" s="1"/>
  <c r="R1120"/>
  <c r="Y1120" s="1"/>
  <c r="M1120"/>
  <c r="O1120" s="1"/>
  <c r="U1120" s="1"/>
  <c r="V1120" s="1"/>
  <c r="W1119"/>
  <c r="R1119"/>
  <c r="AB1119" s="1"/>
  <c r="AC1119" s="1"/>
  <c r="O1119"/>
  <c r="U1119" s="1"/>
  <c r="V1119" s="1"/>
  <c r="M1119"/>
  <c r="AC1118"/>
  <c r="AB1118"/>
  <c r="Y1118"/>
  <c r="X1118"/>
  <c r="W1118"/>
  <c r="R1118"/>
  <c r="O1118"/>
  <c r="U1118" s="1"/>
  <c r="V1118" s="1"/>
  <c r="M1118"/>
  <c r="AB1117"/>
  <c r="AC1117" s="1"/>
  <c r="X1117"/>
  <c r="W1117"/>
  <c r="S1117"/>
  <c r="R1117"/>
  <c r="Z1117" s="1"/>
  <c r="AA1117" s="1"/>
  <c r="M1117"/>
  <c r="T1117" s="1"/>
  <c r="W1116"/>
  <c r="S1116"/>
  <c r="T1116" s="1"/>
  <c r="R1116"/>
  <c r="Y1116" s="1"/>
  <c r="M1116"/>
  <c r="O1116" s="1"/>
  <c r="U1116" s="1"/>
  <c r="V1116" s="1"/>
  <c r="W1115"/>
  <c r="R1115"/>
  <c r="AB1115" s="1"/>
  <c r="AC1115" s="1"/>
  <c r="O1115"/>
  <c r="U1115" s="1"/>
  <c r="V1115" s="1"/>
  <c r="M1115"/>
  <c r="AC1114"/>
  <c r="AB1114"/>
  <c r="Y1114"/>
  <c r="X1114"/>
  <c r="W1114"/>
  <c r="R1114"/>
  <c r="O1114"/>
  <c r="U1114" s="1"/>
  <c r="V1114" s="1"/>
  <c r="M1114"/>
  <c r="AB1113"/>
  <c r="AC1113" s="1"/>
  <c r="X1113"/>
  <c r="W1113"/>
  <c r="S1113"/>
  <c r="R1113"/>
  <c r="Z1113" s="1"/>
  <c r="AA1113" s="1"/>
  <c r="M1113"/>
  <c r="T1113" s="1"/>
  <c r="W1112"/>
  <c r="S1112"/>
  <c r="T1112" s="1"/>
  <c r="R1112"/>
  <c r="Y1112" s="1"/>
  <c r="M1112"/>
  <c r="O1112" s="1"/>
  <c r="U1112" s="1"/>
  <c r="V1112" s="1"/>
  <c r="W1111"/>
  <c r="R1111"/>
  <c r="AB1111" s="1"/>
  <c r="AC1111" s="1"/>
  <c r="O1111"/>
  <c r="U1111" s="1"/>
  <c r="V1111" s="1"/>
  <c r="M1111"/>
  <c r="AC1110"/>
  <c r="AB1110"/>
  <c r="Y1110"/>
  <c r="X1110"/>
  <c r="W1110"/>
  <c r="R1110"/>
  <c r="O1110"/>
  <c r="U1110" s="1"/>
  <c r="V1110" s="1"/>
  <c r="M1110"/>
  <c r="AB1109"/>
  <c r="AC1109" s="1"/>
  <c r="X1109"/>
  <c r="W1109"/>
  <c r="S1109"/>
  <c r="R1109"/>
  <c r="Z1109" s="1"/>
  <c r="AA1109" s="1"/>
  <c r="M1109"/>
  <c r="T1109" s="1"/>
  <c r="W1108"/>
  <c r="S1108"/>
  <c r="T1108" s="1"/>
  <c r="R1108"/>
  <c r="Y1108" s="1"/>
  <c r="M1108"/>
  <c r="O1108" s="1"/>
  <c r="U1108" s="1"/>
  <c r="V1108" s="1"/>
  <c r="W1107"/>
  <c r="R1107"/>
  <c r="AB1107" s="1"/>
  <c r="AC1107" s="1"/>
  <c r="O1107"/>
  <c r="U1107" s="1"/>
  <c r="V1107" s="1"/>
  <c r="M1107"/>
  <c r="AC1106"/>
  <c r="AB1106"/>
  <c r="Y1106"/>
  <c r="X1106"/>
  <c r="W1106"/>
  <c r="R1106"/>
  <c r="O1106"/>
  <c r="U1106" s="1"/>
  <c r="V1106" s="1"/>
  <c r="M1106"/>
  <c r="AB1105"/>
  <c r="AC1105" s="1"/>
  <c r="X1105"/>
  <c r="W1105"/>
  <c r="S1105"/>
  <c r="R1105"/>
  <c r="Z1105" s="1"/>
  <c r="AA1105" s="1"/>
  <c r="M1105"/>
  <c r="T1105" s="1"/>
  <c r="W1104"/>
  <c r="S1104"/>
  <c r="T1104" s="1"/>
  <c r="R1104"/>
  <c r="Y1104" s="1"/>
  <c r="M1104"/>
  <c r="O1104" s="1"/>
  <c r="U1104" s="1"/>
  <c r="V1104" s="1"/>
  <c r="W1103"/>
  <c r="R1103"/>
  <c r="AB1103" s="1"/>
  <c r="AC1103" s="1"/>
  <c r="O1103"/>
  <c r="U1103" s="1"/>
  <c r="V1103" s="1"/>
  <c r="M1103"/>
  <c r="AC1102"/>
  <c r="AB1102"/>
  <c r="Y1102"/>
  <c r="X1102"/>
  <c r="W1102"/>
  <c r="R1102"/>
  <c r="O1102"/>
  <c r="U1102" s="1"/>
  <c r="V1102" s="1"/>
  <c r="M1102"/>
  <c r="AB1101"/>
  <c r="AC1101" s="1"/>
  <c r="X1101"/>
  <c r="W1101"/>
  <c r="S1101"/>
  <c r="R1101"/>
  <c r="Z1101" s="1"/>
  <c r="AA1101" s="1"/>
  <c r="M1101"/>
  <c r="T1101" s="1"/>
  <c r="W1100"/>
  <c r="S1100"/>
  <c r="T1100" s="1"/>
  <c r="R1100"/>
  <c r="Y1100" s="1"/>
  <c r="M1100"/>
  <c r="O1100" s="1"/>
  <c r="U1100" s="1"/>
  <c r="V1100" s="1"/>
  <c r="W1099"/>
  <c r="R1099"/>
  <c r="AB1099" s="1"/>
  <c r="AC1099" s="1"/>
  <c r="O1099"/>
  <c r="U1099" s="1"/>
  <c r="V1099" s="1"/>
  <c r="M1099"/>
  <c r="AC1098"/>
  <c r="AB1098"/>
  <c r="Y1098"/>
  <c r="X1098"/>
  <c r="W1098"/>
  <c r="R1098"/>
  <c r="O1098"/>
  <c r="U1098" s="1"/>
  <c r="V1098" s="1"/>
  <c r="M1098"/>
  <c r="AB1097"/>
  <c r="AC1097" s="1"/>
  <c r="X1097"/>
  <c r="W1097"/>
  <c r="S1097"/>
  <c r="R1097"/>
  <c r="Z1097" s="1"/>
  <c r="AA1097" s="1"/>
  <c r="M1097"/>
  <c r="T1097" s="1"/>
  <c r="W1096"/>
  <c r="S1096"/>
  <c r="T1096" s="1"/>
  <c r="R1096"/>
  <c r="Y1096" s="1"/>
  <c r="M1096"/>
  <c r="O1096" s="1"/>
  <c r="U1096" s="1"/>
  <c r="V1096" s="1"/>
  <c r="W1095"/>
  <c r="R1095"/>
  <c r="AB1095" s="1"/>
  <c r="AC1095" s="1"/>
  <c r="O1095"/>
  <c r="U1095" s="1"/>
  <c r="V1095" s="1"/>
  <c r="M1095"/>
  <c r="AC1094"/>
  <c r="AB1094"/>
  <c r="Y1094"/>
  <c r="X1094"/>
  <c r="W1094"/>
  <c r="R1094"/>
  <c r="O1094"/>
  <c r="U1094" s="1"/>
  <c r="V1094" s="1"/>
  <c r="M1094"/>
  <c r="AB1093"/>
  <c r="AC1093" s="1"/>
  <c r="X1093"/>
  <c r="W1093"/>
  <c r="S1093"/>
  <c r="R1093"/>
  <c r="Z1093" s="1"/>
  <c r="AA1093" s="1"/>
  <c r="M1093"/>
  <c r="T1093" s="1"/>
  <c r="W1092"/>
  <c r="S1092"/>
  <c r="T1092" s="1"/>
  <c r="R1092"/>
  <c r="Y1092" s="1"/>
  <c r="M1092"/>
  <c r="O1092" s="1"/>
  <c r="U1092" s="1"/>
  <c r="V1092" s="1"/>
  <c r="W1091"/>
  <c r="R1091"/>
  <c r="AB1091" s="1"/>
  <c r="AC1091" s="1"/>
  <c r="O1091"/>
  <c r="U1091" s="1"/>
  <c r="V1091" s="1"/>
  <c r="M1091"/>
  <c r="AC1090"/>
  <c r="AB1090"/>
  <c r="Y1090"/>
  <c r="X1090"/>
  <c r="W1090"/>
  <c r="R1090"/>
  <c r="O1090"/>
  <c r="U1090" s="1"/>
  <c r="V1090" s="1"/>
  <c r="M1090"/>
  <c r="AB1089"/>
  <c r="AC1089" s="1"/>
  <c r="X1089"/>
  <c r="W1089"/>
  <c r="S1089"/>
  <c r="R1089"/>
  <c r="Z1089" s="1"/>
  <c r="AA1089" s="1"/>
  <c r="M1089"/>
  <c r="T1089" s="1"/>
  <c r="W1088"/>
  <c r="S1088"/>
  <c r="T1088" s="1"/>
  <c r="R1088"/>
  <c r="Y1088" s="1"/>
  <c r="M1088"/>
  <c r="O1088" s="1"/>
  <c r="U1088" s="1"/>
  <c r="V1088" s="1"/>
  <c r="W1087"/>
  <c r="R1087"/>
  <c r="AB1087" s="1"/>
  <c r="AC1087" s="1"/>
  <c r="O1087"/>
  <c r="U1087" s="1"/>
  <c r="V1087" s="1"/>
  <c r="M1087"/>
  <c r="AC1086"/>
  <c r="AB1086"/>
  <c r="Y1086"/>
  <c r="X1086"/>
  <c r="W1086"/>
  <c r="R1086"/>
  <c r="O1086"/>
  <c r="U1086" s="1"/>
  <c r="V1086" s="1"/>
  <c r="M1086"/>
  <c r="AB1085"/>
  <c r="AC1085" s="1"/>
  <c r="X1085"/>
  <c r="W1085"/>
  <c r="S1085"/>
  <c r="R1085"/>
  <c r="Z1085" s="1"/>
  <c r="AA1085" s="1"/>
  <c r="M1085"/>
  <c r="T1085" s="1"/>
  <c r="W1084"/>
  <c r="S1084"/>
  <c r="T1084" s="1"/>
  <c r="R1084"/>
  <c r="Y1084" s="1"/>
  <c r="M1084"/>
  <c r="O1084" s="1"/>
  <c r="U1084" s="1"/>
  <c r="V1084" s="1"/>
  <c r="W1083"/>
  <c r="R1083"/>
  <c r="AB1083" s="1"/>
  <c r="AC1083" s="1"/>
  <c r="O1083"/>
  <c r="U1083" s="1"/>
  <c r="V1083" s="1"/>
  <c r="M1083"/>
  <c r="AC1082"/>
  <c r="AB1082"/>
  <c r="Y1082"/>
  <c r="X1082"/>
  <c r="W1082"/>
  <c r="R1082"/>
  <c r="O1082"/>
  <c r="U1082" s="1"/>
  <c r="V1082" s="1"/>
  <c r="M1082"/>
  <c r="AB1081"/>
  <c r="AC1081" s="1"/>
  <c r="X1081"/>
  <c r="W1081"/>
  <c r="S1081"/>
  <c r="R1081"/>
  <c r="Z1081" s="1"/>
  <c r="AA1081" s="1"/>
  <c r="M1081"/>
  <c r="T1081" s="1"/>
  <c r="W1080"/>
  <c r="S1080"/>
  <c r="T1080" s="1"/>
  <c r="R1080"/>
  <c r="Y1080" s="1"/>
  <c r="M1080"/>
  <c r="O1080" s="1"/>
  <c r="U1080" s="1"/>
  <c r="V1080" s="1"/>
  <c r="W1079"/>
  <c r="R1079"/>
  <c r="AB1079" s="1"/>
  <c r="AC1079" s="1"/>
  <c r="O1079"/>
  <c r="U1079" s="1"/>
  <c r="V1079" s="1"/>
  <c r="M1079"/>
  <c r="AC1078"/>
  <c r="AB1078"/>
  <c r="Y1078"/>
  <c r="X1078"/>
  <c r="W1078"/>
  <c r="R1078"/>
  <c r="O1078"/>
  <c r="U1078" s="1"/>
  <c r="V1078" s="1"/>
  <c r="M1078"/>
  <c r="AB1077"/>
  <c r="AC1077" s="1"/>
  <c r="X1077"/>
  <c r="W1077"/>
  <c r="S1077"/>
  <c r="R1077"/>
  <c r="Z1077" s="1"/>
  <c r="AA1077" s="1"/>
  <c r="M1077"/>
  <c r="T1077" s="1"/>
  <c r="W1076"/>
  <c r="S1076"/>
  <c r="T1076" s="1"/>
  <c r="R1076"/>
  <c r="Y1076" s="1"/>
  <c r="M1076"/>
  <c r="O1076" s="1"/>
  <c r="U1076" s="1"/>
  <c r="V1076" s="1"/>
  <c r="W1075"/>
  <c r="R1075"/>
  <c r="AB1075" s="1"/>
  <c r="AC1075" s="1"/>
  <c r="O1075"/>
  <c r="U1075" s="1"/>
  <c r="V1075" s="1"/>
  <c r="M1075"/>
  <c r="AC1074"/>
  <c r="AB1074"/>
  <c r="Y1074"/>
  <c r="X1074"/>
  <c r="W1074"/>
  <c r="R1074"/>
  <c r="O1074"/>
  <c r="U1074" s="1"/>
  <c r="V1074" s="1"/>
  <c r="M1074"/>
  <c r="AB1073"/>
  <c r="AC1073" s="1"/>
  <c r="X1073"/>
  <c r="W1073"/>
  <c r="S1073"/>
  <c r="R1073"/>
  <c r="Z1073" s="1"/>
  <c r="AA1073" s="1"/>
  <c r="M1073"/>
  <c r="T1073" s="1"/>
  <c r="W1072"/>
  <c r="S1072"/>
  <c r="T1072" s="1"/>
  <c r="R1072"/>
  <c r="Y1072" s="1"/>
  <c r="M1072"/>
  <c r="O1072" s="1"/>
  <c r="U1072" s="1"/>
  <c r="V1072" s="1"/>
  <c r="W1071"/>
  <c r="R1071"/>
  <c r="AB1071" s="1"/>
  <c r="AC1071" s="1"/>
  <c r="O1071"/>
  <c r="U1071" s="1"/>
  <c r="V1071" s="1"/>
  <c r="M1071"/>
  <c r="AC1070"/>
  <c r="AB1070"/>
  <c r="Y1070"/>
  <c r="X1070"/>
  <c r="W1070"/>
  <c r="R1070"/>
  <c r="O1070"/>
  <c r="U1070" s="1"/>
  <c r="V1070" s="1"/>
  <c r="M1070"/>
  <c r="AB1069"/>
  <c r="AC1069" s="1"/>
  <c r="X1069"/>
  <c r="W1069"/>
  <c r="S1069"/>
  <c r="R1069"/>
  <c r="Z1069" s="1"/>
  <c r="AA1069" s="1"/>
  <c r="M1069"/>
  <c r="T1069" s="1"/>
  <c r="W1068"/>
  <c r="S1068"/>
  <c r="T1068" s="1"/>
  <c r="R1068"/>
  <c r="Y1068" s="1"/>
  <c r="M1068"/>
  <c r="O1068" s="1"/>
  <c r="U1068" s="1"/>
  <c r="V1068" s="1"/>
  <c r="W1067"/>
  <c r="R1067"/>
  <c r="AB1067" s="1"/>
  <c r="AC1067" s="1"/>
  <c r="O1067"/>
  <c r="U1067" s="1"/>
  <c r="V1067" s="1"/>
  <c r="M1067"/>
  <c r="AC1066"/>
  <c r="AB1066"/>
  <c r="Y1066"/>
  <c r="X1066"/>
  <c r="W1066"/>
  <c r="R1066"/>
  <c r="O1066"/>
  <c r="U1066" s="1"/>
  <c r="V1066" s="1"/>
  <c r="M1066"/>
  <c r="AB1065"/>
  <c r="AC1065" s="1"/>
  <c r="X1065"/>
  <c r="W1065"/>
  <c r="S1065"/>
  <c r="R1065"/>
  <c r="Z1065" s="1"/>
  <c r="AA1065" s="1"/>
  <c r="M1065"/>
  <c r="T1065" s="1"/>
  <c r="W1064"/>
  <c r="S1064"/>
  <c r="T1064" s="1"/>
  <c r="R1064"/>
  <c r="Y1064" s="1"/>
  <c r="M1064"/>
  <c r="O1064" s="1"/>
  <c r="U1064" s="1"/>
  <c r="V1064" s="1"/>
  <c r="W1063"/>
  <c r="R1063"/>
  <c r="AB1063" s="1"/>
  <c r="AC1063" s="1"/>
  <c r="O1063"/>
  <c r="U1063" s="1"/>
  <c r="V1063" s="1"/>
  <c r="M1063"/>
  <c r="AC1062"/>
  <c r="AB1062"/>
  <c r="Y1062"/>
  <c r="X1062"/>
  <c r="W1062"/>
  <c r="R1062"/>
  <c r="O1062"/>
  <c r="U1062" s="1"/>
  <c r="V1062" s="1"/>
  <c r="M1062"/>
  <c r="AB1061"/>
  <c r="AC1061" s="1"/>
  <c r="X1061"/>
  <c r="W1061"/>
  <c r="S1061"/>
  <c r="R1061"/>
  <c r="Z1061" s="1"/>
  <c r="AA1061" s="1"/>
  <c r="M1061"/>
  <c r="T1061" s="1"/>
  <c r="W1060"/>
  <c r="S1060"/>
  <c r="T1060" s="1"/>
  <c r="R1060"/>
  <c r="Y1060" s="1"/>
  <c r="M1060"/>
  <c r="O1060" s="1"/>
  <c r="U1060" s="1"/>
  <c r="V1060" s="1"/>
  <c r="W1059"/>
  <c r="R1059"/>
  <c r="AB1059" s="1"/>
  <c r="AC1059" s="1"/>
  <c r="O1059"/>
  <c r="U1059" s="1"/>
  <c r="V1059" s="1"/>
  <c r="M1059"/>
  <c r="AC1058"/>
  <c r="AB1058"/>
  <c r="Y1058"/>
  <c r="X1058"/>
  <c r="W1058"/>
  <c r="R1058"/>
  <c r="O1058"/>
  <c r="U1058" s="1"/>
  <c r="V1058" s="1"/>
  <c r="M1058"/>
  <c r="AB1057"/>
  <c r="AC1057" s="1"/>
  <c r="X1057"/>
  <c r="W1057"/>
  <c r="S1057"/>
  <c r="R1057"/>
  <c r="Z1057" s="1"/>
  <c r="AA1057" s="1"/>
  <c r="M1057"/>
  <c r="T1057" s="1"/>
  <c r="W1056"/>
  <c r="S1056"/>
  <c r="T1056" s="1"/>
  <c r="R1056"/>
  <c r="Y1056" s="1"/>
  <c r="M1056"/>
  <c r="O1056" s="1"/>
  <c r="U1056" s="1"/>
  <c r="V1056" s="1"/>
  <c r="W1055"/>
  <c r="R1055"/>
  <c r="AB1055" s="1"/>
  <c r="AC1055" s="1"/>
  <c r="O1055"/>
  <c r="U1055" s="1"/>
  <c r="V1055" s="1"/>
  <c r="M1055"/>
  <c r="AC1054"/>
  <c r="AB1054"/>
  <c r="Y1054"/>
  <c r="X1054"/>
  <c r="W1054"/>
  <c r="R1054"/>
  <c r="O1054"/>
  <c r="U1054" s="1"/>
  <c r="V1054" s="1"/>
  <c r="M1054"/>
  <c r="AB1053"/>
  <c r="AC1053" s="1"/>
  <c r="X1053"/>
  <c r="W1053"/>
  <c r="S1053"/>
  <c r="R1053"/>
  <c r="Z1053" s="1"/>
  <c r="AA1053" s="1"/>
  <c r="M1053"/>
  <c r="T1053" s="1"/>
  <c r="W1052"/>
  <c r="S1052"/>
  <c r="T1052" s="1"/>
  <c r="R1052"/>
  <c r="Y1052" s="1"/>
  <c r="M1052"/>
  <c r="O1052" s="1"/>
  <c r="U1052" s="1"/>
  <c r="V1052" s="1"/>
  <c r="W1051"/>
  <c r="R1051"/>
  <c r="AB1051" s="1"/>
  <c r="AC1051" s="1"/>
  <c r="O1051"/>
  <c r="U1051" s="1"/>
  <c r="V1051" s="1"/>
  <c r="M1051"/>
  <c r="AC1050"/>
  <c r="AB1050"/>
  <c r="Y1050"/>
  <c r="X1050"/>
  <c r="W1050"/>
  <c r="R1050"/>
  <c r="O1050"/>
  <c r="U1050" s="1"/>
  <c r="V1050" s="1"/>
  <c r="M1050"/>
  <c r="AB1049"/>
  <c r="AC1049" s="1"/>
  <c r="X1049"/>
  <c r="W1049"/>
  <c r="S1049"/>
  <c r="R1049"/>
  <c r="Z1049" s="1"/>
  <c r="AA1049" s="1"/>
  <c r="M1049"/>
  <c r="T1049" s="1"/>
  <c r="W1048"/>
  <c r="S1048"/>
  <c r="T1048" s="1"/>
  <c r="R1048"/>
  <c r="Y1048" s="1"/>
  <c r="M1048"/>
  <c r="O1048" s="1"/>
  <c r="U1048" s="1"/>
  <c r="V1048" s="1"/>
  <c r="W1047"/>
  <c r="R1047"/>
  <c r="AB1047" s="1"/>
  <c r="AC1047" s="1"/>
  <c r="O1047"/>
  <c r="U1047" s="1"/>
  <c r="V1047" s="1"/>
  <c r="M1047"/>
  <c r="AC1046"/>
  <c r="AB1046"/>
  <c r="Y1046"/>
  <c r="X1046"/>
  <c r="W1046"/>
  <c r="R1046"/>
  <c r="O1046"/>
  <c r="U1046" s="1"/>
  <c r="V1046" s="1"/>
  <c r="M1046"/>
  <c r="AB1045"/>
  <c r="AC1045" s="1"/>
  <c r="X1045"/>
  <c r="W1045"/>
  <c r="S1045"/>
  <c r="R1045"/>
  <c r="Z1045" s="1"/>
  <c r="AA1045" s="1"/>
  <c r="M1045"/>
  <c r="T1045" s="1"/>
  <c r="W1044"/>
  <c r="S1044"/>
  <c r="T1044" s="1"/>
  <c r="R1044"/>
  <c r="Y1044" s="1"/>
  <c r="M1044"/>
  <c r="O1044" s="1"/>
  <c r="U1044" s="1"/>
  <c r="V1044" s="1"/>
  <c r="W1043"/>
  <c r="R1043"/>
  <c r="AB1043" s="1"/>
  <c r="AC1043" s="1"/>
  <c r="O1043"/>
  <c r="U1043" s="1"/>
  <c r="V1043" s="1"/>
  <c r="M1043"/>
  <c r="AC1042"/>
  <c r="AB1042"/>
  <c r="Y1042"/>
  <c r="X1042"/>
  <c r="W1042"/>
  <c r="R1042"/>
  <c r="O1042"/>
  <c r="U1042" s="1"/>
  <c r="V1042" s="1"/>
  <c r="M1042"/>
  <c r="AB1041"/>
  <c r="AC1041" s="1"/>
  <c r="X1041"/>
  <c r="W1041"/>
  <c r="S1041"/>
  <c r="R1041"/>
  <c r="Z1041" s="1"/>
  <c r="AA1041" s="1"/>
  <c r="M1041"/>
  <c r="T1041" s="1"/>
  <c r="W1040"/>
  <c r="S1040"/>
  <c r="T1040" s="1"/>
  <c r="R1040"/>
  <c r="Y1040" s="1"/>
  <c r="M1040"/>
  <c r="O1040" s="1"/>
  <c r="U1040" s="1"/>
  <c r="V1040" s="1"/>
  <c r="W1039"/>
  <c r="R1039"/>
  <c r="AB1039" s="1"/>
  <c r="AC1039" s="1"/>
  <c r="O1039"/>
  <c r="U1039" s="1"/>
  <c r="V1039" s="1"/>
  <c r="M1039"/>
  <c r="AC1038"/>
  <c r="AB1038"/>
  <c r="Y1038"/>
  <c r="X1038"/>
  <c r="W1038"/>
  <c r="R1038"/>
  <c r="O1038"/>
  <c r="U1038" s="1"/>
  <c r="V1038" s="1"/>
  <c r="M1038"/>
  <c r="AB1037"/>
  <c r="AC1037" s="1"/>
  <c r="X1037"/>
  <c r="W1037"/>
  <c r="S1037"/>
  <c r="R1037"/>
  <c r="Z1037" s="1"/>
  <c r="AA1037" s="1"/>
  <c r="M1037"/>
  <c r="T1037" s="1"/>
  <c r="W1036"/>
  <c r="S1036"/>
  <c r="T1036" s="1"/>
  <c r="R1036"/>
  <c r="Y1036" s="1"/>
  <c r="M1036"/>
  <c r="O1036" s="1"/>
  <c r="U1036" s="1"/>
  <c r="V1036" s="1"/>
  <c r="W1035"/>
  <c r="R1035"/>
  <c r="AB1035" s="1"/>
  <c r="AC1035" s="1"/>
  <c r="O1035"/>
  <c r="U1035" s="1"/>
  <c r="V1035" s="1"/>
  <c r="M1035"/>
  <c r="AC1034"/>
  <c r="AB1034"/>
  <c r="Y1034"/>
  <c r="X1034"/>
  <c r="W1034"/>
  <c r="R1034"/>
  <c r="O1034"/>
  <c r="U1034" s="1"/>
  <c r="V1034" s="1"/>
  <c r="M1034"/>
  <c r="AB1033"/>
  <c r="AC1033" s="1"/>
  <c r="X1033"/>
  <c r="W1033"/>
  <c r="S1033"/>
  <c r="R1033"/>
  <c r="Z1033" s="1"/>
  <c r="AA1033" s="1"/>
  <c r="M1033"/>
  <c r="T1033" s="1"/>
  <c r="W1032"/>
  <c r="S1032"/>
  <c r="T1032" s="1"/>
  <c r="R1032"/>
  <c r="Y1032" s="1"/>
  <c r="M1032"/>
  <c r="O1032" s="1"/>
  <c r="U1032" s="1"/>
  <c r="V1032" s="1"/>
  <c r="W1031"/>
  <c r="R1031"/>
  <c r="AB1031" s="1"/>
  <c r="AC1031" s="1"/>
  <c r="O1031"/>
  <c r="U1031" s="1"/>
  <c r="V1031" s="1"/>
  <c r="M1031"/>
  <c r="AC1030"/>
  <c r="AB1030"/>
  <c r="Y1030"/>
  <c r="X1030"/>
  <c r="W1030"/>
  <c r="R1030"/>
  <c r="O1030"/>
  <c r="U1030" s="1"/>
  <c r="V1030" s="1"/>
  <c r="M1030"/>
  <c r="AB1029"/>
  <c r="AC1029" s="1"/>
  <c r="X1029"/>
  <c r="W1029"/>
  <c r="S1029"/>
  <c r="R1029"/>
  <c r="Z1029" s="1"/>
  <c r="AA1029" s="1"/>
  <c r="M1029"/>
  <c r="T1029" s="1"/>
  <c r="W1028"/>
  <c r="S1028"/>
  <c r="T1028" s="1"/>
  <c r="R1028"/>
  <c r="Y1028" s="1"/>
  <c r="M1028"/>
  <c r="O1028" s="1"/>
  <c r="U1028" s="1"/>
  <c r="V1028" s="1"/>
  <c r="W1027"/>
  <c r="R1027"/>
  <c r="AB1027" s="1"/>
  <c r="AC1027" s="1"/>
  <c r="O1027"/>
  <c r="U1027" s="1"/>
  <c r="V1027" s="1"/>
  <c r="M1027"/>
  <c r="AC1026"/>
  <c r="AB1026"/>
  <c r="Y1026"/>
  <c r="X1026"/>
  <c r="W1026"/>
  <c r="R1026"/>
  <c r="O1026"/>
  <c r="U1026" s="1"/>
  <c r="V1026" s="1"/>
  <c r="M1026"/>
  <c r="AB1025"/>
  <c r="AC1025" s="1"/>
  <c r="X1025"/>
  <c r="W1025"/>
  <c r="S1025"/>
  <c r="R1025"/>
  <c r="Z1025" s="1"/>
  <c r="AA1025" s="1"/>
  <c r="M1025"/>
  <c r="T1025" s="1"/>
  <c r="W1024"/>
  <c r="S1024"/>
  <c r="T1024" s="1"/>
  <c r="R1024"/>
  <c r="Y1024" s="1"/>
  <c r="M1024"/>
  <c r="O1024" s="1"/>
  <c r="U1024" s="1"/>
  <c r="V1024" s="1"/>
  <c r="W1023"/>
  <c r="R1023"/>
  <c r="AB1023" s="1"/>
  <c r="AC1023" s="1"/>
  <c r="O1023"/>
  <c r="U1023" s="1"/>
  <c r="V1023" s="1"/>
  <c r="M1023"/>
  <c r="AC1022"/>
  <c r="AB1022"/>
  <c r="Y1022"/>
  <c r="X1022"/>
  <c r="W1022"/>
  <c r="R1022"/>
  <c r="O1022"/>
  <c r="U1022" s="1"/>
  <c r="V1022" s="1"/>
  <c r="M1022"/>
  <c r="AB1021"/>
  <c r="AC1021" s="1"/>
  <c r="X1021"/>
  <c r="W1021"/>
  <c r="S1021"/>
  <c r="R1021"/>
  <c r="Z1021" s="1"/>
  <c r="AA1021" s="1"/>
  <c r="M1021"/>
  <c r="T1021" s="1"/>
  <c r="W1020"/>
  <c r="S1020"/>
  <c r="T1020" s="1"/>
  <c r="R1020"/>
  <c r="Y1020" s="1"/>
  <c r="M1020"/>
  <c r="O1020" s="1"/>
  <c r="U1020" s="1"/>
  <c r="V1020" s="1"/>
  <c r="W1019"/>
  <c r="R1019"/>
  <c r="AB1019" s="1"/>
  <c r="AC1019" s="1"/>
  <c r="O1019"/>
  <c r="U1019" s="1"/>
  <c r="V1019" s="1"/>
  <c r="M1019"/>
  <c r="AC1018"/>
  <c r="AB1018"/>
  <c r="Y1018"/>
  <c r="X1018"/>
  <c r="W1018"/>
  <c r="R1018"/>
  <c r="O1018"/>
  <c r="U1018" s="1"/>
  <c r="V1018" s="1"/>
  <c r="M1018"/>
  <c r="AB1017"/>
  <c r="AC1017" s="1"/>
  <c r="X1017"/>
  <c r="W1017"/>
  <c r="S1017"/>
  <c r="R1017"/>
  <c r="Z1017" s="1"/>
  <c r="AA1017" s="1"/>
  <c r="M1017"/>
  <c r="T1017" s="1"/>
  <c r="W1016"/>
  <c r="S1016"/>
  <c r="T1016" s="1"/>
  <c r="R1016"/>
  <c r="Y1016" s="1"/>
  <c r="O1016"/>
  <c r="U1016" s="1"/>
  <c r="V1016" s="1"/>
  <c r="M1016"/>
  <c r="W1015"/>
  <c r="R1015"/>
  <c r="AB1015" s="1"/>
  <c r="AC1015" s="1"/>
  <c r="O1015"/>
  <c r="U1015" s="1"/>
  <c r="V1015" s="1"/>
  <c r="M1015"/>
  <c r="AC1014"/>
  <c r="AB1014"/>
  <c r="Y1014"/>
  <c r="X1014"/>
  <c r="W1014"/>
  <c r="S1014"/>
  <c r="R1014"/>
  <c r="Z1014" s="1"/>
  <c r="AA1014" s="1"/>
  <c r="O1014"/>
  <c r="U1014" s="1"/>
  <c r="V1014" s="1"/>
  <c r="M1014"/>
  <c r="T1014" s="1"/>
  <c r="AB1013"/>
  <c r="AC1013" s="1"/>
  <c r="X1013"/>
  <c r="W1013"/>
  <c r="S1013"/>
  <c r="R1013"/>
  <c r="Z1013" s="1"/>
  <c r="AA1013" s="1"/>
  <c r="M1013"/>
  <c r="T1013" s="1"/>
  <c r="W1012"/>
  <c r="S1012"/>
  <c r="T1012" s="1"/>
  <c r="R1012"/>
  <c r="Y1012" s="1"/>
  <c r="O1012"/>
  <c r="U1012" s="1"/>
  <c r="V1012" s="1"/>
  <c r="M1012"/>
  <c r="W1011"/>
  <c r="R1011"/>
  <c r="AB1011" s="1"/>
  <c r="AC1011" s="1"/>
  <c r="O1011"/>
  <c r="U1011" s="1"/>
  <c r="V1011" s="1"/>
  <c r="M1011"/>
  <c r="AC1010"/>
  <c r="AB1010"/>
  <c r="Y1010"/>
  <c r="X1010"/>
  <c r="W1010"/>
  <c r="S1010"/>
  <c r="R1010"/>
  <c r="Z1010" s="1"/>
  <c r="AA1010" s="1"/>
  <c r="O1010"/>
  <c r="U1010" s="1"/>
  <c r="V1010" s="1"/>
  <c r="M1010"/>
  <c r="T1010" s="1"/>
  <c r="AB1009"/>
  <c r="AC1009" s="1"/>
  <c r="X1009"/>
  <c r="W1009"/>
  <c r="S1009"/>
  <c r="R1009"/>
  <c r="Z1009" s="1"/>
  <c r="AA1009" s="1"/>
  <c r="M1009"/>
  <c r="T1009" s="1"/>
  <c r="W1008"/>
  <c r="S1008"/>
  <c r="T1008" s="1"/>
  <c r="R1008"/>
  <c r="Y1008" s="1"/>
  <c r="O1008"/>
  <c r="U1008" s="1"/>
  <c r="V1008" s="1"/>
  <c r="M1008"/>
  <c r="W1007"/>
  <c r="R1007"/>
  <c r="AB1007" s="1"/>
  <c r="AC1007" s="1"/>
  <c r="O1007"/>
  <c r="U1007" s="1"/>
  <c r="V1007" s="1"/>
  <c r="M1007"/>
  <c r="AC1006"/>
  <c r="AB1006"/>
  <c r="Y1006"/>
  <c r="X1006"/>
  <c r="W1006"/>
  <c r="S1006"/>
  <c r="R1006"/>
  <c r="Z1006" s="1"/>
  <c r="AA1006" s="1"/>
  <c r="O1006"/>
  <c r="U1006" s="1"/>
  <c r="V1006" s="1"/>
  <c r="M1006"/>
  <c r="T1006" s="1"/>
  <c r="AB1005"/>
  <c r="AC1005" s="1"/>
  <c r="X1005"/>
  <c r="W1005"/>
  <c r="S1005"/>
  <c r="R1005"/>
  <c r="Z1005" s="1"/>
  <c r="AA1005" s="1"/>
  <c r="M1005"/>
  <c r="T1005" s="1"/>
  <c r="W1004"/>
  <c r="S1004"/>
  <c r="T1004" s="1"/>
  <c r="R1004"/>
  <c r="Y1004" s="1"/>
  <c r="O1004"/>
  <c r="U1004" s="1"/>
  <c r="V1004" s="1"/>
  <c r="M1004"/>
  <c r="W1003"/>
  <c r="R1003"/>
  <c r="AB1003" s="1"/>
  <c r="AC1003" s="1"/>
  <c r="O1003"/>
  <c r="U1003" s="1"/>
  <c r="V1003" s="1"/>
  <c r="M1003"/>
  <c r="AC1002"/>
  <c r="AB1002"/>
  <c r="Y1002"/>
  <c r="X1002"/>
  <c r="W1002"/>
  <c r="S1002"/>
  <c r="R1002"/>
  <c r="Z1002" s="1"/>
  <c r="AA1002" s="1"/>
  <c r="O1002"/>
  <c r="U1002" s="1"/>
  <c r="V1002" s="1"/>
  <c r="M1002"/>
  <c r="T1002" s="1"/>
  <c r="AB1001"/>
  <c r="AC1001" s="1"/>
  <c r="X1001"/>
  <c r="W1001"/>
  <c r="S1001"/>
  <c r="R1001"/>
  <c r="Z1001" s="1"/>
  <c r="AA1001" s="1"/>
  <c r="M1001"/>
  <c r="T1001" s="1"/>
  <c r="W1000"/>
  <c r="S1000"/>
  <c r="T1000" s="1"/>
  <c r="R1000"/>
  <c r="Y1000" s="1"/>
  <c r="O1000"/>
  <c r="U1000" s="1"/>
  <c r="V1000" s="1"/>
  <c r="M1000"/>
  <c r="W999"/>
  <c r="R999"/>
  <c r="AB999" s="1"/>
  <c r="AC999" s="1"/>
  <c r="O999"/>
  <c r="U999" s="1"/>
  <c r="V999" s="1"/>
  <c r="M999"/>
  <c r="AC998"/>
  <c r="AB998"/>
  <c r="Y998"/>
  <c r="X998"/>
  <c r="W998"/>
  <c r="S998"/>
  <c r="R998"/>
  <c r="Z998" s="1"/>
  <c r="AA998" s="1"/>
  <c r="O998"/>
  <c r="U998" s="1"/>
  <c r="V998" s="1"/>
  <c r="M998"/>
  <c r="T998" s="1"/>
  <c r="AB997"/>
  <c r="AC997" s="1"/>
  <c r="X997"/>
  <c r="W997"/>
  <c r="S997"/>
  <c r="R997"/>
  <c r="Z997" s="1"/>
  <c r="AA997" s="1"/>
  <c r="M997"/>
  <c r="T997" s="1"/>
  <c r="W996"/>
  <c r="S996"/>
  <c r="T996" s="1"/>
  <c r="R996"/>
  <c r="Y996" s="1"/>
  <c r="O996"/>
  <c r="U996" s="1"/>
  <c r="V996" s="1"/>
  <c r="M996"/>
  <c r="W995"/>
  <c r="R995"/>
  <c r="AB995" s="1"/>
  <c r="AC995" s="1"/>
  <c r="O995"/>
  <c r="U995" s="1"/>
  <c r="V995" s="1"/>
  <c r="M995"/>
  <c r="AC994"/>
  <c r="AB994"/>
  <c r="Y994"/>
  <c r="X994"/>
  <c r="W994"/>
  <c r="S994"/>
  <c r="R994"/>
  <c r="Z994" s="1"/>
  <c r="AA994" s="1"/>
  <c r="O994"/>
  <c r="U994" s="1"/>
  <c r="V994" s="1"/>
  <c r="M994"/>
  <c r="T994" s="1"/>
  <c r="AB993"/>
  <c r="AC993" s="1"/>
  <c r="X993"/>
  <c r="W993"/>
  <c r="S993"/>
  <c r="R993"/>
  <c r="Z993" s="1"/>
  <c r="AA993" s="1"/>
  <c r="M993"/>
  <c r="T993" s="1"/>
  <c r="W992"/>
  <c r="S992"/>
  <c r="T992" s="1"/>
  <c r="R992"/>
  <c r="Y992" s="1"/>
  <c r="O992"/>
  <c r="U992" s="1"/>
  <c r="V992" s="1"/>
  <c r="M992"/>
  <c r="W991"/>
  <c r="R991"/>
  <c r="AB991" s="1"/>
  <c r="AC991" s="1"/>
  <c r="O991"/>
  <c r="U991" s="1"/>
  <c r="V991" s="1"/>
  <c r="M991"/>
  <c r="AC990"/>
  <c r="AB990"/>
  <c r="Y990"/>
  <c r="X990"/>
  <c r="W990"/>
  <c r="R990"/>
  <c r="O990"/>
  <c r="U990" s="1"/>
  <c r="V990" s="1"/>
  <c r="M990"/>
  <c r="AB989"/>
  <c r="AC989" s="1"/>
  <c r="X989"/>
  <c r="W989"/>
  <c r="S989"/>
  <c r="R989"/>
  <c r="Z989" s="1"/>
  <c r="AA989" s="1"/>
  <c r="M989"/>
  <c r="T989" s="1"/>
  <c r="W988"/>
  <c r="S988"/>
  <c r="T988" s="1"/>
  <c r="R988"/>
  <c r="Y988" s="1"/>
  <c r="O988"/>
  <c r="U988" s="1"/>
  <c r="V988" s="1"/>
  <c r="M988"/>
  <c r="W987"/>
  <c r="R987"/>
  <c r="AB987" s="1"/>
  <c r="AC987" s="1"/>
  <c r="O987"/>
  <c r="U987" s="1"/>
  <c r="V987" s="1"/>
  <c r="M987"/>
  <c r="AC986"/>
  <c r="AB986"/>
  <c r="Y986"/>
  <c r="X986"/>
  <c r="W986"/>
  <c r="R986"/>
  <c r="O986"/>
  <c r="U986" s="1"/>
  <c r="V986" s="1"/>
  <c r="M986"/>
  <c r="AB985"/>
  <c r="AC985" s="1"/>
  <c r="X985"/>
  <c r="W985"/>
  <c r="S985"/>
  <c r="R985"/>
  <c r="Z985" s="1"/>
  <c r="AA985" s="1"/>
  <c r="M985"/>
  <c r="T985" s="1"/>
  <c r="W984"/>
  <c r="S984"/>
  <c r="T984" s="1"/>
  <c r="R984"/>
  <c r="Y984" s="1"/>
  <c r="O984"/>
  <c r="U984" s="1"/>
  <c r="V984" s="1"/>
  <c r="M984"/>
  <c r="W983"/>
  <c r="R983"/>
  <c r="AB983" s="1"/>
  <c r="AC983" s="1"/>
  <c r="O983"/>
  <c r="U983" s="1"/>
  <c r="V983" s="1"/>
  <c r="M983"/>
  <c r="AC982"/>
  <c r="AB982"/>
  <c r="Y982"/>
  <c r="X982"/>
  <c r="W982"/>
  <c r="R982"/>
  <c r="O982"/>
  <c r="U982" s="1"/>
  <c r="V982" s="1"/>
  <c r="M982"/>
  <c r="AB981"/>
  <c r="AC981" s="1"/>
  <c r="X981"/>
  <c r="W981"/>
  <c r="S981"/>
  <c r="R981"/>
  <c r="Z981" s="1"/>
  <c r="AA981" s="1"/>
  <c r="M981"/>
  <c r="T981" s="1"/>
  <c r="W980"/>
  <c r="S980"/>
  <c r="T980" s="1"/>
  <c r="R980"/>
  <c r="Y980" s="1"/>
  <c r="O980"/>
  <c r="U980" s="1"/>
  <c r="V980" s="1"/>
  <c r="M980"/>
  <c r="W979"/>
  <c r="R979"/>
  <c r="AB979" s="1"/>
  <c r="AC979" s="1"/>
  <c r="O979"/>
  <c r="U979" s="1"/>
  <c r="V979" s="1"/>
  <c r="M979"/>
  <c r="AC978"/>
  <c r="AB978"/>
  <c r="Y978"/>
  <c r="X978"/>
  <c r="W978"/>
  <c r="R978"/>
  <c r="O978"/>
  <c r="U978" s="1"/>
  <c r="V978" s="1"/>
  <c r="M978"/>
  <c r="AB977"/>
  <c r="AC977" s="1"/>
  <c r="X977"/>
  <c r="W977"/>
  <c r="S977"/>
  <c r="R977"/>
  <c r="Z977" s="1"/>
  <c r="AA977" s="1"/>
  <c r="M977"/>
  <c r="T977" s="1"/>
  <c r="W976"/>
  <c r="S976"/>
  <c r="T976" s="1"/>
  <c r="R976"/>
  <c r="Y976" s="1"/>
  <c r="M976"/>
  <c r="O976" s="1"/>
  <c r="U976" s="1"/>
  <c r="V976" s="1"/>
  <c r="W975"/>
  <c r="R975"/>
  <c r="AB975" s="1"/>
  <c r="AC975" s="1"/>
  <c r="O975"/>
  <c r="U975" s="1"/>
  <c r="V975" s="1"/>
  <c r="M975"/>
  <c r="AC974"/>
  <c r="AB974"/>
  <c r="Y974"/>
  <c r="X974"/>
  <c r="W974"/>
  <c r="R974"/>
  <c r="O974"/>
  <c r="U974" s="1"/>
  <c r="V974" s="1"/>
  <c r="M974"/>
  <c r="AB973"/>
  <c r="AC973" s="1"/>
  <c r="X973"/>
  <c r="W973"/>
  <c r="S973"/>
  <c r="R973"/>
  <c r="Z973" s="1"/>
  <c r="AA973" s="1"/>
  <c r="M973"/>
  <c r="T973" s="1"/>
  <c r="W972"/>
  <c r="S972"/>
  <c r="T972" s="1"/>
  <c r="R972"/>
  <c r="Y972" s="1"/>
  <c r="M972"/>
  <c r="O972" s="1"/>
  <c r="U972" s="1"/>
  <c r="V972" s="1"/>
  <c r="W971"/>
  <c r="R971"/>
  <c r="AB971" s="1"/>
  <c r="AC971" s="1"/>
  <c r="O971"/>
  <c r="U971" s="1"/>
  <c r="V971" s="1"/>
  <c r="M971"/>
  <c r="AC970"/>
  <c r="AB970"/>
  <c r="Y970"/>
  <c r="X970"/>
  <c r="W970"/>
  <c r="R970"/>
  <c r="O970"/>
  <c r="U970" s="1"/>
  <c r="V970" s="1"/>
  <c r="M970"/>
  <c r="AB969"/>
  <c r="AC969" s="1"/>
  <c r="X969"/>
  <c r="W969"/>
  <c r="S969"/>
  <c r="R969"/>
  <c r="Z969" s="1"/>
  <c r="AA969" s="1"/>
  <c r="M969"/>
  <c r="T969" s="1"/>
  <c r="W968"/>
  <c r="S968"/>
  <c r="T968" s="1"/>
  <c r="R968"/>
  <c r="Y968" s="1"/>
  <c r="M968"/>
  <c r="O968" s="1"/>
  <c r="U968" s="1"/>
  <c r="V968" s="1"/>
  <c r="W967"/>
  <c r="R967"/>
  <c r="AB967" s="1"/>
  <c r="AC967" s="1"/>
  <c r="O967"/>
  <c r="U967" s="1"/>
  <c r="V967" s="1"/>
  <c r="M967"/>
  <c r="AC966"/>
  <c r="AB966"/>
  <c r="Y966"/>
  <c r="X966"/>
  <c r="W966"/>
  <c r="R966"/>
  <c r="O966"/>
  <c r="U966" s="1"/>
  <c r="V966" s="1"/>
  <c r="M966"/>
  <c r="AB965"/>
  <c r="AC965" s="1"/>
  <c r="X965"/>
  <c r="W965"/>
  <c r="S965"/>
  <c r="R965"/>
  <c r="Z965" s="1"/>
  <c r="AA965" s="1"/>
  <c r="M965"/>
  <c r="T965" s="1"/>
  <c r="W964"/>
  <c r="S964"/>
  <c r="T964" s="1"/>
  <c r="R964"/>
  <c r="Y964" s="1"/>
  <c r="M964"/>
  <c r="O964" s="1"/>
  <c r="U964" s="1"/>
  <c r="V964" s="1"/>
  <c r="W963"/>
  <c r="R963"/>
  <c r="AB963" s="1"/>
  <c r="AC963" s="1"/>
  <c r="O963"/>
  <c r="U963" s="1"/>
  <c r="V963" s="1"/>
  <c r="M963"/>
  <c r="AC962"/>
  <c r="AB962"/>
  <c r="Y962"/>
  <c r="X962"/>
  <c r="W962"/>
  <c r="R962"/>
  <c r="O962"/>
  <c r="U962" s="1"/>
  <c r="V962" s="1"/>
  <c r="M962"/>
  <c r="AB961"/>
  <c r="AC961" s="1"/>
  <c r="X961"/>
  <c r="W961"/>
  <c r="S961"/>
  <c r="R961"/>
  <c r="Z961" s="1"/>
  <c r="AA961" s="1"/>
  <c r="M961"/>
  <c r="T961" s="1"/>
  <c r="W960"/>
  <c r="S960"/>
  <c r="T960" s="1"/>
  <c r="R960"/>
  <c r="Y960" s="1"/>
  <c r="M960"/>
  <c r="O960" s="1"/>
  <c r="U960" s="1"/>
  <c r="V960" s="1"/>
  <c r="W959"/>
  <c r="R959"/>
  <c r="AB959" s="1"/>
  <c r="AC959" s="1"/>
  <c r="O959"/>
  <c r="U959" s="1"/>
  <c r="V959" s="1"/>
  <c r="M959"/>
  <c r="AC958"/>
  <c r="AB958"/>
  <c r="Y958"/>
  <c r="X958"/>
  <c r="W958"/>
  <c r="R958"/>
  <c r="O958"/>
  <c r="U958" s="1"/>
  <c r="V958" s="1"/>
  <c r="M958"/>
  <c r="AB957"/>
  <c r="AC957" s="1"/>
  <c r="X957"/>
  <c r="W957"/>
  <c r="S957"/>
  <c r="R957"/>
  <c r="Z957" s="1"/>
  <c r="AA957" s="1"/>
  <c r="M957"/>
  <c r="T957" s="1"/>
  <c r="W956"/>
  <c r="S956"/>
  <c r="T956" s="1"/>
  <c r="R956"/>
  <c r="Y956" s="1"/>
  <c r="M956"/>
  <c r="O956" s="1"/>
  <c r="U956" s="1"/>
  <c r="V956" s="1"/>
  <c r="W955"/>
  <c r="R955"/>
  <c r="AB955" s="1"/>
  <c r="AC955" s="1"/>
  <c r="O955"/>
  <c r="U955" s="1"/>
  <c r="V955" s="1"/>
  <c r="M955"/>
  <c r="AC954"/>
  <c r="AB954"/>
  <c r="Y954"/>
  <c r="X954"/>
  <c r="W954"/>
  <c r="R954"/>
  <c r="O954"/>
  <c r="U954" s="1"/>
  <c r="V954" s="1"/>
  <c r="M954"/>
  <c r="AB953"/>
  <c r="AC953" s="1"/>
  <c r="X953"/>
  <c r="W953"/>
  <c r="S953"/>
  <c r="R953"/>
  <c r="Z953" s="1"/>
  <c r="AA953" s="1"/>
  <c r="M953"/>
  <c r="T953" s="1"/>
  <c r="W952"/>
  <c r="S952"/>
  <c r="T952" s="1"/>
  <c r="R952"/>
  <c r="Y952" s="1"/>
  <c r="M952"/>
  <c r="O952" s="1"/>
  <c r="U952" s="1"/>
  <c r="V952" s="1"/>
  <c r="W951"/>
  <c r="R951"/>
  <c r="AB951" s="1"/>
  <c r="AC951" s="1"/>
  <c r="O951"/>
  <c r="U951" s="1"/>
  <c r="V951" s="1"/>
  <c r="M951"/>
  <c r="AC950"/>
  <c r="AB950"/>
  <c r="Y950"/>
  <c r="X950"/>
  <c r="W950"/>
  <c r="R950"/>
  <c r="O950"/>
  <c r="U950" s="1"/>
  <c r="V950" s="1"/>
  <c r="M950"/>
  <c r="AB949"/>
  <c r="AC949" s="1"/>
  <c r="X949"/>
  <c r="W949"/>
  <c r="S949"/>
  <c r="R949"/>
  <c r="Z949" s="1"/>
  <c r="AA949" s="1"/>
  <c r="M949"/>
  <c r="T949" s="1"/>
  <c r="W948"/>
  <c r="S948"/>
  <c r="T948" s="1"/>
  <c r="R948"/>
  <c r="Y948" s="1"/>
  <c r="M948"/>
  <c r="O948" s="1"/>
  <c r="U948" s="1"/>
  <c r="V948" s="1"/>
  <c r="W947"/>
  <c r="R947"/>
  <c r="AB947" s="1"/>
  <c r="AC947" s="1"/>
  <c r="O947"/>
  <c r="U947" s="1"/>
  <c r="V947" s="1"/>
  <c r="M947"/>
  <c r="AC946"/>
  <c r="AB946"/>
  <c r="Y946"/>
  <c r="X946"/>
  <c r="W946"/>
  <c r="R946"/>
  <c r="O946"/>
  <c r="U946" s="1"/>
  <c r="V946" s="1"/>
  <c r="M946"/>
  <c r="AB945"/>
  <c r="AC945" s="1"/>
  <c r="X945"/>
  <c r="W945"/>
  <c r="S945"/>
  <c r="R945"/>
  <c r="Z945" s="1"/>
  <c r="AA945" s="1"/>
  <c r="M945"/>
  <c r="T945" s="1"/>
  <c r="W944"/>
  <c r="S944"/>
  <c r="T944" s="1"/>
  <c r="R944"/>
  <c r="Y944" s="1"/>
  <c r="M944"/>
  <c r="O944" s="1"/>
  <c r="U944" s="1"/>
  <c r="V944" s="1"/>
  <c r="W943"/>
  <c r="R943"/>
  <c r="AB943" s="1"/>
  <c r="AC943" s="1"/>
  <c r="O943"/>
  <c r="U943" s="1"/>
  <c r="V943" s="1"/>
  <c r="M943"/>
  <c r="AC942"/>
  <c r="AB942"/>
  <c r="Y942"/>
  <c r="X942"/>
  <c r="W942"/>
  <c r="R942"/>
  <c r="O942"/>
  <c r="U942" s="1"/>
  <c r="V942" s="1"/>
  <c r="M942"/>
  <c r="AB941"/>
  <c r="AC941" s="1"/>
  <c r="X941"/>
  <c r="W941"/>
  <c r="S941"/>
  <c r="R941"/>
  <c r="Z941" s="1"/>
  <c r="AA941" s="1"/>
  <c r="M941"/>
  <c r="T941" s="1"/>
  <c r="W940"/>
  <c r="R940"/>
  <c r="Y940" s="1"/>
  <c r="M940"/>
  <c r="O940" s="1"/>
  <c r="U940" s="1"/>
  <c r="V940" s="1"/>
  <c r="W939"/>
  <c r="R939"/>
  <c r="AB939" s="1"/>
  <c r="AC939" s="1"/>
  <c r="O939"/>
  <c r="U939" s="1"/>
  <c r="V939" s="1"/>
  <c r="M939"/>
  <c r="AC938"/>
  <c r="AB938"/>
  <c r="Y938"/>
  <c r="X938"/>
  <c r="W938"/>
  <c r="R938"/>
  <c r="O938"/>
  <c r="U938" s="1"/>
  <c r="V938" s="1"/>
  <c r="M938"/>
  <c r="AB937"/>
  <c r="AC937" s="1"/>
  <c r="X937"/>
  <c r="W937"/>
  <c r="S937"/>
  <c r="R937"/>
  <c r="Z937" s="1"/>
  <c r="AA937" s="1"/>
  <c r="M937"/>
  <c r="T937" s="1"/>
  <c r="W936"/>
  <c r="R936"/>
  <c r="Y936" s="1"/>
  <c r="M936"/>
  <c r="O936" s="1"/>
  <c r="U936" s="1"/>
  <c r="V936" s="1"/>
  <c r="W935"/>
  <c r="R935"/>
  <c r="AB935" s="1"/>
  <c r="AC935" s="1"/>
  <c r="O935"/>
  <c r="U935" s="1"/>
  <c r="V935" s="1"/>
  <c r="M935"/>
  <c r="AC934"/>
  <c r="AB934"/>
  <c r="Y934"/>
  <c r="X934"/>
  <c r="W934"/>
  <c r="R934"/>
  <c r="O934"/>
  <c r="U934" s="1"/>
  <c r="V934" s="1"/>
  <c r="M934"/>
  <c r="AB933"/>
  <c r="AC933" s="1"/>
  <c r="X933"/>
  <c r="W933"/>
  <c r="S933"/>
  <c r="R933"/>
  <c r="Z933" s="1"/>
  <c r="AA933" s="1"/>
  <c r="M933"/>
  <c r="T933" s="1"/>
  <c r="W932"/>
  <c r="R932"/>
  <c r="Y932" s="1"/>
  <c r="M932"/>
  <c r="O932" s="1"/>
  <c r="U932" s="1"/>
  <c r="V932" s="1"/>
  <c r="W931"/>
  <c r="R931"/>
  <c r="AB931" s="1"/>
  <c r="AC931" s="1"/>
  <c r="O931"/>
  <c r="U931" s="1"/>
  <c r="V931" s="1"/>
  <c r="M931"/>
  <c r="AC930"/>
  <c r="AB930"/>
  <c r="Y930"/>
  <c r="X930"/>
  <c r="W930"/>
  <c r="R930"/>
  <c r="O930"/>
  <c r="U930" s="1"/>
  <c r="V930" s="1"/>
  <c r="M930"/>
  <c r="AB929"/>
  <c r="AC929" s="1"/>
  <c r="X929"/>
  <c r="W929"/>
  <c r="S929"/>
  <c r="R929"/>
  <c r="Z929" s="1"/>
  <c r="AA929" s="1"/>
  <c r="M929"/>
  <c r="T929" s="1"/>
  <c r="W928"/>
  <c r="R928"/>
  <c r="Y928" s="1"/>
  <c r="M928"/>
  <c r="O928" s="1"/>
  <c r="U928" s="1"/>
  <c r="V928" s="1"/>
  <c r="W927"/>
  <c r="R927"/>
  <c r="AB927" s="1"/>
  <c r="AC927" s="1"/>
  <c r="O927"/>
  <c r="U927" s="1"/>
  <c r="V927" s="1"/>
  <c r="M927"/>
  <c r="AC926"/>
  <c r="AB926"/>
  <c r="Y926"/>
  <c r="X926"/>
  <c r="W926"/>
  <c r="R926"/>
  <c r="M926"/>
  <c r="O926" s="1"/>
  <c r="U926" s="1"/>
  <c r="V926" s="1"/>
  <c r="AB925"/>
  <c r="AC925" s="1"/>
  <c r="X925"/>
  <c r="W925"/>
  <c r="S925"/>
  <c r="R925"/>
  <c r="Z925" s="1"/>
  <c r="AA925" s="1"/>
  <c r="M925"/>
  <c r="T925" s="1"/>
  <c r="W924"/>
  <c r="R924"/>
  <c r="Y924" s="1"/>
  <c r="M924"/>
  <c r="O924" s="1"/>
  <c r="U924" s="1"/>
  <c r="V924" s="1"/>
  <c r="W923"/>
  <c r="R923"/>
  <c r="AB923" s="1"/>
  <c r="AC923" s="1"/>
  <c r="O923"/>
  <c r="U923" s="1"/>
  <c r="V923" s="1"/>
  <c r="M923"/>
  <c r="AC922"/>
  <c r="AB922"/>
  <c r="Y922"/>
  <c r="X922"/>
  <c r="W922"/>
  <c r="R922"/>
  <c r="M922"/>
  <c r="O922" s="1"/>
  <c r="U922" s="1"/>
  <c r="V922" s="1"/>
  <c r="AB921"/>
  <c r="AC921" s="1"/>
  <c r="X921"/>
  <c r="W921"/>
  <c r="S921"/>
  <c r="R921"/>
  <c r="Z921" s="1"/>
  <c r="AA921" s="1"/>
  <c r="M921"/>
  <c r="T921" s="1"/>
  <c r="W920"/>
  <c r="R920"/>
  <c r="Y920" s="1"/>
  <c r="M920"/>
  <c r="O920" s="1"/>
  <c r="U920" s="1"/>
  <c r="V920" s="1"/>
  <c r="W919"/>
  <c r="R919"/>
  <c r="AB919" s="1"/>
  <c r="AC919" s="1"/>
  <c r="O919"/>
  <c r="U919" s="1"/>
  <c r="V919" s="1"/>
  <c r="M919"/>
  <c r="AC918"/>
  <c r="AB918"/>
  <c r="Y918"/>
  <c r="X918"/>
  <c r="W918"/>
  <c r="R918"/>
  <c r="M918"/>
  <c r="O918" s="1"/>
  <c r="U918" s="1"/>
  <c r="V918" s="1"/>
  <c r="AB917"/>
  <c r="AC917" s="1"/>
  <c r="X917"/>
  <c r="W917"/>
  <c r="S917"/>
  <c r="R917"/>
  <c r="Z917" s="1"/>
  <c r="AA917" s="1"/>
  <c r="M917"/>
  <c r="T917" s="1"/>
  <c r="W916"/>
  <c r="R916"/>
  <c r="Y916" s="1"/>
  <c r="M916"/>
  <c r="O916" s="1"/>
  <c r="U916" s="1"/>
  <c r="V916" s="1"/>
  <c r="W915"/>
  <c r="R915"/>
  <c r="AB915" s="1"/>
  <c r="AC915" s="1"/>
  <c r="O915"/>
  <c r="U915" s="1"/>
  <c r="V915" s="1"/>
  <c r="M915"/>
  <c r="AC914"/>
  <c r="AB914"/>
  <c r="Y914"/>
  <c r="X914"/>
  <c r="W914"/>
  <c r="R914"/>
  <c r="M914"/>
  <c r="O914" s="1"/>
  <c r="U914" s="1"/>
  <c r="V914" s="1"/>
  <c r="AB913"/>
  <c r="AC913" s="1"/>
  <c r="X913"/>
  <c r="W913"/>
  <c r="S913"/>
  <c r="R913"/>
  <c r="Z913" s="1"/>
  <c r="AA913" s="1"/>
  <c r="M913"/>
  <c r="T913" s="1"/>
  <c r="W912"/>
  <c r="R912"/>
  <c r="Y912" s="1"/>
  <c r="M912"/>
  <c r="O912" s="1"/>
  <c r="U912" s="1"/>
  <c r="V912" s="1"/>
  <c r="W911"/>
  <c r="R911"/>
  <c r="AB911" s="1"/>
  <c r="AC911" s="1"/>
  <c r="O911"/>
  <c r="U911" s="1"/>
  <c r="V911" s="1"/>
  <c r="M911"/>
  <c r="AC910"/>
  <c r="AB910"/>
  <c r="Y910"/>
  <c r="X910"/>
  <c r="W910"/>
  <c r="R910"/>
  <c r="M910"/>
  <c r="O910" s="1"/>
  <c r="U910" s="1"/>
  <c r="V910" s="1"/>
  <c r="AB909"/>
  <c r="AC909" s="1"/>
  <c r="X909"/>
  <c r="W909"/>
  <c r="S909"/>
  <c r="R909"/>
  <c r="Z909" s="1"/>
  <c r="AA909" s="1"/>
  <c r="M909"/>
  <c r="T909" s="1"/>
  <c r="W908"/>
  <c r="R908"/>
  <c r="Y908" s="1"/>
  <c r="M908"/>
  <c r="O908" s="1"/>
  <c r="U908" s="1"/>
  <c r="V908" s="1"/>
  <c r="W907"/>
  <c r="R907"/>
  <c r="AB907" s="1"/>
  <c r="AC907" s="1"/>
  <c r="O907"/>
  <c r="U907" s="1"/>
  <c r="V907" s="1"/>
  <c r="M907"/>
  <c r="AC906"/>
  <c r="AB906"/>
  <c r="Y906"/>
  <c r="X906"/>
  <c r="W906"/>
  <c r="R906"/>
  <c r="M906"/>
  <c r="O906" s="1"/>
  <c r="U906" s="1"/>
  <c r="V906" s="1"/>
  <c r="AB905"/>
  <c r="AC905" s="1"/>
  <c r="X905"/>
  <c r="W905"/>
  <c r="S905"/>
  <c r="R905"/>
  <c r="Z905" s="1"/>
  <c r="AA905" s="1"/>
  <c r="M905"/>
  <c r="T905" s="1"/>
  <c r="W904"/>
  <c r="R904"/>
  <c r="Y904" s="1"/>
  <c r="M904"/>
  <c r="O904" s="1"/>
  <c r="U904" s="1"/>
  <c r="V904" s="1"/>
  <c r="W903"/>
  <c r="R903"/>
  <c r="AB903" s="1"/>
  <c r="AC903" s="1"/>
  <c r="O903"/>
  <c r="U903" s="1"/>
  <c r="V903" s="1"/>
  <c r="M903"/>
  <c r="AC902"/>
  <c r="AB902"/>
  <c r="Y902"/>
  <c r="X902"/>
  <c r="W902"/>
  <c r="R902"/>
  <c r="M902"/>
  <c r="O902" s="1"/>
  <c r="U902" s="1"/>
  <c r="V902" s="1"/>
  <c r="AB901"/>
  <c r="AC901" s="1"/>
  <c r="X901"/>
  <c r="W901"/>
  <c r="S901"/>
  <c r="R901"/>
  <c r="Z901" s="1"/>
  <c r="AA901" s="1"/>
  <c r="M901"/>
  <c r="T901" s="1"/>
  <c r="W900"/>
  <c r="R900"/>
  <c r="Y900" s="1"/>
  <c r="M900"/>
  <c r="O900" s="1"/>
  <c r="U900" s="1"/>
  <c r="V900" s="1"/>
  <c r="W899"/>
  <c r="R899"/>
  <c r="AB899" s="1"/>
  <c r="AC899" s="1"/>
  <c r="O899"/>
  <c r="U899" s="1"/>
  <c r="V899" s="1"/>
  <c r="M899"/>
  <c r="AB898"/>
  <c r="AC898" s="1"/>
  <c r="Y898"/>
  <c r="X898"/>
  <c r="W898"/>
  <c r="R898"/>
  <c r="M898"/>
  <c r="O898" s="1"/>
  <c r="U898" s="1"/>
  <c r="V898" s="1"/>
  <c r="AB897"/>
  <c r="AC897" s="1"/>
  <c r="X897"/>
  <c r="W897"/>
  <c r="S897"/>
  <c r="T897" s="1"/>
  <c r="R897"/>
  <c r="Z897" s="1"/>
  <c r="AA897" s="1"/>
  <c r="M897"/>
  <c r="O897" s="1"/>
  <c r="U897" s="1"/>
  <c r="V897" s="1"/>
  <c r="W896"/>
  <c r="R896"/>
  <c r="Y896" s="1"/>
  <c r="M896"/>
  <c r="O896" s="1"/>
  <c r="U896" s="1"/>
  <c r="V896" s="1"/>
  <c r="W895"/>
  <c r="R895"/>
  <c r="AB895" s="1"/>
  <c r="AC895" s="1"/>
  <c r="O895"/>
  <c r="U895" s="1"/>
  <c r="V895" s="1"/>
  <c r="M895"/>
  <c r="AB894"/>
  <c r="AC894" s="1"/>
  <c r="Y894"/>
  <c r="X894"/>
  <c r="W894"/>
  <c r="R894"/>
  <c r="M894"/>
  <c r="O894" s="1"/>
  <c r="U894" s="1"/>
  <c r="V894" s="1"/>
  <c r="AB893"/>
  <c r="AC893" s="1"/>
  <c r="X893"/>
  <c r="W893"/>
  <c r="S893"/>
  <c r="T893" s="1"/>
  <c r="AD893" s="1"/>
  <c r="R893"/>
  <c r="Z893" s="1"/>
  <c r="AA893" s="1"/>
  <c r="M893"/>
  <c r="O893" s="1"/>
  <c r="U893" s="1"/>
  <c r="V893" s="1"/>
  <c r="W892"/>
  <c r="R892"/>
  <c r="Y892" s="1"/>
  <c r="M892"/>
  <c r="O892" s="1"/>
  <c r="U892" s="1"/>
  <c r="V892" s="1"/>
  <c r="W891"/>
  <c r="R891"/>
  <c r="AB891" s="1"/>
  <c r="AC891" s="1"/>
  <c r="O891"/>
  <c r="U891" s="1"/>
  <c r="V891" s="1"/>
  <c r="M891"/>
  <c r="AB890"/>
  <c r="AC890" s="1"/>
  <c r="Y890"/>
  <c r="X890"/>
  <c r="W890"/>
  <c r="R890"/>
  <c r="M890"/>
  <c r="O890" s="1"/>
  <c r="U890" s="1"/>
  <c r="V890" s="1"/>
  <c r="AB889"/>
  <c r="AC889" s="1"/>
  <c r="X889"/>
  <c r="W889"/>
  <c r="S889"/>
  <c r="T889" s="1"/>
  <c r="AD889" s="1"/>
  <c r="R889"/>
  <c r="Z889" s="1"/>
  <c r="AA889" s="1"/>
  <c r="M889"/>
  <c r="O889" s="1"/>
  <c r="U889" s="1"/>
  <c r="V889" s="1"/>
  <c r="W888"/>
  <c r="R888"/>
  <c r="Y888" s="1"/>
  <c r="M888"/>
  <c r="O888" s="1"/>
  <c r="U888" s="1"/>
  <c r="V888" s="1"/>
  <c r="W887"/>
  <c r="R887"/>
  <c r="AB887" s="1"/>
  <c r="AC887" s="1"/>
  <c r="O887"/>
  <c r="U887" s="1"/>
  <c r="V887" s="1"/>
  <c r="M887"/>
  <c r="AB886"/>
  <c r="AC886" s="1"/>
  <c r="Y886"/>
  <c r="X886"/>
  <c r="W886"/>
  <c r="R886"/>
  <c r="M886"/>
  <c r="O886" s="1"/>
  <c r="U886" s="1"/>
  <c r="V886" s="1"/>
  <c r="AB885"/>
  <c r="AC885" s="1"/>
  <c r="X885"/>
  <c r="W885"/>
  <c r="S885"/>
  <c r="T885" s="1"/>
  <c r="R885"/>
  <c r="Z885" s="1"/>
  <c r="AA885" s="1"/>
  <c r="M885"/>
  <c r="O885" s="1"/>
  <c r="U885" s="1"/>
  <c r="V885" s="1"/>
  <c r="W884"/>
  <c r="R884"/>
  <c r="Y884" s="1"/>
  <c r="M884"/>
  <c r="O884" s="1"/>
  <c r="U884" s="1"/>
  <c r="V884" s="1"/>
  <c r="Y883"/>
  <c r="W883"/>
  <c r="R883"/>
  <c r="AB883" s="1"/>
  <c r="AC883" s="1"/>
  <c r="O883"/>
  <c r="U883" s="1"/>
  <c r="V883" s="1"/>
  <c r="M883"/>
  <c r="AB882"/>
  <c r="AC882" s="1"/>
  <c r="Y882"/>
  <c r="X882"/>
  <c r="W882"/>
  <c r="R882"/>
  <c r="M882"/>
  <c r="O882" s="1"/>
  <c r="U882" s="1"/>
  <c r="V882" s="1"/>
  <c r="AB881"/>
  <c r="AC881" s="1"/>
  <c r="X881"/>
  <c r="W881"/>
  <c r="S881"/>
  <c r="T881" s="1"/>
  <c r="R881"/>
  <c r="Z881" s="1"/>
  <c r="AA881" s="1"/>
  <c r="M881"/>
  <c r="O881" s="1"/>
  <c r="U881" s="1"/>
  <c r="V881" s="1"/>
  <c r="W880"/>
  <c r="R880"/>
  <c r="Y880" s="1"/>
  <c r="M880"/>
  <c r="O880" s="1"/>
  <c r="U880" s="1"/>
  <c r="V880" s="1"/>
  <c r="W879"/>
  <c r="R879"/>
  <c r="AB879" s="1"/>
  <c r="AC879" s="1"/>
  <c r="O879"/>
  <c r="U879" s="1"/>
  <c r="V879" s="1"/>
  <c r="M879"/>
  <c r="AB878"/>
  <c r="AC878" s="1"/>
  <c r="Y878"/>
  <c r="X878"/>
  <c r="W878"/>
  <c r="R878"/>
  <c r="M878"/>
  <c r="O878" s="1"/>
  <c r="U878" s="1"/>
  <c r="V878" s="1"/>
  <c r="AB877"/>
  <c r="AC877" s="1"/>
  <c r="X877"/>
  <c r="W877"/>
  <c r="S877"/>
  <c r="T877" s="1"/>
  <c r="R877"/>
  <c r="Z877" s="1"/>
  <c r="AA877" s="1"/>
  <c r="M877"/>
  <c r="O877" s="1"/>
  <c r="U877" s="1"/>
  <c r="V877" s="1"/>
  <c r="W876"/>
  <c r="R876"/>
  <c r="Y876" s="1"/>
  <c r="M876"/>
  <c r="O876" s="1"/>
  <c r="U876" s="1"/>
  <c r="V876" s="1"/>
  <c r="W875"/>
  <c r="R875"/>
  <c r="AB875" s="1"/>
  <c r="AC875" s="1"/>
  <c r="O875"/>
  <c r="U875" s="1"/>
  <c r="V875" s="1"/>
  <c r="M875"/>
  <c r="AB874"/>
  <c r="AC874" s="1"/>
  <c r="Y874"/>
  <c r="X874"/>
  <c r="W874"/>
  <c r="R874"/>
  <c r="M874"/>
  <c r="O874" s="1"/>
  <c r="U874" s="1"/>
  <c r="V874" s="1"/>
  <c r="AB873"/>
  <c r="AC873" s="1"/>
  <c r="X873"/>
  <c r="W873"/>
  <c r="S873"/>
  <c r="T873" s="1"/>
  <c r="AD873" s="1"/>
  <c r="R873"/>
  <c r="Z873" s="1"/>
  <c r="AA873" s="1"/>
  <c r="M873"/>
  <c r="O873" s="1"/>
  <c r="U873" s="1"/>
  <c r="V873" s="1"/>
  <c r="W872"/>
  <c r="R872"/>
  <c r="Y872" s="1"/>
  <c r="M872"/>
  <c r="O872" s="1"/>
  <c r="U872" s="1"/>
  <c r="V872" s="1"/>
  <c r="W871"/>
  <c r="R871"/>
  <c r="AB871" s="1"/>
  <c r="AC871" s="1"/>
  <c r="O871"/>
  <c r="U871" s="1"/>
  <c r="V871" s="1"/>
  <c r="M871"/>
  <c r="AB870"/>
  <c r="AC870" s="1"/>
  <c r="Y870"/>
  <c r="X870"/>
  <c r="W870"/>
  <c r="R870"/>
  <c r="M870"/>
  <c r="O870" s="1"/>
  <c r="U870" s="1"/>
  <c r="V870" s="1"/>
  <c r="AB869"/>
  <c r="AC869" s="1"/>
  <c r="X869"/>
  <c r="W869"/>
  <c r="S869"/>
  <c r="T869" s="1"/>
  <c r="AD869" s="1"/>
  <c r="R869"/>
  <c r="Z869" s="1"/>
  <c r="AA869" s="1"/>
  <c r="M869"/>
  <c r="O869" s="1"/>
  <c r="U869" s="1"/>
  <c r="V869" s="1"/>
  <c r="W868"/>
  <c r="R868"/>
  <c r="Y868" s="1"/>
  <c r="M868"/>
  <c r="O868" s="1"/>
  <c r="U868" s="1"/>
  <c r="V868" s="1"/>
  <c r="W867"/>
  <c r="R867"/>
  <c r="AB867" s="1"/>
  <c r="AC867" s="1"/>
  <c r="O867"/>
  <c r="U867" s="1"/>
  <c r="V867" s="1"/>
  <c r="M867"/>
  <c r="AB866"/>
  <c r="AC866" s="1"/>
  <c r="Y866"/>
  <c r="X866"/>
  <c r="W866"/>
  <c r="R866"/>
  <c r="M866"/>
  <c r="O866" s="1"/>
  <c r="U866" s="1"/>
  <c r="V866" s="1"/>
  <c r="AB865"/>
  <c r="AC865" s="1"/>
  <c r="X865"/>
  <c r="W865"/>
  <c r="S865"/>
  <c r="T865" s="1"/>
  <c r="R865"/>
  <c r="Z865" s="1"/>
  <c r="AA865" s="1"/>
  <c r="M865"/>
  <c r="O865" s="1"/>
  <c r="U865" s="1"/>
  <c r="V865" s="1"/>
  <c r="W864"/>
  <c r="R864"/>
  <c r="Y864" s="1"/>
  <c r="M864"/>
  <c r="O864" s="1"/>
  <c r="U864" s="1"/>
  <c r="V864" s="1"/>
  <c r="W863"/>
  <c r="R863"/>
  <c r="AB863" s="1"/>
  <c r="AC863" s="1"/>
  <c r="O863"/>
  <c r="U863" s="1"/>
  <c r="V863" s="1"/>
  <c r="M863"/>
  <c r="AB862"/>
  <c r="AC862" s="1"/>
  <c r="Y862"/>
  <c r="X862"/>
  <c r="W862"/>
  <c r="R862"/>
  <c r="M862"/>
  <c r="O862" s="1"/>
  <c r="U862" s="1"/>
  <c r="V862" s="1"/>
  <c r="AB861"/>
  <c r="AC861" s="1"/>
  <c r="X861"/>
  <c r="W861"/>
  <c r="S861"/>
  <c r="T861" s="1"/>
  <c r="R861"/>
  <c r="Z861" s="1"/>
  <c r="AA861" s="1"/>
  <c r="M861"/>
  <c r="O861" s="1"/>
  <c r="U861" s="1"/>
  <c r="V861" s="1"/>
  <c r="W860"/>
  <c r="R860"/>
  <c r="Y860" s="1"/>
  <c r="M860"/>
  <c r="O860" s="1"/>
  <c r="U860" s="1"/>
  <c r="V860" s="1"/>
  <c r="W859"/>
  <c r="R859"/>
  <c r="AB859" s="1"/>
  <c r="AC859" s="1"/>
  <c r="O859"/>
  <c r="U859" s="1"/>
  <c r="V859" s="1"/>
  <c r="M859"/>
  <c r="AB858"/>
  <c r="AC858" s="1"/>
  <c r="Y858"/>
  <c r="X858"/>
  <c r="W858"/>
  <c r="R858"/>
  <c r="M858"/>
  <c r="O858" s="1"/>
  <c r="U858" s="1"/>
  <c r="V858" s="1"/>
  <c r="AB857"/>
  <c r="AC857" s="1"/>
  <c r="X857"/>
  <c r="W857"/>
  <c r="S857"/>
  <c r="T857" s="1"/>
  <c r="AD857" s="1"/>
  <c r="R857"/>
  <c r="Z857" s="1"/>
  <c r="AA857" s="1"/>
  <c r="M857"/>
  <c r="O857" s="1"/>
  <c r="U857" s="1"/>
  <c r="V857" s="1"/>
  <c r="W856"/>
  <c r="R856"/>
  <c r="Y856" s="1"/>
  <c r="M856"/>
  <c r="O856" s="1"/>
  <c r="U856" s="1"/>
  <c r="V856" s="1"/>
  <c r="Y855"/>
  <c r="W855"/>
  <c r="R855"/>
  <c r="AB855" s="1"/>
  <c r="AC855" s="1"/>
  <c r="O855"/>
  <c r="U855" s="1"/>
  <c r="V855" s="1"/>
  <c r="M855"/>
  <c r="AB854"/>
  <c r="AC854" s="1"/>
  <c r="Y854"/>
  <c r="X854"/>
  <c r="W854"/>
  <c r="R854"/>
  <c r="M854"/>
  <c r="O854" s="1"/>
  <c r="U854" s="1"/>
  <c r="V854" s="1"/>
  <c r="AB853"/>
  <c r="AC853" s="1"/>
  <c r="X853"/>
  <c r="W853"/>
  <c r="S853"/>
  <c r="T853" s="1"/>
  <c r="AD853" s="1"/>
  <c r="R853"/>
  <c r="Z853" s="1"/>
  <c r="AA853" s="1"/>
  <c r="M853"/>
  <c r="O853" s="1"/>
  <c r="U853" s="1"/>
  <c r="V853" s="1"/>
  <c r="W852"/>
  <c r="R852"/>
  <c r="Y852" s="1"/>
  <c r="M852"/>
  <c r="O852" s="1"/>
  <c r="U852" s="1"/>
  <c r="V852" s="1"/>
  <c r="W851"/>
  <c r="R851"/>
  <c r="AB851" s="1"/>
  <c r="AC851" s="1"/>
  <c r="O851"/>
  <c r="U851" s="1"/>
  <c r="V851" s="1"/>
  <c r="M851"/>
  <c r="AB850"/>
  <c r="AC850" s="1"/>
  <c r="Y850"/>
  <c r="X850"/>
  <c r="W850"/>
  <c r="R850"/>
  <c r="M850"/>
  <c r="O850" s="1"/>
  <c r="U850" s="1"/>
  <c r="V850" s="1"/>
  <c r="AB849"/>
  <c r="AC849" s="1"/>
  <c r="X849"/>
  <c r="W849"/>
  <c r="S849"/>
  <c r="T849" s="1"/>
  <c r="AD849" s="1"/>
  <c r="R849"/>
  <c r="Z849" s="1"/>
  <c r="AA849" s="1"/>
  <c r="M849"/>
  <c r="O849" s="1"/>
  <c r="U849" s="1"/>
  <c r="V849" s="1"/>
  <c r="W848"/>
  <c r="R848"/>
  <c r="Y848" s="1"/>
  <c r="M848"/>
  <c r="O848" s="1"/>
  <c r="U848" s="1"/>
  <c r="V848" s="1"/>
  <c r="W847"/>
  <c r="R847"/>
  <c r="AB847" s="1"/>
  <c r="AC847" s="1"/>
  <c r="O847"/>
  <c r="U847" s="1"/>
  <c r="V847" s="1"/>
  <c r="M847"/>
  <c r="AB846"/>
  <c r="AC846" s="1"/>
  <c r="Y846"/>
  <c r="X846"/>
  <c r="W846"/>
  <c r="R846"/>
  <c r="M846"/>
  <c r="O846" s="1"/>
  <c r="U846" s="1"/>
  <c r="V846" s="1"/>
  <c r="AB845"/>
  <c r="AC845" s="1"/>
  <c r="X845"/>
  <c r="W845"/>
  <c r="S845"/>
  <c r="T845" s="1"/>
  <c r="R845"/>
  <c r="Z845" s="1"/>
  <c r="AA845" s="1"/>
  <c r="M845"/>
  <c r="O845" s="1"/>
  <c r="U845" s="1"/>
  <c r="V845" s="1"/>
  <c r="W844"/>
  <c r="R844"/>
  <c r="Y844" s="1"/>
  <c r="M844"/>
  <c r="O844" s="1"/>
  <c r="U844" s="1"/>
  <c r="V844" s="1"/>
  <c r="W843"/>
  <c r="R843"/>
  <c r="AB843" s="1"/>
  <c r="AC843" s="1"/>
  <c r="O843"/>
  <c r="U843" s="1"/>
  <c r="V843" s="1"/>
  <c r="M843"/>
  <c r="AB842"/>
  <c r="AC842" s="1"/>
  <c r="Y842"/>
  <c r="X842"/>
  <c r="W842"/>
  <c r="R842"/>
  <c r="M842"/>
  <c r="O842" s="1"/>
  <c r="U842" s="1"/>
  <c r="V842" s="1"/>
  <c r="AB841"/>
  <c r="AC841" s="1"/>
  <c r="X841"/>
  <c r="W841"/>
  <c r="S841"/>
  <c r="T841" s="1"/>
  <c r="R841"/>
  <c r="Z841" s="1"/>
  <c r="AA841" s="1"/>
  <c r="M841"/>
  <c r="O841" s="1"/>
  <c r="U841" s="1"/>
  <c r="V841" s="1"/>
  <c r="W840"/>
  <c r="R840"/>
  <c r="Y840" s="1"/>
  <c r="M840"/>
  <c r="O840" s="1"/>
  <c r="U840" s="1"/>
  <c r="V840" s="1"/>
  <c r="W839"/>
  <c r="R839"/>
  <c r="AB839" s="1"/>
  <c r="AC839" s="1"/>
  <c r="O839"/>
  <c r="U839" s="1"/>
  <c r="V839" s="1"/>
  <c r="M839"/>
  <c r="AB838"/>
  <c r="AC838" s="1"/>
  <c r="Y838"/>
  <c r="X838"/>
  <c r="W838"/>
  <c r="R838"/>
  <c r="M838"/>
  <c r="O838" s="1"/>
  <c r="U838" s="1"/>
  <c r="V838" s="1"/>
  <c r="AB837"/>
  <c r="AC837" s="1"/>
  <c r="X837"/>
  <c r="W837"/>
  <c r="S837"/>
  <c r="T837" s="1"/>
  <c r="AD837" s="1"/>
  <c r="R837"/>
  <c r="Z837" s="1"/>
  <c r="AA837" s="1"/>
  <c r="M837"/>
  <c r="O837" s="1"/>
  <c r="U837" s="1"/>
  <c r="V837" s="1"/>
  <c r="W836"/>
  <c r="R836"/>
  <c r="Y836" s="1"/>
  <c r="M836"/>
  <c r="O836" s="1"/>
  <c r="U836" s="1"/>
  <c r="V836" s="1"/>
  <c r="Y835"/>
  <c r="W835"/>
  <c r="R835"/>
  <c r="AB835" s="1"/>
  <c r="AC835" s="1"/>
  <c r="O835"/>
  <c r="U835" s="1"/>
  <c r="V835" s="1"/>
  <c r="M835"/>
  <c r="AB834"/>
  <c r="AC834" s="1"/>
  <c r="Y834"/>
  <c r="X834"/>
  <c r="W834"/>
  <c r="R834"/>
  <c r="M834"/>
  <c r="O834" s="1"/>
  <c r="U834" s="1"/>
  <c r="V834" s="1"/>
  <c r="AB833"/>
  <c r="AC833" s="1"/>
  <c r="X833"/>
  <c r="W833"/>
  <c r="S833"/>
  <c r="T833" s="1"/>
  <c r="AD833" s="1"/>
  <c r="R833"/>
  <c r="Z833" s="1"/>
  <c r="AA833" s="1"/>
  <c r="M833"/>
  <c r="O833" s="1"/>
  <c r="U833" s="1"/>
  <c r="V833" s="1"/>
  <c r="W832"/>
  <c r="R832"/>
  <c r="Y832" s="1"/>
  <c r="M832"/>
  <c r="O832" s="1"/>
  <c r="U832" s="1"/>
  <c r="V832" s="1"/>
  <c r="Y831"/>
  <c r="W831"/>
  <c r="R831"/>
  <c r="AB831" s="1"/>
  <c r="AC831" s="1"/>
  <c r="O831"/>
  <c r="U831" s="1"/>
  <c r="V831" s="1"/>
  <c r="M831"/>
  <c r="AB830"/>
  <c r="AC830" s="1"/>
  <c r="Y830"/>
  <c r="X830"/>
  <c r="W830"/>
  <c r="R830"/>
  <c r="M830"/>
  <c r="O830" s="1"/>
  <c r="U830" s="1"/>
  <c r="V830" s="1"/>
  <c r="AB829"/>
  <c r="AC829" s="1"/>
  <c r="X829"/>
  <c r="W829"/>
  <c r="S829"/>
  <c r="T829" s="1"/>
  <c r="AD829" s="1"/>
  <c r="R829"/>
  <c r="Z829" s="1"/>
  <c r="AA829" s="1"/>
  <c r="M829"/>
  <c r="O829" s="1"/>
  <c r="U829" s="1"/>
  <c r="V829" s="1"/>
  <c r="W828"/>
  <c r="R828"/>
  <c r="Y828" s="1"/>
  <c r="M828"/>
  <c r="O828" s="1"/>
  <c r="U828" s="1"/>
  <c r="V828" s="1"/>
  <c r="Y827"/>
  <c r="W827"/>
  <c r="R827"/>
  <c r="AB827" s="1"/>
  <c r="AC827" s="1"/>
  <c r="O827"/>
  <c r="U827" s="1"/>
  <c r="V827" s="1"/>
  <c r="M827"/>
  <c r="AB826"/>
  <c r="AC826" s="1"/>
  <c r="Y826"/>
  <c r="X826"/>
  <c r="W826"/>
  <c r="R826"/>
  <c r="M826"/>
  <c r="O826" s="1"/>
  <c r="U826" s="1"/>
  <c r="V826" s="1"/>
  <c r="AB825"/>
  <c r="AC825" s="1"/>
  <c r="X825"/>
  <c r="W825"/>
  <c r="S825"/>
  <c r="T825" s="1"/>
  <c r="AD825" s="1"/>
  <c r="R825"/>
  <c r="Z825" s="1"/>
  <c r="AA825" s="1"/>
  <c r="M825"/>
  <c r="O825" s="1"/>
  <c r="U825" s="1"/>
  <c r="V825" s="1"/>
  <c r="W824"/>
  <c r="R824"/>
  <c r="Y824" s="1"/>
  <c r="M824"/>
  <c r="O824" s="1"/>
  <c r="U824" s="1"/>
  <c r="V824" s="1"/>
  <c r="Y823"/>
  <c r="W823"/>
  <c r="R823"/>
  <c r="AB823" s="1"/>
  <c r="AC823" s="1"/>
  <c r="O823"/>
  <c r="U823" s="1"/>
  <c r="V823" s="1"/>
  <c r="M823"/>
  <c r="AB822"/>
  <c r="AC822" s="1"/>
  <c r="Y822"/>
  <c r="X822"/>
  <c r="W822"/>
  <c r="R822"/>
  <c r="M822"/>
  <c r="O822" s="1"/>
  <c r="U822" s="1"/>
  <c r="V822" s="1"/>
  <c r="AB821"/>
  <c r="AC821" s="1"/>
  <c r="X821"/>
  <c r="W821"/>
  <c r="S821"/>
  <c r="T821" s="1"/>
  <c r="AD821" s="1"/>
  <c r="R821"/>
  <c r="Z821" s="1"/>
  <c r="AA821" s="1"/>
  <c r="M821"/>
  <c r="O821" s="1"/>
  <c r="U821" s="1"/>
  <c r="V821" s="1"/>
  <c r="W820"/>
  <c r="R820"/>
  <c r="Y820" s="1"/>
  <c r="M820"/>
  <c r="O820" s="1"/>
  <c r="U820" s="1"/>
  <c r="V820" s="1"/>
  <c r="Y819"/>
  <c r="W819"/>
  <c r="R819"/>
  <c r="AB819" s="1"/>
  <c r="AC819" s="1"/>
  <c r="O819"/>
  <c r="U819" s="1"/>
  <c r="V819" s="1"/>
  <c r="M819"/>
  <c r="AB818"/>
  <c r="AC818" s="1"/>
  <c r="Y818"/>
  <c r="X818"/>
  <c r="W818"/>
  <c r="R818"/>
  <c r="M818"/>
  <c r="O818" s="1"/>
  <c r="U818" s="1"/>
  <c r="V818" s="1"/>
  <c r="AB817"/>
  <c r="AC817" s="1"/>
  <c r="X817"/>
  <c r="W817"/>
  <c r="S817"/>
  <c r="T817" s="1"/>
  <c r="AD817" s="1"/>
  <c r="R817"/>
  <c r="Z817" s="1"/>
  <c r="AA817" s="1"/>
  <c r="M817"/>
  <c r="O817" s="1"/>
  <c r="U817" s="1"/>
  <c r="V817" s="1"/>
  <c r="W816"/>
  <c r="R816"/>
  <c r="Y816" s="1"/>
  <c r="M816"/>
  <c r="O816" s="1"/>
  <c r="U816" s="1"/>
  <c r="V816" s="1"/>
  <c r="Y815"/>
  <c r="W815"/>
  <c r="R815"/>
  <c r="AB815" s="1"/>
  <c r="AC815" s="1"/>
  <c r="O815"/>
  <c r="U815" s="1"/>
  <c r="V815" s="1"/>
  <c r="M815"/>
  <c r="AB814"/>
  <c r="AC814" s="1"/>
  <c r="Y814"/>
  <c r="X814"/>
  <c r="W814"/>
  <c r="R814"/>
  <c r="M814"/>
  <c r="O814" s="1"/>
  <c r="U814" s="1"/>
  <c r="V814" s="1"/>
  <c r="AB813"/>
  <c r="AC813" s="1"/>
  <c r="X813"/>
  <c r="W813"/>
  <c r="S813"/>
  <c r="T813" s="1"/>
  <c r="AD813" s="1"/>
  <c r="R813"/>
  <c r="Z813" s="1"/>
  <c r="AA813" s="1"/>
  <c r="M813"/>
  <c r="O813" s="1"/>
  <c r="U813" s="1"/>
  <c r="V813" s="1"/>
  <c r="W812"/>
  <c r="R812"/>
  <c r="Y812" s="1"/>
  <c r="M812"/>
  <c r="O812" s="1"/>
  <c r="U812" s="1"/>
  <c r="V812" s="1"/>
  <c r="Y811"/>
  <c r="W811"/>
  <c r="R811"/>
  <c r="AB811" s="1"/>
  <c r="AC811" s="1"/>
  <c r="O811"/>
  <c r="U811" s="1"/>
  <c r="V811" s="1"/>
  <c r="M811"/>
  <c r="AB810"/>
  <c r="AC810" s="1"/>
  <c r="Y810"/>
  <c r="X810"/>
  <c r="W810"/>
  <c r="R810"/>
  <c r="M810"/>
  <c r="O810" s="1"/>
  <c r="U810" s="1"/>
  <c r="V810" s="1"/>
  <c r="AB809"/>
  <c r="AC809" s="1"/>
  <c r="X809"/>
  <c r="W809"/>
  <c r="S809"/>
  <c r="T809" s="1"/>
  <c r="AD809" s="1"/>
  <c r="R809"/>
  <c r="Z809" s="1"/>
  <c r="AA809" s="1"/>
  <c r="M809"/>
  <c r="O809" s="1"/>
  <c r="U809" s="1"/>
  <c r="V809" s="1"/>
  <c r="W808"/>
  <c r="R808"/>
  <c r="Y808" s="1"/>
  <c r="M808"/>
  <c r="O808" s="1"/>
  <c r="U808" s="1"/>
  <c r="V808" s="1"/>
  <c r="W807"/>
  <c r="R807"/>
  <c r="AB807" s="1"/>
  <c r="AC807" s="1"/>
  <c r="O807"/>
  <c r="U807" s="1"/>
  <c r="V807" s="1"/>
  <c r="M807"/>
  <c r="AB806"/>
  <c r="AC806" s="1"/>
  <c r="Y806"/>
  <c r="X806"/>
  <c r="W806"/>
  <c r="R806"/>
  <c r="M806"/>
  <c r="O806" s="1"/>
  <c r="U806" s="1"/>
  <c r="V806" s="1"/>
  <c r="AB805"/>
  <c r="AC805" s="1"/>
  <c r="X805"/>
  <c r="W805"/>
  <c r="S805"/>
  <c r="T805" s="1"/>
  <c r="R805"/>
  <c r="Z805" s="1"/>
  <c r="AA805" s="1"/>
  <c r="M805"/>
  <c r="O805" s="1"/>
  <c r="U805" s="1"/>
  <c r="V805" s="1"/>
  <c r="W804"/>
  <c r="R804"/>
  <c r="Y804" s="1"/>
  <c r="M804"/>
  <c r="O804" s="1"/>
  <c r="U804" s="1"/>
  <c r="V804" s="1"/>
  <c r="W803"/>
  <c r="R803"/>
  <c r="AB803" s="1"/>
  <c r="AC803" s="1"/>
  <c r="O803"/>
  <c r="U803" s="1"/>
  <c r="V803" s="1"/>
  <c r="M803"/>
  <c r="AB802"/>
  <c r="AC802" s="1"/>
  <c r="Y802"/>
  <c r="X802"/>
  <c r="W802"/>
  <c r="R802"/>
  <c r="M802"/>
  <c r="O802" s="1"/>
  <c r="U802" s="1"/>
  <c r="V802" s="1"/>
  <c r="AB801"/>
  <c r="AC801" s="1"/>
  <c r="X801"/>
  <c r="W801"/>
  <c r="S801"/>
  <c r="R801"/>
  <c r="Z801" s="1"/>
  <c r="AA801" s="1"/>
  <c r="M801"/>
  <c r="T801" s="1"/>
  <c r="W800"/>
  <c r="R800"/>
  <c r="Y800" s="1"/>
  <c r="M800"/>
  <c r="O800" s="1"/>
  <c r="U800" s="1"/>
  <c r="V800" s="1"/>
  <c r="W799"/>
  <c r="R799"/>
  <c r="AB799" s="1"/>
  <c r="AC799" s="1"/>
  <c r="O799"/>
  <c r="U799" s="1"/>
  <c r="V799" s="1"/>
  <c r="M799"/>
  <c r="AB798"/>
  <c r="AC798" s="1"/>
  <c r="Y798"/>
  <c r="X798"/>
  <c r="W798"/>
  <c r="R798"/>
  <c r="M798"/>
  <c r="O798" s="1"/>
  <c r="U798" s="1"/>
  <c r="V798" s="1"/>
  <c r="AB797"/>
  <c r="AC797" s="1"/>
  <c r="X797"/>
  <c r="W797"/>
  <c r="S797"/>
  <c r="R797"/>
  <c r="Z797" s="1"/>
  <c r="AA797" s="1"/>
  <c r="M797"/>
  <c r="T797" s="1"/>
  <c r="W796"/>
  <c r="R796"/>
  <c r="Y796" s="1"/>
  <c r="M796"/>
  <c r="O796" s="1"/>
  <c r="U796" s="1"/>
  <c r="V796" s="1"/>
  <c r="W795"/>
  <c r="R795"/>
  <c r="AB795" s="1"/>
  <c r="AC795" s="1"/>
  <c r="O795"/>
  <c r="U795" s="1"/>
  <c r="V795" s="1"/>
  <c r="M795"/>
  <c r="AB794"/>
  <c r="AC794" s="1"/>
  <c r="Y794"/>
  <c r="X794"/>
  <c r="W794"/>
  <c r="R794"/>
  <c r="M794"/>
  <c r="O794" s="1"/>
  <c r="U794" s="1"/>
  <c r="V794" s="1"/>
  <c r="AB793"/>
  <c r="AC793" s="1"/>
  <c r="X793"/>
  <c r="W793"/>
  <c r="S793"/>
  <c r="R793"/>
  <c r="Z793" s="1"/>
  <c r="AA793" s="1"/>
  <c r="M793"/>
  <c r="T793" s="1"/>
  <c r="W792"/>
  <c r="R792"/>
  <c r="Y792" s="1"/>
  <c r="M792"/>
  <c r="O792" s="1"/>
  <c r="U792" s="1"/>
  <c r="V792" s="1"/>
  <c r="W791"/>
  <c r="R791"/>
  <c r="AB791" s="1"/>
  <c r="AC791" s="1"/>
  <c r="O791"/>
  <c r="U791" s="1"/>
  <c r="V791" s="1"/>
  <c r="M791"/>
  <c r="AB790"/>
  <c r="AC790" s="1"/>
  <c r="Y790"/>
  <c r="X790"/>
  <c r="W790"/>
  <c r="R790"/>
  <c r="M790"/>
  <c r="O790" s="1"/>
  <c r="U790" s="1"/>
  <c r="V790" s="1"/>
  <c r="AB789"/>
  <c r="AC789" s="1"/>
  <c r="X789"/>
  <c r="W789"/>
  <c r="S789"/>
  <c r="T789" s="1"/>
  <c r="R789"/>
  <c r="Z789" s="1"/>
  <c r="AA789" s="1"/>
  <c r="M789"/>
  <c r="O789" s="1"/>
  <c r="U789" s="1"/>
  <c r="V789" s="1"/>
  <c r="W788"/>
  <c r="R788"/>
  <c r="Y788" s="1"/>
  <c r="M788"/>
  <c r="O788" s="1"/>
  <c r="U788" s="1"/>
  <c r="V788" s="1"/>
  <c r="W787"/>
  <c r="R787"/>
  <c r="AB787" s="1"/>
  <c r="AC787" s="1"/>
  <c r="O787"/>
  <c r="U787" s="1"/>
  <c r="V787" s="1"/>
  <c r="M787"/>
  <c r="AB786"/>
  <c r="AC786" s="1"/>
  <c r="Y786"/>
  <c r="X786"/>
  <c r="W786"/>
  <c r="R786"/>
  <c r="M786"/>
  <c r="O786" s="1"/>
  <c r="U786" s="1"/>
  <c r="V786" s="1"/>
  <c r="AB785"/>
  <c r="AC785" s="1"/>
  <c r="X785"/>
  <c r="W785"/>
  <c r="S785"/>
  <c r="T785" s="1"/>
  <c r="R785"/>
  <c r="Z785" s="1"/>
  <c r="AA785" s="1"/>
  <c r="M785"/>
  <c r="O785" s="1"/>
  <c r="U785" s="1"/>
  <c r="V785" s="1"/>
  <c r="W784"/>
  <c r="R784"/>
  <c r="Y784" s="1"/>
  <c r="M784"/>
  <c r="O784" s="1"/>
  <c r="U784" s="1"/>
  <c r="V784" s="1"/>
  <c r="W783"/>
  <c r="R783"/>
  <c r="AB783" s="1"/>
  <c r="AC783" s="1"/>
  <c r="O783"/>
  <c r="U783" s="1"/>
  <c r="V783" s="1"/>
  <c r="M783"/>
  <c r="AB782"/>
  <c r="AC782" s="1"/>
  <c r="Y782"/>
  <c r="X782"/>
  <c r="W782"/>
  <c r="R782"/>
  <c r="M782"/>
  <c r="O782" s="1"/>
  <c r="U782" s="1"/>
  <c r="V782" s="1"/>
  <c r="AB781"/>
  <c r="AC781" s="1"/>
  <c r="X781"/>
  <c r="W781"/>
  <c r="S781"/>
  <c r="T781" s="1"/>
  <c r="R781"/>
  <c r="Z781" s="1"/>
  <c r="AA781" s="1"/>
  <c r="M781"/>
  <c r="O781" s="1"/>
  <c r="U781" s="1"/>
  <c r="V781" s="1"/>
  <c r="W780"/>
  <c r="R780"/>
  <c r="Y780" s="1"/>
  <c r="M780"/>
  <c r="O780" s="1"/>
  <c r="U780" s="1"/>
  <c r="V780" s="1"/>
  <c r="W779"/>
  <c r="R779"/>
  <c r="AB779" s="1"/>
  <c r="AC779" s="1"/>
  <c r="O779"/>
  <c r="U779" s="1"/>
  <c r="V779" s="1"/>
  <c r="M779"/>
  <c r="AB778"/>
  <c r="AC778" s="1"/>
  <c r="Y778"/>
  <c r="X778"/>
  <c r="W778"/>
  <c r="R778"/>
  <c r="M778"/>
  <c r="O778" s="1"/>
  <c r="U778" s="1"/>
  <c r="V778" s="1"/>
  <c r="AB777"/>
  <c r="AC777" s="1"/>
  <c r="X777"/>
  <c r="W777"/>
  <c r="S777"/>
  <c r="T777" s="1"/>
  <c r="AD777" s="1"/>
  <c r="R777"/>
  <c r="Z777" s="1"/>
  <c r="AA777" s="1"/>
  <c r="M777"/>
  <c r="O777" s="1"/>
  <c r="U777" s="1"/>
  <c r="V777" s="1"/>
  <c r="W776"/>
  <c r="R776"/>
  <c r="Y776" s="1"/>
  <c r="M776"/>
  <c r="O776" s="1"/>
  <c r="U776" s="1"/>
  <c r="V776" s="1"/>
  <c r="Y775"/>
  <c r="W775"/>
  <c r="R775"/>
  <c r="AB775" s="1"/>
  <c r="AC775" s="1"/>
  <c r="O775"/>
  <c r="U775" s="1"/>
  <c r="V775" s="1"/>
  <c r="M775"/>
  <c r="AC774"/>
  <c r="AB774"/>
  <c r="Y774"/>
  <c r="X774"/>
  <c r="W774"/>
  <c r="R774"/>
  <c r="O774"/>
  <c r="U774" s="1"/>
  <c r="V774" s="1"/>
  <c r="M774"/>
  <c r="AB773"/>
  <c r="AC773" s="1"/>
  <c r="AA773"/>
  <c r="X773"/>
  <c r="W773"/>
  <c r="T773"/>
  <c r="S773"/>
  <c r="R773"/>
  <c r="Z773" s="1"/>
  <c r="M773"/>
  <c r="O773" s="1"/>
  <c r="U773" s="1"/>
  <c r="V773" s="1"/>
  <c r="W772"/>
  <c r="S772"/>
  <c r="T772" s="1"/>
  <c r="R772"/>
  <c r="M772"/>
  <c r="O772" s="1"/>
  <c r="Z771"/>
  <c r="W771"/>
  <c r="R771"/>
  <c r="O771"/>
  <c r="U771" s="1"/>
  <c r="V771" s="1"/>
  <c r="M771"/>
  <c r="AC770"/>
  <c r="AB770"/>
  <c r="Y770"/>
  <c r="X770"/>
  <c r="W770"/>
  <c r="R770"/>
  <c r="O770"/>
  <c r="U770" s="1"/>
  <c r="V770" s="1"/>
  <c r="M770"/>
  <c r="AB769"/>
  <c r="AC769" s="1"/>
  <c r="AA769"/>
  <c r="X769"/>
  <c r="W769"/>
  <c r="T769"/>
  <c r="AD769" s="1"/>
  <c r="S769"/>
  <c r="R769"/>
  <c r="Z769" s="1"/>
  <c r="M769"/>
  <c r="O769" s="1"/>
  <c r="U769" s="1"/>
  <c r="V769" s="1"/>
  <c r="W768"/>
  <c r="S768"/>
  <c r="T768" s="1"/>
  <c r="R768"/>
  <c r="M768"/>
  <c r="O768" s="1"/>
  <c r="Z767"/>
  <c r="W767"/>
  <c r="R767"/>
  <c r="O767"/>
  <c r="U767" s="1"/>
  <c r="V767" s="1"/>
  <c r="M767"/>
  <c r="AC766"/>
  <c r="AB766"/>
  <c r="Y766"/>
  <c r="X766"/>
  <c r="W766"/>
  <c r="R766"/>
  <c r="O766"/>
  <c r="U766" s="1"/>
  <c r="V766" s="1"/>
  <c r="M766"/>
  <c r="AB765"/>
  <c r="AC765" s="1"/>
  <c r="AA765"/>
  <c r="X765"/>
  <c r="W765"/>
  <c r="T765"/>
  <c r="S765"/>
  <c r="R765"/>
  <c r="Z765" s="1"/>
  <c r="M765"/>
  <c r="O765" s="1"/>
  <c r="U765" s="1"/>
  <c r="V765" s="1"/>
  <c r="W764"/>
  <c r="S764"/>
  <c r="T764" s="1"/>
  <c r="R764"/>
  <c r="M764"/>
  <c r="O764" s="1"/>
  <c r="Z763"/>
  <c r="W763"/>
  <c r="R763"/>
  <c r="O763"/>
  <c r="U763" s="1"/>
  <c r="V763" s="1"/>
  <c r="M763"/>
  <c r="AC762"/>
  <c r="AB762"/>
  <c r="Y762"/>
  <c r="X762"/>
  <c r="W762"/>
  <c r="R762"/>
  <c r="O762"/>
  <c r="U762" s="1"/>
  <c r="V762" s="1"/>
  <c r="M762"/>
  <c r="AB761"/>
  <c r="AC761" s="1"/>
  <c r="AA761"/>
  <c r="X761"/>
  <c r="W761"/>
  <c r="T761"/>
  <c r="S761"/>
  <c r="R761"/>
  <c r="Z761" s="1"/>
  <c r="M761"/>
  <c r="O761" s="1"/>
  <c r="U761" s="1"/>
  <c r="V761" s="1"/>
  <c r="W760"/>
  <c r="S760"/>
  <c r="T760" s="1"/>
  <c r="R760"/>
  <c r="M760"/>
  <c r="O760" s="1"/>
  <c r="Z759"/>
  <c r="W759"/>
  <c r="R759"/>
  <c r="O759"/>
  <c r="U759" s="1"/>
  <c r="V759" s="1"/>
  <c r="M759"/>
  <c r="AC758"/>
  <c r="AB758"/>
  <c r="Y758"/>
  <c r="X758"/>
  <c r="W758"/>
  <c r="R758"/>
  <c r="O758"/>
  <c r="U758" s="1"/>
  <c r="V758" s="1"/>
  <c r="M758"/>
  <c r="AB757"/>
  <c r="AC757" s="1"/>
  <c r="AA757"/>
  <c r="X757"/>
  <c r="W757"/>
  <c r="T757"/>
  <c r="S757"/>
  <c r="R757"/>
  <c r="Z757" s="1"/>
  <c r="M757"/>
  <c r="O757" s="1"/>
  <c r="U757" s="1"/>
  <c r="V757" s="1"/>
  <c r="W756"/>
  <c r="S756"/>
  <c r="T756" s="1"/>
  <c r="R756"/>
  <c r="M756"/>
  <c r="O756" s="1"/>
  <c r="W755"/>
  <c r="R755"/>
  <c r="Z755" s="1"/>
  <c r="O755"/>
  <c r="U755" s="1"/>
  <c r="V755" s="1"/>
  <c r="M755"/>
  <c r="AC754"/>
  <c r="AB754"/>
  <c r="Y754"/>
  <c r="X754"/>
  <c r="W754"/>
  <c r="R754"/>
  <c r="O754"/>
  <c r="U754" s="1"/>
  <c r="V754" s="1"/>
  <c r="M754"/>
  <c r="AB753"/>
  <c r="AC753" s="1"/>
  <c r="AA753"/>
  <c r="X753"/>
  <c r="W753"/>
  <c r="T753"/>
  <c r="S753"/>
  <c r="R753"/>
  <c r="Z753" s="1"/>
  <c r="M753"/>
  <c r="O753" s="1"/>
  <c r="U753" s="1"/>
  <c r="V753" s="1"/>
  <c r="W752"/>
  <c r="S752"/>
  <c r="T752" s="1"/>
  <c r="R752"/>
  <c r="M752"/>
  <c r="O752" s="1"/>
  <c r="W751"/>
  <c r="R751"/>
  <c r="Z751" s="1"/>
  <c r="O751"/>
  <c r="U751" s="1"/>
  <c r="V751" s="1"/>
  <c r="M751"/>
  <c r="AB750"/>
  <c r="AC750" s="1"/>
  <c r="Y750"/>
  <c r="X750"/>
  <c r="W750"/>
  <c r="R750"/>
  <c r="M750"/>
  <c r="O750" s="1"/>
  <c r="U750" s="1"/>
  <c r="V750" s="1"/>
  <c r="AB749"/>
  <c r="AC749" s="1"/>
  <c r="AA749"/>
  <c r="X749"/>
  <c r="W749"/>
  <c r="T749"/>
  <c r="S749"/>
  <c r="R749"/>
  <c r="Z749" s="1"/>
  <c r="M749"/>
  <c r="O749" s="1"/>
  <c r="U749" s="1"/>
  <c r="V749" s="1"/>
  <c r="W748"/>
  <c r="S748"/>
  <c r="T748" s="1"/>
  <c r="R748"/>
  <c r="M748"/>
  <c r="O748" s="1"/>
  <c r="W747"/>
  <c r="R747"/>
  <c r="Z747" s="1"/>
  <c r="O747"/>
  <c r="U747" s="1"/>
  <c r="V747" s="1"/>
  <c r="M747"/>
  <c r="AB746"/>
  <c r="AC746" s="1"/>
  <c r="Y746"/>
  <c r="X746"/>
  <c r="W746"/>
  <c r="R746"/>
  <c r="M746"/>
  <c r="O746" s="1"/>
  <c r="U746" s="1"/>
  <c r="V746" s="1"/>
  <c r="AB745"/>
  <c r="AC745" s="1"/>
  <c r="AA745"/>
  <c r="Y745"/>
  <c r="X745"/>
  <c r="W745"/>
  <c r="S745"/>
  <c r="R745"/>
  <c r="Z745" s="1"/>
  <c r="M745"/>
  <c r="O745" s="1"/>
  <c r="U745" s="1"/>
  <c r="V745" s="1"/>
  <c r="W744"/>
  <c r="R744"/>
  <c r="M744"/>
  <c r="O744" s="1"/>
  <c r="U744" s="1"/>
  <c r="V744" s="1"/>
  <c r="W743"/>
  <c r="R743"/>
  <c r="O743"/>
  <c r="U743" s="1"/>
  <c r="V743" s="1"/>
  <c r="M743"/>
  <c r="AB742"/>
  <c r="AC742" s="1"/>
  <c r="Y742"/>
  <c r="X742"/>
  <c r="W742"/>
  <c r="R742"/>
  <c r="M742"/>
  <c r="O742" s="1"/>
  <c r="AB741"/>
  <c r="AC741" s="1"/>
  <c r="X741"/>
  <c r="W741"/>
  <c r="S741"/>
  <c r="R741"/>
  <c r="Z741" s="1"/>
  <c r="AA741" s="1"/>
  <c r="M741"/>
  <c r="O741" s="1"/>
  <c r="U741" s="1"/>
  <c r="V741" s="1"/>
  <c r="W740"/>
  <c r="R740"/>
  <c r="M740"/>
  <c r="O740" s="1"/>
  <c r="U740" s="1"/>
  <c r="V740" s="1"/>
  <c r="W739"/>
  <c r="R739"/>
  <c r="O739"/>
  <c r="U739" s="1"/>
  <c r="M739"/>
  <c r="AB738"/>
  <c r="AC738" s="1"/>
  <c r="Y738"/>
  <c r="X738"/>
  <c r="W738"/>
  <c r="R738"/>
  <c r="M738"/>
  <c r="O738" s="1"/>
  <c r="U738" s="1"/>
  <c r="V738" s="1"/>
  <c r="AB737"/>
  <c r="AC737" s="1"/>
  <c r="X737"/>
  <c r="W737"/>
  <c r="S737"/>
  <c r="R737"/>
  <c r="Z737" s="1"/>
  <c r="AA737" s="1"/>
  <c r="M737"/>
  <c r="O737" s="1"/>
  <c r="W736"/>
  <c r="R736"/>
  <c r="M736"/>
  <c r="O736" s="1"/>
  <c r="U736" s="1"/>
  <c r="V736" s="1"/>
  <c r="W735"/>
  <c r="R735"/>
  <c r="O735"/>
  <c r="U735" s="1"/>
  <c r="M735"/>
  <c r="AB734"/>
  <c r="AC734" s="1"/>
  <c r="Y734"/>
  <c r="X734"/>
  <c r="W734"/>
  <c r="R734"/>
  <c r="M734"/>
  <c r="O734" s="1"/>
  <c r="U734" s="1"/>
  <c r="V734" s="1"/>
  <c r="AB733"/>
  <c r="AC733" s="1"/>
  <c r="X733"/>
  <c r="W733"/>
  <c r="S733"/>
  <c r="R733"/>
  <c r="Z733" s="1"/>
  <c r="AA733" s="1"/>
  <c r="M733"/>
  <c r="O733" s="1"/>
  <c r="W732"/>
  <c r="R732"/>
  <c r="M732"/>
  <c r="O732" s="1"/>
  <c r="U732" s="1"/>
  <c r="V732" s="1"/>
  <c r="W731"/>
  <c r="R731"/>
  <c r="O731"/>
  <c r="U731" s="1"/>
  <c r="V731" s="1"/>
  <c r="M731"/>
  <c r="AB730"/>
  <c r="AC730" s="1"/>
  <c r="Y730"/>
  <c r="X730"/>
  <c r="W730"/>
  <c r="R730"/>
  <c r="M730"/>
  <c r="O730" s="1"/>
  <c r="U730" s="1"/>
  <c r="V730" s="1"/>
  <c r="AB729"/>
  <c r="AC729" s="1"/>
  <c r="X729"/>
  <c r="W729"/>
  <c r="S729"/>
  <c r="R729"/>
  <c r="Z729" s="1"/>
  <c r="AA729" s="1"/>
  <c r="M729"/>
  <c r="O729" s="1"/>
  <c r="U729" s="1"/>
  <c r="V729" s="1"/>
  <c r="W728"/>
  <c r="R728"/>
  <c r="M728"/>
  <c r="O728" s="1"/>
  <c r="U728" s="1"/>
  <c r="W727"/>
  <c r="R727"/>
  <c r="O727"/>
  <c r="U727" s="1"/>
  <c r="V727" s="1"/>
  <c r="M727"/>
  <c r="AB726"/>
  <c r="AC726" s="1"/>
  <c r="Y726"/>
  <c r="X726"/>
  <c r="W726"/>
  <c r="R726"/>
  <c r="M726"/>
  <c r="O726" s="1"/>
  <c r="U726" s="1"/>
  <c r="V726" s="1"/>
  <c r="AB725"/>
  <c r="AC725" s="1"/>
  <c r="X725"/>
  <c r="W725"/>
  <c r="S725"/>
  <c r="R725"/>
  <c r="Z725" s="1"/>
  <c r="AA725" s="1"/>
  <c r="M725"/>
  <c r="O725" s="1"/>
  <c r="W724"/>
  <c r="R724"/>
  <c r="M724"/>
  <c r="O724" s="1"/>
  <c r="U724" s="1"/>
  <c r="V724" s="1"/>
  <c r="W723"/>
  <c r="R723"/>
  <c r="O723"/>
  <c r="U723" s="1"/>
  <c r="M723"/>
  <c r="AB722"/>
  <c r="AC722" s="1"/>
  <c r="Y722"/>
  <c r="X722"/>
  <c r="W722"/>
  <c r="R722"/>
  <c r="M722"/>
  <c r="O722" s="1"/>
  <c r="U722" s="1"/>
  <c r="V722" s="1"/>
  <c r="AB721"/>
  <c r="AC721" s="1"/>
  <c r="X721"/>
  <c r="W721"/>
  <c r="S721"/>
  <c r="R721"/>
  <c r="Z721" s="1"/>
  <c r="AA721" s="1"/>
  <c r="M721"/>
  <c r="O721" s="1"/>
  <c r="U721" s="1"/>
  <c r="V721" s="1"/>
  <c r="W720"/>
  <c r="R720"/>
  <c r="M720"/>
  <c r="O720" s="1"/>
  <c r="U720" s="1"/>
  <c r="V720" s="1"/>
  <c r="W719"/>
  <c r="R719"/>
  <c r="O719"/>
  <c r="U719" s="1"/>
  <c r="V719" s="1"/>
  <c r="M719"/>
  <c r="AB718"/>
  <c r="AC718" s="1"/>
  <c r="Y718"/>
  <c r="X718"/>
  <c r="W718"/>
  <c r="R718"/>
  <c r="M718"/>
  <c r="O718" s="1"/>
  <c r="U718" s="1"/>
  <c r="V718" s="1"/>
  <c r="AB717"/>
  <c r="AC717" s="1"/>
  <c r="X717"/>
  <c r="W717"/>
  <c r="S717"/>
  <c r="R717"/>
  <c r="Z717" s="1"/>
  <c r="AA717" s="1"/>
  <c r="M717"/>
  <c r="O717" s="1"/>
  <c r="W716"/>
  <c r="R716"/>
  <c r="M716"/>
  <c r="O716" s="1"/>
  <c r="U716" s="1"/>
  <c r="W715"/>
  <c r="R715"/>
  <c r="O715"/>
  <c r="U715" s="1"/>
  <c r="V715" s="1"/>
  <c r="M715"/>
  <c r="AB714"/>
  <c r="AC714" s="1"/>
  <c r="Y714"/>
  <c r="X714"/>
  <c r="W714"/>
  <c r="R714"/>
  <c r="M714"/>
  <c r="O714" s="1"/>
  <c r="U714" s="1"/>
  <c r="V714" s="1"/>
  <c r="AB713"/>
  <c r="AC713" s="1"/>
  <c r="X713"/>
  <c r="W713"/>
  <c r="S713"/>
  <c r="R713"/>
  <c r="Z713" s="1"/>
  <c r="AA713" s="1"/>
  <c r="M713"/>
  <c r="O713" s="1"/>
  <c r="U713" s="1"/>
  <c r="V713" s="1"/>
  <c r="W712"/>
  <c r="R712"/>
  <c r="M712"/>
  <c r="O712" s="1"/>
  <c r="U712" s="1"/>
  <c r="W711"/>
  <c r="R711"/>
  <c r="O711"/>
  <c r="U711" s="1"/>
  <c r="V711" s="1"/>
  <c r="M711"/>
  <c r="AB710"/>
  <c r="AC710" s="1"/>
  <c r="Y710"/>
  <c r="X710"/>
  <c r="W710"/>
  <c r="R710"/>
  <c r="M710"/>
  <c r="O710" s="1"/>
  <c r="U710" s="1"/>
  <c r="V710" s="1"/>
  <c r="AB709"/>
  <c r="AC709" s="1"/>
  <c r="Y709"/>
  <c r="X709"/>
  <c r="W709"/>
  <c r="S709"/>
  <c r="T709" s="1"/>
  <c r="AD709" s="1"/>
  <c r="R709"/>
  <c r="Z709" s="1"/>
  <c r="AA709" s="1"/>
  <c r="M709"/>
  <c r="O709" s="1"/>
  <c r="U709" s="1"/>
  <c r="V709" s="1"/>
  <c r="W708"/>
  <c r="R708"/>
  <c r="M708"/>
  <c r="O708" s="1"/>
  <c r="Z707"/>
  <c r="W707"/>
  <c r="U707"/>
  <c r="V707" s="1"/>
  <c r="R707"/>
  <c r="O707"/>
  <c r="M707"/>
  <c r="AC706"/>
  <c r="AB706"/>
  <c r="Y706"/>
  <c r="X706"/>
  <c r="W706"/>
  <c r="R706"/>
  <c r="O706"/>
  <c r="U706" s="1"/>
  <c r="V706" s="1"/>
  <c r="M706"/>
  <c r="AB705"/>
  <c r="AC705" s="1"/>
  <c r="X705"/>
  <c r="W705"/>
  <c r="S705"/>
  <c r="T705" s="1"/>
  <c r="R705"/>
  <c r="Z705" s="1"/>
  <c r="AA705" s="1"/>
  <c r="M705"/>
  <c r="O705" s="1"/>
  <c r="W704"/>
  <c r="R704"/>
  <c r="M704"/>
  <c r="O704" s="1"/>
  <c r="Z703"/>
  <c r="W703"/>
  <c r="U703"/>
  <c r="V703" s="1"/>
  <c r="R703"/>
  <c r="O703"/>
  <c r="M703"/>
  <c r="AC702"/>
  <c r="AB702"/>
  <c r="Y702"/>
  <c r="X702"/>
  <c r="W702"/>
  <c r="R702"/>
  <c r="O702"/>
  <c r="U702" s="1"/>
  <c r="V702" s="1"/>
  <c r="M702"/>
  <c r="AB701"/>
  <c r="AC701" s="1"/>
  <c r="X701"/>
  <c r="W701"/>
  <c r="S701"/>
  <c r="T701" s="1"/>
  <c r="R701"/>
  <c r="Z701" s="1"/>
  <c r="AA701" s="1"/>
  <c r="M701"/>
  <c r="O701" s="1"/>
  <c r="W700"/>
  <c r="R700"/>
  <c r="M700"/>
  <c r="O700" s="1"/>
  <c r="Z699"/>
  <c r="W699"/>
  <c r="U699"/>
  <c r="V699" s="1"/>
  <c r="R699"/>
  <c r="O699"/>
  <c r="M699"/>
  <c r="AC698"/>
  <c r="AB698"/>
  <c r="Y698"/>
  <c r="X698"/>
  <c r="W698"/>
  <c r="R698"/>
  <c r="O698"/>
  <c r="U698" s="1"/>
  <c r="V698" s="1"/>
  <c r="M698"/>
  <c r="AB697"/>
  <c r="AC697" s="1"/>
  <c r="X697"/>
  <c r="W697"/>
  <c r="S697"/>
  <c r="T697" s="1"/>
  <c r="R697"/>
  <c r="Z697" s="1"/>
  <c r="AA697" s="1"/>
  <c r="M697"/>
  <c r="O697" s="1"/>
  <c r="U697" s="1"/>
  <c r="V697" s="1"/>
  <c r="W696"/>
  <c r="R696"/>
  <c r="M696"/>
  <c r="O696" s="1"/>
  <c r="Z695"/>
  <c r="W695"/>
  <c r="U695"/>
  <c r="V695" s="1"/>
  <c r="R695"/>
  <c r="O695"/>
  <c r="M695"/>
  <c r="AC694"/>
  <c r="AB694"/>
  <c r="Y694"/>
  <c r="X694"/>
  <c r="W694"/>
  <c r="R694"/>
  <c r="O694"/>
  <c r="M694"/>
  <c r="AB693"/>
  <c r="AC693" s="1"/>
  <c r="AA693"/>
  <c r="Y693"/>
  <c r="X693"/>
  <c r="W693"/>
  <c r="S693"/>
  <c r="R693"/>
  <c r="Z693" s="1"/>
  <c r="M693"/>
  <c r="O693" s="1"/>
  <c r="W692"/>
  <c r="S692"/>
  <c r="T692" s="1"/>
  <c r="R692"/>
  <c r="AB692" s="1"/>
  <c r="AC692" s="1"/>
  <c r="M692"/>
  <c r="O692" s="1"/>
  <c r="W691"/>
  <c r="R691"/>
  <c r="O691"/>
  <c r="U691" s="1"/>
  <c r="V691" s="1"/>
  <c r="M691"/>
  <c r="AC690"/>
  <c r="AB690"/>
  <c r="Y690"/>
  <c r="X690"/>
  <c r="W690"/>
  <c r="R690"/>
  <c r="Z690" s="1"/>
  <c r="O690"/>
  <c r="U690" s="1"/>
  <c r="V690" s="1"/>
  <c r="M690"/>
  <c r="AB689"/>
  <c r="AC689" s="1"/>
  <c r="Y689"/>
  <c r="X689"/>
  <c r="W689"/>
  <c r="S689"/>
  <c r="R689"/>
  <c r="Z689" s="1"/>
  <c r="AA689" s="1"/>
  <c r="M689"/>
  <c r="O689" s="1"/>
  <c r="U689" s="1"/>
  <c r="V689" s="1"/>
  <c r="W688"/>
  <c r="S688"/>
  <c r="T688" s="1"/>
  <c r="R688"/>
  <c r="AB688" s="1"/>
  <c r="AC688" s="1"/>
  <c r="M688"/>
  <c r="O688" s="1"/>
  <c r="U688" s="1"/>
  <c r="V688" s="1"/>
  <c r="W687"/>
  <c r="R687"/>
  <c r="O687"/>
  <c r="U687" s="1"/>
  <c r="V687" s="1"/>
  <c r="M687"/>
  <c r="AC686"/>
  <c r="AB686"/>
  <c r="Y686"/>
  <c r="X686"/>
  <c r="W686"/>
  <c r="R686"/>
  <c r="Z686" s="1"/>
  <c r="O686"/>
  <c r="U686" s="1"/>
  <c r="V686" s="1"/>
  <c r="M686"/>
  <c r="AB685"/>
  <c r="AC685" s="1"/>
  <c r="Y685"/>
  <c r="X685"/>
  <c r="W685"/>
  <c r="S685"/>
  <c r="R685"/>
  <c r="Z685" s="1"/>
  <c r="AA685" s="1"/>
  <c r="M685"/>
  <c r="O685" s="1"/>
  <c r="U685" s="1"/>
  <c r="V685" s="1"/>
  <c r="W684"/>
  <c r="S684"/>
  <c r="T684" s="1"/>
  <c r="R684"/>
  <c r="AB684" s="1"/>
  <c r="AC684" s="1"/>
  <c r="M684"/>
  <c r="O684" s="1"/>
  <c r="U684" s="1"/>
  <c r="V684" s="1"/>
  <c r="W683"/>
  <c r="R683"/>
  <c r="O683"/>
  <c r="U683" s="1"/>
  <c r="V683" s="1"/>
  <c r="M683"/>
  <c r="AC682"/>
  <c r="AB682"/>
  <c r="Y682"/>
  <c r="X682"/>
  <c r="W682"/>
  <c r="R682"/>
  <c r="Z682" s="1"/>
  <c r="O682"/>
  <c r="U682" s="1"/>
  <c r="V682" s="1"/>
  <c r="M682"/>
  <c r="AB681"/>
  <c r="AC681" s="1"/>
  <c r="X681"/>
  <c r="W681"/>
  <c r="S681"/>
  <c r="R681"/>
  <c r="Y681" s="1"/>
  <c r="M681"/>
  <c r="O681" s="1"/>
  <c r="U681" s="1"/>
  <c r="V681" s="1"/>
  <c r="W680"/>
  <c r="S680"/>
  <c r="T680" s="1"/>
  <c r="R680"/>
  <c r="AB680" s="1"/>
  <c r="AC680" s="1"/>
  <c r="M680"/>
  <c r="O680" s="1"/>
  <c r="U680" s="1"/>
  <c r="V680" s="1"/>
  <c r="W679"/>
  <c r="R679"/>
  <c r="O679"/>
  <c r="U679" s="1"/>
  <c r="V679" s="1"/>
  <c r="M679"/>
  <c r="AC678"/>
  <c r="AB678"/>
  <c r="Y678"/>
  <c r="X678"/>
  <c r="W678"/>
  <c r="R678"/>
  <c r="Z678" s="1"/>
  <c r="O678"/>
  <c r="U678" s="1"/>
  <c r="V678" s="1"/>
  <c r="M678"/>
  <c r="AB677"/>
  <c r="AC677" s="1"/>
  <c r="X677"/>
  <c r="W677"/>
  <c r="S677"/>
  <c r="R677"/>
  <c r="Y677" s="1"/>
  <c r="M677"/>
  <c r="O677" s="1"/>
  <c r="U677" s="1"/>
  <c r="V677" s="1"/>
  <c r="W676"/>
  <c r="S676"/>
  <c r="T676" s="1"/>
  <c r="R676"/>
  <c r="AB676" s="1"/>
  <c r="AC676" s="1"/>
  <c r="M676"/>
  <c r="O676" s="1"/>
  <c r="U676" s="1"/>
  <c r="V676" s="1"/>
  <c r="W675"/>
  <c r="R675"/>
  <c r="O675"/>
  <c r="U675" s="1"/>
  <c r="V675" s="1"/>
  <c r="M675"/>
  <c r="AC674"/>
  <c r="AB674"/>
  <c r="Y674"/>
  <c r="X674"/>
  <c r="W674"/>
  <c r="R674"/>
  <c r="Z674" s="1"/>
  <c r="O674"/>
  <c r="U674" s="1"/>
  <c r="V674" s="1"/>
  <c r="M674"/>
  <c r="AB673"/>
  <c r="AC673" s="1"/>
  <c r="X673"/>
  <c r="W673"/>
  <c r="S673"/>
  <c r="R673"/>
  <c r="Y673" s="1"/>
  <c r="M673"/>
  <c r="O673" s="1"/>
  <c r="U673" s="1"/>
  <c r="V673" s="1"/>
  <c r="W672"/>
  <c r="S672"/>
  <c r="T672" s="1"/>
  <c r="R672"/>
  <c r="AB672" s="1"/>
  <c r="AC672" s="1"/>
  <c r="M672"/>
  <c r="O672" s="1"/>
  <c r="U672" s="1"/>
  <c r="V672" s="1"/>
  <c r="W671"/>
  <c r="R671"/>
  <c r="O671"/>
  <c r="U671" s="1"/>
  <c r="V671" s="1"/>
  <c r="M671"/>
  <c r="AC670"/>
  <c r="AB670"/>
  <c r="Y670"/>
  <c r="X670"/>
  <c r="W670"/>
  <c r="R670"/>
  <c r="Z670" s="1"/>
  <c r="O670"/>
  <c r="U670" s="1"/>
  <c r="V670" s="1"/>
  <c r="M670"/>
  <c r="AB669"/>
  <c r="AC669" s="1"/>
  <c r="X669"/>
  <c r="W669"/>
  <c r="S669"/>
  <c r="R669"/>
  <c r="Y669" s="1"/>
  <c r="M669"/>
  <c r="O669" s="1"/>
  <c r="W668"/>
  <c r="S668"/>
  <c r="T668" s="1"/>
  <c r="R668"/>
  <c r="AB668" s="1"/>
  <c r="AC668" s="1"/>
  <c r="M668"/>
  <c r="O668" s="1"/>
  <c r="W667"/>
  <c r="R667"/>
  <c r="O667"/>
  <c r="U667" s="1"/>
  <c r="V667" s="1"/>
  <c r="M667"/>
  <c r="AC666"/>
  <c r="AB666"/>
  <c r="Y666"/>
  <c r="X666"/>
  <c r="W666"/>
  <c r="R666"/>
  <c r="Z666" s="1"/>
  <c r="O666"/>
  <c r="M666"/>
  <c r="AB665"/>
  <c r="AC665" s="1"/>
  <c r="X665"/>
  <c r="W665"/>
  <c r="S665"/>
  <c r="R665"/>
  <c r="Y665" s="1"/>
  <c r="M665"/>
  <c r="O665" s="1"/>
  <c r="U665" s="1"/>
  <c r="V665" s="1"/>
  <c r="W664"/>
  <c r="S664"/>
  <c r="T664" s="1"/>
  <c r="R664"/>
  <c r="AB664" s="1"/>
  <c r="AC664" s="1"/>
  <c r="M664"/>
  <c r="O664" s="1"/>
  <c r="U664" s="1"/>
  <c r="V664" s="1"/>
  <c r="W663"/>
  <c r="R663"/>
  <c r="O663"/>
  <c r="U663" s="1"/>
  <c r="V663" s="1"/>
  <c r="M663"/>
  <c r="AC662"/>
  <c r="AB662"/>
  <c r="Y662"/>
  <c r="X662"/>
  <c r="W662"/>
  <c r="R662"/>
  <c r="Z662" s="1"/>
  <c r="O662"/>
  <c r="U662" s="1"/>
  <c r="V662" s="1"/>
  <c r="M662"/>
  <c r="AB661"/>
  <c r="AC661" s="1"/>
  <c r="X661"/>
  <c r="W661"/>
  <c r="S661"/>
  <c r="R661"/>
  <c r="Y661" s="1"/>
  <c r="M661"/>
  <c r="O661" s="1"/>
  <c r="U661" s="1"/>
  <c r="V661" s="1"/>
  <c r="W660"/>
  <c r="S660"/>
  <c r="T660" s="1"/>
  <c r="R660"/>
  <c r="AB660" s="1"/>
  <c r="AC660" s="1"/>
  <c r="M660"/>
  <c r="O660" s="1"/>
  <c r="U660" s="1"/>
  <c r="V660" s="1"/>
  <c r="W659"/>
  <c r="R659"/>
  <c r="O659"/>
  <c r="U659" s="1"/>
  <c r="V659" s="1"/>
  <c r="M659"/>
  <c r="AC658"/>
  <c r="AB658"/>
  <c r="Y658"/>
  <c r="X658"/>
  <c r="W658"/>
  <c r="R658"/>
  <c r="Z658" s="1"/>
  <c r="O658"/>
  <c r="M658"/>
  <c r="AB657"/>
  <c r="AC657" s="1"/>
  <c r="X657"/>
  <c r="W657"/>
  <c r="S657"/>
  <c r="R657"/>
  <c r="Y657" s="1"/>
  <c r="M657"/>
  <c r="O657" s="1"/>
  <c r="W656"/>
  <c r="S656"/>
  <c r="T656" s="1"/>
  <c r="R656"/>
  <c r="AB656" s="1"/>
  <c r="AC656" s="1"/>
  <c r="M656"/>
  <c r="O656" s="1"/>
  <c r="U656" s="1"/>
  <c r="V656" s="1"/>
  <c r="W655"/>
  <c r="R655"/>
  <c r="O655"/>
  <c r="U655" s="1"/>
  <c r="V655" s="1"/>
  <c r="M655"/>
  <c r="AC654"/>
  <c r="AB654"/>
  <c r="Y654"/>
  <c r="X654"/>
  <c r="W654"/>
  <c r="R654"/>
  <c r="Z654" s="1"/>
  <c r="O654"/>
  <c r="M654"/>
  <c r="AB653"/>
  <c r="AC653" s="1"/>
  <c r="X653"/>
  <c r="W653"/>
  <c r="S653"/>
  <c r="R653"/>
  <c r="Y653" s="1"/>
  <c r="M653"/>
  <c r="O653" s="1"/>
  <c r="W652"/>
  <c r="S652"/>
  <c r="T652" s="1"/>
  <c r="R652"/>
  <c r="AB652" s="1"/>
  <c r="AC652" s="1"/>
  <c r="M652"/>
  <c r="O652" s="1"/>
  <c r="U652" s="1"/>
  <c r="V652" s="1"/>
  <c r="W651"/>
  <c r="R651"/>
  <c r="O651"/>
  <c r="U651" s="1"/>
  <c r="V651" s="1"/>
  <c r="M651"/>
  <c r="AC650"/>
  <c r="AB650"/>
  <c r="Y650"/>
  <c r="X650"/>
  <c r="W650"/>
  <c r="R650"/>
  <c r="Z650" s="1"/>
  <c r="O650"/>
  <c r="U650" s="1"/>
  <c r="V650" s="1"/>
  <c r="M650"/>
  <c r="AB649"/>
  <c r="AC649" s="1"/>
  <c r="X649"/>
  <c r="W649"/>
  <c r="S649"/>
  <c r="R649"/>
  <c r="Y649" s="1"/>
  <c r="M649"/>
  <c r="O649" s="1"/>
  <c r="U649" s="1"/>
  <c r="V649" s="1"/>
  <c r="W648"/>
  <c r="S648"/>
  <c r="T648" s="1"/>
  <c r="R648"/>
  <c r="AB648" s="1"/>
  <c r="AC648" s="1"/>
  <c r="M648"/>
  <c r="O648" s="1"/>
  <c r="U648" s="1"/>
  <c r="V648" s="1"/>
  <c r="W647"/>
  <c r="R647"/>
  <c r="O647"/>
  <c r="U647" s="1"/>
  <c r="V647" s="1"/>
  <c r="M647"/>
  <c r="AC646"/>
  <c r="AB646"/>
  <c r="Y646"/>
  <c r="X646"/>
  <c r="W646"/>
  <c r="R646"/>
  <c r="Z646" s="1"/>
  <c r="O646"/>
  <c r="U646" s="1"/>
  <c r="V646" s="1"/>
  <c r="M646"/>
  <c r="AB645"/>
  <c r="AC645" s="1"/>
  <c r="X645"/>
  <c r="W645"/>
  <c r="S645"/>
  <c r="R645"/>
  <c r="Y645" s="1"/>
  <c r="M645"/>
  <c r="O645" s="1"/>
  <c r="U645" s="1"/>
  <c r="V645" s="1"/>
  <c r="W644"/>
  <c r="S644"/>
  <c r="T644" s="1"/>
  <c r="R644"/>
  <c r="AB644" s="1"/>
  <c r="AC644" s="1"/>
  <c r="M644"/>
  <c r="O644" s="1"/>
  <c r="U644" s="1"/>
  <c r="V644" s="1"/>
  <c r="W643"/>
  <c r="R643"/>
  <c r="O643"/>
  <c r="U643" s="1"/>
  <c r="V643" s="1"/>
  <c r="M643"/>
  <c r="AC642"/>
  <c r="AB642"/>
  <c r="Y642"/>
  <c r="X642"/>
  <c r="W642"/>
  <c r="R642"/>
  <c r="Z642" s="1"/>
  <c r="O642"/>
  <c r="U642" s="1"/>
  <c r="V642" s="1"/>
  <c r="M642"/>
  <c r="AB641"/>
  <c r="AC641" s="1"/>
  <c r="X641"/>
  <c r="W641"/>
  <c r="S641"/>
  <c r="R641"/>
  <c r="Y641" s="1"/>
  <c r="M641"/>
  <c r="O641" s="1"/>
  <c r="U641" s="1"/>
  <c r="V641" s="1"/>
  <c r="W640"/>
  <c r="S640"/>
  <c r="T640" s="1"/>
  <c r="R640"/>
  <c r="AB640" s="1"/>
  <c r="AC640" s="1"/>
  <c r="M640"/>
  <c r="O640" s="1"/>
  <c r="U640" s="1"/>
  <c r="V640" s="1"/>
  <c r="W639"/>
  <c r="R639"/>
  <c r="O639"/>
  <c r="U639" s="1"/>
  <c r="V639" s="1"/>
  <c r="M639"/>
  <c r="AC638"/>
  <c r="AB638"/>
  <c r="Y638"/>
  <c r="X638"/>
  <c r="W638"/>
  <c r="R638"/>
  <c r="Z638" s="1"/>
  <c r="O638"/>
  <c r="U638" s="1"/>
  <c r="V638" s="1"/>
  <c r="M638"/>
  <c r="AB637"/>
  <c r="AC637" s="1"/>
  <c r="X637"/>
  <c r="W637"/>
  <c r="S637"/>
  <c r="R637"/>
  <c r="Y637" s="1"/>
  <c r="M637"/>
  <c r="O637" s="1"/>
  <c r="U637" s="1"/>
  <c r="V637" s="1"/>
  <c r="W636"/>
  <c r="S636"/>
  <c r="T636" s="1"/>
  <c r="R636"/>
  <c r="AB636" s="1"/>
  <c r="AC636" s="1"/>
  <c r="M636"/>
  <c r="O636" s="1"/>
  <c r="U636" s="1"/>
  <c r="V636" s="1"/>
  <c r="W635"/>
  <c r="R635"/>
  <c r="O635"/>
  <c r="U635" s="1"/>
  <c r="V635" s="1"/>
  <c r="M635"/>
  <c r="AC634"/>
  <c r="AB634"/>
  <c r="Y634"/>
  <c r="X634"/>
  <c r="W634"/>
  <c r="R634"/>
  <c r="Z634" s="1"/>
  <c r="O634"/>
  <c r="U634" s="1"/>
  <c r="V634" s="1"/>
  <c r="M634"/>
  <c r="AB633"/>
  <c r="AC633" s="1"/>
  <c r="X633"/>
  <c r="W633"/>
  <c r="S633"/>
  <c r="R633"/>
  <c r="Y633" s="1"/>
  <c r="M633"/>
  <c r="O633" s="1"/>
  <c r="U633" s="1"/>
  <c r="V633" s="1"/>
  <c r="W632"/>
  <c r="S632"/>
  <c r="T632" s="1"/>
  <c r="R632"/>
  <c r="AB632" s="1"/>
  <c r="AC632" s="1"/>
  <c r="M632"/>
  <c r="O632" s="1"/>
  <c r="U632" s="1"/>
  <c r="V632" s="1"/>
  <c r="W631"/>
  <c r="R631"/>
  <c r="O631"/>
  <c r="U631" s="1"/>
  <c r="V631" s="1"/>
  <c r="M631"/>
  <c r="AC630"/>
  <c r="AB630"/>
  <c r="Y630"/>
  <c r="X630"/>
  <c r="W630"/>
  <c r="R630"/>
  <c r="Z630" s="1"/>
  <c r="O630"/>
  <c r="U630" s="1"/>
  <c r="V630" s="1"/>
  <c r="M630"/>
  <c r="AB629"/>
  <c r="AC629" s="1"/>
  <c r="X629"/>
  <c r="W629"/>
  <c r="S629"/>
  <c r="R629"/>
  <c r="Y629" s="1"/>
  <c r="M629"/>
  <c r="O629" s="1"/>
  <c r="U629" s="1"/>
  <c r="V629" s="1"/>
  <c r="W628"/>
  <c r="S628"/>
  <c r="T628" s="1"/>
  <c r="R628"/>
  <c r="AB628" s="1"/>
  <c r="AC628" s="1"/>
  <c r="M628"/>
  <c r="O628" s="1"/>
  <c r="U628" s="1"/>
  <c r="V628" s="1"/>
  <c r="W627"/>
  <c r="R627"/>
  <c r="O627"/>
  <c r="U627" s="1"/>
  <c r="V627" s="1"/>
  <c r="M627"/>
  <c r="AC626"/>
  <c r="AB626"/>
  <c r="Y626"/>
  <c r="X626"/>
  <c r="W626"/>
  <c r="R626"/>
  <c r="Z626" s="1"/>
  <c r="O626"/>
  <c r="U626" s="1"/>
  <c r="V626" s="1"/>
  <c r="M626"/>
  <c r="AB625"/>
  <c r="AC625" s="1"/>
  <c r="X625"/>
  <c r="W625"/>
  <c r="S625"/>
  <c r="R625"/>
  <c r="Y625" s="1"/>
  <c r="M625"/>
  <c r="O625" s="1"/>
  <c r="U625" s="1"/>
  <c r="V625" s="1"/>
  <c r="W624"/>
  <c r="S624"/>
  <c r="T624" s="1"/>
  <c r="R624"/>
  <c r="AB624" s="1"/>
  <c r="AC624" s="1"/>
  <c r="M624"/>
  <c r="O624" s="1"/>
  <c r="U624" s="1"/>
  <c r="V624" s="1"/>
  <c r="W623"/>
  <c r="R623"/>
  <c r="O623"/>
  <c r="U623" s="1"/>
  <c r="V623" s="1"/>
  <c r="M623"/>
  <c r="AC622"/>
  <c r="AB622"/>
  <c r="Y622"/>
  <c r="X622"/>
  <c r="W622"/>
  <c r="R622"/>
  <c r="Z622" s="1"/>
  <c r="O622"/>
  <c r="U622" s="1"/>
  <c r="V622" s="1"/>
  <c r="M622"/>
  <c r="AB621"/>
  <c r="AC621" s="1"/>
  <c r="X621"/>
  <c r="W621"/>
  <c r="S621"/>
  <c r="R621"/>
  <c r="Y621" s="1"/>
  <c r="M621"/>
  <c r="O621" s="1"/>
  <c r="U621" s="1"/>
  <c r="V621" s="1"/>
  <c r="W620"/>
  <c r="S620"/>
  <c r="T620" s="1"/>
  <c r="R620"/>
  <c r="AB620" s="1"/>
  <c r="AC620" s="1"/>
  <c r="M620"/>
  <c r="O620" s="1"/>
  <c r="U620" s="1"/>
  <c r="V620" s="1"/>
  <c r="W619"/>
  <c r="R619"/>
  <c r="O619"/>
  <c r="U619" s="1"/>
  <c r="V619" s="1"/>
  <c r="M619"/>
  <c r="AC618"/>
  <c r="AB618"/>
  <c r="Y618"/>
  <c r="X618"/>
  <c r="W618"/>
  <c r="R618"/>
  <c r="Z618" s="1"/>
  <c r="O618"/>
  <c r="U618" s="1"/>
  <c r="V618" s="1"/>
  <c r="M618"/>
  <c r="AB617"/>
  <c r="AC617" s="1"/>
  <c r="X617"/>
  <c r="W617"/>
  <c r="S617"/>
  <c r="R617"/>
  <c r="Y617" s="1"/>
  <c r="M617"/>
  <c r="O617" s="1"/>
  <c r="U617" s="1"/>
  <c r="V617" s="1"/>
  <c r="W616"/>
  <c r="S616"/>
  <c r="T616" s="1"/>
  <c r="R616"/>
  <c r="AB616" s="1"/>
  <c r="AC616" s="1"/>
  <c r="M616"/>
  <c r="O616" s="1"/>
  <c r="U616" s="1"/>
  <c r="V616" s="1"/>
  <c r="W615"/>
  <c r="R615"/>
  <c r="O615"/>
  <c r="U615" s="1"/>
  <c r="V615" s="1"/>
  <c r="M615"/>
  <c r="AC614"/>
  <c r="AB614"/>
  <c r="Y614"/>
  <c r="X614"/>
  <c r="W614"/>
  <c r="R614"/>
  <c r="Z614" s="1"/>
  <c r="O614"/>
  <c r="U614" s="1"/>
  <c r="V614" s="1"/>
  <c r="M614"/>
  <c r="AB613"/>
  <c r="AC613" s="1"/>
  <c r="X613"/>
  <c r="W613"/>
  <c r="S613"/>
  <c r="R613"/>
  <c r="Y613" s="1"/>
  <c r="M613"/>
  <c r="O613" s="1"/>
  <c r="U613" s="1"/>
  <c r="V613" s="1"/>
  <c r="W612"/>
  <c r="S612"/>
  <c r="T612" s="1"/>
  <c r="R612"/>
  <c r="AB612" s="1"/>
  <c r="AC612" s="1"/>
  <c r="M612"/>
  <c r="O612" s="1"/>
  <c r="U612" s="1"/>
  <c r="V612" s="1"/>
  <c r="W611"/>
  <c r="R611"/>
  <c r="O611"/>
  <c r="U611" s="1"/>
  <c r="V611" s="1"/>
  <c r="M611"/>
  <c r="AC610"/>
  <c r="AB610"/>
  <c r="Y610"/>
  <c r="X610"/>
  <c r="W610"/>
  <c r="R610"/>
  <c r="Z610" s="1"/>
  <c r="O610"/>
  <c r="U610" s="1"/>
  <c r="V610" s="1"/>
  <c r="M610"/>
  <c r="AB609"/>
  <c r="AC609" s="1"/>
  <c r="X609"/>
  <c r="W609"/>
  <c r="S609"/>
  <c r="R609"/>
  <c r="Y609" s="1"/>
  <c r="M609"/>
  <c r="O609" s="1"/>
  <c r="U609" s="1"/>
  <c r="V609" s="1"/>
  <c r="W608"/>
  <c r="S608"/>
  <c r="T608" s="1"/>
  <c r="R608"/>
  <c r="AB608" s="1"/>
  <c r="AC608" s="1"/>
  <c r="M608"/>
  <c r="O608" s="1"/>
  <c r="U608" s="1"/>
  <c r="V608" s="1"/>
  <c r="W607"/>
  <c r="R607"/>
  <c r="O607"/>
  <c r="U607" s="1"/>
  <c r="V607" s="1"/>
  <c r="M607"/>
  <c r="AC606"/>
  <c r="AB606"/>
  <c r="Y606"/>
  <c r="X606"/>
  <c r="W606"/>
  <c r="R606"/>
  <c r="Z606" s="1"/>
  <c r="O606"/>
  <c r="U606" s="1"/>
  <c r="V606" s="1"/>
  <c r="M606"/>
  <c r="AB605"/>
  <c r="AC605" s="1"/>
  <c r="X605"/>
  <c r="W605"/>
  <c r="S605"/>
  <c r="R605"/>
  <c r="Y605" s="1"/>
  <c r="M605"/>
  <c r="O605" s="1"/>
  <c r="U605" s="1"/>
  <c r="V605" s="1"/>
  <c r="W604"/>
  <c r="S604"/>
  <c r="T604" s="1"/>
  <c r="R604"/>
  <c r="AB604" s="1"/>
  <c r="AC604" s="1"/>
  <c r="M604"/>
  <c r="O604" s="1"/>
  <c r="U604" s="1"/>
  <c r="V604" s="1"/>
  <c r="W603"/>
  <c r="R603"/>
  <c r="O603"/>
  <c r="U603" s="1"/>
  <c r="V603" s="1"/>
  <c r="M603"/>
  <c r="AC602"/>
  <c r="AB602"/>
  <c r="Y602"/>
  <c r="X602"/>
  <c r="W602"/>
  <c r="R602"/>
  <c r="Z602" s="1"/>
  <c r="O602"/>
  <c r="U602" s="1"/>
  <c r="V602" s="1"/>
  <c r="M602"/>
  <c r="AB601"/>
  <c r="AC601" s="1"/>
  <c r="X601"/>
  <c r="W601"/>
  <c r="S601"/>
  <c r="R601"/>
  <c r="Y601" s="1"/>
  <c r="M601"/>
  <c r="O601" s="1"/>
  <c r="U601" s="1"/>
  <c r="V601" s="1"/>
  <c r="W600"/>
  <c r="S600"/>
  <c r="T600" s="1"/>
  <c r="R600"/>
  <c r="AB600" s="1"/>
  <c r="AC600" s="1"/>
  <c r="M600"/>
  <c r="O600" s="1"/>
  <c r="U600" s="1"/>
  <c r="V600" s="1"/>
  <c r="W599"/>
  <c r="R599"/>
  <c r="O599"/>
  <c r="U599" s="1"/>
  <c r="V599" s="1"/>
  <c r="M599"/>
  <c r="AC598"/>
  <c r="AB598"/>
  <c r="Y598"/>
  <c r="X598"/>
  <c r="W598"/>
  <c r="R598"/>
  <c r="Z598" s="1"/>
  <c r="O598"/>
  <c r="U598" s="1"/>
  <c r="V598" s="1"/>
  <c r="M598"/>
  <c r="AB597"/>
  <c r="AC597" s="1"/>
  <c r="X597"/>
  <c r="W597"/>
  <c r="S597"/>
  <c r="R597"/>
  <c r="Y597" s="1"/>
  <c r="M597"/>
  <c r="O597" s="1"/>
  <c r="U597" s="1"/>
  <c r="V597" s="1"/>
  <c r="W596"/>
  <c r="S596"/>
  <c r="T596" s="1"/>
  <c r="R596"/>
  <c r="AB596" s="1"/>
  <c r="AC596" s="1"/>
  <c r="M596"/>
  <c r="O596" s="1"/>
  <c r="U596" s="1"/>
  <c r="V596" s="1"/>
  <c r="W595"/>
  <c r="R595"/>
  <c r="O595"/>
  <c r="U595" s="1"/>
  <c r="V595" s="1"/>
  <c r="M595"/>
  <c r="AC594"/>
  <c r="AB594"/>
  <c r="Y594"/>
  <c r="X594"/>
  <c r="W594"/>
  <c r="R594"/>
  <c r="Z594" s="1"/>
  <c r="O594"/>
  <c r="U594" s="1"/>
  <c r="V594" s="1"/>
  <c r="M594"/>
  <c r="AB593"/>
  <c r="AC593" s="1"/>
  <c r="X593"/>
  <c r="W593"/>
  <c r="S593"/>
  <c r="R593"/>
  <c r="Y593" s="1"/>
  <c r="M593"/>
  <c r="O593" s="1"/>
  <c r="U593" s="1"/>
  <c r="V593" s="1"/>
  <c r="W592"/>
  <c r="S592"/>
  <c r="T592" s="1"/>
  <c r="R592"/>
  <c r="AB592" s="1"/>
  <c r="AC592" s="1"/>
  <c r="M592"/>
  <c r="O592" s="1"/>
  <c r="U592" s="1"/>
  <c r="V592" s="1"/>
  <c r="W591"/>
  <c r="R591"/>
  <c r="O591"/>
  <c r="U591" s="1"/>
  <c r="V591" s="1"/>
  <c r="M591"/>
  <c r="AC590"/>
  <c r="AB590"/>
  <c r="Y590"/>
  <c r="X590"/>
  <c r="W590"/>
  <c r="R590"/>
  <c r="Z590" s="1"/>
  <c r="O590"/>
  <c r="M590"/>
  <c r="AB589"/>
  <c r="AC589" s="1"/>
  <c r="X589"/>
  <c r="W589"/>
  <c r="S589"/>
  <c r="R589"/>
  <c r="Y589" s="1"/>
  <c r="M589"/>
  <c r="O589" s="1"/>
  <c r="W588"/>
  <c r="S588"/>
  <c r="T588" s="1"/>
  <c r="R588"/>
  <c r="AB588" s="1"/>
  <c r="AC588" s="1"/>
  <c r="M588"/>
  <c r="O588" s="1"/>
  <c r="U588" s="1"/>
  <c r="V588" s="1"/>
  <c r="W587"/>
  <c r="R587"/>
  <c r="O587"/>
  <c r="U587" s="1"/>
  <c r="V587" s="1"/>
  <c r="M587"/>
  <c r="AC586"/>
  <c r="AB586"/>
  <c r="Y586"/>
  <c r="X586"/>
  <c r="W586"/>
  <c r="R586"/>
  <c r="Z586" s="1"/>
  <c r="O586"/>
  <c r="U586" s="1"/>
  <c r="V586" s="1"/>
  <c r="M586"/>
  <c r="AB585"/>
  <c r="AC585" s="1"/>
  <c r="X585"/>
  <c r="W585"/>
  <c r="S585"/>
  <c r="R585"/>
  <c r="Y585" s="1"/>
  <c r="M585"/>
  <c r="O585" s="1"/>
  <c r="U585" s="1"/>
  <c r="V585" s="1"/>
  <c r="W584"/>
  <c r="S584"/>
  <c r="T584" s="1"/>
  <c r="R584"/>
  <c r="AB584" s="1"/>
  <c r="AC584" s="1"/>
  <c r="M584"/>
  <c r="O584" s="1"/>
  <c r="U584" s="1"/>
  <c r="V584" s="1"/>
  <c r="W583"/>
  <c r="R583"/>
  <c r="O583"/>
  <c r="U583" s="1"/>
  <c r="V583" s="1"/>
  <c r="M583"/>
  <c r="AC582"/>
  <c r="AB582"/>
  <c r="Y582"/>
  <c r="X582"/>
  <c r="W582"/>
  <c r="R582"/>
  <c r="Z582" s="1"/>
  <c r="O582"/>
  <c r="U582" s="1"/>
  <c r="V582" s="1"/>
  <c r="M582"/>
  <c r="AB581"/>
  <c r="AC581" s="1"/>
  <c r="Y581"/>
  <c r="X581"/>
  <c r="W581"/>
  <c r="S581"/>
  <c r="R581"/>
  <c r="Z581" s="1"/>
  <c r="AA581" s="1"/>
  <c r="M581"/>
  <c r="O581" s="1"/>
  <c r="U581" s="1"/>
  <c r="V581" s="1"/>
  <c r="W580"/>
  <c r="S580"/>
  <c r="T580" s="1"/>
  <c r="R580"/>
  <c r="AB580" s="1"/>
  <c r="AC580" s="1"/>
  <c r="M580"/>
  <c r="O580" s="1"/>
  <c r="U580" s="1"/>
  <c r="V580" s="1"/>
  <c r="W579"/>
  <c r="R579"/>
  <c r="O579"/>
  <c r="U579" s="1"/>
  <c r="V579" s="1"/>
  <c r="M579"/>
  <c r="AC578"/>
  <c r="AB578"/>
  <c r="Y578"/>
  <c r="X578"/>
  <c r="W578"/>
  <c r="R578"/>
  <c r="Z578" s="1"/>
  <c r="O578"/>
  <c r="U578" s="1"/>
  <c r="V578" s="1"/>
  <c r="M578"/>
  <c r="AB577"/>
  <c r="AC577" s="1"/>
  <c r="X577"/>
  <c r="W577"/>
  <c r="S577"/>
  <c r="R577"/>
  <c r="Y577" s="1"/>
  <c r="M577"/>
  <c r="O577" s="1"/>
  <c r="U577" s="1"/>
  <c r="V577" s="1"/>
  <c r="W576"/>
  <c r="S576"/>
  <c r="T576" s="1"/>
  <c r="R576"/>
  <c r="AB576" s="1"/>
  <c r="AC576" s="1"/>
  <c r="M576"/>
  <c r="O576" s="1"/>
  <c r="U576" s="1"/>
  <c r="V576" s="1"/>
  <c r="W575"/>
  <c r="R575"/>
  <c r="O575"/>
  <c r="U575" s="1"/>
  <c r="V575" s="1"/>
  <c r="M575"/>
  <c r="AC574"/>
  <c r="AB574"/>
  <c r="Y574"/>
  <c r="X574"/>
  <c r="W574"/>
  <c r="R574"/>
  <c r="Z574" s="1"/>
  <c r="O574"/>
  <c r="U574" s="1"/>
  <c r="V574" s="1"/>
  <c r="M574"/>
  <c r="AB573"/>
  <c r="AC573" s="1"/>
  <c r="X573"/>
  <c r="W573"/>
  <c r="S573"/>
  <c r="R573"/>
  <c r="Y573" s="1"/>
  <c r="M573"/>
  <c r="O573" s="1"/>
  <c r="U573" s="1"/>
  <c r="V573" s="1"/>
  <c r="W572"/>
  <c r="S572"/>
  <c r="T572" s="1"/>
  <c r="R572"/>
  <c r="AB572" s="1"/>
  <c r="AC572" s="1"/>
  <c r="M572"/>
  <c r="O572" s="1"/>
  <c r="U572" s="1"/>
  <c r="V572" s="1"/>
  <c r="W571"/>
  <c r="R571"/>
  <c r="O571"/>
  <c r="U571" s="1"/>
  <c r="V571" s="1"/>
  <c r="M571"/>
  <c r="AC570"/>
  <c r="AB570"/>
  <c r="Y570"/>
  <c r="X570"/>
  <c r="W570"/>
  <c r="R570"/>
  <c r="Z570" s="1"/>
  <c r="O570"/>
  <c r="M570"/>
  <c r="AB569"/>
  <c r="AC569" s="1"/>
  <c r="Y569"/>
  <c r="X569"/>
  <c r="W569"/>
  <c r="S569"/>
  <c r="R569"/>
  <c r="Z569" s="1"/>
  <c r="AA569" s="1"/>
  <c r="M569"/>
  <c r="O569" s="1"/>
  <c r="U569" s="1"/>
  <c r="V569" s="1"/>
  <c r="W568"/>
  <c r="S568"/>
  <c r="T568" s="1"/>
  <c r="R568"/>
  <c r="AB568" s="1"/>
  <c r="AC568" s="1"/>
  <c r="M568"/>
  <c r="O568" s="1"/>
  <c r="U568" s="1"/>
  <c r="V568" s="1"/>
  <c r="W567"/>
  <c r="R567"/>
  <c r="O567"/>
  <c r="U567" s="1"/>
  <c r="V567" s="1"/>
  <c r="M567"/>
  <c r="AC566"/>
  <c r="AB566"/>
  <c r="Y566"/>
  <c r="X566"/>
  <c r="W566"/>
  <c r="R566"/>
  <c r="Z566" s="1"/>
  <c r="O566"/>
  <c r="U566" s="1"/>
  <c r="V566" s="1"/>
  <c r="M566"/>
  <c r="AB565"/>
  <c r="AC565" s="1"/>
  <c r="X565"/>
  <c r="W565"/>
  <c r="S565"/>
  <c r="R565"/>
  <c r="Y565" s="1"/>
  <c r="M565"/>
  <c r="O565" s="1"/>
  <c r="U565" s="1"/>
  <c r="V565" s="1"/>
  <c r="W564"/>
  <c r="S564"/>
  <c r="T564" s="1"/>
  <c r="R564"/>
  <c r="AB564" s="1"/>
  <c r="AC564" s="1"/>
  <c r="M564"/>
  <c r="O564" s="1"/>
  <c r="U564" s="1"/>
  <c r="V564" s="1"/>
  <c r="W563"/>
  <c r="R563"/>
  <c r="O563"/>
  <c r="U563" s="1"/>
  <c r="V563" s="1"/>
  <c r="M563"/>
  <c r="Q561"/>
  <c r="P561"/>
  <c r="O561"/>
  <c r="K561"/>
  <c r="L561" s="1"/>
  <c r="C561"/>
  <c r="AC559"/>
  <c r="AB559"/>
  <c r="Y559"/>
  <c r="X559"/>
  <c r="W559"/>
  <c r="R559"/>
  <c r="Z559" s="1"/>
  <c r="O559"/>
  <c r="U559" s="1"/>
  <c r="V559" s="1"/>
  <c r="M559"/>
  <c r="AB558"/>
  <c r="AC558" s="1"/>
  <c r="X558"/>
  <c r="W558"/>
  <c r="S558"/>
  <c r="R558"/>
  <c r="Y558" s="1"/>
  <c r="M558"/>
  <c r="O558" s="1"/>
  <c r="U558" s="1"/>
  <c r="V558" s="1"/>
  <c r="W557"/>
  <c r="S557"/>
  <c r="T557" s="1"/>
  <c r="R557"/>
  <c r="AB557" s="1"/>
  <c r="AC557" s="1"/>
  <c r="M557"/>
  <c r="O557" s="1"/>
  <c r="U557" s="1"/>
  <c r="V557" s="1"/>
  <c r="W556"/>
  <c r="R556"/>
  <c r="O556"/>
  <c r="U556" s="1"/>
  <c r="V556" s="1"/>
  <c r="M556"/>
  <c r="AC555"/>
  <c r="AB555"/>
  <c r="Y555"/>
  <c r="X555"/>
  <c r="W555"/>
  <c r="R555"/>
  <c r="Z555" s="1"/>
  <c r="O555"/>
  <c r="U555" s="1"/>
  <c r="V555" s="1"/>
  <c r="M555"/>
  <c r="AB554"/>
  <c r="AC554" s="1"/>
  <c r="X554"/>
  <c r="W554"/>
  <c r="S554"/>
  <c r="R554"/>
  <c r="Y554" s="1"/>
  <c r="M554"/>
  <c r="O554" s="1"/>
  <c r="U554" s="1"/>
  <c r="V554" s="1"/>
  <c r="W553"/>
  <c r="S553"/>
  <c r="T553" s="1"/>
  <c r="R553"/>
  <c r="AB553" s="1"/>
  <c r="AC553" s="1"/>
  <c r="M553"/>
  <c r="O553" s="1"/>
  <c r="U553" s="1"/>
  <c r="V553" s="1"/>
  <c r="W552"/>
  <c r="R552"/>
  <c r="O552"/>
  <c r="U552" s="1"/>
  <c r="V552" s="1"/>
  <c r="M552"/>
  <c r="AC551"/>
  <c r="AB551"/>
  <c r="Y551"/>
  <c r="X551"/>
  <c r="W551"/>
  <c r="R551"/>
  <c r="Z551" s="1"/>
  <c r="O551"/>
  <c r="U551" s="1"/>
  <c r="V551" s="1"/>
  <c r="M551"/>
  <c r="AB550"/>
  <c r="AC550" s="1"/>
  <c r="X550"/>
  <c r="W550"/>
  <c r="S550"/>
  <c r="R550"/>
  <c r="Y550" s="1"/>
  <c r="M550"/>
  <c r="O550" s="1"/>
  <c r="U550" s="1"/>
  <c r="V550" s="1"/>
  <c r="W549"/>
  <c r="S549"/>
  <c r="T549" s="1"/>
  <c r="R549"/>
  <c r="AB549" s="1"/>
  <c r="AC549" s="1"/>
  <c r="M549"/>
  <c r="O549" s="1"/>
  <c r="U549" s="1"/>
  <c r="V549" s="1"/>
  <c r="W548"/>
  <c r="R548"/>
  <c r="O548"/>
  <c r="U548" s="1"/>
  <c r="V548" s="1"/>
  <c r="M548"/>
  <c r="AC547"/>
  <c r="AB547"/>
  <c r="Y547"/>
  <c r="X547"/>
  <c r="W547"/>
  <c r="R547"/>
  <c r="Z547" s="1"/>
  <c r="O547"/>
  <c r="U547" s="1"/>
  <c r="V547" s="1"/>
  <c r="M547"/>
  <c r="Q545"/>
  <c r="P545"/>
  <c r="O545"/>
  <c r="K545"/>
  <c r="L545" s="1"/>
  <c r="C545"/>
  <c r="Q542"/>
  <c r="P542"/>
  <c r="O542"/>
  <c r="AD542" s="1"/>
  <c r="M542" s="1"/>
  <c r="K542"/>
  <c r="L542" s="1"/>
  <c r="C542"/>
  <c r="Q539"/>
  <c r="P539"/>
  <c r="O539"/>
  <c r="AD539" s="1"/>
  <c r="M539" s="1"/>
  <c r="K539"/>
  <c r="L539" s="1"/>
  <c r="C539"/>
  <c r="Q536"/>
  <c r="P536"/>
  <c r="O536"/>
  <c r="AD536" s="1"/>
  <c r="M536" s="1"/>
  <c r="K536"/>
  <c r="L536" s="1"/>
  <c r="C536"/>
  <c r="Q533"/>
  <c r="P533"/>
  <c r="O533"/>
  <c r="AD533" s="1"/>
  <c r="M533" s="1"/>
  <c r="K533"/>
  <c r="L533" s="1"/>
  <c r="C533"/>
  <c r="Q530"/>
  <c r="P530"/>
  <c r="O530"/>
  <c r="AD530" s="1"/>
  <c r="M530" s="1"/>
  <c r="K530"/>
  <c r="L530" s="1"/>
  <c r="C530"/>
  <c r="AB528"/>
  <c r="AC528" s="1"/>
  <c r="Y528"/>
  <c r="X528"/>
  <c r="W528"/>
  <c r="S528"/>
  <c r="R528"/>
  <c r="Z528" s="1"/>
  <c r="AA528" s="1"/>
  <c r="M528"/>
  <c r="O528" s="1"/>
  <c r="U528" s="1"/>
  <c r="V528" s="1"/>
  <c r="AB527"/>
  <c r="AC527" s="1"/>
  <c r="X527"/>
  <c r="W527"/>
  <c r="S527"/>
  <c r="T527" s="1"/>
  <c r="R527"/>
  <c r="Y527" s="1"/>
  <c r="M527"/>
  <c r="O527" s="1"/>
  <c r="U527" s="1"/>
  <c r="V527" s="1"/>
  <c r="W526"/>
  <c r="R526"/>
  <c r="O526"/>
  <c r="U526" s="1"/>
  <c r="V526" s="1"/>
  <c r="M526"/>
  <c r="Y525"/>
  <c r="W525"/>
  <c r="R525"/>
  <c r="Z525" s="1"/>
  <c r="O525"/>
  <c r="U525" s="1"/>
  <c r="V525" s="1"/>
  <c r="M525"/>
  <c r="AB524"/>
  <c r="AC524" s="1"/>
  <c r="Y524"/>
  <c r="X524"/>
  <c r="W524"/>
  <c r="S524"/>
  <c r="R524"/>
  <c r="Z524" s="1"/>
  <c r="AA524" s="1"/>
  <c r="M524"/>
  <c r="O524" s="1"/>
  <c r="U524" s="1"/>
  <c r="V524" s="1"/>
  <c r="Q522"/>
  <c r="P522"/>
  <c r="O522"/>
  <c r="K522"/>
  <c r="L522" s="1"/>
  <c r="C522"/>
  <c r="Q519"/>
  <c r="P519"/>
  <c r="O519"/>
  <c r="AD519" s="1"/>
  <c r="M519" s="1"/>
  <c r="K519"/>
  <c r="L519" s="1"/>
  <c r="C519"/>
  <c r="Q516"/>
  <c r="P516"/>
  <c r="O516"/>
  <c r="AD516" s="1"/>
  <c r="M516" s="1"/>
  <c r="K516"/>
  <c r="L516" s="1"/>
  <c r="C516"/>
  <c r="Q513"/>
  <c r="P513"/>
  <c r="O513"/>
  <c r="AD513" s="1"/>
  <c r="M513" s="1"/>
  <c r="K513"/>
  <c r="L513" s="1"/>
  <c r="C513"/>
  <c r="Q510"/>
  <c r="P510"/>
  <c r="O510"/>
  <c r="AD510" s="1"/>
  <c r="M510" s="1"/>
  <c r="K510"/>
  <c r="L510" s="1"/>
  <c r="C510"/>
  <c r="AB508"/>
  <c r="AC508" s="1"/>
  <c r="Y508"/>
  <c r="X508"/>
  <c r="W508"/>
  <c r="S508"/>
  <c r="T508" s="1"/>
  <c r="R508"/>
  <c r="Z508" s="1"/>
  <c r="AA508" s="1"/>
  <c r="M508"/>
  <c r="O508" s="1"/>
  <c r="W507"/>
  <c r="R507"/>
  <c r="M507"/>
  <c r="O507" s="1"/>
  <c r="U507" s="1"/>
  <c r="V507" s="1"/>
  <c r="Y506"/>
  <c r="W506"/>
  <c r="R506"/>
  <c r="Z506" s="1"/>
  <c r="O506"/>
  <c r="U506" s="1"/>
  <c r="V506" s="1"/>
  <c r="M506"/>
  <c r="AB505"/>
  <c r="AC505" s="1"/>
  <c r="Y505"/>
  <c r="X505"/>
  <c r="W505"/>
  <c r="R505"/>
  <c r="Z505" s="1"/>
  <c r="M505"/>
  <c r="O505" s="1"/>
  <c r="U505" s="1"/>
  <c r="V505" s="1"/>
  <c r="AB504"/>
  <c r="AC504" s="1"/>
  <c r="Y504"/>
  <c r="X504"/>
  <c r="W504"/>
  <c r="S504"/>
  <c r="T504" s="1"/>
  <c r="R504"/>
  <c r="Z504" s="1"/>
  <c r="AA504" s="1"/>
  <c r="M504"/>
  <c r="O504" s="1"/>
  <c r="Q502"/>
  <c r="P502"/>
  <c r="O502"/>
  <c r="K502"/>
  <c r="L502" s="1"/>
  <c r="C502"/>
  <c r="AD499"/>
  <c r="Q499"/>
  <c r="P499"/>
  <c r="O499"/>
  <c r="M499"/>
  <c r="L499"/>
  <c r="K499"/>
  <c r="C499"/>
  <c r="AD496"/>
  <c r="Q496"/>
  <c r="P496"/>
  <c r="O496"/>
  <c r="M496"/>
  <c r="L496"/>
  <c r="K496"/>
  <c r="C496"/>
  <c r="Y494"/>
  <c r="W494"/>
  <c r="R494"/>
  <c r="O494"/>
  <c r="U494" s="1"/>
  <c r="V494" s="1"/>
  <c r="M494"/>
  <c r="AB493"/>
  <c r="AC493" s="1"/>
  <c r="Y493"/>
  <c r="X493"/>
  <c r="W493"/>
  <c r="R493"/>
  <c r="Z493" s="1"/>
  <c r="M493"/>
  <c r="O493" s="1"/>
  <c r="U493" s="1"/>
  <c r="V493" s="1"/>
  <c r="AB492"/>
  <c r="AC492" s="1"/>
  <c r="Y492"/>
  <c r="X492"/>
  <c r="W492"/>
  <c r="S492"/>
  <c r="T492" s="1"/>
  <c r="R492"/>
  <c r="Z492" s="1"/>
  <c r="AA492" s="1"/>
  <c r="M492"/>
  <c r="O492" s="1"/>
  <c r="U492" s="1"/>
  <c r="V492" s="1"/>
  <c r="W491"/>
  <c r="R491"/>
  <c r="AB491" s="1"/>
  <c r="AC491" s="1"/>
  <c r="M491"/>
  <c r="O491" s="1"/>
  <c r="Q489"/>
  <c r="P489"/>
  <c r="O489"/>
  <c r="K489"/>
  <c r="L489" s="1"/>
  <c r="C489"/>
  <c r="Y487"/>
  <c r="W487"/>
  <c r="R487"/>
  <c r="O487"/>
  <c r="U487" s="1"/>
  <c r="M487"/>
  <c r="AB486"/>
  <c r="AC486" s="1"/>
  <c r="Y486"/>
  <c r="X486"/>
  <c r="W486"/>
  <c r="R486"/>
  <c r="Z486" s="1"/>
  <c r="M486"/>
  <c r="O486" s="1"/>
  <c r="U486" s="1"/>
  <c r="V486" s="1"/>
  <c r="AB485"/>
  <c r="AC485" s="1"/>
  <c r="Y485"/>
  <c r="X485"/>
  <c r="W485"/>
  <c r="S485"/>
  <c r="T485" s="1"/>
  <c r="R485"/>
  <c r="Z485" s="1"/>
  <c r="AA485" s="1"/>
  <c r="M485"/>
  <c r="O485" s="1"/>
  <c r="U485" s="1"/>
  <c r="V485" s="1"/>
  <c r="W484"/>
  <c r="R484"/>
  <c r="AB484" s="1"/>
  <c r="AC484" s="1"/>
  <c r="M484"/>
  <c r="O484" s="1"/>
  <c r="Y483"/>
  <c r="W483"/>
  <c r="R483"/>
  <c r="O483"/>
  <c r="U483" s="1"/>
  <c r="M483"/>
  <c r="AB482"/>
  <c r="AC482" s="1"/>
  <c r="Y482"/>
  <c r="X482"/>
  <c r="W482"/>
  <c r="R482"/>
  <c r="Z482" s="1"/>
  <c r="M482"/>
  <c r="O482" s="1"/>
  <c r="Q480"/>
  <c r="P480"/>
  <c r="O480"/>
  <c r="K480"/>
  <c r="L480" s="1"/>
  <c r="C480"/>
  <c r="AC478"/>
  <c r="AB478"/>
  <c r="Y478"/>
  <c r="X478"/>
  <c r="W478"/>
  <c r="S478"/>
  <c r="T478" s="1"/>
  <c r="R478"/>
  <c r="Z478" s="1"/>
  <c r="AA478" s="1"/>
  <c r="O478"/>
  <c r="U478" s="1"/>
  <c r="V478" s="1"/>
  <c r="M478"/>
  <c r="W477"/>
  <c r="R477"/>
  <c r="AB477" s="1"/>
  <c r="AC477" s="1"/>
  <c r="M477"/>
  <c r="O477" s="1"/>
  <c r="U477" s="1"/>
  <c r="V477" s="1"/>
  <c r="Y476"/>
  <c r="W476"/>
  <c r="S476"/>
  <c r="T476" s="1"/>
  <c r="R476"/>
  <c r="AB476" s="1"/>
  <c r="AC476" s="1"/>
  <c r="O476"/>
  <c r="U476" s="1"/>
  <c r="V476" s="1"/>
  <c r="M476"/>
  <c r="AB475"/>
  <c r="AC475" s="1"/>
  <c r="X475"/>
  <c r="W475"/>
  <c r="R475"/>
  <c r="Z475" s="1"/>
  <c r="M475"/>
  <c r="O475" s="1"/>
  <c r="U475" s="1"/>
  <c r="V475" s="1"/>
  <c r="AC474"/>
  <c r="AB474"/>
  <c r="Y474"/>
  <c r="X474"/>
  <c r="W474"/>
  <c r="S474"/>
  <c r="T474" s="1"/>
  <c r="R474"/>
  <c r="Z474" s="1"/>
  <c r="AA474" s="1"/>
  <c r="O474"/>
  <c r="U474" s="1"/>
  <c r="V474" s="1"/>
  <c r="M474"/>
  <c r="W473"/>
  <c r="R473"/>
  <c r="AB473" s="1"/>
  <c r="AC473" s="1"/>
  <c r="M473"/>
  <c r="O473" s="1"/>
  <c r="U473" s="1"/>
  <c r="V473" s="1"/>
  <c r="Y472"/>
  <c r="W472"/>
  <c r="S472"/>
  <c r="T472" s="1"/>
  <c r="R472"/>
  <c r="AB472" s="1"/>
  <c r="AC472" s="1"/>
  <c r="O472"/>
  <c r="U472" s="1"/>
  <c r="V472" s="1"/>
  <c r="M472"/>
  <c r="AB471"/>
  <c r="AC471" s="1"/>
  <c r="X471"/>
  <c r="W471"/>
  <c r="R471"/>
  <c r="Z471" s="1"/>
  <c r="M471"/>
  <c r="O471" s="1"/>
  <c r="U471" s="1"/>
  <c r="V471" s="1"/>
  <c r="AC470"/>
  <c r="AB470"/>
  <c r="Y470"/>
  <c r="X470"/>
  <c r="W470"/>
  <c r="S470"/>
  <c r="T470" s="1"/>
  <c r="R470"/>
  <c r="Z470" s="1"/>
  <c r="AA470" s="1"/>
  <c r="O470"/>
  <c r="U470" s="1"/>
  <c r="V470" s="1"/>
  <c r="M470"/>
  <c r="W469"/>
  <c r="R469"/>
  <c r="AB469" s="1"/>
  <c r="AC469" s="1"/>
  <c r="M469"/>
  <c r="O469" s="1"/>
  <c r="U469" s="1"/>
  <c r="V469" s="1"/>
  <c r="Y468"/>
  <c r="W468"/>
  <c r="S468"/>
  <c r="T468" s="1"/>
  <c r="R468"/>
  <c r="AB468" s="1"/>
  <c r="AC468" s="1"/>
  <c r="O468"/>
  <c r="U468" s="1"/>
  <c r="V468" s="1"/>
  <c r="M468"/>
  <c r="AB467"/>
  <c r="AC467" s="1"/>
  <c r="X467"/>
  <c r="W467"/>
  <c r="R467"/>
  <c r="Z467" s="1"/>
  <c r="M467"/>
  <c r="O467" s="1"/>
  <c r="U467" s="1"/>
  <c r="V467" s="1"/>
  <c r="AC466"/>
  <c r="AB466"/>
  <c r="Y466"/>
  <c r="X466"/>
  <c r="W466"/>
  <c r="S466"/>
  <c r="T466" s="1"/>
  <c r="R466"/>
  <c r="Z466" s="1"/>
  <c r="AA466" s="1"/>
  <c r="O466"/>
  <c r="U466" s="1"/>
  <c r="V466" s="1"/>
  <c r="M466"/>
  <c r="W465"/>
  <c r="R465"/>
  <c r="AB465" s="1"/>
  <c r="AC465" s="1"/>
  <c r="M465"/>
  <c r="O465" s="1"/>
  <c r="U465" s="1"/>
  <c r="V465" s="1"/>
  <c r="Y464"/>
  <c r="W464"/>
  <c r="S464"/>
  <c r="T464" s="1"/>
  <c r="R464"/>
  <c r="AB464" s="1"/>
  <c r="AC464" s="1"/>
  <c r="O464"/>
  <c r="U464" s="1"/>
  <c r="V464" s="1"/>
  <c r="M464"/>
  <c r="AB463"/>
  <c r="AC463" s="1"/>
  <c r="X463"/>
  <c r="W463"/>
  <c r="R463"/>
  <c r="Z463" s="1"/>
  <c r="M463"/>
  <c r="O463" s="1"/>
  <c r="U463" s="1"/>
  <c r="V463" s="1"/>
  <c r="AC462"/>
  <c r="AB462"/>
  <c r="Y462"/>
  <c r="X462"/>
  <c r="W462"/>
  <c r="S462"/>
  <c r="T462" s="1"/>
  <c r="R462"/>
  <c r="Z462" s="1"/>
  <c r="AA462" s="1"/>
  <c r="O462"/>
  <c r="U462" s="1"/>
  <c r="V462" s="1"/>
  <c r="M462"/>
  <c r="W461"/>
  <c r="R461"/>
  <c r="AB461" s="1"/>
  <c r="AC461" s="1"/>
  <c r="M461"/>
  <c r="O461" s="1"/>
  <c r="U461" s="1"/>
  <c r="V461" s="1"/>
  <c r="Y460"/>
  <c r="W460"/>
  <c r="S460"/>
  <c r="T460" s="1"/>
  <c r="R460"/>
  <c r="AB460" s="1"/>
  <c r="AC460" s="1"/>
  <c r="O460"/>
  <c r="U460" s="1"/>
  <c r="V460" s="1"/>
  <c r="M460"/>
  <c r="AB459"/>
  <c r="AC459" s="1"/>
  <c r="X459"/>
  <c r="W459"/>
  <c r="R459"/>
  <c r="Z459" s="1"/>
  <c r="M459"/>
  <c r="O459" s="1"/>
  <c r="U459" s="1"/>
  <c r="V459" s="1"/>
  <c r="AC458"/>
  <c r="AB458"/>
  <c r="Y458"/>
  <c r="X458"/>
  <c r="W458"/>
  <c r="S458"/>
  <c r="T458" s="1"/>
  <c r="R458"/>
  <c r="Z458" s="1"/>
  <c r="AA458" s="1"/>
  <c r="O458"/>
  <c r="U458" s="1"/>
  <c r="V458" s="1"/>
  <c r="M458"/>
  <c r="W457"/>
  <c r="R457"/>
  <c r="AB457" s="1"/>
  <c r="AC457" s="1"/>
  <c r="M457"/>
  <c r="O457" s="1"/>
  <c r="U457" s="1"/>
  <c r="V457" s="1"/>
  <c r="Y456"/>
  <c r="W456"/>
  <c r="S456"/>
  <c r="T456" s="1"/>
  <c r="R456"/>
  <c r="AB456" s="1"/>
  <c r="AC456" s="1"/>
  <c r="O456"/>
  <c r="U456" s="1"/>
  <c r="V456" s="1"/>
  <c r="M456"/>
  <c r="AB455"/>
  <c r="AC455" s="1"/>
  <c r="X455"/>
  <c r="W455"/>
  <c r="R455"/>
  <c r="Z455" s="1"/>
  <c r="M455"/>
  <c r="O455" s="1"/>
  <c r="U455" s="1"/>
  <c r="V455" s="1"/>
  <c r="AC454"/>
  <c r="AB454"/>
  <c r="Y454"/>
  <c r="X454"/>
  <c r="W454"/>
  <c r="S454"/>
  <c r="T454" s="1"/>
  <c r="R454"/>
  <c r="Z454" s="1"/>
  <c r="AA454" s="1"/>
  <c r="O454"/>
  <c r="U454" s="1"/>
  <c r="M454"/>
  <c r="W453"/>
  <c r="R453"/>
  <c r="AB453" s="1"/>
  <c r="AC453" s="1"/>
  <c r="M453"/>
  <c r="O453" s="1"/>
  <c r="U453" s="1"/>
  <c r="V453" s="1"/>
  <c r="Y452"/>
  <c r="W452"/>
  <c r="S452"/>
  <c r="T452" s="1"/>
  <c r="R452"/>
  <c r="AB452" s="1"/>
  <c r="AC452" s="1"/>
  <c r="O452"/>
  <c r="U452" s="1"/>
  <c r="V452" s="1"/>
  <c r="M452"/>
  <c r="AB451"/>
  <c r="AC451" s="1"/>
  <c r="X451"/>
  <c r="W451"/>
  <c r="R451"/>
  <c r="Z451" s="1"/>
  <c r="M451"/>
  <c r="O451" s="1"/>
  <c r="U451" s="1"/>
  <c r="V451" s="1"/>
  <c r="AC450"/>
  <c r="AB450"/>
  <c r="Y450"/>
  <c r="X450"/>
  <c r="W450"/>
  <c r="S450"/>
  <c r="T450" s="1"/>
  <c r="R450"/>
  <c r="Z450" s="1"/>
  <c r="AA450" s="1"/>
  <c r="O450"/>
  <c r="U450" s="1"/>
  <c r="V450" s="1"/>
  <c r="M450"/>
  <c r="W449"/>
  <c r="R449"/>
  <c r="AB449" s="1"/>
  <c r="AC449" s="1"/>
  <c r="M449"/>
  <c r="O449" s="1"/>
  <c r="U449" s="1"/>
  <c r="V449" s="1"/>
  <c r="Y448"/>
  <c r="W448"/>
  <c r="R448"/>
  <c r="O448"/>
  <c r="U448" s="1"/>
  <c r="V448" s="1"/>
  <c r="M448"/>
  <c r="AB447"/>
  <c r="AC447" s="1"/>
  <c r="X447"/>
  <c r="W447"/>
  <c r="R447"/>
  <c r="Z447" s="1"/>
  <c r="M447"/>
  <c r="O447" s="1"/>
  <c r="U447" s="1"/>
  <c r="V447" s="1"/>
  <c r="AC446"/>
  <c r="AB446"/>
  <c r="Y446"/>
  <c r="X446"/>
  <c r="W446"/>
  <c r="S446"/>
  <c r="T446" s="1"/>
  <c r="R446"/>
  <c r="Z446" s="1"/>
  <c r="AA446" s="1"/>
  <c r="M446"/>
  <c r="O446" s="1"/>
  <c r="U446" s="1"/>
  <c r="V446" s="1"/>
  <c r="W445"/>
  <c r="R445"/>
  <c r="AB445" s="1"/>
  <c r="AC445" s="1"/>
  <c r="M445"/>
  <c r="O445" s="1"/>
  <c r="U445" s="1"/>
  <c r="V445" s="1"/>
  <c r="Y444"/>
  <c r="W444"/>
  <c r="R444"/>
  <c r="O444"/>
  <c r="U444" s="1"/>
  <c r="V444" s="1"/>
  <c r="M444"/>
  <c r="AB443"/>
  <c r="AC443" s="1"/>
  <c r="X443"/>
  <c r="W443"/>
  <c r="R443"/>
  <c r="Z443" s="1"/>
  <c r="M443"/>
  <c r="O443" s="1"/>
  <c r="U443" s="1"/>
  <c r="V443" s="1"/>
  <c r="AB442"/>
  <c r="AC442" s="1"/>
  <c r="Y442"/>
  <c r="X442"/>
  <c r="W442"/>
  <c r="S442"/>
  <c r="T442" s="1"/>
  <c r="R442"/>
  <c r="Z442" s="1"/>
  <c r="AA442" s="1"/>
  <c r="M442"/>
  <c r="O442" s="1"/>
  <c r="U442" s="1"/>
  <c r="V442" s="1"/>
  <c r="W441"/>
  <c r="R441"/>
  <c r="AB441" s="1"/>
  <c r="AC441" s="1"/>
  <c r="M441"/>
  <c r="O441" s="1"/>
  <c r="U441" s="1"/>
  <c r="V441" s="1"/>
  <c r="Y440"/>
  <c r="W440"/>
  <c r="R440"/>
  <c r="O440"/>
  <c r="U440" s="1"/>
  <c r="V440" s="1"/>
  <c r="M440"/>
  <c r="Q438"/>
  <c r="P438"/>
  <c r="O438"/>
  <c r="K438"/>
  <c r="L438" s="1"/>
  <c r="C438"/>
  <c r="AB436"/>
  <c r="AC436" s="1"/>
  <c r="Y436"/>
  <c r="X436"/>
  <c r="W436"/>
  <c r="R436"/>
  <c r="Z436" s="1"/>
  <c r="M436"/>
  <c r="O436" s="1"/>
  <c r="U436" s="1"/>
  <c r="V436" s="1"/>
  <c r="AB435"/>
  <c r="AC435" s="1"/>
  <c r="Y435"/>
  <c r="X435"/>
  <c r="W435"/>
  <c r="S435"/>
  <c r="T435" s="1"/>
  <c r="R435"/>
  <c r="Z435" s="1"/>
  <c r="AA435" s="1"/>
  <c r="M435"/>
  <c r="O435" s="1"/>
  <c r="U435" s="1"/>
  <c r="V435" s="1"/>
  <c r="W434"/>
  <c r="R434"/>
  <c r="AB434" s="1"/>
  <c r="AC434" s="1"/>
  <c r="M434"/>
  <c r="O434" s="1"/>
  <c r="U434" s="1"/>
  <c r="V434" s="1"/>
  <c r="Y433"/>
  <c r="W433"/>
  <c r="R433"/>
  <c r="O433"/>
  <c r="U433" s="1"/>
  <c r="V433" s="1"/>
  <c r="M433"/>
  <c r="AB432"/>
  <c r="AC432" s="1"/>
  <c r="Y432"/>
  <c r="X432"/>
  <c r="W432"/>
  <c r="R432"/>
  <c r="Z432" s="1"/>
  <c r="M432"/>
  <c r="O432" s="1"/>
  <c r="U432" s="1"/>
  <c r="V432" s="1"/>
  <c r="AB431"/>
  <c r="AC431" s="1"/>
  <c r="Y431"/>
  <c r="X431"/>
  <c r="W431"/>
  <c r="S431"/>
  <c r="T431" s="1"/>
  <c r="R431"/>
  <c r="Z431" s="1"/>
  <c r="AA431" s="1"/>
  <c r="M431"/>
  <c r="O431" s="1"/>
  <c r="U431" s="1"/>
  <c r="V431" s="1"/>
  <c r="W430"/>
  <c r="R430"/>
  <c r="AB430" s="1"/>
  <c r="AC430" s="1"/>
  <c r="M430"/>
  <c r="O430" s="1"/>
  <c r="U430" s="1"/>
  <c r="V430" s="1"/>
  <c r="Y429"/>
  <c r="W429"/>
  <c r="R429"/>
  <c r="O429"/>
  <c r="U429" s="1"/>
  <c r="V429" s="1"/>
  <c r="M429"/>
  <c r="AB428"/>
  <c r="AC428" s="1"/>
  <c r="Y428"/>
  <c r="X428"/>
  <c r="W428"/>
  <c r="R428"/>
  <c r="Z428" s="1"/>
  <c r="M428"/>
  <c r="O428" s="1"/>
  <c r="U428" s="1"/>
  <c r="V428" s="1"/>
  <c r="AB427"/>
  <c r="AC427" s="1"/>
  <c r="Y427"/>
  <c r="X427"/>
  <c r="W427"/>
  <c r="S427"/>
  <c r="T427" s="1"/>
  <c r="R427"/>
  <c r="Z427" s="1"/>
  <c r="AA427" s="1"/>
  <c r="M427"/>
  <c r="O427" s="1"/>
  <c r="U427" s="1"/>
  <c r="V427" s="1"/>
  <c r="W426"/>
  <c r="R426"/>
  <c r="AB426" s="1"/>
  <c r="AC426" s="1"/>
  <c r="M426"/>
  <c r="O426" s="1"/>
  <c r="U426" s="1"/>
  <c r="V426" s="1"/>
  <c r="Y425"/>
  <c r="W425"/>
  <c r="R425"/>
  <c r="O425"/>
  <c r="U425" s="1"/>
  <c r="V425" s="1"/>
  <c r="M425"/>
  <c r="AB424"/>
  <c r="AC424" s="1"/>
  <c r="Y424"/>
  <c r="X424"/>
  <c r="W424"/>
  <c r="R424"/>
  <c r="Z424" s="1"/>
  <c r="M424"/>
  <c r="O424" s="1"/>
  <c r="U424" s="1"/>
  <c r="V424" s="1"/>
  <c r="AB423"/>
  <c r="AC423" s="1"/>
  <c r="Y423"/>
  <c r="X423"/>
  <c r="W423"/>
  <c r="S423"/>
  <c r="T423" s="1"/>
  <c r="R423"/>
  <c r="Z423" s="1"/>
  <c r="AA423" s="1"/>
  <c r="M423"/>
  <c r="O423" s="1"/>
  <c r="U423" s="1"/>
  <c r="V423" s="1"/>
  <c r="W422"/>
  <c r="R422"/>
  <c r="AB422" s="1"/>
  <c r="AC422" s="1"/>
  <c r="M422"/>
  <c r="O422" s="1"/>
  <c r="U422" s="1"/>
  <c r="V422" s="1"/>
  <c r="Y421"/>
  <c r="W421"/>
  <c r="R421"/>
  <c r="O421"/>
  <c r="U421" s="1"/>
  <c r="V421" s="1"/>
  <c r="M421"/>
  <c r="AB420"/>
  <c r="AC420" s="1"/>
  <c r="Y420"/>
  <c r="X420"/>
  <c r="W420"/>
  <c r="R420"/>
  <c r="Z420" s="1"/>
  <c r="M420"/>
  <c r="O420" s="1"/>
  <c r="U420" s="1"/>
  <c r="V420" s="1"/>
  <c r="AB419"/>
  <c r="AC419" s="1"/>
  <c r="Y419"/>
  <c r="X419"/>
  <c r="W419"/>
  <c r="S419"/>
  <c r="T419" s="1"/>
  <c r="R419"/>
  <c r="Z419" s="1"/>
  <c r="AA419" s="1"/>
  <c r="M419"/>
  <c r="O419" s="1"/>
  <c r="U419" s="1"/>
  <c r="V419" s="1"/>
  <c r="W418"/>
  <c r="R418"/>
  <c r="AB418" s="1"/>
  <c r="AC418" s="1"/>
  <c r="M418"/>
  <c r="O418" s="1"/>
  <c r="U418" s="1"/>
  <c r="V418" s="1"/>
  <c r="Y417"/>
  <c r="W417"/>
  <c r="R417"/>
  <c r="O417"/>
  <c r="U417" s="1"/>
  <c r="V417" s="1"/>
  <c r="M417"/>
  <c r="AB416"/>
  <c r="AC416" s="1"/>
  <c r="Y416"/>
  <c r="X416"/>
  <c r="W416"/>
  <c r="R416"/>
  <c r="Z416" s="1"/>
  <c r="M416"/>
  <c r="O416" s="1"/>
  <c r="U416" s="1"/>
  <c r="V416" s="1"/>
  <c r="AB415"/>
  <c r="AC415" s="1"/>
  <c r="Y415"/>
  <c r="X415"/>
  <c r="W415"/>
  <c r="S415"/>
  <c r="T415" s="1"/>
  <c r="R415"/>
  <c r="Z415" s="1"/>
  <c r="AA415" s="1"/>
  <c r="M415"/>
  <c r="O415" s="1"/>
  <c r="U415" s="1"/>
  <c r="V415" s="1"/>
  <c r="W414"/>
  <c r="R414"/>
  <c r="AB414" s="1"/>
  <c r="AC414" s="1"/>
  <c r="M414"/>
  <c r="O414" s="1"/>
  <c r="Y413"/>
  <c r="W413"/>
  <c r="R413"/>
  <c r="O413"/>
  <c r="U413" s="1"/>
  <c r="V413" s="1"/>
  <c r="M413"/>
  <c r="AB412"/>
  <c r="AC412" s="1"/>
  <c r="Y412"/>
  <c r="X412"/>
  <c r="W412"/>
  <c r="R412"/>
  <c r="Z412" s="1"/>
  <c r="M412"/>
  <c r="O412" s="1"/>
  <c r="U412" s="1"/>
  <c r="V412" s="1"/>
  <c r="AB411"/>
  <c r="AC411" s="1"/>
  <c r="Y411"/>
  <c r="X411"/>
  <c r="W411"/>
  <c r="S411"/>
  <c r="T411" s="1"/>
  <c r="R411"/>
  <c r="Z411" s="1"/>
  <c r="AA411" s="1"/>
  <c r="M411"/>
  <c r="O411" s="1"/>
  <c r="U411" s="1"/>
  <c r="V411" s="1"/>
  <c r="W410"/>
  <c r="R410"/>
  <c r="AB410" s="1"/>
  <c r="AC410" s="1"/>
  <c r="M410"/>
  <c r="O410" s="1"/>
  <c r="U410" s="1"/>
  <c r="V410" s="1"/>
  <c r="Y409"/>
  <c r="W409"/>
  <c r="R409"/>
  <c r="O409"/>
  <c r="U409" s="1"/>
  <c r="V409" s="1"/>
  <c r="M409"/>
  <c r="AB408"/>
  <c r="AC408" s="1"/>
  <c r="Y408"/>
  <c r="X408"/>
  <c r="W408"/>
  <c r="R408"/>
  <c r="Z408" s="1"/>
  <c r="M408"/>
  <c r="O408" s="1"/>
  <c r="U408" s="1"/>
  <c r="V408" s="1"/>
  <c r="AB407"/>
  <c r="AC407" s="1"/>
  <c r="Y407"/>
  <c r="X407"/>
  <c r="W407"/>
  <c r="S407"/>
  <c r="T407" s="1"/>
  <c r="R407"/>
  <c r="Z407" s="1"/>
  <c r="AA407" s="1"/>
  <c r="M407"/>
  <c r="O407" s="1"/>
  <c r="U407" s="1"/>
  <c r="V407" s="1"/>
  <c r="W406"/>
  <c r="R406"/>
  <c r="AB406" s="1"/>
  <c r="AC406" s="1"/>
  <c r="M406"/>
  <c r="O406" s="1"/>
  <c r="U406" s="1"/>
  <c r="V406" s="1"/>
  <c r="Y405"/>
  <c r="W405"/>
  <c r="R405"/>
  <c r="O405"/>
  <c r="U405" s="1"/>
  <c r="V405" s="1"/>
  <c r="M405"/>
  <c r="AB404"/>
  <c r="AC404" s="1"/>
  <c r="Y404"/>
  <c r="X404"/>
  <c r="W404"/>
  <c r="R404"/>
  <c r="Z404" s="1"/>
  <c r="M404"/>
  <c r="O404" s="1"/>
  <c r="U404" s="1"/>
  <c r="V404" s="1"/>
  <c r="AB403"/>
  <c r="AC403" s="1"/>
  <c r="Y403"/>
  <c r="X403"/>
  <c r="W403"/>
  <c r="S403"/>
  <c r="T403" s="1"/>
  <c r="R403"/>
  <c r="Z403" s="1"/>
  <c r="AA403" s="1"/>
  <c r="M403"/>
  <c r="O403" s="1"/>
  <c r="U403" s="1"/>
  <c r="V403" s="1"/>
  <c r="W402"/>
  <c r="R402"/>
  <c r="AB402" s="1"/>
  <c r="AC402" s="1"/>
  <c r="M402"/>
  <c r="O402" s="1"/>
  <c r="U402" s="1"/>
  <c r="V402" s="1"/>
  <c r="Y401"/>
  <c r="W401"/>
  <c r="R401"/>
  <c r="O401"/>
  <c r="U401" s="1"/>
  <c r="V401" s="1"/>
  <c r="M401"/>
  <c r="AB400"/>
  <c r="AC400" s="1"/>
  <c r="Y400"/>
  <c r="X400"/>
  <c r="W400"/>
  <c r="R400"/>
  <c r="Z400" s="1"/>
  <c r="M400"/>
  <c r="O400" s="1"/>
  <c r="U400" s="1"/>
  <c r="V400" s="1"/>
  <c r="AB399"/>
  <c r="AC399" s="1"/>
  <c r="Y399"/>
  <c r="X399"/>
  <c r="W399"/>
  <c r="S399"/>
  <c r="T399" s="1"/>
  <c r="R399"/>
  <c r="Z399" s="1"/>
  <c r="AA399" s="1"/>
  <c r="M399"/>
  <c r="O399" s="1"/>
  <c r="U399" s="1"/>
  <c r="V399" s="1"/>
  <c r="W398"/>
  <c r="R398"/>
  <c r="AB398" s="1"/>
  <c r="AC398" s="1"/>
  <c r="M398"/>
  <c r="O398" s="1"/>
  <c r="U398" s="1"/>
  <c r="V398" s="1"/>
  <c r="Y397"/>
  <c r="W397"/>
  <c r="R397"/>
  <c r="O397"/>
  <c r="U397" s="1"/>
  <c r="V397" s="1"/>
  <c r="M397"/>
  <c r="AB396"/>
  <c r="AC396" s="1"/>
  <c r="Y396"/>
  <c r="X396"/>
  <c r="W396"/>
  <c r="R396"/>
  <c r="Z396" s="1"/>
  <c r="M396"/>
  <c r="O396" s="1"/>
  <c r="U396" s="1"/>
  <c r="V396" s="1"/>
  <c r="AB395"/>
  <c r="AC395" s="1"/>
  <c r="Y395"/>
  <c r="X395"/>
  <c r="W395"/>
  <c r="S395"/>
  <c r="T395" s="1"/>
  <c r="R395"/>
  <c r="Z395" s="1"/>
  <c r="AA395" s="1"/>
  <c r="M395"/>
  <c r="O395" s="1"/>
  <c r="U395" s="1"/>
  <c r="V395" s="1"/>
  <c r="W394"/>
  <c r="R394"/>
  <c r="AB394" s="1"/>
  <c r="AC394" s="1"/>
  <c r="M394"/>
  <c r="O394" s="1"/>
  <c r="U394" s="1"/>
  <c r="V394" s="1"/>
  <c r="Y393"/>
  <c r="W393"/>
  <c r="R393"/>
  <c r="O393"/>
  <c r="U393" s="1"/>
  <c r="V393" s="1"/>
  <c r="M393"/>
  <c r="AB392"/>
  <c r="AC392" s="1"/>
  <c r="Y392"/>
  <c r="X392"/>
  <c r="W392"/>
  <c r="R392"/>
  <c r="Z392" s="1"/>
  <c r="M392"/>
  <c r="O392" s="1"/>
  <c r="U392" s="1"/>
  <c r="V392" s="1"/>
  <c r="AB391"/>
  <c r="AC391" s="1"/>
  <c r="Y391"/>
  <c r="X391"/>
  <c r="W391"/>
  <c r="S391"/>
  <c r="T391" s="1"/>
  <c r="R391"/>
  <c r="Z391" s="1"/>
  <c r="AA391" s="1"/>
  <c r="M391"/>
  <c r="O391" s="1"/>
  <c r="U391" s="1"/>
  <c r="V391" s="1"/>
  <c r="W390"/>
  <c r="R390"/>
  <c r="AB390" s="1"/>
  <c r="AC390" s="1"/>
  <c r="M390"/>
  <c r="O390" s="1"/>
  <c r="U390" s="1"/>
  <c r="V390" s="1"/>
  <c r="Y389"/>
  <c r="W389"/>
  <c r="R389"/>
  <c r="O389"/>
  <c r="U389" s="1"/>
  <c r="V389" s="1"/>
  <c r="M389"/>
  <c r="AB388"/>
  <c r="AC388" s="1"/>
  <c r="Y388"/>
  <c r="X388"/>
  <c r="W388"/>
  <c r="R388"/>
  <c r="Z388" s="1"/>
  <c r="M388"/>
  <c r="O388" s="1"/>
  <c r="U388" s="1"/>
  <c r="V388" s="1"/>
  <c r="AB387"/>
  <c r="AC387" s="1"/>
  <c r="Y387"/>
  <c r="X387"/>
  <c r="W387"/>
  <c r="S387"/>
  <c r="T387" s="1"/>
  <c r="R387"/>
  <c r="Z387" s="1"/>
  <c r="AA387" s="1"/>
  <c r="M387"/>
  <c r="O387" s="1"/>
  <c r="U387" s="1"/>
  <c r="V387" s="1"/>
  <c r="W386"/>
  <c r="R386"/>
  <c r="AB386" s="1"/>
  <c r="AC386" s="1"/>
  <c r="M386"/>
  <c r="O386" s="1"/>
  <c r="U386" s="1"/>
  <c r="V386" s="1"/>
  <c r="Y385"/>
  <c r="W385"/>
  <c r="R385"/>
  <c r="O385"/>
  <c r="U385" s="1"/>
  <c r="V385" s="1"/>
  <c r="M385"/>
  <c r="AB384"/>
  <c r="AC384" s="1"/>
  <c r="Y384"/>
  <c r="X384"/>
  <c r="W384"/>
  <c r="R384"/>
  <c r="Z384" s="1"/>
  <c r="M384"/>
  <c r="O384" s="1"/>
  <c r="U384" s="1"/>
  <c r="V384" s="1"/>
  <c r="AB383"/>
  <c r="AC383" s="1"/>
  <c r="Y383"/>
  <c r="X383"/>
  <c r="W383"/>
  <c r="S383"/>
  <c r="T383" s="1"/>
  <c r="R383"/>
  <c r="Z383" s="1"/>
  <c r="AA383" s="1"/>
  <c r="M383"/>
  <c r="O383" s="1"/>
  <c r="U383" s="1"/>
  <c r="V383" s="1"/>
  <c r="W382"/>
  <c r="R382"/>
  <c r="AB382" s="1"/>
  <c r="AC382" s="1"/>
  <c r="M382"/>
  <c r="O382" s="1"/>
  <c r="U382" s="1"/>
  <c r="V382" s="1"/>
  <c r="Y381"/>
  <c r="W381"/>
  <c r="R381"/>
  <c r="O381"/>
  <c r="U381" s="1"/>
  <c r="V381" s="1"/>
  <c r="M381"/>
  <c r="AB380"/>
  <c r="AC380" s="1"/>
  <c r="Y380"/>
  <c r="X380"/>
  <c r="W380"/>
  <c r="R380"/>
  <c r="Z380" s="1"/>
  <c r="M380"/>
  <c r="O380" s="1"/>
  <c r="U380" s="1"/>
  <c r="V380" s="1"/>
  <c r="AB379"/>
  <c r="AC379" s="1"/>
  <c r="Y379"/>
  <c r="X379"/>
  <c r="W379"/>
  <c r="S379"/>
  <c r="T379" s="1"/>
  <c r="R379"/>
  <c r="Z379" s="1"/>
  <c r="AA379" s="1"/>
  <c r="M379"/>
  <c r="O379" s="1"/>
  <c r="U379" s="1"/>
  <c r="V379" s="1"/>
  <c r="W378"/>
  <c r="R378"/>
  <c r="AB378" s="1"/>
  <c r="AC378" s="1"/>
  <c r="M378"/>
  <c r="O378" s="1"/>
  <c r="U378" s="1"/>
  <c r="V378" s="1"/>
  <c r="Y377"/>
  <c r="W377"/>
  <c r="R377"/>
  <c r="O377"/>
  <c r="U377" s="1"/>
  <c r="V377" s="1"/>
  <c r="M377"/>
  <c r="AB376"/>
  <c r="AC376" s="1"/>
  <c r="Y376"/>
  <c r="X376"/>
  <c r="W376"/>
  <c r="R376"/>
  <c r="Z376" s="1"/>
  <c r="M376"/>
  <c r="O376" s="1"/>
  <c r="U376" s="1"/>
  <c r="V376" s="1"/>
  <c r="AB375"/>
  <c r="AC375" s="1"/>
  <c r="Y375"/>
  <c r="X375"/>
  <c r="W375"/>
  <c r="S375"/>
  <c r="T375" s="1"/>
  <c r="R375"/>
  <c r="Z375" s="1"/>
  <c r="AA375" s="1"/>
  <c r="M375"/>
  <c r="O375" s="1"/>
  <c r="U375" s="1"/>
  <c r="V375" s="1"/>
  <c r="W374"/>
  <c r="R374"/>
  <c r="AB374" s="1"/>
  <c r="AC374" s="1"/>
  <c r="M374"/>
  <c r="O374" s="1"/>
  <c r="U374" s="1"/>
  <c r="V374" s="1"/>
  <c r="Y373"/>
  <c r="W373"/>
  <c r="R373"/>
  <c r="O373"/>
  <c r="U373" s="1"/>
  <c r="V373" s="1"/>
  <c r="M373"/>
  <c r="AB372"/>
  <c r="AC372" s="1"/>
  <c r="Y372"/>
  <c r="X372"/>
  <c r="W372"/>
  <c r="R372"/>
  <c r="Z372" s="1"/>
  <c r="M372"/>
  <c r="O372" s="1"/>
  <c r="U372" s="1"/>
  <c r="V372" s="1"/>
  <c r="AB371"/>
  <c r="AC371" s="1"/>
  <c r="Y371"/>
  <c r="X371"/>
  <c r="W371"/>
  <c r="S371"/>
  <c r="T371" s="1"/>
  <c r="R371"/>
  <c r="Z371" s="1"/>
  <c r="AA371" s="1"/>
  <c r="M371"/>
  <c r="O371" s="1"/>
  <c r="U371" s="1"/>
  <c r="V371" s="1"/>
  <c r="W370"/>
  <c r="R370"/>
  <c r="AB370" s="1"/>
  <c r="AC370" s="1"/>
  <c r="M370"/>
  <c r="O370" s="1"/>
  <c r="U370" s="1"/>
  <c r="V370" s="1"/>
  <c r="Y369"/>
  <c r="W369"/>
  <c r="R369"/>
  <c r="O369"/>
  <c r="U369" s="1"/>
  <c r="V369" s="1"/>
  <c r="M369"/>
  <c r="AB368"/>
  <c r="AC368" s="1"/>
  <c r="Y368"/>
  <c r="X368"/>
  <c r="W368"/>
  <c r="R368"/>
  <c r="Z368" s="1"/>
  <c r="M368"/>
  <c r="O368" s="1"/>
  <c r="U368" s="1"/>
  <c r="V368" s="1"/>
  <c r="AB367"/>
  <c r="AC367" s="1"/>
  <c r="Y367"/>
  <c r="X367"/>
  <c r="W367"/>
  <c r="S367"/>
  <c r="T367" s="1"/>
  <c r="R367"/>
  <c r="Z367" s="1"/>
  <c r="AA367" s="1"/>
  <c r="M367"/>
  <c r="O367" s="1"/>
  <c r="U367" s="1"/>
  <c r="V367" s="1"/>
  <c r="W366"/>
  <c r="R366"/>
  <c r="AB366" s="1"/>
  <c r="AC366" s="1"/>
  <c r="M366"/>
  <c r="O366" s="1"/>
  <c r="U366" s="1"/>
  <c r="V366" s="1"/>
  <c r="Y365"/>
  <c r="W365"/>
  <c r="R365"/>
  <c r="O365"/>
  <c r="U365" s="1"/>
  <c r="V365" s="1"/>
  <c r="M365"/>
  <c r="AB364"/>
  <c r="AC364" s="1"/>
  <c r="Y364"/>
  <c r="X364"/>
  <c r="W364"/>
  <c r="R364"/>
  <c r="Z364" s="1"/>
  <c r="M364"/>
  <c r="O364" s="1"/>
  <c r="U364" s="1"/>
  <c r="V364" s="1"/>
  <c r="AB363"/>
  <c r="AC363" s="1"/>
  <c r="Y363"/>
  <c r="X363"/>
  <c r="W363"/>
  <c r="S363"/>
  <c r="T363" s="1"/>
  <c r="R363"/>
  <c r="Z363" s="1"/>
  <c r="AA363" s="1"/>
  <c r="M363"/>
  <c r="O363" s="1"/>
  <c r="U363" s="1"/>
  <c r="V363" s="1"/>
  <c r="W362"/>
  <c r="R362"/>
  <c r="AB362" s="1"/>
  <c r="AC362" s="1"/>
  <c r="M362"/>
  <c r="O362" s="1"/>
  <c r="U362" s="1"/>
  <c r="V362" s="1"/>
  <c r="Y361"/>
  <c r="W361"/>
  <c r="R361"/>
  <c r="O361"/>
  <c r="U361" s="1"/>
  <c r="V361" s="1"/>
  <c r="M361"/>
  <c r="AB360"/>
  <c r="AC360" s="1"/>
  <c r="Y360"/>
  <c r="X360"/>
  <c r="W360"/>
  <c r="R360"/>
  <c r="Z360" s="1"/>
  <c r="M360"/>
  <c r="O360" s="1"/>
  <c r="U360" s="1"/>
  <c r="V360" s="1"/>
  <c r="AB359"/>
  <c r="AC359" s="1"/>
  <c r="Y359"/>
  <c r="X359"/>
  <c r="W359"/>
  <c r="S359"/>
  <c r="T359" s="1"/>
  <c r="R359"/>
  <c r="Z359" s="1"/>
  <c r="AA359" s="1"/>
  <c r="M359"/>
  <c r="O359" s="1"/>
  <c r="U359" s="1"/>
  <c r="V359" s="1"/>
  <c r="W358"/>
  <c r="R358"/>
  <c r="AB358" s="1"/>
  <c r="AC358" s="1"/>
  <c r="M358"/>
  <c r="O358" s="1"/>
  <c r="U358" s="1"/>
  <c r="V358" s="1"/>
  <c r="Y357"/>
  <c r="W357"/>
  <c r="R357"/>
  <c r="O357"/>
  <c r="U357" s="1"/>
  <c r="V357" s="1"/>
  <c r="M357"/>
  <c r="AB356"/>
  <c r="AC356" s="1"/>
  <c r="Y356"/>
  <c r="X356"/>
  <c r="W356"/>
  <c r="R356"/>
  <c r="Z356" s="1"/>
  <c r="M356"/>
  <c r="O356" s="1"/>
  <c r="U356" s="1"/>
  <c r="V356" s="1"/>
  <c r="Q354"/>
  <c r="P354"/>
  <c r="O354"/>
  <c r="K354"/>
  <c r="L354" s="1"/>
  <c r="C354"/>
  <c r="Q351"/>
  <c r="P351"/>
  <c r="O351"/>
  <c r="AD351" s="1"/>
  <c r="M351" s="1"/>
  <c r="K351"/>
  <c r="L351" s="1"/>
  <c r="C351"/>
  <c r="AC349"/>
  <c r="AB349"/>
  <c r="Y349"/>
  <c r="X349"/>
  <c r="W349"/>
  <c r="S349"/>
  <c r="T349" s="1"/>
  <c r="R349"/>
  <c r="Z349" s="1"/>
  <c r="AA349" s="1"/>
  <c r="O349"/>
  <c r="U349" s="1"/>
  <c r="V349" s="1"/>
  <c r="M349"/>
  <c r="AB348"/>
  <c r="AC348" s="1"/>
  <c r="X348"/>
  <c r="W348"/>
  <c r="R348"/>
  <c r="Y348" s="1"/>
  <c r="M348"/>
  <c r="O348" s="1"/>
  <c r="U348" s="1"/>
  <c r="V348" s="1"/>
  <c r="Y347"/>
  <c r="W347"/>
  <c r="S347"/>
  <c r="T347" s="1"/>
  <c r="R347"/>
  <c r="AB347" s="1"/>
  <c r="AC347" s="1"/>
  <c r="O347"/>
  <c r="U347" s="1"/>
  <c r="M347"/>
  <c r="W346"/>
  <c r="R346"/>
  <c r="Z346" s="1"/>
  <c r="M346"/>
  <c r="O346" s="1"/>
  <c r="U346" s="1"/>
  <c r="V346" s="1"/>
  <c r="AC345"/>
  <c r="AB345"/>
  <c r="Y345"/>
  <c r="X345"/>
  <c r="W345"/>
  <c r="S345"/>
  <c r="T345" s="1"/>
  <c r="R345"/>
  <c r="Z345" s="1"/>
  <c r="AA345" s="1"/>
  <c r="O345"/>
  <c r="U345" s="1"/>
  <c r="V345" s="1"/>
  <c r="M345"/>
  <c r="AB344"/>
  <c r="AC344" s="1"/>
  <c r="X344"/>
  <c r="W344"/>
  <c r="R344"/>
  <c r="Y344" s="1"/>
  <c r="M344"/>
  <c r="O344" s="1"/>
  <c r="U344" s="1"/>
  <c r="V344" s="1"/>
  <c r="Y343"/>
  <c r="W343"/>
  <c r="S343"/>
  <c r="T343" s="1"/>
  <c r="R343"/>
  <c r="AB343" s="1"/>
  <c r="AC343" s="1"/>
  <c r="O343"/>
  <c r="U343" s="1"/>
  <c r="V343" s="1"/>
  <c r="M343"/>
  <c r="W342"/>
  <c r="R342"/>
  <c r="Z342" s="1"/>
  <c r="M342"/>
  <c r="O342" s="1"/>
  <c r="U342" s="1"/>
  <c r="V342" s="1"/>
  <c r="AC341"/>
  <c r="AB341"/>
  <c r="Y341"/>
  <c r="X341"/>
  <c r="W341"/>
  <c r="S341"/>
  <c r="T341" s="1"/>
  <c r="R341"/>
  <c r="Z341" s="1"/>
  <c r="AA341" s="1"/>
  <c r="O341"/>
  <c r="U341" s="1"/>
  <c r="V341" s="1"/>
  <c r="M341"/>
  <c r="AB340"/>
  <c r="AC340" s="1"/>
  <c r="X340"/>
  <c r="W340"/>
  <c r="R340"/>
  <c r="Y340" s="1"/>
  <c r="M340"/>
  <c r="O340" s="1"/>
  <c r="U340" s="1"/>
  <c r="V340" s="1"/>
  <c r="Y339"/>
  <c r="W339"/>
  <c r="S339"/>
  <c r="T339" s="1"/>
  <c r="R339"/>
  <c r="AB339" s="1"/>
  <c r="AC339" s="1"/>
  <c r="O339"/>
  <c r="U339" s="1"/>
  <c r="V339" s="1"/>
  <c r="M339"/>
  <c r="W338"/>
  <c r="R338"/>
  <c r="Z338" s="1"/>
  <c r="M338"/>
  <c r="O338" s="1"/>
  <c r="U338" s="1"/>
  <c r="V338" s="1"/>
  <c r="AC337"/>
  <c r="AB337"/>
  <c r="Y337"/>
  <c r="X337"/>
  <c r="W337"/>
  <c r="S337"/>
  <c r="T337" s="1"/>
  <c r="R337"/>
  <c r="Z337" s="1"/>
  <c r="AA337" s="1"/>
  <c r="O337"/>
  <c r="U337" s="1"/>
  <c r="V337" s="1"/>
  <c r="M337"/>
  <c r="AB336"/>
  <c r="AC336" s="1"/>
  <c r="X336"/>
  <c r="W336"/>
  <c r="R336"/>
  <c r="Y336" s="1"/>
  <c r="M336"/>
  <c r="O336" s="1"/>
  <c r="U336" s="1"/>
  <c r="V336" s="1"/>
  <c r="Y335"/>
  <c r="W335"/>
  <c r="S335"/>
  <c r="T335" s="1"/>
  <c r="R335"/>
  <c r="AB335" s="1"/>
  <c r="AC335" s="1"/>
  <c r="O335"/>
  <c r="U335" s="1"/>
  <c r="V335" s="1"/>
  <c r="M335"/>
  <c r="W334"/>
  <c r="R334"/>
  <c r="Z334" s="1"/>
  <c r="M334"/>
  <c r="O334" s="1"/>
  <c r="U334" s="1"/>
  <c r="V334" s="1"/>
  <c r="AC333"/>
  <c r="AB333"/>
  <c r="Y333"/>
  <c r="X333"/>
  <c r="W333"/>
  <c r="S333"/>
  <c r="T333" s="1"/>
  <c r="R333"/>
  <c r="Z333" s="1"/>
  <c r="AA333" s="1"/>
  <c r="O333"/>
  <c r="U333" s="1"/>
  <c r="V333" s="1"/>
  <c r="M333"/>
  <c r="AB332"/>
  <c r="AC332" s="1"/>
  <c r="X332"/>
  <c r="W332"/>
  <c r="R332"/>
  <c r="Y332" s="1"/>
  <c r="M332"/>
  <c r="O332" s="1"/>
  <c r="U332" s="1"/>
  <c r="V332" s="1"/>
  <c r="Y331"/>
  <c r="W331"/>
  <c r="S331"/>
  <c r="T331" s="1"/>
  <c r="R331"/>
  <c r="AB331" s="1"/>
  <c r="AC331" s="1"/>
  <c r="O331"/>
  <c r="U331" s="1"/>
  <c r="V331" s="1"/>
  <c r="M331"/>
  <c r="W330"/>
  <c r="R330"/>
  <c r="Z330" s="1"/>
  <c r="M330"/>
  <c r="O330" s="1"/>
  <c r="U330" s="1"/>
  <c r="V330" s="1"/>
  <c r="AC329"/>
  <c r="AB329"/>
  <c r="Y329"/>
  <c r="X329"/>
  <c r="W329"/>
  <c r="S329"/>
  <c r="T329" s="1"/>
  <c r="R329"/>
  <c r="Z329" s="1"/>
  <c r="AA329" s="1"/>
  <c r="O329"/>
  <c r="U329" s="1"/>
  <c r="V329" s="1"/>
  <c r="M329"/>
  <c r="AB328"/>
  <c r="AC328" s="1"/>
  <c r="X328"/>
  <c r="W328"/>
  <c r="R328"/>
  <c r="Y328" s="1"/>
  <c r="M328"/>
  <c r="O328" s="1"/>
  <c r="U328" s="1"/>
  <c r="V328" s="1"/>
  <c r="Y327"/>
  <c r="W327"/>
  <c r="S327"/>
  <c r="T327" s="1"/>
  <c r="R327"/>
  <c r="AB327" s="1"/>
  <c r="AC327" s="1"/>
  <c r="O327"/>
  <c r="U327" s="1"/>
  <c r="V327" s="1"/>
  <c r="M327"/>
  <c r="W326"/>
  <c r="R326"/>
  <c r="Z326" s="1"/>
  <c r="M326"/>
  <c r="O326" s="1"/>
  <c r="U326" s="1"/>
  <c r="V326" s="1"/>
  <c r="AC325"/>
  <c r="AB325"/>
  <c r="Y325"/>
  <c r="X325"/>
  <c r="W325"/>
  <c r="S325"/>
  <c r="T325" s="1"/>
  <c r="R325"/>
  <c r="Z325" s="1"/>
  <c r="AA325" s="1"/>
  <c r="O325"/>
  <c r="U325" s="1"/>
  <c r="V325" s="1"/>
  <c r="M325"/>
  <c r="AB324"/>
  <c r="AC324" s="1"/>
  <c r="X324"/>
  <c r="W324"/>
  <c r="R324"/>
  <c r="Y324" s="1"/>
  <c r="M324"/>
  <c r="O324" s="1"/>
  <c r="U324" s="1"/>
  <c r="V324" s="1"/>
  <c r="Y323"/>
  <c r="W323"/>
  <c r="S323"/>
  <c r="T323" s="1"/>
  <c r="R323"/>
  <c r="AB323" s="1"/>
  <c r="AC323" s="1"/>
  <c r="O323"/>
  <c r="U323" s="1"/>
  <c r="V323" s="1"/>
  <c r="M323"/>
  <c r="W322"/>
  <c r="R322"/>
  <c r="Z322" s="1"/>
  <c r="M322"/>
  <c r="O322" s="1"/>
  <c r="U322" s="1"/>
  <c r="V322" s="1"/>
  <c r="AC321"/>
  <c r="AB321"/>
  <c r="Y321"/>
  <c r="X321"/>
  <c r="W321"/>
  <c r="S321"/>
  <c r="T321" s="1"/>
  <c r="R321"/>
  <c r="Z321" s="1"/>
  <c r="AA321" s="1"/>
  <c r="O321"/>
  <c r="U321" s="1"/>
  <c r="V321" s="1"/>
  <c r="M321"/>
  <c r="AB320"/>
  <c r="AC320" s="1"/>
  <c r="X320"/>
  <c r="W320"/>
  <c r="R320"/>
  <c r="Y320" s="1"/>
  <c r="M320"/>
  <c r="O320" s="1"/>
  <c r="U320" s="1"/>
  <c r="V320" s="1"/>
  <c r="Y319"/>
  <c r="W319"/>
  <c r="S319"/>
  <c r="T319" s="1"/>
  <c r="R319"/>
  <c r="AB319" s="1"/>
  <c r="AC319" s="1"/>
  <c r="O319"/>
  <c r="U319" s="1"/>
  <c r="V319" s="1"/>
  <c r="M319"/>
  <c r="W318"/>
  <c r="R318"/>
  <c r="Z318" s="1"/>
  <c r="M318"/>
  <c r="O318" s="1"/>
  <c r="U318" s="1"/>
  <c r="V318" s="1"/>
  <c r="AC317"/>
  <c r="AB317"/>
  <c r="Y317"/>
  <c r="X317"/>
  <c r="W317"/>
  <c r="S317"/>
  <c r="T317" s="1"/>
  <c r="R317"/>
  <c r="Z317" s="1"/>
  <c r="AA317" s="1"/>
  <c r="O317"/>
  <c r="U317" s="1"/>
  <c r="V317" s="1"/>
  <c r="M317"/>
  <c r="AB316"/>
  <c r="AC316" s="1"/>
  <c r="X316"/>
  <c r="W316"/>
  <c r="R316"/>
  <c r="Y316" s="1"/>
  <c r="M316"/>
  <c r="O316" s="1"/>
  <c r="U316" s="1"/>
  <c r="V316" s="1"/>
  <c r="Y315"/>
  <c r="W315"/>
  <c r="S315"/>
  <c r="T315" s="1"/>
  <c r="R315"/>
  <c r="AB315" s="1"/>
  <c r="AC315" s="1"/>
  <c r="O315"/>
  <c r="U315" s="1"/>
  <c r="V315" s="1"/>
  <c r="M315"/>
  <c r="W314"/>
  <c r="R314"/>
  <c r="Z314" s="1"/>
  <c r="M314"/>
  <c r="O314" s="1"/>
  <c r="U314" s="1"/>
  <c r="V314" s="1"/>
  <c r="AC313"/>
  <c r="AB313"/>
  <c r="Y313"/>
  <c r="X313"/>
  <c r="W313"/>
  <c r="S313"/>
  <c r="T313" s="1"/>
  <c r="R313"/>
  <c r="Z313" s="1"/>
  <c r="AA313" s="1"/>
  <c r="O313"/>
  <c r="U313" s="1"/>
  <c r="V313" s="1"/>
  <c r="M313"/>
  <c r="AB312"/>
  <c r="AC312" s="1"/>
  <c r="X312"/>
  <c r="W312"/>
  <c r="R312"/>
  <c r="Y312" s="1"/>
  <c r="M312"/>
  <c r="O312" s="1"/>
  <c r="U312" s="1"/>
  <c r="V312" s="1"/>
  <c r="Y311"/>
  <c r="W311"/>
  <c r="S311"/>
  <c r="T311" s="1"/>
  <c r="R311"/>
  <c r="AB311" s="1"/>
  <c r="AC311" s="1"/>
  <c r="O311"/>
  <c r="U311" s="1"/>
  <c r="V311" s="1"/>
  <c r="M311"/>
  <c r="W310"/>
  <c r="R310"/>
  <c r="Z310" s="1"/>
  <c r="M310"/>
  <c r="O310" s="1"/>
  <c r="U310" s="1"/>
  <c r="V310" s="1"/>
  <c r="AC309"/>
  <c r="AB309"/>
  <c r="Y309"/>
  <c r="X309"/>
  <c r="W309"/>
  <c r="S309"/>
  <c r="T309" s="1"/>
  <c r="R309"/>
  <c r="Z309" s="1"/>
  <c r="AA309" s="1"/>
  <c r="O309"/>
  <c r="U309" s="1"/>
  <c r="V309" s="1"/>
  <c r="M309"/>
  <c r="AB308"/>
  <c r="AC308" s="1"/>
  <c r="X308"/>
  <c r="W308"/>
  <c r="R308"/>
  <c r="Y308" s="1"/>
  <c r="M308"/>
  <c r="O308" s="1"/>
  <c r="U308" s="1"/>
  <c r="V308" s="1"/>
  <c r="Y307"/>
  <c r="W307"/>
  <c r="S307"/>
  <c r="T307" s="1"/>
  <c r="R307"/>
  <c r="AB307" s="1"/>
  <c r="AC307" s="1"/>
  <c r="O307"/>
  <c r="U307" s="1"/>
  <c r="V307" s="1"/>
  <c r="M307"/>
  <c r="W306"/>
  <c r="R306"/>
  <c r="Z306" s="1"/>
  <c r="M306"/>
  <c r="O306" s="1"/>
  <c r="U306" s="1"/>
  <c r="V306" s="1"/>
  <c r="AC305"/>
  <c r="AB305"/>
  <c r="Y305"/>
  <c r="X305"/>
  <c r="W305"/>
  <c r="S305"/>
  <c r="T305" s="1"/>
  <c r="R305"/>
  <c r="Z305" s="1"/>
  <c r="AA305" s="1"/>
  <c r="O305"/>
  <c r="U305" s="1"/>
  <c r="V305" s="1"/>
  <c r="M305"/>
  <c r="AB304"/>
  <c r="AC304" s="1"/>
  <c r="X304"/>
  <c r="W304"/>
  <c r="R304"/>
  <c r="Y304" s="1"/>
  <c r="M304"/>
  <c r="O304" s="1"/>
  <c r="U304" s="1"/>
  <c r="V304" s="1"/>
  <c r="Y303"/>
  <c r="W303"/>
  <c r="S303"/>
  <c r="T303" s="1"/>
  <c r="R303"/>
  <c r="AB303" s="1"/>
  <c r="AC303" s="1"/>
  <c r="O303"/>
  <c r="U303" s="1"/>
  <c r="V303" s="1"/>
  <c r="M303"/>
  <c r="W302"/>
  <c r="R302"/>
  <c r="Z302" s="1"/>
  <c r="M302"/>
  <c r="O302" s="1"/>
  <c r="U302" s="1"/>
  <c r="V302" s="1"/>
  <c r="Q300"/>
  <c r="P300"/>
  <c r="O300"/>
  <c r="K300"/>
  <c r="L300" s="1"/>
  <c r="C300"/>
  <c r="Q297"/>
  <c r="P297"/>
  <c r="O297"/>
  <c r="AD297" s="1"/>
  <c r="M297" s="1"/>
  <c r="K297"/>
  <c r="L297" s="1"/>
  <c r="C297"/>
  <c r="Q294"/>
  <c r="P294"/>
  <c r="O294"/>
  <c r="AD294" s="1"/>
  <c r="M294" s="1"/>
  <c r="K294"/>
  <c r="L294" s="1"/>
  <c r="C294"/>
  <c r="Q291"/>
  <c r="P291"/>
  <c r="O291"/>
  <c r="AD291" s="1"/>
  <c r="M291" s="1"/>
  <c r="K291"/>
  <c r="L291" s="1"/>
  <c r="C291"/>
  <c r="Q288"/>
  <c r="P288"/>
  <c r="O288"/>
  <c r="AD288" s="1"/>
  <c r="M288" s="1"/>
  <c r="K288"/>
  <c r="L288" s="1"/>
  <c r="C288"/>
  <c r="AC286"/>
  <c r="AB286"/>
  <c r="Y286"/>
  <c r="X286"/>
  <c r="W286"/>
  <c r="S286"/>
  <c r="T286" s="1"/>
  <c r="R286"/>
  <c r="Z286" s="1"/>
  <c r="AA286" s="1"/>
  <c r="O286"/>
  <c r="U286" s="1"/>
  <c r="V286" s="1"/>
  <c r="M286"/>
  <c r="AB285"/>
  <c r="AC285" s="1"/>
  <c r="X285"/>
  <c r="W285"/>
  <c r="R285"/>
  <c r="Y285" s="1"/>
  <c r="M285"/>
  <c r="O285" s="1"/>
  <c r="U285" s="1"/>
  <c r="V285" s="1"/>
  <c r="Y284"/>
  <c r="W284"/>
  <c r="S284"/>
  <c r="T284" s="1"/>
  <c r="R284"/>
  <c r="AB284" s="1"/>
  <c r="AC284" s="1"/>
  <c r="O284"/>
  <c r="U284" s="1"/>
  <c r="V284" s="1"/>
  <c r="M284"/>
  <c r="W283"/>
  <c r="R283"/>
  <c r="Z283" s="1"/>
  <c r="M283"/>
  <c r="O283" s="1"/>
  <c r="U283" s="1"/>
  <c r="V283" s="1"/>
  <c r="AC282"/>
  <c r="AB282"/>
  <c r="Y282"/>
  <c r="X282"/>
  <c r="W282"/>
  <c r="S282"/>
  <c r="T282" s="1"/>
  <c r="R282"/>
  <c r="Z282" s="1"/>
  <c r="AA282" s="1"/>
  <c r="O282"/>
  <c r="U282" s="1"/>
  <c r="V282" s="1"/>
  <c r="M282"/>
  <c r="AB281"/>
  <c r="AC281" s="1"/>
  <c r="X281"/>
  <c r="W281"/>
  <c r="R281"/>
  <c r="Y281" s="1"/>
  <c r="M281"/>
  <c r="O281" s="1"/>
  <c r="U281" s="1"/>
  <c r="V281" s="1"/>
  <c r="Y280"/>
  <c r="W280"/>
  <c r="S280"/>
  <c r="T280" s="1"/>
  <c r="R280"/>
  <c r="AB280" s="1"/>
  <c r="AC280" s="1"/>
  <c r="O280"/>
  <c r="U280" s="1"/>
  <c r="V280" s="1"/>
  <c r="M280"/>
  <c r="W279"/>
  <c r="R279"/>
  <c r="Z279" s="1"/>
  <c r="M279"/>
  <c r="O279" s="1"/>
  <c r="U279" s="1"/>
  <c r="V279" s="1"/>
  <c r="AC278"/>
  <c r="AB278"/>
  <c r="Y278"/>
  <c r="X278"/>
  <c r="W278"/>
  <c r="S278"/>
  <c r="T278" s="1"/>
  <c r="R278"/>
  <c r="Z278" s="1"/>
  <c r="AA278" s="1"/>
  <c r="O278"/>
  <c r="U278" s="1"/>
  <c r="V278" s="1"/>
  <c r="M278"/>
  <c r="AB277"/>
  <c r="AC277" s="1"/>
  <c r="X277"/>
  <c r="W277"/>
  <c r="R277"/>
  <c r="Y277" s="1"/>
  <c r="M277"/>
  <c r="O277" s="1"/>
  <c r="U277" s="1"/>
  <c r="V277" s="1"/>
  <c r="Y276"/>
  <c r="W276"/>
  <c r="S276"/>
  <c r="T276" s="1"/>
  <c r="R276"/>
  <c r="AB276" s="1"/>
  <c r="AC276" s="1"/>
  <c r="O276"/>
  <c r="U276" s="1"/>
  <c r="V276" s="1"/>
  <c r="M276"/>
  <c r="W275"/>
  <c r="R275"/>
  <c r="Z275" s="1"/>
  <c r="M275"/>
  <c r="O275" s="1"/>
  <c r="U275" s="1"/>
  <c r="V275" s="1"/>
  <c r="AC274"/>
  <c r="AB274"/>
  <c r="Y274"/>
  <c r="X274"/>
  <c r="W274"/>
  <c r="S274"/>
  <c r="T274" s="1"/>
  <c r="R274"/>
  <c r="Z274" s="1"/>
  <c r="AA274" s="1"/>
  <c r="O274"/>
  <c r="U274" s="1"/>
  <c r="V274" s="1"/>
  <c r="M274"/>
  <c r="AB273"/>
  <c r="AC273" s="1"/>
  <c r="X273"/>
  <c r="W273"/>
  <c r="R273"/>
  <c r="Y273" s="1"/>
  <c r="M273"/>
  <c r="O273" s="1"/>
  <c r="U273" s="1"/>
  <c r="V273" s="1"/>
  <c r="Y272"/>
  <c r="W272"/>
  <c r="S272"/>
  <c r="T272" s="1"/>
  <c r="R272"/>
  <c r="AB272" s="1"/>
  <c r="AC272" s="1"/>
  <c r="O272"/>
  <c r="U272" s="1"/>
  <c r="V272" s="1"/>
  <c r="M272"/>
  <c r="W271"/>
  <c r="R271"/>
  <c r="Z271" s="1"/>
  <c r="M271"/>
  <c r="O271" s="1"/>
  <c r="U271" s="1"/>
  <c r="V271" s="1"/>
  <c r="AC270"/>
  <c r="AB270"/>
  <c r="Y270"/>
  <c r="X270"/>
  <c r="W270"/>
  <c r="S270"/>
  <c r="T270" s="1"/>
  <c r="R270"/>
  <c r="Z270" s="1"/>
  <c r="AA270" s="1"/>
  <c r="O270"/>
  <c r="U270" s="1"/>
  <c r="V270" s="1"/>
  <c r="M270"/>
  <c r="AB269"/>
  <c r="AC269" s="1"/>
  <c r="X269"/>
  <c r="W269"/>
  <c r="R269"/>
  <c r="Y269" s="1"/>
  <c r="M269"/>
  <c r="O269" s="1"/>
  <c r="U269" s="1"/>
  <c r="V269" s="1"/>
  <c r="Y268"/>
  <c r="W268"/>
  <c r="S268"/>
  <c r="T268" s="1"/>
  <c r="R268"/>
  <c r="AB268" s="1"/>
  <c r="AC268" s="1"/>
  <c r="O268"/>
  <c r="U268" s="1"/>
  <c r="V268" s="1"/>
  <c r="M268"/>
  <c r="W267"/>
  <c r="R267"/>
  <c r="Z267" s="1"/>
  <c r="M267"/>
  <c r="O267" s="1"/>
  <c r="U267" s="1"/>
  <c r="V267" s="1"/>
  <c r="AC266"/>
  <c r="AB266"/>
  <c r="Y266"/>
  <c r="X266"/>
  <c r="W266"/>
  <c r="S266"/>
  <c r="T266" s="1"/>
  <c r="R266"/>
  <c r="Z266" s="1"/>
  <c r="AA266" s="1"/>
  <c r="O266"/>
  <c r="U266" s="1"/>
  <c r="V266" s="1"/>
  <c r="M266"/>
  <c r="AB265"/>
  <c r="AC265" s="1"/>
  <c r="X265"/>
  <c r="W265"/>
  <c r="R265"/>
  <c r="Y265" s="1"/>
  <c r="M265"/>
  <c r="O265" s="1"/>
  <c r="U265" s="1"/>
  <c r="V265" s="1"/>
  <c r="Y264"/>
  <c r="W264"/>
  <c r="S264"/>
  <c r="T264" s="1"/>
  <c r="R264"/>
  <c r="AB264" s="1"/>
  <c r="AC264" s="1"/>
  <c r="O264"/>
  <c r="U264" s="1"/>
  <c r="V264" s="1"/>
  <c r="M264"/>
  <c r="W263"/>
  <c r="R263"/>
  <c r="Z263" s="1"/>
  <c r="M263"/>
  <c r="O263" s="1"/>
  <c r="U263" s="1"/>
  <c r="V263" s="1"/>
  <c r="AC262"/>
  <c r="AB262"/>
  <c r="Y262"/>
  <c r="X262"/>
  <c r="W262"/>
  <c r="S262"/>
  <c r="T262" s="1"/>
  <c r="R262"/>
  <c r="Z262" s="1"/>
  <c r="AA262" s="1"/>
  <c r="O262"/>
  <c r="U262" s="1"/>
  <c r="V262" s="1"/>
  <c r="M262"/>
  <c r="AB261"/>
  <c r="AC261" s="1"/>
  <c r="X261"/>
  <c r="W261"/>
  <c r="R261"/>
  <c r="Y261" s="1"/>
  <c r="M261"/>
  <c r="O261" s="1"/>
  <c r="U261" s="1"/>
  <c r="V261" s="1"/>
  <c r="Y260"/>
  <c r="W260"/>
  <c r="S260"/>
  <c r="T260" s="1"/>
  <c r="R260"/>
  <c r="AB260" s="1"/>
  <c r="AC260" s="1"/>
  <c r="O260"/>
  <c r="U260" s="1"/>
  <c r="V260" s="1"/>
  <c r="M260"/>
  <c r="W259"/>
  <c r="R259"/>
  <c r="Z259" s="1"/>
  <c r="M259"/>
  <c r="O259" s="1"/>
  <c r="U259" s="1"/>
  <c r="V259" s="1"/>
  <c r="AC258"/>
  <c r="AB258"/>
  <c r="Y258"/>
  <c r="X258"/>
  <c r="W258"/>
  <c r="S258"/>
  <c r="T258" s="1"/>
  <c r="R258"/>
  <c r="Z258" s="1"/>
  <c r="AA258" s="1"/>
  <c r="O258"/>
  <c r="U258" s="1"/>
  <c r="V258" s="1"/>
  <c r="M258"/>
  <c r="AB257"/>
  <c r="AC257" s="1"/>
  <c r="X257"/>
  <c r="W257"/>
  <c r="R257"/>
  <c r="Y257" s="1"/>
  <c r="M257"/>
  <c r="O257" s="1"/>
  <c r="U257" s="1"/>
  <c r="V257" s="1"/>
  <c r="Y256"/>
  <c r="W256"/>
  <c r="S256"/>
  <c r="T256" s="1"/>
  <c r="R256"/>
  <c r="AB256" s="1"/>
  <c r="AC256" s="1"/>
  <c r="O256"/>
  <c r="U256" s="1"/>
  <c r="V256" s="1"/>
  <c r="M256"/>
  <c r="W255"/>
  <c r="R255"/>
  <c r="Z255" s="1"/>
  <c r="M255"/>
  <c r="O255" s="1"/>
  <c r="U255" s="1"/>
  <c r="V255" s="1"/>
  <c r="Q253"/>
  <c r="P253"/>
  <c r="O253"/>
  <c r="K253"/>
  <c r="L253" s="1"/>
  <c r="C253"/>
  <c r="AC251"/>
  <c r="AB251"/>
  <c r="Y251"/>
  <c r="X251"/>
  <c r="W251"/>
  <c r="S251"/>
  <c r="T251" s="1"/>
  <c r="R251"/>
  <c r="Z251" s="1"/>
  <c r="AA251" s="1"/>
  <c r="O251"/>
  <c r="U251" s="1"/>
  <c r="V251" s="1"/>
  <c r="M251"/>
  <c r="AB250"/>
  <c r="AC250" s="1"/>
  <c r="X250"/>
  <c r="W250"/>
  <c r="R250"/>
  <c r="Y250" s="1"/>
  <c r="M250"/>
  <c r="O250" s="1"/>
  <c r="U250" s="1"/>
  <c r="V250" s="1"/>
  <c r="Y249"/>
  <c r="W249"/>
  <c r="S249"/>
  <c r="T249" s="1"/>
  <c r="R249"/>
  <c r="AB249" s="1"/>
  <c r="AC249" s="1"/>
  <c r="O249"/>
  <c r="U249" s="1"/>
  <c r="V249" s="1"/>
  <c r="M249"/>
  <c r="W248"/>
  <c r="R248"/>
  <c r="Z248" s="1"/>
  <c r="M248"/>
  <c r="O248" s="1"/>
  <c r="U248" s="1"/>
  <c r="V248" s="1"/>
  <c r="AC247"/>
  <c r="AB247"/>
  <c r="Y247"/>
  <c r="X247"/>
  <c r="W247"/>
  <c r="S247"/>
  <c r="T247" s="1"/>
  <c r="R247"/>
  <c r="Z247" s="1"/>
  <c r="AA247" s="1"/>
  <c r="O247"/>
  <c r="U247" s="1"/>
  <c r="V247" s="1"/>
  <c r="M247"/>
  <c r="AB246"/>
  <c r="AC246" s="1"/>
  <c r="X246"/>
  <c r="W246"/>
  <c r="R246"/>
  <c r="Y246" s="1"/>
  <c r="M246"/>
  <c r="O246" s="1"/>
  <c r="U246" s="1"/>
  <c r="V246" s="1"/>
  <c r="Y245"/>
  <c r="W245"/>
  <c r="S245"/>
  <c r="T245" s="1"/>
  <c r="R245"/>
  <c r="AB245" s="1"/>
  <c r="AC245" s="1"/>
  <c r="O245"/>
  <c r="U245" s="1"/>
  <c r="V245" s="1"/>
  <c r="M245"/>
  <c r="W244"/>
  <c r="R244"/>
  <c r="Z244" s="1"/>
  <c r="M244"/>
  <c r="O244" s="1"/>
  <c r="U244" s="1"/>
  <c r="V244" s="1"/>
  <c r="AC243"/>
  <c r="AB243"/>
  <c r="Y243"/>
  <c r="X243"/>
  <c r="W243"/>
  <c r="S243"/>
  <c r="T243" s="1"/>
  <c r="R243"/>
  <c r="Z243" s="1"/>
  <c r="AA243" s="1"/>
  <c r="O243"/>
  <c r="U243" s="1"/>
  <c r="V243" s="1"/>
  <c r="M243"/>
  <c r="AB242"/>
  <c r="AC242" s="1"/>
  <c r="X242"/>
  <c r="W242"/>
  <c r="R242"/>
  <c r="Y242" s="1"/>
  <c r="M242"/>
  <c r="O242" s="1"/>
  <c r="U242" s="1"/>
  <c r="V242" s="1"/>
  <c r="Y241"/>
  <c r="W241"/>
  <c r="S241"/>
  <c r="T241" s="1"/>
  <c r="R241"/>
  <c r="AB241" s="1"/>
  <c r="AC241" s="1"/>
  <c r="O241"/>
  <c r="U241" s="1"/>
  <c r="V241" s="1"/>
  <c r="M241"/>
  <c r="W240"/>
  <c r="R240"/>
  <c r="Z240" s="1"/>
  <c r="M240"/>
  <c r="O240" s="1"/>
  <c r="U240" s="1"/>
  <c r="V240" s="1"/>
  <c r="AC239"/>
  <c r="AB239"/>
  <c r="Y239"/>
  <c r="X239"/>
  <c r="W239"/>
  <c r="S239"/>
  <c r="T239" s="1"/>
  <c r="R239"/>
  <c r="Z239" s="1"/>
  <c r="AA239" s="1"/>
  <c r="O239"/>
  <c r="U239" s="1"/>
  <c r="V239" s="1"/>
  <c r="M239"/>
  <c r="AB238"/>
  <c r="AC238" s="1"/>
  <c r="X238"/>
  <c r="W238"/>
  <c r="R238"/>
  <c r="Y238" s="1"/>
  <c r="M238"/>
  <c r="O238" s="1"/>
  <c r="U238" s="1"/>
  <c r="V238" s="1"/>
  <c r="Y237"/>
  <c r="W237"/>
  <c r="S237"/>
  <c r="T237" s="1"/>
  <c r="R237"/>
  <c r="AB237" s="1"/>
  <c r="AC237" s="1"/>
  <c r="O237"/>
  <c r="U237" s="1"/>
  <c r="V237" s="1"/>
  <c r="M237"/>
  <c r="W236"/>
  <c r="R236"/>
  <c r="Z236" s="1"/>
  <c r="M236"/>
  <c r="O236" s="1"/>
  <c r="U236" s="1"/>
  <c r="V236" s="1"/>
  <c r="AC235"/>
  <c r="AB235"/>
  <c r="Y235"/>
  <c r="X235"/>
  <c r="W235"/>
  <c r="S235"/>
  <c r="T235" s="1"/>
  <c r="R235"/>
  <c r="Z235" s="1"/>
  <c r="AA235" s="1"/>
  <c r="O235"/>
  <c r="U235" s="1"/>
  <c r="M235"/>
  <c r="AB234"/>
  <c r="AC234" s="1"/>
  <c r="X234"/>
  <c r="W234"/>
  <c r="R234"/>
  <c r="Y234" s="1"/>
  <c r="M234"/>
  <c r="O234" s="1"/>
  <c r="U234" s="1"/>
  <c r="V234" s="1"/>
  <c r="Y233"/>
  <c r="W233"/>
  <c r="S233"/>
  <c r="T233" s="1"/>
  <c r="R233"/>
  <c r="AB233" s="1"/>
  <c r="AC233" s="1"/>
  <c r="O233"/>
  <c r="U233" s="1"/>
  <c r="V233" s="1"/>
  <c r="M233"/>
  <c r="W232"/>
  <c r="R232"/>
  <c r="Z232" s="1"/>
  <c r="M232"/>
  <c r="O232" s="1"/>
  <c r="U232" s="1"/>
  <c r="V232" s="1"/>
  <c r="AC231"/>
  <c r="AB231"/>
  <c r="Y231"/>
  <c r="X231"/>
  <c r="W231"/>
  <c r="S231"/>
  <c r="T231" s="1"/>
  <c r="R231"/>
  <c r="Z231" s="1"/>
  <c r="AA231" s="1"/>
  <c r="O231"/>
  <c r="U231" s="1"/>
  <c r="V231" s="1"/>
  <c r="M231"/>
  <c r="AB230"/>
  <c r="AC230" s="1"/>
  <c r="X230"/>
  <c r="W230"/>
  <c r="R230"/>
  <c r="Y230" s="1"/>
  <c r="M230"/>
  <c r="O230" s="1"/>
  <c r="U230" s="1"/>
  <c r="V230" s="1"/>
  <c r="Q228"/>
  <c r="P228"/>
  <c r="O228"/>
  <c r="L228"/>
  <c r="K228"/>
  <c r="C228"/>
  <c r="Y226"/>
  <c r="W226"/>
  <c r="S226"/>
  <c r="T226" s="1"/>
  <c r="R226"/>
  <c r="AB226" s="1"/>
  <c r="AC226" s="1"/>
  <c r="O226"/>
  <c r="U226" s="1"/>
  <c r="V226" s="1"/>
  <c r="M226"/>
  <c r="W225"/>
  <c r="R225"/>
  <c r="Z225" s="1"/>
  <c r="M225"/>
  <c r="O225" s="1"/>
  <c r="U225" s="1"/>
  <c r="V225" s="1"/>
  <c r="AC224"/>
  <c r="AB224"/>
  <c r="Y224"/>
  <c r="X224"/>
  <c r="W224"/>
  <c r="S224"/>
  <c r="T224" s="1"/>
  <c r="R224"/>
  <c r="Z224" s="1"/>
  <c r="AA224" s="1"/>
  <c r="O224"/>
  <c r="U224" s="1"/>
  <c r="V224" s="1"/>
  <c r="M224"/>
  <c r="AB223"/>
  <c r="AC223" s="1"/>
  <c r="X223"/>
  <c r="W223"/>
  <c r="R223"/>
  <c r="Y223" s="1"/>
  <c r="M223"/>
  <c r="O223" s="1"/>
  <c r="U223" s="1"/>
  <c r="V223" s="1"/>
  <c r="Y222"/>
  <c r="W222"/>
  <c r="S222"/>
  <c r="T222" s="1"/>
  <c r="R222"/>
  <c r="AB222" s="1"/>
  <c r="AC222" s="1"/>
  <c r="O222"/>
  <c r="U222" s="1"/>
  <c r="V222" s="1"/>
  <c r="M222"/>
  <c r="W221"/>
  <c r="R221"/>
  <c r="Z221" s="1"/>
  <c r="M221"/>
  <c r="O221" s="1"/>
  <c r="U221" s="1"/>
  <c r="V221" s="1"/>
  <c r="AC220"/>
  <c r="AB220"/>
  <c r="Y220"/>
  <c r="X220"/>
  <c r="W220"/>
  <c r="S220"/>
  <c r="T220" s="1"/>
  <c r="R220"/>
  <c r="Z220" s="1"/>
  <c r="AA220" s="1"/>
  <c r="O220"/>
  <c r="U220" s="1"/>
  <c r="V220" s="1"/>
  <c r="M220"/>
  <c r="AB219"/>
  <c r="AC219" s="1"/>
  <c r="X219"/>
  <c r="W219"/>
  <c r="R219"/>
  <c r="Y219" s="1"/>
  <c r="M219"/>
  <c r="O219" s="1"/>
  <c r="Y218"/>
  <c r="W218"/>
  <c r="S218"/>
  <c r="T218" s="1"/>
  <c r="R218"/>
  <c r="AB218" s="1"/>
  <c r="AC218" s="1"/>
  <c r="O218"/>
  <c r="U218" s="1"/>
  <c r="V218" s="1"/>
  <c r="M218"/>
  <c r="W217"/>
  <c r="R217"/>
  <c r="Z217" s="1"/>
  <c r="M217"/>
  <c r="O217" s="1"/>
  <c r="U217" s="1"/>
  <c r="V217" s="1"/>
  <c r="AC216"/>
  <c r="AB216"/>
  <c r="Y216"/>
  <c r="X216"/>
  <c r="W216"/>
  <c r="S216"/>
  <c r="T216" s="1"/>
  <c r="R216"/>
  <c r="Z216" s="1"/>
  <c r="AA216" s="1"/>
  <c r="O216"/>
  <c r="U216" s="1"/>
  <c r="V216" s="1"/>
  <c r="M216"/>
  <c r="AB215"/>
  <c r="AC215" s="1"/>
  <c r="X215"/>
  <c r="W215"/>
  <c r="R215"/>
  <c r="Y215" s="1"/>
  <c r="M215"/>
  <c r="O215" s="1"/>
  <c r="U215" s="1"/>
  <c r="V215" s="1"/>
  <c r="Y214"/>
  <c r="W214"/>
  <c r="S214"/>
  <c r="T214" s="1"/>
  <c r="R214"/>
  <c r="AB214" s="1"/>
  <c r="AC214" s="1"/>
  <c r="O214"/>
  <c r="U214" s="1"/>
  <c r="V214" s="1"/>
  <c r="M214"/>
  <c r="W213"/>
  <c r="R213"/>
  <c r="Z213" s="1"/>
  <c r="M213"/>
  <c r="O213" s="1"/>
  <c r="AC212"/>
  <c r="AB212"/>
  <c r="Y212"/>
  <c r="X212"/>
  <c r="W212"/>
  <c r="S212"/>
  <c r="T212" s="1"/>
  <c r="R212"/>
  <c r="Z212" s="1"/>
  <c r="AA212" s="1"/>
  <c r="O212"/>
  <c r="U212" s="1"/>
  <c r="V212" s="1"/>
  <c r="M212"/>
  <c r="AB211"/>
  <c r="AC211" s="1"/>
  <c r="X211"/>
  <c r="W211"/>
  <c r="R211"/>
  <c r="Y211" s="1"/>
  <c r="M211"/>
  <c r="O211" s="1"/>
  <c r="U211" s="1"/>
  <c r="V211" s="1"/>
  <c r="Y210"/>
  <c r="W210"/>
  <c r="S210"/>
  <c r="T210" s="1"/>
  <c r="R210"/>
  <c r="AB210" s="1"/>
  <c r="AC210" s="1"/>
  <c r="O210"/>
  <c r="U210" s="1"/>
  <c r="V210" s="1"/>
  <c r="M210"/>
  <c r="W209"/>
  <c r="R209"/>
  <c r="Z209" s="1"/>
  <c r="M209"/>
  <c r="O209" s="1"/>
  <c r="U209" s="1"/>
  <c r="V209" s="1"/>
  <c r="AC208"/>
  <c r="AB208"/>
  <c r="Y208"/>
  <c r="X208"/>
  <c r="W208"/>
  <c r="S208"/>
  <c r="T208" s="1"/>
  <c r="R208"/>
  <c r="Z208" s="1"/>
  <c r="AA208" s="1"/>
  <c r="O208"/>
  <c r="U208" s="1"/>
  <c r="V208" s="1"/>
  <c r="M208"/>
  <c r="AB207"/>
  <c r="AC207" s="1"/>
  <c r="X207"/>
  <c r="W207"/>
  <c r="R207"/>
  <c r="Y207" s="1"/>
  <c r="M207"/>
  <c r="O207" s="1"/>
  <c r="U207" s="1"/>
  <c r="V207" s="1"/>
  <c r="Y206"/>
  <c r="W206"/>
  <c r="S206"/>
  <c r="T206" s="1"/>
  <c r="R206"/>
  <c r="AB206" s="1"/>
  <c r="AC206" s="1"/>
  <c r="O206"/>
  <c r="U206" s="1"/>
  <c r="V206" s="1"/>
  <c r="M206"/>
  <c r="W205"/>
  <c r="R205"/>
  <c r="Z205" s="1"/>
  <c r="M205"/>
  <c r="O205" s="1"/>
  <c r="U205" s="1"/>
  <c r="V205" s="1"/>
  <c r="AC204"/>
  <c r="AB204"/>
  <c r="Y204"/>
  <c r="X204"/>
  <c r="W204"/>
  <c r="S204"/>
  <c r="T204" s="1"/>
  <c r="R204"/>
  <c r="Z204" s="1"/>
  <c r="AA204" s="1"/>
  <c r="O204"/>
  <c r="U204" s="1"/>
  <c r="V204" s="1"/>
  <c r="M204"/>
  <c r="AB203"/>
  <c r="AC203" s="1"/>
  <c r="X203"/>
  <c r="W203"/>
  <c r="R203"/>
  <c r="Y203" s="1"/>
  <c r="M203"/>
  <c r="O203" s="1"/>
  <c r="U203" s="1"/>
  <c r="V203" s="1"/>
  <c r="Y202"/>
  <c r="W202"/>
  <c r="S202"/>
  <c r="T202" s="1"/>
  <c r="R202"/>
  <c r="AB202" s="1"/>
  <c r="AC202" s="1"/>
  <c r="O202"/>
  <c r="U202" s="1"/>
  <c r="V202" s="1"/>
  <c r="M202"/>
  <c r="W201"/>
  <c r="R201"/>
  <c r="Z201" s="1"/>
  <c r="M201"/>
  <c r="O201" s="1"/>
  <c r="U201" s="1"/>
  <c r="V201" s="1"/>
  <c r="AC200"/>
  <c r="AB200"/>
  <c r="Y200"/>
  <c r="X200"/>
  <c r="W200"/>
  <c r="S200"/>
  <c r="T200" s="1"/>
  <c r="R200"/>
  <c r="Z200" s="1"/>
  <c r="AA200" s="1"/>
  <c r="O200"/>
  <c r="U200" s="1"/>
  <c r="V200" s="1"/>
  <c r="M200"/>
  <c r="AB199"/>
  <c r="AC199" s="1"/>
  <c r="X199"/>
  <c r="W199"/>
  <c r="R199"/>
  <c r="Y199" s="1"/>
  <c r="M199"/>
  <c r="O199" s="1"/>
  <c r="Y198"/>
  <c r="W198"/>
  <c r="S198"/>
  <c r="T198" s="1"/>
  <c r="R198"/>
  <c r="AB198" s="1"/>
  <c r="AC198" s="1"/>
  <c r="O198"/>
  <c r="U198" s="1"/>
  <c r="V198" s="1"/>
  <c r="M198"/>
  <c r="Q196"/>
  <c r="P196"/>
  <c r="O196"/>
  <c r="K196"/>
  <c r="L196" s="1"/>
  <c r="C196"/>
  <c r="AD193"/>
  <c r="Q193"/>
  <c r="P193"/>
  <c r="O193"/>
  <c r="M193"/>
  <c r="L193"/>
  <c r="K193"/>
  <c r="C193"/>
  <c r="AD190"/>
  <c r="Q190"/>
  <c r="P190"/>
  <c r="O190"/>
  <c r="M190"/>
  <c r="L190"/>
  <c r="K190"/>
  <c r="C190"/>
  <c r="AD187"/>
  <c r="Q187"/>
  <c r="P187"/>
  <c r="O187"/>
  <c r="M187"/>
  <c r="L187"/>
  <c r="K187"/>
  <c r="C187"/>
  <c r="AD184"/>
  <c r="Q184"/>
  <c r="P184"/>
  <c r="O184"/>
  <c r="M184"/>
  <c r="L184"/>
  <c r="K184"/>
  <c r="C184"/>
  <c r="AD181"/>
  <c r="Q181"/>
  <c r="P181"/>
  <c r="O181"/>
  <c r="M181"/>
  <c r="L181"/>
  <c r="K181"/>
  <c r="C181"/>
  <c r="W179"/>
  <c r="R179"/>
  <c r="Z179" s="1"/>
  <c r="O179"/>
  <c r="U179" s="1"/>
  <c r="V179" s="1"/>
  <c r="M179"/>
  <c r="AC178"/>
  <c r="AB178"/>
  <c r="Y178"/>
  <c r="X178"/>
  <c r="W178"/>
  <c r="S178"/>
  <c r="R178"/>
  <c r="Z178" s="1"/>
  <c r="AA178" s="1"/>
  <c r="O178"/>
  <c r="U178" s="1"/>
  <c r="V178" s="1"/>
  <c r="M178"/>
  <c r="T178" s="1"/>
  <c r="AB177"/>
  <c r="AC177" s="1"/>
  <c r="X177"/>
  <c r="W177"/>
  <c r="S177"/>
  <c r="R177"/>
  <c r="Y177" s="1"/>
  <c r="M177"/>
  <c r="T177" s="1"/>
  <c r="W176"/>
  <c r="S176"/>
  <c r="T176" s="1"/>
  <c r="R176"/>
  <c r="AB176" s="1"/>
  <c r="AC176" s="1"/>
  <c r="O176"/>
  <c r="U176" s="1"/>
  <c r="V176" s="1"/>
  <c r="M176"/>
  <c r="W175"/>
  <c r="R175"/>
  <c r="Z175" s="1"/>
  <c r="O175"/>
  <c r="U175" s="1"/>
  <c r="V175" s="1"/>
  <c r="M175"/>
  <c r="AC174"/>
  <c r="AB174"/>
  <c r="Y174"/>
  <c r="X174"/>
  <c r="W174"/>
  <c r="S174"/>
  <c r="R174"/>
  <c r="Z174" s="1"/>
  <c r="AA174" s="1"/>
  <c r="O174"/>
  <c r="U174" s="1"/>
  <c r="V174" s="1"/>
  <c r="M174"/>
  <c r="T174" s="1"/>
  <c r="AB173"/>
  <c r="AC173" s="1"/>
  <c r="X173"/>
  <c r="W173"/>
  <c r="S173"/>
  <c r="R173"/>
  <c r="Y173" s="1"/>
  <c r="M173"/>
  <c r="T173" s="1"/>
  <c r="W172"/>
  <c r="S172"/>
  <c r="T172" s="1"/>
  <c r="R172"/>
  <c r="AB172" s="1"/>
  <c r="AC172" s="1"/>
  <c r="O172"/>
  <c r="U172" s="1"/>
  <c r="V172" s="1"/>
  <c r="M172"/>
  <c r="W171"/>
  <c r="R171"/>
  <c r="Z171" s="1"/>
  <c r="O171"/>
  <c r="U171" s="1"/>
  <c r="V171" s="1"/>
  <c r="M171"/>
  <c r="AC170"/>
  <c r="AB170"/>
  <c r="Y170"/>
  <c r="X170"/>
  <c r="W170"/>
  <c r="S170"/>
  <c r="R170"/>
  <c r="Z170" s="1"/>
  <c r="AA170" s="1"/>
  <c r="O170"/>
  <c r="U170" s="1"/>
  <c r="V170" s="1"/>
  <c r="M170"/>
  <c r="T170" s="1"/>
  <c r="AB169"/>
  <c r="AC169" s="1"/>
  <c r="X169"/>
  <c r="W169"/>
  <c r="S169"/>
  <c r="R169"/>
  <c r="Y169" s="1"/>
  <c r="M169"/>
  <c r="T169" s="1"/>
  <c r="W168"/>
  <c r="S168"/>
  <c r="T168" s="1"/>
  <c r="R168"/>
  <c r="AB168" s="1"/>
  <c r="AC168" s="1"/>
  <c r="O168"/>
  <c r="U168" s="1"/>
  <c r="V168" s="1"/>
  <c r="M168"/>
  <c r="W167"/>
  <c r="R167"/>
  <c r="Z167" s="1"/>
  <c r="O167"/>
  <c r="U167" s="1"/>
  <c r="V167" s="1"/>
  <c r="M167"/>
  <c r="AC166"/>
  <c r="AB166"/>
  <c r="Y166"/>
  <c r="X166"/>
  <c r="W166"/>
  <c r="S166"/>
  <c r="R166"/>
  <c r="Z166" s="1"/>
  <c r="AA166" s="1"/>
  <c r="O166"/>
  <c r="U166" s="1"/>
  <c r="V166" s="1"/>
  <c r="M166"/>
  <c r="T166" s="1"/>
  <c r="AB165"/>
  <c r="AC165" s="1"/>
  <c r="X165"/>
  <c r="W165"/>
  <c r="S165"/>
  <c r="R165"/>
  <c r="Y165" s="1"/>
  <c r="M165"/>
  <c r="T165" s="1"/>
  <c r="W164"/>
  <c r="S164"/>
  <c r="T164" s="1"/>
  <c r="R164"/>
  <c r="AB164" s="1"/>
  <c r="AC164" s="1"/>
  <c r="O164"/>
  <c r="U164" s="1"/>
  <c r="V164" s="1"/>
  <c r="M164"/>
  <c r="W163"/>
  <c r="R163"/>
  <c r="Z163" s="1"/>
  <c r="O163"/>
  <c r="U163" s="1"/>
  <c r="V163" s="1"/>
  <c r="M163"/>
  <c r="AC162"/>
  <c r="AB162"/>
  <c r="Y162"/>
  <c r="X162"/>
  <c r="W162"/>
  <c r="S162"/>
  <c r="R162"/>
  <c r="Z162" s="1"/>
  <c r="AA162" s="1"/>
  <c r="O162"/>
  <c r="U162" s="1"/>
  <c r="V162" s="1"/>
  <c r="M162"/>
  <c r="T162" s="1"/>
  <c r="AB161"/>
  <c r="AC161" s="1"/>
  <c r="X161"/>
  <c r="W161"/>
  <c r="S161"/>
  <c r="R161"/>
  <c r="Y161" s="1"/>
  <c r="M161"/>
  <c r="T161" s="1"/>
  <c r="W160"/>
  <c r="S160"/>
  <c r="T160" s="1"/>
  <c r="R160"/>
  <c r="AB160" s="1"/>
  <c r="AC160" s="1"/>
  <c r="O160"/>
  <c r="U160" s="1"/>
  <c r="V160" s="1"/>
  <c r="M160"/>
  <c r="W159"/>
  <c r="R159"/>
  <c r="Z159" s="1"/>
  <c r="O159"/>
  <c r="U159" s="1"/>
  <c r="V159" s="1"/>
  <c r="M159"/>
  <c r="AC158"/>
  <c r="AB158"/>
  <c r="Y158"/>
  <c r="X158"/>
  <c r="W158"/>
  <c r="S158"/>
  <c r="R158"/>
  <c r="Z158" s="1"/>
  <c r="AA158" s="1"/>
  <c r="O158"/>
  <c r="U158" s="1"/>
  <c r="V158" s="1"/>
  <c r="M158"/>
  <c r="T158" s="1"/>
  <c r="AB157"/>
  <c r="AC157" s="1"/>
  <c r="X157"/>
  <c r="W157"/>
  <c r="S157"/>
  <c r="R157"/>
  <c r="Y157" s="1"/>
  <c r="M157"/>
  <c r="T157" s="1"/>
  <c r="W156"/>
  <c r="S156"/>
  <c r="T156" s="1"/>
  <c r="R156"/>
  <c r="AB156" s="1"/>
  <c r="AC156" s="1"/>
  <c r="O156"/>
  <c r="U156" s="1"/>
  <c r="V156" s="1"/>
  <c r="M156"/>
  <c r="W155"/>
  <c r="R155"/>
  <c r="Z155" s="1"/>
  <c r="O155"/>
  <c r="U155" s="1"/>
  <c r="V155" s="1"/>
  <c r="M155"/>
  <c r="AC154"/>
  <c r="AB154"/>
  <c r="Y154"/>
  <c r="X154"/>
  <c r="W154"/>
  <c r="S154"/>
  <c r="R154"/>
  <c r="Z154" s="1"/>
  <c r="AA154" s="1"/>
  <c r="O154"/>
  <c r="U154" s="1"/>
  <c r="V154" s="1"/>
  <c r="M154"/>
  <c r="T154" s="1"/>
  <c r="AB153"/>
  <c r="AC153" s="1"/>
  <c r="X153"/>
  <c r="W153"/>
  <c r="S153"/>
  <c r="R153"/>
  <c r="Y153" s="1"/>
  <c r="M153"/>
  <c r="T153" s="1"/>
  <c r="W152"/>
  <c r="S152"/>
  <c r="T152" s="1"/>
  <c r="R152"/>
  <c r="AB152" s="1"/>
  <c r="AC152" s="1"/>
  <c r="O152"/>
  <c r="U152" s="1"/>
  <c r="V152" s="1"/>
  <c r="M152"/>
  <c r="W151"/>
  <c r="R151"/>
  <c r="Z151" s="1"/>
  <c r="O151"/>
  <c r="U151" s="1"/>
  <c r="V151" s="1"/>
  <c r="M151"/>
  <c r="AC150"/>
  <c r="AB150"/>
  <c r="Y150"/>
  <c r="X150"/>
  <c r="W150"/>
  <c r="S150"/>
  <c r="R150"/>
  <c r="Z150" s="1"/>
  <c r="AA150" s="1"/>
  <c r="O150"/>
  <c r="U150" s="1"/>
  <c r="V150" s="1"/>
  <c r="M150"/>
  <c r="T150" s="1"/>
  <c r="AB149"/>
  <c r="AC149" s="1"/>
  <c r="X149"/>
  <c r="W149"/>
  <c r="S149"/>
  <c r="R149"/>
  <c r="Y149" s="1"/>
  <c r="M149"/>
  <c r="T149" s="1"/>
  <c r="Q147"/>
  <c r="P147"/>
  <c r="O147"/>
  <c r="K147"/>
  <c r="L147" s="1"/>
  <c r="C147"/>
  <c r="W145"/>
  <c r="S145"/>
  <c r="T145" s="1"/>
  <c r="R145"/>
  <c r="AB145" s="1"/>
  <c r="AC145" s="1"/>
  <c r="O145"/>
  <c r="U145" s="1"/>
  <c r="V145" s="1"/>
  <c r="M145"/>
  <c r="W144"/>
  <c r="R144"/>
  <c r="Z144" s="1"/>
  <c r="O144"/>
  <c r="U144" s="1"/>
  <c r="V144" s="1"/>
  <c r="M144"/>
  <c r="AC143"/>
  <c r="AB143"/>
  <c r="Y143"/>
  <c r="X143"/>
  <c r="W143"/>
  <c r="S143"/>
  <c r="R143"/>
  <c r="Z143" s="1"/>
  <c r="AA143" s="1"/>
  <c r="O143"/>
  <c r="U143" s="1"/>
  <c r="M143"/>
  <c r="T143" s="1"/>
  <c r="AB142"/>
  <c r="AC142" s="1"/>
  <c r="X142"/>
  <c r="W142"/>
  <c r="S142"/>
  <c r="R142"/>
  <c r="Y142" s="1"/>
  <c r="M142"/>
  <c r="T142" s="1"/>
  <c r="W141"/>
  <c r="S141"/>
  <c r="T141" s="1"/>
  <c r="R141"/>
  <c r="AB141" s="1"/>
  <c r="AC141" s="1"/>
  <c r="O141"/>
  <c r="U141" s="1"/>
  <c r="V141" s="1"/>
  <c r="M141"/>
  <c r="W140"/>
  <c r="R140"/>
  <c r="Z140" s="1"/>
  <c r="O140"/>
  <c r="U140" s="1"/>
  <c r="V140" s="1"/>
  <c r="M140"/>
  <c r="AC139"/>
  <c r="AB139"/>
  <c r="Y139"/>
  <c r="X139"/>
  <c r="W139"/>
  <c r="S139"/>
  <c r="R139"/>
  <c r="Z139" s="1"/>
  <c r="AA139" s="1"/>
  <c r="O139"/>
  <c r="U139" s="1"/>
  <c r="V139" s="1"/>
  <c r="M139"/>
  <c r="T139" s="1"/>
  <c r="AB138"/>
  <c r="AC138" s="1"/>
  <c r="X138"/>
  <c r="W138"/>
  <c r="S138"/>
  <c r="R138"/>
  <c r="Y138" s="1"/>
  <c r="M138"/>
  <c r="T138" s="1"/>
  <c r="W137"/>
  <c r="S137"/>
  <c r="T137" s="1"/>
  <c r="R137"/>
  <c r="AB137" s="1"/>
  <c r="AC137" s="1"/>
  <c r="O137"/>
  <c r="U137" s="1"/>
  <c r="V137" s="1"/>
  <c r="M137"/>
  <c r="W136"/>
  <c r="R136"/>
  <c r="Z136" s="1"/>
  <c r="O136"/>
  <c r="U136" s="1"/>
  <c r="V136" s="1"/>
  <c r="M136"/>
  <c r="AC135"/>
  <c r="AB135"/>
  <c r="Y135"/>
  <c r="X135"/>
  <c r="W135"/>
  <c r="S135"/>
  <c r="R135"/>
  <c r="Z135" s="1"/>
  <c r="AA135" s="1"/>
  <c r="O135"/>
  <c r="U135" s="1"/>
  <c r="V135" s="1"/>
  <c r="M135"/>
  <c r="T135" s="1"/>
  <c r="AB134"/>
  <c r="AC134" s="1"/>
  <c r="X134"/>
  <c r="W134"/>
  <c r="S134"/>
  <c r="R134"/>
  <c r="Y134" s="1"/>
  <c r="M134"/>
  <c r="T134" s="1"/>
  <c r="W133"/>
  <c r="S133"/>
  <c r="T133" s="1"/>
  <c r="R133"/>
  <c r="AB133" s="1"/>
  <c r="AC133" s="1"/>
  <c r="O133"/>
  <c r="U133" s="1"/>
  <c r="V133" s="1"/>
  <c r="M133"/>
  <c r="W132"/>
  <c r="R132"/>
  <c r="Z132" s="1"/>
  <c r="O132"/>
  <c r="U132" s="1"/>
  <c r="V132" s="1"/>
  <c r="M132"/>
  <c r="AC131"/>
  <c r="AB131"/>
  <c r="Y131"/>
  <c r="X131"/>
  <c r="W131"/>
  <c r="S131"/>
  <c r="R131"/>
  <c r="Z131" s="1"/>
  <c r="AA131" s="1"/>
  <c r="O131"/>
  <c r="U131" s="1"/>
  <c r="V131" s="1"/>
  <c r="M131"/>
  <c r="T131" s="1"/>
  <c r="AB130"/>
  <c r="AC130" s="1"/>
  <c r="X130"/>
  <c r="W130"/>
  <c r="S130"/>
  <c r="R130"/>
  <c r="Y130" s="1"/>
  <c r="M130"/>
  <c r="T130" s="1"/>
  <c r="W129"/>
  <c r="S129"/>
  <c r="T129" s="1"/>
  <c r="R129"/>
  <c r="AB129" s="1"/>
  <c r="AC129" s="1"/>
  <c r="O129"/>
  <c r="U129" s="1"/>
  <c r="V129" s="1"/>
  <c r="M129"/>
  <c r="W128"/>
  <c r="R128"/>
  <c r="Z128" s="1"/>
  <c r="O128"/>
  <c r="U128" s="1"/>
  <c r="V128" s="1"/>
  <c r="M128"/>
  <c r="AC127"/>
  <c r="AB127"/>
  <c r="Y127"/>
  <c r="X127"/>
  <c r="W127"/>
  <c r="S127"/>
  <c r="R127"/>
  <c r="Z127" s="1"/>
  <c r="AA127" s="1"/>
  <c r="O127"/>
  <c r="U127" s="1"/>
  <c r="V127" s="1"/>
  <c r="M127"/>
  <c r="T127" s="1"/>
  <c r="AB126"/>
  <c r="AC126" s="1"/>
  <c r="X126"/>
  <c r="W126"/>
  <c r="S126"/>
  <c r="R126"/>
  <c r="Y126" s="1"/>
  <c r="M126"/>
  <c r="T126" s="1"/>
  <c r="W125"/>
  <c r="S125"/>
  <c r="T125" s="1"/>
  <c r="R125"/>
  <c r="AB125" s="1"/>
  <c r="AC125" s="1"/>
  <c r="O125"/>
  <c r="U125" s="1"/>
  <c r="V125" s="1"/>
  <c r="M125"/>
  <c r="W124"/>
  <c r="R124"/>
  <c r="Z124" s="1"/>
  <c r="O124"/>
  <c r="U124" s="1"/>
  <c r="V124" s="1"/>
  <c r="M124"/>
  <c r="AC123"/>
  <c r="AB123"/>
  <c r="Y123"/>
  <c r="X123"/>
  <c r="W123"/>
  <c r="S123"/>
  <c r="R123"/>
  <c r="Z123" s="1"/>
  <c r="AA123" s="1"/>
  <c r="O123"/>
  <c r="U123" s="1"/>
  <c r="V123" s="1"/>
  <c r="M123"/>
  <c r="T123" s="1"/>
  <c r="AB122"/>
  <c r="AC122" s="1"/>
  <c r="X122"/>
  <c r="W122"/>
  <c r="S122"/>
  <c r="R122"/>
  <c r="Y122" s="1"/>
  <c r="M122"/>
  <c r="T122" s="1"/>
  <c r="W121"/>
  <c r="S121"/>
  <c r="T121" s="1"/>
  <c r="R121"/>
  <c r="AB121" s="1"/>
  <c r="AC121" s="1"/>
  <c r="O121"/>
  <c r="U121" s="1"/>
  <c r="V121" s="1"/>
  <c r="M121"/>
  <c r="W120"/>
  <c r="R120"/>
  <c r="Z120" s="1"/>
  <c r="O120"/>
  <c r="U120" s="1"/>
  <c r="V120" s="1"/>
  <c r="M120"/>
  <c r="AC119"/>
  <c r="AB119"/>
  <c r="Y119"/>
  <c r="X119"/>
  <c r="W119"/>
  <c r="S119"/>
  <c r="R119"/>
  <c r="Z119" s="1"/>
  <c r="AA119" s="1"/>
  <c r="O119"/>
  <c r="U119" s="1"/>
  <c r="V119" s="1"/>
  <c r="M119"/>
  <c r="T119" s="1"/>
  <c r="AB118"/>
  <c r="AC118" s="1"/>
  <c r="X118"/>
  <c r="W118"/>
  <c r="S118"/>
  <c r="R118"/>
  <c r="Y118" s="1"/>
  <c r="M118"/>
  <c r="T118" s="1"/>
  <c r="W117"/>
  <c r="S117"/>
  <c r="T117" s="1"/>
  <c r="R117"/>
  <c r="AB117" s="1"/>
  <c r="AC117" s="1"/>
  <c r="O117"/>
  <c r="U117" s="1"/>
  <c r="V117" s="1"/>
  <c r="M117"/>
  <c r="W116"/>
  <c r="R116"/>
  <c r="Z116" s="1"/>
  <c r="O116"/>
  <c r="U116" s="1"/>
  <c r="V116" s="1"/>
  <c r="M116"/>
  <c r="AC115"/>
  <c r="AB115"/>
  <c r="Y115"/>
  <c r="X115"/>
  <c r="W115"/>
  <c r="S115"/>
  <c r="R115"/>
  <c r="Z115" s="1"/>
  <c r="AA115" s="1"/>
  <c r="O115"/>
  <c r="U115" s="1"/>
  <c r="V115" s="1"/>
  <c r="M115"/>
  <c r="T115" s="1"/>
  <c r="AB114"/>
  <c r="AC114" s="1"/>
  <c r="X114"/>
  <c r="W114"/>
  <c r="S114"/>
  <c r="R114"/>
  <c r="Y114" s="1"/>
  <c r="M114"/>
  <c r="T114" s="1"/>
  <c r="W113"/>
  <c r="S113"/>
  <c r="T113" s="1"/>
  <c r="R113"/>
  <c r="AB113" s="1"/>
  <c r="AC113" s="1"/>
  <c r="O113"/>
  <c r="U113" s="1"/>
  <c r="V113" s="1"/>
  <c r="M113"/>
  <c r="W112"/>
  <c r="R112"/>
  <c r="Z112" s="1"/>
  <c r="O112"/>
  <c r="U112" s="1"/>
  <c r="V112" s="1"/>
  <c r="M112"/>
  <c r="AC111"/>
  <c r="AB111"/>
  <c r="Y111"/>
  <c r="X111"/>
  <c r="W111"/>
  <c r="S111"/>
  <c r="R111"/>
  <c r="Z111" s="1"/>
  <c r="AA111" s="1"/>
  <c r="O111"/>
  <c r="U111" s="1"/>
  <c r="V111" s="1"/>
  <c r="M111"/>
  <c r="T111" s="1"/>
  <c r="AB110"/>
  <c r="AC110" s="1"/>
  <c r="X110"/>
  <c r="W110"/>
  <c r="S110"/>
  <c r="R110"/>
  <c r="Y110" s="1"/>
  <c r="M110"/>
  <c r="T110" s="1"/>
  <c r="W109"/>
  <c r="S109"/>
  <c r="T109" s="1"/>
  <c r="R109"/>
  <c r="AB109" s="1"/>
  <c r="AC109" s="1"/>
  <c r="O109"/>
  <c r="U109" s="1"/>
  <c r="V109" s="1"/>
  <c r="M109"/>
  <c r="W108"/>
  <c r="R108"/>
  <c r="Z108" s="1"/>
  <c r="O108"/>
  <c r="U108" s="1"/>
  <c r="V108" s="1"/>
  <c r="M108"/>
  <c r="AC107"/>
  <c r="AB107"/>
  <c r="Y107"/>
  <c r="X107"/>
  <c r="W107"/>
  <c r="S107"/>
  <c r="R107"/>
  <c r="Z107" s="1"/>
  <c r="AA107" s="1"/>
  <c r="O107"/>
  <c r="U107" s="1"/>
  <c r="V107" s="1"/>
  <c r="M107"/>
  <c r="T107" s="1"/>
  <c r="AB106"/>
  <c r="AC106" s="1"/>
  <c r="X106"/>
  <c r="W106"/>
  <c r="S106"/>
  <c r="R106"/>
  <c r="Y106" s="1"/>
  <c r="M106"/>
  <c r="T106" s="1"/>
  <c r="W105"/>
  <c r="S105"/>
  <c r="T105" s="1"/>
  <c r="R105"/>
  <c r="AB105" s="1"/>
  <c r="AC105" s="1"/>
  <c r="O105"/>
  <c r="U105" s="1"/>
  <c r="V105" s="1"/>
  <c r="M105"/>
  <c r="W104"/>
  <c r="R104"/>
  <c r="Z104" s="1"/>
  <c r="O104"/>
  <c r="U104" s="1"/>
  <c r="V104" s="1"/>
  <c r="M104"/>
  <c r="AC103"/>
  <c r="AB103"/>
  <c r="Y103"/>
  <c r="X103"/>
  <c r="W103"/>
  <c r="S103"/>
  <c r="R103"/>
  <c r="Z103" s="1"/>
  <c r="AA103" s="1"/>
  <c r="O103"/>
  <c r="U103" s="1"/>
  <c r="V103" s="1"/>
  <c r="M103"/>
  <c r="T103" s="1"/>
  <c r="AB102"/>
  <c r="AC102" s="1"/>
  <c r="X102"/>
  <c r="W102"/>
  <c r="S102"/>
  <c r="R102"/>
  <c r="Y102" s="1"/>
  <c r="M102"/>
  <c r="T102" s="1"/>
  <c r="W101"/>
  <c r="S101"/>
  <c r="T101" s="1"/>
  <c r="R101"/>
  <c r="AB101" s="1"/>
  <c r="AC101" s="1"/>
  <c r="O101"/>
  <c r="U101" s="1"/>
  <c r="V101" s="1"/>
  <c r="M101"/>
  <c r="W100"/>
  <c r="R100"/>
  <c r="Z100" s="1"/>
  <c r="O100"/>
  <c r="U100" s="1"/>
  <c r="V100" s="1"/>
  <c r="M100"/>
  <c r="AC99"/>
  <c r="AB99"/>
  <c r="Y99"/>
  <c r="X99"/>
  <c r="W99"/>
  <c r="S99"/>
  <c r="R99"/>
  <c r="Z99" s="1"/>
  <c r="AA99" s="1"/>
  <c r="O99"/>
  <c r="U99" s="1"/>
  <c r="V99" s="1"/>
  <c r="M99"/>
  <c r="T99" s="1"/>
  <c r="AB98"/>
  <c r="AC98" s="1"/>
  <c r="X98"/>
  <c r="W98"/>
  <c r="S98"/>
  <c r="R98"/>
  <c r="Y98" s="1"/>
  <c r="M98"/>
  <c r="T98" s="1"/>
  <c r="W97"/>
  <c r="S97"/>
  <c r="T97" s="1"/>
  <c r="R97"/>
  <c r="AB97" s="1"/>
  <c r="AC97" s="1"/>
  <c r="O97"/>
  <c r="U97" s="1"/>
  <c r="V97" s="1"/>
  <c r="M97"/>
  <c r="W96"/>
  <c r="R96"/>
  <c r="Z96" s="1"/>
  <c r="O96"/>
  <c r="U96" s="1"/>
  <c r="V96" s="1"/>
  <c r="M96"/>
  <c r="AC95"/>
  <c r="AB95"/>
  <c r="Y95"/>
  <c r="X95"/>
  <c r="W95"/>
  <c r="S95"/>
  <c r="R95"/>
  <c r="Z95" s="1"/>
  <c r="AA95" s="1"/>
  <c r="O95"/>
  <c r="U95" s="1"/>
  <c r="V95" s="1"/>
  <c r="M95"/>
  <c r="T95" s="1"/>
  <c r="AB94"/>
  <c r="AC94" s="1"/>
  <c r="X94"/>
  <c r="W94"/>
  <c r="S94"/>
  <c r="R94"/>
  <c r="Y94" s="1"/>
  <c r="M94"/>
  <c r="T94" s="1"/>
  <c r="W93"/>
  <c r="S93"/>
  <c r="T93" s="1"/>
  <c r="R93"/>
  <c r="AB93" s="1"/>
  <c r="AC93" s="1"/>
  <c r="O93"/>
  <c r="U93" s="1"/>
  <c r="V93" s="1"/>
  <c r="M93"/>
  <c r="W92"/>
  <c r="R92"/>
  <c r="Z92" s="1"/>
  <c r="O92"/>
  <c r="U92" s="1"/>
  <c r="V92" s="1"/>
  <c r="M92"/>
  <c r="AC91"/>
  <c r="AB91"/>
  <c r="Y91"/>
  <c r="X91"/>
  <c r="W91"/>
  <c r="S91"/>
  <c r="R91"/>
  <c r="Z91" s="1"/>
  <c r="AA91" s="1"/>
  <c r="O91"/>
  <c r="U91" s="1"/>
  <c r="V91" s="1"/>
  <c r="M91"/>
  <c r="T91" s="1"/>
  <c r="AB90"/>
  <c r="AC90" s="1"/>
  <c r="X90"/>
  <c r="W90"/>
  <c r="S90"/>
  <c r="R90"/>
  <c r="Y90" s="1"/>
  <c r="M90"/>
  <c r="T90" s="1"/>
  <c r="W89"/>
  <c r="S89"/>
  <c r="T89" s="1"/>
  <c r="R89"/>
  <c r="AB89" s="1"/>
  <c r="AC89" s="1"/>
  <c r="O89"/>
  <c r="U89" s="1"/>
  <c r="V89" s="1"/>
  <c r="M89"/>
  <c r="W88"/>
  <c r="R88"/>
  <c r="Z88" s="1"/>
  <c r="O88"/>
  <c r="U88" s="1"/>
  <c r="V88" s="1"/>
  <c r="M88"/>
  <c r="AC87"/>
  <c r="AB87"/>
  <c r="Y87"/>
  <c r="X87"/>
  <c r="W87"/>
  <c r="S87"/>
  <c r="R87"/>
  <c r="Z87" s="1"/>
  <c r="AA87" s="1"/>
  <c r="O87"/>
  <c r="U87" s="1"/>
  <c r="V87" s="1"/>
  <c r="M87"/>
  <c r="T87" s="1"/>
  <c r="AB86"/>
  <c r="AC86" s="1"/>
  <c r="X86"/>
  <c r="W86"/>
  <c r="S86"/>
  <c r="R86"/>
  <c r="Y86" s="1"/>
  <c r="M86"/>
  <c r="T86" s="1"/>
  <c r="W85"/>
  <c r="S85"/>
  <c r="T85" s="1"/>
  <c r="R85"/>
  <c r="AB85" s="1"/>
  <c r="AC85" s="1"/>
  <c r="O85"/>
  <c r="U85" s="1"/>
  <c r="V85" s="1"/>
  <c r="M85"/>
  <c r="W84"/>
  <c r="R84"/>
  <c r="Z84" s="1"/>
  <c r="O84"/>
  <c r="U84" s="1"/>
  <c r="V84" s="1"/>
  <c r="M84"/>
  <c r="AC83"/>
  <c r="AB83"/>
  <c r="Y83"/>
  <c r="X83"/>
  <c r="W83"/>
  <c r="S83"/>
  <c r="R83"/>
  <c r="Z83" s="1"/>
  <c r="AA83" s="1"/>
  <c r="O83"/>
  <c r="U83" s="1"/>
  <c r="V83" s="1"/>
  <c r="M83"/>
  <c r="T83" s="1"/>
  <c r="AB82"/>
  <c r="AC82" s="1"/>
  <c r="X82"/>
  <c r="W82"/>
  <c r="S82"/>
  <c r="R82"/>
  <c r="Y82" s="1"/>
  <c r="M82"/>
  <c r="T82" s="1"/>
  <c r="W81"/>
  <c r="S81"/>
  <c r="T81" s="1"/>
  <c r="R81"/>
  <c r="AB81" s="1"/>
  <c r="AC81" s="1"/>
  <c r="O81"/>
  <c r="U81" s="1"/>
  <c r="V81" s="1"/>
  <c r="M81"/>
  <c r="W80"/>
  <c r="R80"/>
  <c r="Z80" s="1"/>
  <c r="O80"/>
  <c r="U80" s="1"/>
  <c r="V80" s="1"/>
  <c r="M80"/>
  <c r="AC79"/>
  <c r="AB79"/>
  <c r="Y79"/>
  <c r="X79"/>
  <c r="W79"/>
  <c r="S79"/>
  <c r="R79"/>
  <c r="Z79" s="1"/>
  <c r="AA79" s="1"/>
  <c r="O79"/>
  <c r="U79" s="1"/>
  <c r="V79" s="1"/>
  <c r="M79"/>
  <c r="T79" s="1"/>
  <c r="AB78"/>
  <c r="AC78" s="1"/>
  <c r="X78"/>
  <c r="W78"/>
  <c r="S78"/>
  <c r="R78"/>
  <c r="Y78" s="1"/>
  <c r="M78"/>
  <c r="T78" s="1"/>
  <c r="W77"/>
  <c r="S77"/>
  <c r="T77" s="1"/>
  <c r="R77"/>
  <c r="AB77" s="1"/>
  <c r="AC77" s="1"/>
  <c r="O77"/>
  <c r="U77" s="1"/>
  <c r="V77" s="1"/>
  <c r="M77"/>
  <c r="W76"/>
  <c r="R76"/>
  <c r="Z76" s="1"/>
  <c r="O76"/>
  <c r="U76" s="1"/>
  <c r="V76" s="1"/>
  <c r="M76"/>
  <c r="AC75"/>
  <c r="AB75"/>
  <c r="Y75"/>
  <c r="X75"/>
  <c r="W75"/>
  <c r="S75"/>
  <c r="R75"/>
  <c r="Z75" s="1"/>
  <c r="AA75" s="1"/>
  <c r="O75"/>
  <c r="U75" s="1"/>
  <c r="V75" s="1"/>
  <c r="M75"/>
  <c r="T75" s="1"/>
  <c r="AB74"/>
  <c r="AC74" s="1"/>
  <c r="X74"/>
  <c r="W74"/>
  <c r="S74"/>
  <c r="R74"/>
  <c r="Y74" s="1"/>
  <c r="M74"/>
  <c r="T74" s="1"/>
  <c r="W73"/>
  <c r="S73"/>
  <c r="T73" s="1"/>
  <c r="R73"/>
  <c r="AB73" s="1"/>
  <c r="AC73" s="1"/>
  <c r="O73"/>
  <c r="U73" s="1"/>
  <c r="V73" s="1"/>
  <c r="M73"/>
  <c r="W72"/>
  <c r="R72"/>
  <c r="Z72" s="1"/>
  <c r="O72"/>
  <c r="U72" s="1"/>
  <c r="V72" s="1"/>
  <c r="M72"/>
  <c r="AC71"/>
  <c r="AB71"/>
  <c r="Y71"/>
  <c r="X71"/>
  <c r="W71"/>
  <c r="S71"/>
  <c r="R71"/>
  <c r="Z71" s="1"/>
  <c r="AA71" s="1"/>
  <c r="O71"/>
  <c r="U71" s="1"/>
  <c r="V71" s="1"/>
  <c r="M71"/>
  <c r="T71" s="1"/>
  <c r="AB70"/>
  <c r="AC70" s="1"/>
  <c r="X70"/>
  <c r="W70"/>
  <c r="S70"/>
  <c r="R70"/>
  <c r="Y70" s="1"/>
  <c r="M70"/>
  <c r="T70" s="1"/>
  <c r="W69"/>
  <c r="S69"/>
  <c r="T69" s="1"/>
  <c r="R69"/>
  <c r="AB69" s="1"/>
  <c r="AC69" s="1"/>
  <c r="O69"/>
  <c r="U69" s="1"/>
  <c r="V69" s="1"/>
  <c r="M69"/>
  <c r="W68"/>
  <c r="R68"/>
  <c r="Z68" s="1"/>
  <c r="O68"/>
  <c r="U68" s="1"/>
  <c r="V68" s="1"/>
  <c r="M68"/>
  <c r="AC67"/>
  <c r="AB67"/>
  <c r="Y67"/>
  <c r="X67"/>
  <c r="W67"/>
  <c r="S67"/>
  <c r="R67"/>
  <c r="Z67" s="1"/>
  <c r="AA67" s="1"/>
  <c r="O67"/>
  <c r="U67" s="1"/>
  <c r="V67" s="1"/>
  <c r="M67"/>
  <c r="T67" s="1"/>
  <c r="AB66"/>
  <c r="AC66" s="1"/>
  <c r="X66"/>
  <c r="W66"/>
  <c r="S66"/>
  <c r="R66"/>
  <c r="Y66" s="1"/>
  <c r="M66"/>
  <c r="T66" s="1"/>
  <c r="W65"/>
  <c r="S65"/>
  <c r="T65" s="1"/>
  <c r="R65"/>
  <c r="AB65" s="1"/>
  <c r="AC65" s="1"/>
  <c r="O65"/>
  <c r="U65" s="1"/>
  <c r="V65" s="1"/>
  <c r="M65"/>
  <c r="W64"/>
  <c r="R64"/>
  <c r="Z64" s="1"/>
  <c r="O64"/>
  <c r="U64" s="1"/>
  <c r="V64" s="1"/>
  <c r="M64"/>
  <c r="AC63"/>
  <c r="AB63"/>
  <c r="Y63"/>
  <c r="X63"/>
  <c r="W63"/>
  <c r="S63"/>
  <c r="R63"/>
  <c r="Z63" s="1"/>
  <c r="AA63" s="1"/>
  <c r="O63"/>
  <c r="U63" s="1"/>
  <c r="V63" s="1"/>
  <c r="M63"/>
  <c r="T63" s="1"/>
  <c r="AB62"/>
  <c r="AC62" s="1"/>
  <c r="X62"/>
  <c r="W62"/>
  <c r="S62"/>
  <c r="R62"/>
  <c r="Y62" s="1"/>
  <c r="M62"/>
  <c r="T62" s="1"/>
  <c r="W61"/>
  <c r="S61"/>
  <c r="T61" s="1"/>
  <c r="R61"/>
  <c r="AB61" s="1"/>
  <c r="AC61" s="1"/>
  <c r="O61"/>
  <c r="U61" s="1"/>
  <c r="V61" s="1"/>
  <c r="M61"/>
  <c r="W60"/>
  <c r="R60"/>
  <c r="Z60" s="1"/>
  <c r="O60"/>
  <c r="U60" s="1"/>
  <c r="V60" s="1"/>
  <c r="M60"/>
  <c r="AC59"/>
  <c r="AB59"/>
  <c r="Y59"/>
  <c r="X59"/>
  <c r="W59"/>
  <c r="S59"/>
  <c r="R59"/>
  <c r="Z59" s="1"/>
  <c r="AA59" s="1"/>
  <c r="O59"/>
  <c r="U59" s="1"/>
  <c r="V59" s="1"/>
  <c r="M59"/>
  <c r="T59" s="1"/>
  <c r="AB58"/>
  <c r="AC58" s="1"/>
  <c r="X58"/>
  <c r="W58"/>
  <c r="S58"/>
  <c r="R58"/>
  <c r="Y58" s="1"/>
  <c r="M58"/>
  <c r="T58" s="1"/>
  <c r="W57"/>
  <c r="S57"/>
  <c r="T57" s="1"/>
  <c r="R57"/>
  <c r="AB57" s="1"/>
  <c r="AC57" s="1"/>
  <c r="O57"/>
  <c r="U57" s="1"/>
  <c r="V57" s="1"/>
  <c r="M57"/>
  <c r="P55"/>
  <c r="O55"/>
  <c r="C55"/>
  <c r="AD52"/>
  <c r="Q52"/>
  <c r="K52" s="1"/>
  <c r="P52"/>
  <c r="O52"/>
  <c r="M52"/>
  <c r="C52"/>
  <c r="AD49"/>
  <c r="Q49"/>
  <c r="K49" s="1"/>
  <c r="L49" s="1"/>
  <c r="M49" s="1"/>
  <c r="P49"/>
  <c r="O49"/>
  <c r="C49"/>
  <c r="Y47"/>
  <c r="W47"/>
  <c r="R47"/>
  <c r="Z47" s="1"/>
  <c r="O47"/>
  <c r="U47" s="1"/>
  <c r="V47" s="1"/>
  <c r="M47"/>
  <c r="AB46"/>
  <c r="AC46" s="1"/>
  <c r="Y46"/>
  <c r="X46"/>
  <c r="W46"/>
  <c r="S46"/>
  <c r="R46"/>
  <c r="Z46" s="1"/>
  <c r="AA46" s="1"/>
  <c r="M46"/>
  <c r="O46" s="1"/>
  <c r="U46" s="1"/>
  <c r="V46" s="1"/>
  <c r="AB45"/>
  <c r="AC45" s="1"/>
  <c r="X45"/>
  <c r="W45"/>
  <c r="S45"/>
  <c r="T45" s="1"/>
  <c r="R45"/>
  <c r="Y45" s="1"/>
  <c r="M45"/>
  <c r="O45" s="1"/>
  <c r="U45" s="1"/>
  <c r="V45" s="1"/>
  <c r="W44"/>
  <c r="R44"/>
  <c r="O44"/>
  <c r="U44" s="1"/>
  <c r="V44" s="1"/>
  <c r="M44"/>
  <c r="Y43"/>
  <c r="W43"/>
  <c r="R43"/>
  <c r="Z43" s="1"/>
  <c r="O43"/>
  <c r="U43" s="1"/>
  <c r="V43" s="1"/>
  <c r="M43"/>
  <c r="AB42"/>
  <c r="AC42" s="1"/>
  <c r="Y42"/>
  <c r="X42"/>
  <c r="W42"/>
  <c r="S42"/>
  <c r="R42"/>
  <c r="Z42" s="1"/>
  <c r="AA42" s="1"/>
  <c r="M42"/>
  <c r="O42" s="1"/>
  <c r="U42" s="1"/>
  <c r="V42" s="1"/>
  <c r="AB41"/>
  <c r="AC41" s="1"/>
  <c r="X41"/>
  <c r="W41"/>
  <c r="S41"/>
  <c r="T41" s="1"/>
  <c r="R41"/>
  <c r="Y41" s="1"/>
  <c r="M41"/>
  <c r="O41" s="1"/>
  <c r="U41" s="1"/>
  <c r="V41" s="1"/>
  <c r="W40"/>
  <c r="R40"/>
  <c r="O40"/>
  <c r="U40" s="1"/>
  <c r="V40" s="1"/>
  <c r="M40"/>
  <c r="Y39"/>
  <c r="W39"/>
  <c r="R39"/>
  <c r="Z39" s="1"/>
  <c r="O39"/>
  <c r="U39" s="1"/>
  <c r="V39" s="1"/>
  <c r="M39"/>
  <c r="AB38"/>
  <c r="AC38" s="1"/>
  <c r="Y38"/>
  <c r="X38"/>
  <c r="W38"/>
  <c r="S38"/>
  <c r="R38"/>
  <c r="Z38" s="1"/>
  <c r="AA38" s="1"/>
  <c r="M38"/>
  <c r="O38" s="1"/>
  <c r="U38" s="1"/>
  <c r="V38" s="1"/>
  <c r="AB37"/>
  <c r="AC37" s="1"/>
  <c r="X37"/>
  <c r="W37"/>
  <c r="S37"/>
  <c r="T37" s="1"/>
  <c r="R37"/>
  <c r="Y37" s="1"/>
  <c r="M37"/>
  <c r="O37" s="1"/>
  <c r="U37" s="1"/>
  <c r="V37" s="1"/>
  <c r="W36"/>
  <c r="R36"/>
  <c r="O36"/>
  <c r="U36" s="1"/>
  <c r="V36" s="1"/>
  <c r="M36"/>
  <c r="Y35"/>
  <c r="W35"/>
  <c r="R35"/>
  <c r="Z35" s="1"/>
  <c r="O35"/>
  <c r="U35" s="1"/>
  <c r="V35" s="1"/>
  <c r="M35"/>
  <c r="AB34"/>
  <c r="AC34" s="1"/>
  <c r="Y34"/>
  <c r="X34"/>
  <c r="W34"/>
  <c r="S34"/>
  <c r="R34"/>
  <c r="Z34" s="1"/>
  <c r="AA34" s="1"/>
  <c r="M34"/>
  <c r="O34" s="1"/>
  <c r="U34" s="1"/>
  <c r="V34" s="1"/>
  <c r="AB33"/>
  <c r="AC33" s="1"/>
  <c r="X33"/>
  <c r="W33"/>
  <c r="S33"/>
  <c r="T33" s="1"/>
  <c r="R33"/>
  <c r="Y33" s="1"/>
  <c r="M33"/>
  <c r="O33" s="1"/>
  <c r="U33" s="1"/>
  <c r="V33" s="1"/>
  <c r="W32"/>
  <c r="R32"/>
  <c r="O32"/>
  <c r="U32" s="1"/>
  <c r="V32" s="1"/>
  <c r="M32"/>
  <c r="Y31"/>
  <c r="W31"/>
  <c r="R31"/>
  <c r="Z31" s="1"/>
  <c r="O31"/>
  <c r="U31" s="1"/>
  <c r="V31" s="1"/>
  <c r="M31"/>
  <c r="AB30"/>
  <c r="AC30" s="1"/>
  <c r="Y30"/>
  <c r="X30"/>
  <c r="W30"/>
  <c r="S30"/>
  <c r="R30"/>
  <c r="Z30" s="1"/>
  <c r="AA30" s="1"/>
  <c r="M30"/>
  <c r="O30" s="1"/>
  <c r="U30" s="1"/>
  <c r="V30" s="1"/>
  <c r="AB29"/>
  <c r="AC29" s="1"/>
  <c r="X29"/>
  <c r="W29"/>
  <c r="S29"/>
  <c r="T29" s="1"/>
  <c r="R29"/>
  <c r="Y29" s="1"/>
  <c r="M29"/>
  <c r="O29" s="1"/>
  <c r="U29" s="1"/>
  <c r="V29" s="1"/>
  <c r="W28"/>
  <c r="R28"/>
  <c r="O28"/>
  <c r="U28" s="1"/>
  <c r="V28" s="1"/>
  <c r="M28"/>
  <c r="Y27"/>
  <c r="W27"/>
  <c r="R27"/>
  <c r="Z27" s="1"/>
  <c r="O27"/>
  <c r="U27" s="1"/>
  <c r="V27" s="1"/>
  <c r="M27"/>
  <c r="AB26"/>
  <c r="AC26" s="1"/>
  <c r="Y26"/>
  <c r="X26"/>
  <c r="W26"/>
  <c r="S26"/>
  <c r="R26"/>
  <c r="Z26" s="1"/>
  <c r="AA26" s="1"/>
  <c r="M26"/>
  <c r="O26" s="1"/>
  <c r="U26" s="1"/>
  <c r="V26" s="1"/>
  <c r="AB25"/>
  <c r="AC25" s="1"/>
  <c r="X25"/>
  <c r="W25"/>
  <c r="S25"/>
  <c r="T25" s="1"/>
  <c r="R25"/>
  <c r="Y25" s="1"/>
  <c r="M25"/>
  <c r="O25" s="1"/>
  <c r="U25" s="1"/>
  <c r="V25" s="1"/>
  <c r="W24"/>
  <c r="R24"/>
  <c r="O24"/>
  <c r="U24" s="1"/>
  <c r="V24" s="1"/>
  <c r="M24"/>
  <c r="P22"/>
  <c r="O22"/>
  <c r="C22"/>
  <c r="AD19"/>
  <c r="P19"/>
  <c r="O19"/>
  <c r="C19"/>
  <c r="Y17"/>
  <c r="W17"/>
  <c r="R17"/>
  <c r="Z17" s="1"/>
  <c r="O17"/>
  <c r="U17" s="1"/>
  <c r="V17" s="1"/>
  <c r="M17"/>
  <c r="AB16"/>
  <c r="AC16" s="1"/>
  <c r="Y16"/>
  <c r="X16"/>
  <c r="W16"/>
  <c r="S16"/>
  <c r="R16"/>
  <c r="Z16" s="1"/>
  <c r="AA16" s="1"/>
  <c r="M16"/>
  <c r="O16" s="1"/>
  <c r="U16" s="1"/>
  <c r="V16" s="1"/>
  <c r="AB15"/>
  <c r="AC15" s="1"/>
  <c r="X15"/>
  <c r="W15"/>
  <c r="S15"/>
  <c r="T15" s="1"/>
  <c r="R15"/>
  <c r="Y15" s="1"/>
  <c r="M15"/>
  <c r="O15" s="1"/>
  <c r="U15" s="1"/>
  <c r="V15" s="1"/>
  <c r="W14"/>
  <c r="R14"/>
  <c r="O14"/>
  <c r="U14" s="1"/>
  <c r="V14" s="1"/>
  <c r="M14"/>
  <c r="Y13"/>
  <c r="W13"/>
  <c r="R13"/>
  <c r="Z13" s="1"/>
  <c r="O13"/>
  <c r="U13" s="1"/>
  <c r="V13" s="1"/>
  <c r="M13"/>
  <c r="AB12"/>
  <c r="AC12" s="1"/>
  <c r="Y12"/>
  <c r="X12"/>
  <c r="W12"/>
  <c r="S12"/>
  <c r="R12"/>
  <c r="Z12" s="1"/>
  <c r="AA12" s="1"/>
  <c r="M12"/>
  <c r="O12" s="1"/>
  <c r="U12" s="1"/>
  <c r="V12" s="1"/>
  <c r="AB11"/>
  <c r="AC11" s="1"/>
  <c r="X11"/>
  <c r="W11"/>
  <c r="S11"/>
  <c r="T11" s="1"/>
  <c r="R11"/>
  <c r="Y11" s="1"/>
  <c r="M11"/>
  <c r="O11" s="1"/>
  <c r="U11" s="1"/>
  <c r="V11" s="1"/>
  <c r="W10"/>
  <c r="R10"/>
  <c r="O10"/>
  <c r="U10" s="1"/>
  <c r="V10" s="1"/>
  <c r="M10"/>
  <c r="Y9"/>
  <c r="W9"/>
  <c r="R9"/>
  <c r="Z9" s="1"/>
  <c r="O9"/>
  <c r="U9" s="1"/>
  <c r="V9" s="1"/>
  <c r="M9"/>
  <c r="AB8"/>
  <c r="AC8" s="1"/>
  <c r="Y8"/>
  <c r="X8"/>
  <c r="W8"/>
  <c r="S8"/>
  <c r="R8"/>
  <c r="Z8" s="1"/>
  <c r="AA8" s="1"/>
  <c r="M8"/>
  <c r="O8" s="1"/>
  <c r="U8" s="1"/>
  <c r="V8" s="1"/>
  <c r="P6"/>
  <c r="O6"/>
  <c r="C6"/>
  <c r="AD753" l="1"/>
  <c r="AD757"/>
  <c r="AD773"/>
  <c r="AD789"/>
  <c r="AD805"/>
  <c r="AD1286"/>
  <c r="AD270"/>
  <c r="AD286"/>
  <c r="AD359"/>
  <c r="AD375"/>
  <c r="AD391"/>
  <c r="AD407"/>
  <c r="AD423"/>
  <c r="AD1672"/>
  <c r="AD749"/>
  <c r="AD765"/>
  <c r="AD2259"/>
  <c r="AD2275"/>
  <c r="AD2291"/>
  <c r="AD2307"/>
  <c r="AD2323"/>
  <c r="AD2339"/>
  <c r="AD2355"/>
  <c r="AD2387"/>
  <c r="AD2403"/>
  <c r="AD2430"/>
  <c r="AD3237"/>
  <c r="AD3503"/>
  <c r="AD3507"/>
  <c r="AD3604"/>
  <c r="Q55"/>
  <c r="K55" s="1"/>
  <c r="L55" s="1"/>
  <c r="AD123"/>
  <c r="AD127"/>
  <c r="AD131"/>
  <c r="AD135"/>
  <c r="AD139"/>
  <c r="AD761"/>
  <c r="AD3596"/>
  <c r="AD3612"/>
  <c r="L52"/>
  <c r="Q19"/>
  <c r="K19" s="1"/>
  <c r="L19" s="1"/>
  <c r="M19" s="1"/>
  <c r="U414"/>
  <c r="V414" s="1"/>
  <c r="U508"/>
  <c r="V508"/>
  <c r="AD508" s="1"/>
  <c r="V742"/>
  <c r="U742"/>
  <c r="AD212"/>
  <c r="AD214"/>
  <c r="AD239"/>
  <c r="AD266"/>
  <c r="AD268"/>
  <c r="AD282"/>
  <c r="AD305"/>
  <c r="AD321"/>
  <c r="AD337"/>
  <c r="AD363"/>
  <c r="AD379"/>
  <c r="AD395"/>
  <c r="AD411"/>
  <c r="AD427"/>
  <c r="AD442"/>
  <c r="AD446"/>
  <c r="AD458"/>
  <c r="AD474"/>
  <c r="U199"/>
  <c r="V199" s="1"/>
  <c r="U482"/>
  <c r="V482" s="1"/>
  <c r="U504"/>
  <c r="V504" s="1"/>
  <c r="AD504" s="1"/>
  <c r="M502" s="1"/>
  <c r="U657"/>
  <c r="V657" s="1"/>
  <c r="U692"/>
  <c r="V692" s="1"/>
  <c r="AD692" s="1"/>
  <c r="U693"/>
  <c r="V693" s="1"/>
  <c r="AD150"/>
  <c r="AD154"/>
  <c r="AD158"/>
  <c r="AD162"/>
  <c r="AD166"/>
  <c r="AD170"/>
  <c r="AD174"/>
  <c r="AD178"/>
  <c r="AD200"/>
  <c r="AD202"/>
  <c r="AD216"/>
  <c r="AD243"/>
  <c r="AD309"/>
  <c r="AD325"/>
  <c r="AD341"/>
  <c r="AA373"/>
  <c r="AD456"/>
  <c r="AD462"/>
  <c r="AD478"/>
  <c r="AD485"/>
  <c r="AA587"/>
  <c r="AA603"/>
  <c r="AA619"/>
  <c r="AA635"/>
  <c r="AA651"/>
  <c r="AA667"/>
  <c r="AA683"/>
  <c r="V213"/>
  <c r="U213"/>
  <c r="U219"/>
  <c r="V219"/>
  <c r="U484"/>
  <c r="V484" s="1"/>
  <c r="AD204"/>
  <c r="AD220"/>
  <c r="AD231"/>
  <c r="AD247"/>
  <c r="AD258"/>
  <c r="AD274"/>
  <c r="AD313"/>
  <c r="AD329"/>
  <c r="AD345"/>
  <c r="AA369"/>
  <c r="AD371"/>
  <c r="AD387"/>
  <c r="AA401"/>
  <c r="AD403"/>
  <c r="AD419"/>
  <c r="AA433"/>
  <c r="AD435"/>
  <c r="AD450"/>
  <c r="AD460"/>
  <c r="AD466"/>
  <c r="AD492"/>
  <c r="AA507"/>
  <c r="AA571"/>
  <c r="V658"/>
  <c r="AD697"/>
  <c r="Q22"/>
  <c r="K22" s="1"/>
  <c r="U491"/>
  <c r="V491" s="1"/>
  <c r="U589"/>
  <c r="V589"/>
  <c r="U653"/>
  <c r="V653" s="1"/>
  <c r="U668"/>
  <c r="V668"/>
  <c r="AD668" s="1"/>
  <c r="U669"/>
  <c r="V669" s="1"/>
  <c r="AA24"/>
  <c r="AA40"/>
  <c r="AD59"/>
  <c r="AD63"/>
  <c r="AD67"/>
  <c r="AD71"/>
  <c r="AD75"/>
  <c r="AD79"/>
  <c r="AD83"/>
  <c r="AD87"/>
  <c r="AD91"/>
  <c r="AD95"/>
  <c r="AD99"/>
  <c r="AD103"/>
  <c r="AD107"/>
  <c r="AD111"/>
  <c r="AD115"/>
  <c r="AD119"/>
  <c r="AD129"/>
  <c r="AD208"/>
  <c r="AD224"/>
  <c r="AD251"/>
  <c r="AD262"/>
  <c r="AD278"/>
  <c r="AD317"/>
  <c r="AD333"/>
  <c r="AD349"/>
  <c r="AD367"/>
  <c r="AD383"/>
  <c r="AD399"/>
  <c r="AD415"/>
  <c r="AD431"/>
  <c r="AD470"/>
  <c r="AD549"/>
  <c r="AA655"/>
  <c r="AA671"/>
  <c r="AA691"/>
  <c r="AA736"/>
  <c r="Y696"/>
  <c r="AB696"/>
  <c r="AC696" s="1"/>
  <c r="X696"/>
  <c r="Y700"/>
  <c r="AB700"/>
  <c r="AC700" s="1"/>
  <c r="X700"/>
  <c r="Y704"/>
  <c r="AB704"/>
  <c r="AC704" s="1"/>
  <c r="X704"/>
  <c r="Y708"/>
  <c r="AB708"/>
  <c r="AC708" s="1"/>
  <c r="X708"/>
  <c r="AB711"/>
  <c r="AC711" s="1"/>
  <c r="X711"/>
  <c r="S711"/>
  <c r="T711" s="1"/>
  <c r="AB715"/>
  <c r="AC715" s="1"/>
  <c r="X715"/>
  <c r="S715"/>
  <c r="T715" s="1"/>
  <c r="V717"/>
  <c r="U717"/>
  <c r="AB719"/>
  <c r="AC719" s="1"/>
  <c r="X719"/>
  <c r="S719"/>
  <c r="T719" s="1"/>
  <c r="AB723"/>
  <c r="AC723" s="1"/>
  <c r="X723"/>
  <c r="S723"/>
  <c r="T723" s="1"/>
  <c r="U725"/>
  <c r="V725" s="1"/>
  <c r="AB727"/>
  <c r="AC727" s="1"/>
  <c r="X727"/>
  <c r="S727"/>
  <c r="T727" s="1"/>
  <c r="AB731"/>
  <c r="AC731" s="1"/>
  <c r="X731"/>
  <c r="S731"/>
  <c r="T731" s="1"/>
  <c r="U733"/>
  <c r="V733" s="1"/>
  <c r="AB735"/>
  <c r="AC735" s="1"/>
  <c r="X735"/>
  <c r="S735"/>
  <c r="T735" s="1"/>
  <c r="U737"/>
  <c r="V737" s="1"/>
  <c r="AB739"/>
  <c r="AC739" s="1"/>
  <c r="X739"/>
  <c r="S739"/>
  <c r="T739" s="1"/>
  <c r="AB743"/>
  <c r="AC743" s="1"/>
  <c r="X743"/>
  <c r="S743"/>
  <c r="T743" s="1"/>
  <c r="T8"/>
  <c r="AD8" s="1"/>
  <c r="Z10"/>
  <c r="AA10" s="1"/>
  <c r="T12"/>
  <c r="AD12" s="1"/>
  <c r="Z14"/>
  <c r="AA14" s="1"/>
  <c r="T16"/>
  <c r="AD16" s="1"/>
  <c r="Z24"/>
  <c r="T26"/>
  <c r="AD26" s="1"/>
  <c r="Z28"/>
  <c r="AA28" s="1"/>
  <c r="T30"/>
  <c r="AD30" s="1"/>
  <c r="Z32"/>
  <c r="AA32" s="1"/>
  <c r="T34"/>
  <c r="AD34" s="1"/>
  <c r="Z36"/>
  <c r="AA36" s="1"/>
  <c r="T38"/>
  <c r="AD38" s="1"/>
  <c r="Z40"/>
  <c r="T42"/>
  <c r="AD42" s="1"/>
  <c r="Z44"/>
  <c r="AA44" s="1"/>
  <c r="T46"/>
  <c r="AD46" s="1"/>
  <c r="Z57"/>
  <c r="AA57" s="1"/>
  <c r="Y60"/>
  <c r="Z61"/>
  <c r="AA61" s="1"/>
  <c r="AD61" s="1"/>
  <c r="Y64"/>
  <c r="Z65"/>
  <c r="AA65" s="1"/>
  <c r="Y68"/>
  <c r="Z69"/>
  <c r="AA69" s="1"/>
  <c r="AD69" s="1"/>
  <c r="Y72"/>
  <c r="Z73"/>
  <c r="AA73" s="1"/>
  <c r="Y76"/>
  <c r="Z77"/>
  <c r="AA77" s="1"/>
  <c r="AD77" s="1"/>
  <c r="Y80"/>
  <c r="Z81"/>
  <c r="AA81" s="1"/>
  <c r="Y84"/>
  <c r="Z85"/>
  <c r="AA85" s="1"/>
  <c r="AD85" s="1"/>
  <c r="Y88"/>
  <c r="Z89"/>
  <c r="AA89" s="1"/>
  <c r="Y92"/>
  <c r="Z93"/>
  <c r="AA93" s="1"/>
  <c r="AD93" s="1"/>
  <c r="Y96"/>
  <c r="Z97"/>
  <c r="AA97" s="1"/>
  <c r="Y100"/>
  <c r="Z101"/>
  <c r="AA101" s="1"/>
  <c r="AD101" s="1"/>
  <c r="Y104"/>
  <c r="Z105"/>
  <c r="AA105" s="1"/>
  <c r="Y108"/>
  <c r="Z109"/>
  <c r="AA109" s="1"/>
  <c r="AD109" s="1"/>
  <c r="Y112"/>
  <c r="Z113"/>
  <c r="AA113" s="1"/>
  <c r="Y116"/>
  <c r="Z117"/>
  <c r="AA117" s="1"/>
  <c r="AD117" s="1"/>
  <c r="Y120"/>
  <c r="Z121"/>
  <c r="AA121" s="1"/>
  <c r="Y124"/>
  <c r="Z125"/>
  <c r="AA125" s="1"/>
  <c r="Y128"/>
  <c r="Z129"/>
  <c r="AA129" s="1"/>
  <c r="Y132"/>
  <c r="Z133"/>
  <c r="AA133" s="1"/>
  <c r="Y136"/>
  <c r="Z137"/>
  <c r="AA137" s="1"/>
  <c r="Y140"/>
  <c r="Z141"/>
  <c r="AA141" s="1"/>
  <c r="Y144"/>
  <c r="Z145"/>
  <c r="AA145" s="1"/>
  <c r="Y151"/>
  <c r="AD147" s="1"/>
  <c r="Z152"/>
  <c r="AA152" s="1"/>
  <c r="Y155"/>
  <c r="Z156"/>
  <c r="AA156" s="1"/>
  <c r="Y159"/>
  <c r="Z160"/>
  <c r="AA160" s="1"/>
  <c r="Y163"/>
  <c r="Z164"/>
  <c r="AA164" s="1"/>
  <c r="Y167"/>
  <c r="Z168"/>
  <c r="AA168" s="1"/>
  <c r="Y171"/>
  <c r="Z172"/>
  <c r="AA172" s="1"/>
  <c r="Y175"/>
  <c r="Z176"/>
  <c r="AA176" s="1"/>
  <c r="Y179"/>
  <c r="Z198"/>
  <c r="AA198" s="1"/>
  <c r="S199"/>
  <c r="T199" s="1"/>
  <c r="AA199"/>
  <c r="Y201"/>
  <c r="AD196" s="1"/>
  <c r="Z202"/>
  <c r="AA202" s="1"/>
  <c r="S203"/>
  <c r="T203" s="1"/>
  <c r="AA203"/>
  <c r="Y205"/>
  <c r="Z206"/>
  <c r="AA206" s="1"/>
  <c r="S207"/>
  <c r="T207" s="1"/>
  <c r="AA207"/>
  <c r="Y209"/>
  <c r="Z210"/>
  <c r="AA210" s="1"/>
  <c r="S211"/>
  <c r="T211" s="1"/>
  <c r="Y213"/>
  <c r="Z214"/>
  <c r="AA214" s="1"/>
  <c r="S215"/>
  <c r="T215" s="1"/>
  <c r="AA215"/>
  <c r="Y217"/>
  <c r="Z218"/>
  <c r="AA218" s="1"/>
  <c r="S219"/>
  <c r="T219" s="1"/>
  <c r="AA219"/>
  <c r="Y221"/>
  <c r="Z222"/>
  <c r="AA222" s="1"/>
  <c r="S223"/>
  <c r="T223" s="1"/>
  <c r="AA223"/>
  <c r="Y225"/>
  <c r="Z226"/>
  <c r="AA226" s="1"/>
  <c r="S230"/>
  <c r="T230" s="1"/>
  <c r="Y232"/>
  <c r="AD228" s="1"/>
  <c r="Z233"/>
  <c r="AA233" s="1"/>
  <c r="S234"/>
  <c r="T234" s="1"/>
  <c r="AA234"/>
  <c r="Y236"/>
  <c r="Z237"/>
  <c r="AA237" s="1"/>
  <c r="S238"/>
  <c r="T238" s="1"/>
  <c r="AA238"/>
  <c r="Y240"/>
  <c r="Z241"/>
  <c r="AA241" s="1"/>
  <c r="S242"/>
  <c r="T242" s="1"/>
  <c r="AA242"/>
  <c r="Y244"/>
  <c r="Z245"/>
  <c r="AA245" s="1"/>
  <c r="S246"/>
  <c r="T246" s="1"/>
  <c r="Y248"/>
  <c r="Z249"/>
  <c r="AA249" s="1"/>
  <c r="S250"/>
  <c r="T250" s="1"/>
  <c r="AA250"/>
  <c r="Y255"/>
  <c r="Z256"/>
  <c r="AA256" s="1"/>
  <c r="S257"/>
  <c r="T257" s="1"/>
  <c r="AA257"/>
  <c r="Y259"/>
  <c r="Z260"/>
  <c r="AA260" s="1"/>
  <c r="S261"/>
  <c r="T261" s="1"/>
  <c r="AA261"/>
  <c r="Y263"/>
  <c r="Z264"/>
  <c r="AA264" s="1"/>
  <c r="S265"/>
  <c r="T265" s="1"/>
  <c r="Y267"/>
  <c r="Z268"/>
  <c r="AA268" s="1"/>
  <c r="S269"/>
  <c r="T269" s="1"/>
  <c r="AA269"/>
  <c r="Y271"/>
  <c r="Z272"/>
  <c r="AA272" s="1"/>
  <c r="S273"/>
  <c r="T273" s="1"/>
  <c r="AA273"/>
  <c r="Y275"/>
  <c r="Z276"/>
  <c r="AA276" s="1"/>
  <c r="S277"/>
  <c r="T277" s="1"/>
  <c r="AA277"/>
  <c r="Y279"/>
  <c r="Z280"/>
  <c r="AA280" s="1"/>
  <c r="S281"/>
  <c r="T281" s="1"/>
  <c r="Y283"/>
  <c r="Z284"/>
  <c r="AA284" s="1"/>
  <c r="S285"/>
  <c r="T285" s="1"/>
  <c r="AA285"/>
  <c r="Y302"/>
  <c r="Z303"/>
  <c r="AA303" s="1"/>
  <c r="S304"/>
  <c r="T304" s="1"/>
  <c r="AA304"/>
  <c r="Y306"/>
  <c r="Z307"/>
  <c r="AA307" s="1"/>
  <c r="S308"/>
  <c r="T308" s="1"/>
  <c r="AA308"/>
  <c r="Y310"/>
  <c r="Z311"/>
  <c r="AA311" s="1"/>
  <c r="S312"/>
  <c r="T312" s="1"/>
  <c r="Y314"/>
  <c r="Z315"/>
  <c r="AA315" s="1"/>
  <c r="S316"/>
  <c r="T316" s="1"/>
  <c r="AA316"/>
  <c r="Y318"/>
  <c r="Z319"/>
  <c r="AA319" s="1"/>
  <c r="S320"/>
  <c r="T320" s="1"/>
  <c r="AA320"/>
  <c r="Y322"/>
  <c r="Z323"/>
  <c r="AA323" s="1"/>
  <c r="S324"/>
  <c r="T324" s="1"/>
  <c r="AA324"/>
  <c r="Y326"/>
  <c r="Z327"/>
  <c r="AA327" s="1"/>
  <c r="S328"/>
  <c r="T328" s="1"/>
  <c r="Y330"/>
  <c r="Z331"/>
  <c r="AA331" s="1"/>
  <c r="S332"/>
  <c r="T332" s="1"/>
  <c r="AA332"/>
  <c r="Y334"/>
  <c r="Z335"/>
  <c r="AA335" s="1"/>
  <c r="S336"/>
  <c r="T336" s="1"/>
  <c r="AA336"/>
  <c r="Y338"/>
  <c r="Z339"/>
  <c r="AA339" s="1"/>
  <c r="S340"/>
  <c r="T340" s="1"/>
  <c r="AA340"/>
  <c r="Y342"/>
  <c r="Z343"/>
  <c r="AA343" s="1"/>
  <c r="S344"/>
  <c r="T344" s="1"/>
  <c r="Y346"/>
  <c r="V347"/>
  <c r="AD347" s="1"/>
  <c r="Z347"/>
  <c r="AA347" s="1"/>
  <c r="S348"/>
  <c r="T348" s="1"/>
  <c r="Z357"/>
  <c r="AA357" s="1"/>
  <c r="S358"/>
  <c r="T358" s="1"/>
  <c r="Z361"/>
  <c r="AA361" s="1"/>
  <c r="S362"/>
  <c r="T362" s="1"/>
  <c r="Z365"/>
  <c r="AA365" s="1"/>
  <c r="S366"/>
  <c r="T366" s="1"/>
  <c r="Z369"/>
  <c r="S370"/>
  <c r="T370" s="1"/>
  <c r="Z373"/>
  <c r="S374"/>
  <c r="T374" s="1"/>
  <c r="Z377"/>
  <c r="AA377" s="1"/>
  <c r="S378"/>
  <c r="T378" s="1"/>
  <c r="Z381"/>
  <c r="AA381" s="1"/>
  <c r="S382"/>
  <c r="T382" s="1"/>
  <c r="Z385"/>
  <c r="AA385" s="1"/>
  <c r="S386"/>
  <c r="T386" s="1"/>
  <c r="Z389"/>
  <c r="AA389" s="1"/>
  <c r="S390"/>
  <c r="T390" s="1"/>
  <c r="Z393"/>
  <c r="AA393" s="1"/>
  <c r="S394"/>
  <c r="T394" s="1"/>
  <c r="Z397"/>
  <c r="AA397" s="1"/>
  <c r="S398"/>
  <c r="T398" s="1"/>
  <c r="Z401"/>
  <c r="S402"/>
  <c r="T402" s="1"/>
  <c r="Z405"/>
  <c r="AA405" s="1"/>
  <c r="S406"/>
  <c r="T406" s="1"/>
  <c r="Z409"/>
  <c r="AA409" s="1"/>
  <c r="S410"/>
  <c r="T410" s="1"/>
  <c r="Z413"/>
  <c r="AA413" s="1"/>
  <c r="S414"/>
  <c r="T414" s="1"/>
  <c r="Z417"/>
  <c r="AA417" s="1"/>
  <c r="S418"/>
  <c r="T418" s="1"/>
  <c r="Z421"/>
  <c r="AA421" s="1"/>
  <c r="S422"/>
  <c r="T422" s="1"/>
  <c r="Z425"/>
  <c r="AA425" s="1"/>
  <c r="S426"/>
  <c r="T426" s="1"/>
  <c r="Z429"/>
  <c r="AA429" s="1"/>
  <c r="S430"/>
  <c r="T430" s="1"/>
  <c r="Z433"/>
  <c r="S434"/>
  <c r="T434" s="1"/>
  <c r="Z440"/>
  <c r="AA440" s="1"/>
  <c r="S441"/>
  <c r="T441" s="1"/>
  <c r="Y443"/>
  <c r="Z444"/>
  <c r="AA444" s="1"/>
  <c r="S445"/>
  <c r="T445" s="1"/>
  <c r="AA445"/>
  <c r="Y447"/>
  <c r="Z448"/>
  <c r="AA448" s="1"/>
  <c r="S449"/>
  <c r="T449" s="1"/>
  <c r="AA449"/>
  <c r="Y451"/>
  <c r="Z452"/>
  <c r="AA452" s="1"/>
  <c r="S453"/>
  <c r="T453" s="1"/>
  <c r="AA453"/>
  <c r="Y455"/>
  <c r="Z456"/>
  <c r="AA456" s="1"/>
  <c r="S457"/>
  <c r="T457" s="1"/>
  <c r="Y459"/>
  <c r="Z460"/>
  <c r="AA460" s="1"/>
  <c r="S461"/>
  <c r="T461" s="1"/>
  <c r="AA461"/>
  <c r="Y463"/>
  <c r="Z464"/>
  <c r="AA464" s="1"/>
  <c r="S465"/>
  <c r="T465" s="1"/>
  <c r="AA465"/>
  <c r="Y467"/>
  <c r="Z468"/>
  <c r="AA468" s="1"/>
  <c r="S469"/>
  <c r="T469" s="1"/>
  <c r="AA469"/>
  <c r="Y471"/>
  <c r="Z472"/>
  <c r="AA472" s="1"/>
  <c r="S473"/>
  <c r="T473" s="1"/>
  <c r="Y475"/>
  <c r="Z476"/>
  <c r="AA476" s="1"/>
  <c r="S477"/>
  <c r="T477" s="1"/>
  <c r="AA477"/>
  <c r="V483"/>
  <c r="Z483"/>
  <c r="AA483" s="1"/>
  <c r="S484"/>
  <c r="T484" s="1"/>
  <c r="AA484"/>
  <c r="V487"/>
  <c r="Z487"/>
  <c r="AA487" s="1"/>
  <c r="S491"/>
  <c r="T491" s="1"/>
  <c r="AA491"/>
  <c r="Z494"/>
  <c r="AA494" s="1"/>
  <c r="Z507"/>
  <c r="T524"/>
  <c r="AD524" s="1"/>
  <c r="Z526"/>
  <c r="AA526" s="1"/>
  <c r="T528"/>
  <c r="AD528" s="1"/>
  <c r="Z548"/>
  <c r="AA548" s="1"/>
  <c r="T550"/>
  <c r="Z552"/>
  <c r="AA552" s="1"/>
  <c r="T554"/>
  <c r="Z556"/>
  <c r="AA556" s="1"/>
  <c r="T558"/>
  <c r="Z563"/>
  <c r="AA563" s="1"/>
  <c r="T565"/>
  <c r="Z567"/>
  <c r="AA567" s="1"/>
  <c r="T569"/>
  <c r="AD569" s="1"/>
  <c r="U570"/>
  <c r="V570" s="1"/>
  <c r="Z571"/>
  <c r="T573"/>
  <c r="Z575"/>
  <c r="AA575" s="1"/>
  <c r="T577"/>
  <c r="AD577" s="1"/>
  <c r="Z579"/>
  <c r="AA579" s="1"/>
  <c r="T581"/>
  <c r="AD581" s="1"/>
  <c r="Z583"/>
  <c r="AA583" s="1"/>
  <c r="T585"/>
  <c r="AD585" s="1"/>
  <c r="Z587"/>
  <c r="T589"/>
  <c r="U590"/>
  <c r="V590" s="1"/>
  <c r="Z591"/>
  <c r="AA591" s="1"/>
  <c r="T593"/>
  <c r="Z595"/>
  <c r="AA595" s="1"/>
  <c r="T597"/>
  <c r="Z599"/>
  <c r="AA599" s="1"/>
  <c r="T601"/>
  <c r="Z603"/>
  <c r="T605"/>
  <c r="Z607"/>
  <c r="AA607" s="1"/>
  <c r="T609"/>
  <c r="Z611"/>
  <c r="AA611" s="1"/>
  <c r="T613"/>
  <c r="Z615"/>
  <c r="AA615" s="1"/>
  <c r="T617"/>
  <c r="Z619"/>
  <c r="T621"/>
  <c r="Z623"/>
  <c r="AA623" s="1"/>
  <c r="T625"/>
  <c r="Z627"/>
  <c r="AA627" s="1"/>
  <c r="T629"/>
  <c r="Z631"/>
  <c r="AA631" s="1"/>
  <c r="T633"/>
  <c r="Z635"/>
  <c r="T637"/>
  <c r="Z639"/>
  <c r="AA639" s="1"/>
  <c r="T641"/>
  <c r="Z643"/>
  <c r="AA643" s="1"/>
  <c r="T645"/>
  <c r="Z647"/>
  <c r="AA647" s="1"/>
  <c r="T649"/>
  <c r="Z651"/>
  <c r="T653"/>
  <c r="U654"/>
  <c r="V654" s="1"/>
  <c r="Z655"/>
  <c r="T657"/>
  <c r="U658"/>
  <c r="Z659"/>
  <c r="AA659" s="1"/>
  <c r="T661"/>
  <c r="Z663"/>
  <c r="AA663" s="1"/>
  <c r="T665"/>
  <c r="U666"/>
  <c r="V666" s="1"/>
  <c r="Z667"/>
  <c r="T669"/>
  <c r="Z671"/>
  <c r="T673"/>
  <c r="AD673" s="1"/>
  <c r="Z675"/>
  <c r="AA675" s="1"/>
  <c r="T677"/>
  <c r="Z679"/>
  <c r="AA679" s="1"/>
  <c r="T681"/>
  <c r="AD681" s="1"/>
  <c r="Z683"/>
  <c r="T685"/>
  <c r="AD685" s="1"/>
  <c r="Z687"/>
  <c r="AA687" s="1"/>
  <c r="T689"/>
  <c r="AD689" s="1"/>
  <c r="Z691"/>
  <c r="T693"/>
  <c r="Z696"/>
  <c r="Z700"/>
  <c r="Z704"/>
  <c r="Z708"/>
  <c r="Y711"/>
  <c r="Y715"/>
  <c r="Y719"/>
  <c r="Y723"/>
  <c r="Y727"/>
  <c r="Y731"/>
  <c r="Y735"/>
  <c r="Y739"/>
  <c r="Y743"/>
  <c r="AA854"/>
  <c r="AD961"/>
  <c r="AA970"/>
  <c r="AD1205"/>
  <c r="AA1214"/>
  <c r="AD1237"/>
  <c r="AA1246"/>
  <c r="AB695"/>
  <c r="AC695" s="1"/>
  <c r="X695"/>
  <c r="AA695"/>
  <c r="S695"/>
  <c r="T695" s="1"/>
  <c r="AD695" s="1"/>
  <c r="AB699"/>
  <c r="AC699" s="1"/>
  <c r="X699"/>
  <c r="AA699"/>
  <c r="S699"/>
  <c r="T699" s="1"/>
  <c r="AD699" s="1"/>
  <c r="U701"/>
  <c r="V701" s="1"/>
  <c r="AD701" s="1"/>
  <c r="AB703"/>
  <c r="AC703" s="1"/>
  <c r="X703"/>
  <c r="AA703"/>
  <c r="S703"/>
  <c r="T703" s="1"/>
  <c r="U705"/>
  <c r="V705" s="1"/>
  <c r="AD705" s="1"/>
  <c r="AB707"/>
  <c r="AC707" s="1"/>
  <c r="X707"/>
  <c r="AA707"/>
  <c r="S707"/>
  <c r="T707" s="1"/>
  <c r="AD707" s="1"/>
  <c r="X9"/>
  <c r="AB9"/>
  <c r="AC9" s="1"/>
  <c r="Y10"/>
  <c r="AD6" s="1"/>
  <c r="Z11"/>
  <c r="AA11" s="1"/>
  <c r="AD11" s="1"/>
  <c r="X13"/>
  <c r="AB13"/>
  <c r="AC13" s="1"/>
  <c r="Y14"/>
  <c r="Z15"/>
  <c r="AA15" s="1"/>
  <c r="AD15" s="1"/>
  <c r="X17"/>
  <c r="AB17"/>
  <c r="AC17" s="1"/>
  <c r="Y24"/>
  <c r="Z25"/>
  <c r="AA25" s="1"/>
  <c r="AD25" s="1"/>
  <c r="X27"/>
  <c r="AB27"/>
  <c r="AC27" s="1"/>
  <c r="Y28"/>
  <c r="Z29"/>
  <c r="AA29" s="1"/>
  <c r="AD29" s="1"/>
  <c r="X31"/>
  <c r="AB31"/>
  <c r="AC31" s="1"/>
  <c r="Y32"/>
  <c r="Z33"/>
  <c r="AA33" s="1"/>
  <c r="AD33" s="1"/>
  <c r="X35"/>
  <c r="AB35"/>
  <c r="AC35" s="1"/>
  <c r="Y36"/>
  <c r="Z37"/>
  <c r="AA37" s="1"/>
  <c r="AD37" s="1"/>
  <c r="X39"/>
  <c r="AB39"/>
  <c r="AC39" s="1"/>
  <c r="Y40"/>
  <c r="Z41"/>
  <c r="AA41" s="1"/>
  <c r="AD41" s="1"/>
  <c r="X43"/>
  <c r="AB43"/>
  <c r="AC43" s="1"/>
  <c r="Y44"/>
  <c r="Z45"/>
  <c r="AA45" s="1"/>
  <c r="AD45" s="1"/>
  <c r="X47"/>
  <c r="AB47"/>
  <c r="AC47" s="1"/>
  <c r="Y57"/>
  <c r="Z58"/>
  <c r="AA58" s="1"/>
  <c r="X60"/>
  <c r="AB60"/>
  <c r="AC60" s="1"/>
  <c r="Y61"/>
  <c r="Z62"/>
  <c r="AA62" s="1"/>
  <c r="X64"/>
  <c r="AB64"/>
  <c r="AC64" s="1"/>
  <c r="Y65"/>
  <c r="Z66"/>
  <c r="AA66" s="1"/>
  <c r="X68"/>
  <c r="AB68"/>
  <c r="AC68" s="1"/>
  <c r="Y69"/>
  <c r="Z70"/>
  <c r="AA70" s="1"/>
  <c r="X72"/>
  <c r="AB72"/>
  <c r="AC72" s="1"/>
  <c r="Y73"/>
  <c r="Z74"/>
  <c r="AA74" s="1"/>
  <c r="X76"/>
  <c r="AB76"/>
  <c r="AC76" s="1"/>
  <c r="Y77"/>
  <c r="Z78"/>
  <c r="AA78" s="1"/>
  <c r="X80"/>
  <c r="AB80"/>
  <c r="AC80" s="1"/>
  <c r="Y81"/>
  <c r="Z82"/>
  <c r="AA82" s="1"/>
  <c r="X84"/>
  <c r="AB84"/>
  <c r="AC84" s="1"/>
  <c r="Y85"/>
  <c r="Z86"/>
  <c r="AA86" s="1"/>
  <c r="X88"/>
  <c r="AB88"/>
  <c r="AC88" s="1"/>
  <c r="Y89"/>
  <c r="Z90"/>
  <c r="AA90" s="1"/>
  <c r="X92"/>
  <c r="AB92"/>
  <c r="AC92" s="1"/>
  <c r="Y93"/>
  <c r="Z94"/>
  <c r="AA94" s="1"/>
  <c r="X96"/>
  <c r="AB96"/>
  <c r="AC96" s="1"/>
  <c r="Y97"/>
  <c r="Z98"/>
  <c r="AA98" s="1"/>
  <c r="X100"/>
  <c r="AB100"/>
  <c r="AC100" s="1"/>
  <c r="Y101"/>
  <c r="Z102"/>
  <c r="AA102" s="1"/>
  <c r="X104"/>
  <c r="AB104"/>
  <c r="AC104" s="1"/>
  <c r="Y105"/>
  <c r="Z106"/>
  <c r="AA106" s="1"/>
  <c r="X108"/>
  <c r="AB108"/>
  <c r="AC108" s="1"/>
  <c r="Y109"/>
  <c r="Z110"/>
  <c r="AA110" s="1"/>
  <c r="X112"/>
  <c r="AB112"/>
  <c r="AC112" s="1"/>
  <c r="Y113"/>
  <c r="Z114"/>
  <c r="AA114" s="1"/>
  <c r="X116"/>
  <c r="AB116"/>
  <c r="AC116" s="1"/>
  <c r="Y117"/>
  <c r="Z118"/>
  <c r="AA118" s="1"/>
  <c r="X120"/>
  <c r="AB120"/>
  <c r="AC120" s="1"/>
  <c r="Y121"/>
  <c r="Z122"/>
  <c r="AA122" s="1"/>
  <c r="X124"/>
  <c r="AB124"/>
  <c r="AC124" s="1"/>
  <c r="Y125"/>
  <c r="Z126"/>
  <c r="AA126" s="1"/>
  <c r="X128"/>
  <c r="AB128"/>
  <c r="AC128" s="1"/>
  <c r="Y129"/>
  <c r="Z130"/>
  <c r="AA130" s="1"/>
  <c r="X132"/>
  <c r="AB132"/>
  <c r="AC132" s="1"/>
  <c r="Y133"/>
  <c r="Z134"/>
  <c r="AA134" s="1"/>
  <c r="X136"/>
  <c r="AB136"/>
  <c r="AC136" s="1"/>
  <c r="Y137"/>
  <c r="Z138"/>
  <c r="AA138" s="1"/>
  <c r="X140"/>
  <c r="AB140"/>
  <c r="AC140" s="1"/>
  <c r="Y141"/>
  <c r="Z142"/>
  <c r="AA142" s="1"/>
  <c r="X144"/>
  <c r="AB144"/>
  <c r="AC144" s="1"/>
  <c r="Y145"/>
  <c r="Z149"/>
  <c r="AA149" s="1"/>
  <c r="X151"/>
  <c r="AB151"/>
  <c r="AC151" s="1"/>
  <c r="Y152"/>
  <c r="Z153"/>
  <c r="AA153" s="1"/>
  <c r="X155"/>
  <c r="AB155"/>
  <c r="AC155" s="1"/>
  <c r="Y156"/>
  <c r="Z157"/>
  <c r="AA157" s="1"/>
  <c r="X159"/>
  <c r="AB159"/>
  <c r="AC159" s="1"/>
  <c r="Y160"/>
  <c r="Z161"/>
  <c r="AA161" s="1"/>
  <c r="X163"/>
  <c r="AB163"/>
  <c r="AC163" s="1"/>
  <c r="Y164"/>
  <c r="Z165"/>
  <c r="AA165" s="1"/>
  <c r="X167"/>
  <c r="AB167"/>
  <c r="AC167" s="1"/>
  <c r="Y168"/>
  <c r="Z169"/>
  <c r="AA169" s="1"/>
  <c r="X171"/>
  <c r="AB171"/>
  <c r="AC171" s="1"/>
  <c r="Y172"/>
  <c r="Z173"/>
  <c r="AA173" s="1"/>
  <c r="X175"/>
  <c r="AB175"/>
  <c r="AC175" s="1"/>
  <c r="Y176"/>
  <c r="Z177"/>
  <c r="AA177" s="1"/>
  <c r="X179"/>
  <c r="AB179"/>
  <c r="AC179" s="1"/>
  <c r="Z199"/>
  <c r="X201"/>
  <c r="AB201"/>
  <c r="AC201" s="1"/>
  <c r="Z203"/>
  <c r="X205"/>
  <c r="AB205"/>
  <c r="AC205" s="1"/>
  <c r="Z207"/>
  <c r="X209"/>
  <c r="AB209"/>
  <c r="AC209" s="1"/>
  <c r="Z211"/>
  <c r="AA211" s="1"/>
  <c r="X213"/>
  <c r="AB213"/>
  <c r="AC213" s="1"/>
  <c r="Z215"/>
  <c r="X217"/>
  <c r="AB217"/>
  <c r="AC217" s="1"/>
  <c r="Z219"/>
  <c r="X221"/>
  <c r="AB221"/>
  <c r="AC221" s="1"/>
  <c r="Z223"/>
  <c r="X225"/>
  <c r="AB225"/>
  <c r="AC225" s="1"/>
  <c r="Z230"/>
  <c r="AA230" s="1"/>
  <c r="X232"/>
  <c r="AB232"/>
  <c r="AC232" s="1"/>
  <c r="Z234"/>
  <c r="X236"/>
  <c r="AB236"/>
  <c r="AC236" s="1"/>
  <c r="Z238"/>
  <c r="X240"/>
  <c r="AB240"/>
  <c r="AC240" s="1"/>
  <c r="Z242"/>
  <c r="X244"/>
  <c r="AB244"/>
  <c r="AC244" s="1"/>
  <c r="Z246"/>
  <c r="AA246" s="1"/>
  <c r="X248"/>
  <c r="AB248"/>
  <c r="AC248" s="1"/>
  <c r="Z250"/>
  <c r="X255"/>
  <c r="AB255"/>
  <c r="AC255" s="1"/>
  <c r="Z257"/>
  <c r="X259"/>
  <c r="AB259"/>
  <c r="AC259" s="1"/>
  <c r="Z261"/>
  <c r="X263"/>
  <c r="AB263"/>
  <c r="AC263" s="1"/>
  <c r="Z265"/>
  <c r="AA265" s="1"/>
  <c r="X267"/>
  <c r="AB267"/>
  <c r="AC267" s="1"/>
  <c r="Z269"/>
  <c r="X271"/>
  <c r="AB271"/>
  <c r="AC271" s="1"/>
  <c r="Z273"/>
  <c r="X275"/>
  <c r="AB275"/>
  <c r="AC275" s="1"/>
  <c r="Z277"/>
  <c r="X279"/>
  <c r="AB279"/>
  <c r="AC279" s="1"/>
  <c r="Z281"/>
  <c r="AA281" s="1"/>
  <c r="X283"/>
  <c r="AB283"/>
  <c r="AC283" s="1"/>
  <c r="Z285"/>
  <c r="X302"/>
  <c r="AB302"/>
  <c r="AC302" s="1"/>
  <c r="Z304"/>
  <c r="X306"/>
  <c r="AB306"/>
  <c r="AC306" s="1"/>
  <c r="Z308"/>
  <c r="X310"/>
  <c r="AB310"/>
  <c r="AC310" s="1"/>
  <c r="Z312"/>
  <c r="AA312" s="1"/>
  <c r="X314"/>
  <c r="AB314"/>
  <c r="AC314" s="1"/>
  <c r="Z316"/>
  <c r="X318"/>
  <c r="AB318"/>
  <c r="AC318" s="1"/>
  <c r="Z320"/>
  <c r="X322"/>
  <c r="AB322"/>
  <c r="AC322" s="1"/>
  <c r="Z324"/>
  <c r="X326"/>
  <c r="AB326"/>
  <c r="AC326" s="1"/>
  <c r="Z328"/>
  <c r="AA328" s="1"/>
  <c r="X330"/>
  <c r="AB330"/>
  <c r="AC330" s="1"/>
  <c r="Z332"/>
  <c r="X334"/>
  <c r="AB334"/>
  <c r="AC334" s="1"/>
  <c r="Z336"/>
  <c r="X338"/>
  <c r="AB338"/>
  <c r="AC338" s="1"/>
  <c r="Z340"/>
  <c r="X342"/>
  <c r="AB342"/>
  <c r="AC342" s="1"/>
  <c r="Z344"/>
  <c r="AA344" s="1"/>
  <c r="X346"/>
  <c r="AB346"/>
  <c r="AC346" s="1"/>
  <c r="Z348"/>
  <c r="AA348" s="1"/>
  <c r="Z358"/>
  <c r="AA358" s="1"/>
  <c r="Z362"/>
  <c r="AA362" s="1"/>
  <c r="Z366"/>
  <c r="AA366" s="1"/>
  <c r="Z370"/>
  <c r="AA370" s="1"/>
  <c r="Z374"/>
  <c r="AA374" s="1"/>
  <c r="Z378"/>
  <c r="AA378" s="1"/>
  <c r="Z382"/>
  <c r="AA382" s="1"/>
  <c r="Z386"/>
  <c r="AA386" s="1"/>
  <c r="Z390"/>
  <c r="AA390" s="1"/>
  <c r="Z394"/>
  <c r="AA394" s="1"/>
  <c r="Z398"/>
  <c r="AA398" s="1"/>
  <c r="Z402"/>
  <c r="AA402" s="1"/>
  <c r="Z406"/>
  <c r="AA406" s="1"/>
  <c r="Z410"/>
  <c r="AA410" s="1"/>
  <c r="Z414"/>
  <c r="AA414" s="1"/>
  <c r="Z418"/>
  <c r="AA418" s="1"/>
  <c r="Z422"/>
  <c r="AA422" s="1"/>
  <c r="Z426"/>
  <c r="AA426" s="1"/>
  <c r="Z430"/>
  <c r="AA430" s="1"/>
  <c r="Z434"/>
  <c r="AA434" s="1"/>
  <c r="Z441"/>
  <c r="AA441" s="1"/>
  <c r="Z445"/>
  <c r="Z449"/>
  <c r="Z453"/>
  <c r="Z457"/>
  <c r="AA457" s="1"/>
  <c r="Z461"/>
  <c r="Z465"/>
  <c r="Z469"/>
  <c r="Z473"/>
  <c r="AA473" s="1"/>
  <c r="Z477"/>
  <c r="Z484"/>
  <c r="Z491"/>
  <c r="S505"/>
  <c r="T505" s="1"/>
  <c r="AD505" s="1"/>
  <c r="AA505"/>
  <c r="X506"/>
  <c r="AB506"/>
  <c r="AC506" s="1"/>
  <c r="Y507"/>
  <c r="AD502" s="1"/>
  <c r="X525"/>
  <c r="AB525"/>
  <c r="AC525" s="1"/>
  <c r="Y526"/>
  <c r="AD522" s="1"/>
  <c r="Z527"/>
  <c r="AA527" s="1"/>
  <c r="AD527" s="1"/>
  <c r="Y548"/>
  <c r="Z549"/>
  <c r="AA549" s="1"/>
  <c r="Y552"/>
  <c r="Z553"/>
  <c r="AA553" s="1"/>
  <c r="Y556"/>
  <c r="Z557"/>
  <c r="AA557" s="1"/>
  <c r="Y563"/>
  <c r="Z564"/>
  <c r="AA564" s="1"/>
  <c r="AD564" s="1"/>
  <c r="Y567"/>
  <c r="Z568"/>
  <c r="AA568" s="1"/>
  <c r="Y571"/>
  <c r="Z572"/>
  <c r="AA572" s="1"/>
  <c r="Y575"/>
  <c r="Z576"/>
  <c r="AA576" s="1"/>
  <c r="Y579"/>
  <c r="Z580"/>
  <c r="AA580" s="1"/>
  <c r="Y583"/>
  <c r="Z584"/>
  <c r="AA584" s="1"/>
  <c r="Y587"/>
  <c r="Z588"/>
  <c r="AA588" s="1"/>
  <c r="Y591"/>
  <c r="Z592"/>
  <c r="AA592" s="1"/>
  <c r="Y595"/>
  <c r="Z596"/>
  <c r="AA596" s="1"/>
  <c r="Y599"/>
  <c r="Z600"/>
  <c r="AA600" s="1"/>
  <c r="Y603"/>
  <c r="Z604"/>
  <c r="AA604" s="1"/>
  <c r="Y607"/>
  <c r="Z608"/>
  <c r="AA608" s="1"/>
  <c r="Y611"/>
  <c r="Z612"/>
  <c r="AA612" s="1"/>
  <c r="Y615"/>
  <c r="Z616"/>
  <c r="AA616" s="1"/>
  <c r="Y619"/>
  <c r="Z620"/>
  <c r="AA620" s="1"/>
  <c r="Y623"/>
  <c r="Z624"/>
  <c r="AA624" s="1"/>
  <c r="Y627"/>
  <c r="Z628"/>
  <c r="AA628" s="1"/>
  <c r="Y631"/>
  <c r="Z632"/>
  <c r="AA632" s="1"/>
  <c r="Y635"/>
  <c r="Z636"/>
  <c r="AA636" s="1"/>
  <c r="Y639"/>
  <c r="Z640"/>
  <c r="AA640" s="1"/>
  <c r="Y643"/>
  <c r="Z644"/>
  <c r="AA644" s="1"/>
  <c r="Y647"/>
  <c r="Z648"/>
  <c r="AA648" s="1"/>
  <c r="Y651"/>
  <c r="Z652"/>
  <c r="AA652" s="1"/>
  <c r="Y655"/>
  <c r="Z656"/>
  <c r="AA656" s="1"/>
  <c r="Y659"/>
  <c r="Z660"/>
  <c r="AA660" s="1"/>
  <c r="Y663"/>
  <c r="Z664"/>
  <c r="AA664" s="1"/>
  <c r="Y667"/>
  <c r="Z668"/>
  <c r="AA668" s="1"/>
  <c r="Y671"/>
  <c r="Z672"/>
  <c r="AA672" s="1"/>
  <c r="Y675"/>
  <c r="Z676"/>
  <c r="AA676" s="1"/>
  <c r="Y679"/>
  <c r="Z680"/>
  <c r="AA680" s="1"/>
  <c r="Y683"/>
  <c r="Z684"/>
  <c r="AA684" s="1"/>
  <c r="Y687"/>
  <c r="Z688"/>
  <c r="AA688" s="1"/>
  <c r="Y691"/>
  <c r="Z692"/>
  <c r="AA692" s="1"/>
  <c r="U694"/>
  <c r="V694" s="1"/>
  <c r="Y695"/>
  <c r="U696"/>
  <c r="V696" s="1"/>
  <c r="Y699"/>
  <c r="U700"/>
  <c r="Y703"/>
  <c r="U704"/>
  <c r="V704" s="1"/>
  <c r="Y707"/>
  <c r="U708"/>
  <c r="V708" s="1"/>
  <c r="V712"/>
  <c r="T713"/>
  <c r="AD713" s="1"/>
  <c r="V716"/>
  <c r="T717"/>
  <c r="AD717" s="1"/>
  <c r="T721"/>
  <c r="AD721" s="1"/>
  <c r="T725"/>
  <c r="V728"/>
  <c r="T729"/>
  <c r="AD729" s="1"/>
  <c r="T733"/>
  <c r="T737"/>
  <c r="T741"/>
  <c r="AD741" s="1"/>
  <c r="T745"/>
  <c r="AD745" s="1"/>
  <c r="AA754"/>
  <c r="AA770"/>
  <c r="AD913"/>
  <c r="AA1202"/>
  <c r="AD1290"/>
  <c r="AD1306"/>
  <c r="AA1386"/>
  <c r="Y748"/>
  <c r="AB748"/>
  <c r="AC748" s="1"/>
  <c r="X748"/>
  <c r="Y752"/>
  <c r="AB752"/>
  <c r="AC752" s="1"/>
  <c r="X752"/>
  <c r="Y756"/>
  <c r="AB756"/>
  <c r="AC756" s="1"/>
  <c r="X756"/>
  <c r="Y760"/>
  <c r="AB760"/>
  <c r="AC760" s="1"/>
  <c r="X760"/>
  <c r="Y764"/>
  <c r="AB764"/>
  <c r="AC764" s="1"/>
  <c r="X764"/>
  <c r="Y768"/>
  <c r="AB768"/>
  <c r="AC768" s="1"/>
  <c r="X768"/>
  <c r="Y772"/>
  <c r="AB772"/>
  <c r="AC772" s="1"/>
  <c r="X772"/>
  <c r="S9"/>
  <c r="T9" s="1"/>
  <c r="AA9"/>
  <c r="X10"/>
  <c r="AB10"/>
  <c r="AC10" s="1"/>
  <c r="S13"/>
  <c r="T13" s="1"/>
  <c r="AA13"/>
  <c r="X14"/>
  <c r="AB14"/>
  <c r="AC14" s="1"/>
  <c r="S17"/>
  <c r="T17" s="1"/>
  <c r="AA17"/>
  <c r="X24"/>
  <c r="AB24"/>
  <c r="AC24" s="1"/>
  <c r="S27"/>
  <c r="T27" s="1"/>
  <c r="AA27"/>
  <c r="X28"/>
  <c r="AB28"/>
  <c r="AC28" s="1"/>
  <c r="S31"/>
  <c r="T31" s="1"/>
  <c r="AA31"/>
  <c r="X32"/>
  <c r="AB32"/>
  <c r="AC32" s="1"/>
  <c r="S35"/>
  <c r="T35" s="1"/>
  <c r="AA35"/>
  <c r="X36"/>
  <c r="AB36"/>
  <c r="AC36" s="1"/>
  <c r="S39"/>
  <c r="T39" s="1"/>
  <c r="AA39"/>
  <c r="X40"/>
  <c r="AB40"/>
  <c r="AC40" s="1"/>
  <c r="S43"/>
  <c r="T43" s="1"/>
  <c r="AA43"/>
  <c r="X44"/>
  <c r="AB44"/>
  <c r="AC44" s="1"/>
  <c r="S47"/>
  <c r="T47" s="1"/>
  <c r="AA47"/>
  <c r="X57"/>
  <c r="AD57" s="1"/>
  <c r="O58"/>
  <c r="U58" s="1"/>
  <c r="V58" s="1"/>
  <c r="AD58" s="1"/>
  <c r="S60"/>
  <c r="T60" s="1"/>
  <c r="AA60"/>
  <c r="X61"/>
  <c r="O62"/>
  <c r="U62" s="1"/>
  <c r="V62" s="1"/>
  <c r="AD62" s="1"/>
  <c r="S64"/>
  <c r="T64" s="1"/>
  <c r="AA64"/>
  <c r="X65"/>
  <c r="AD65" s="1"/>
  <c r="O66"/>
  <c r="U66" s="1"/>
  <c r="V66" s="1"/>
  <c r="S68"/>
  <c r="T68" s="1"/>
  <c r="AA68"/>
  <c r="X69"/>
  <c r="O70"/>
  <c r="U70" s="1"/>
  <c r="V70" s="1"/>
  <c r="AD70" s="1"/>
  <c r="S72"/>
  <c r="T72" s="1"/>
  <c r="AA72"/>
  <c r="X73"/>
  <c r="AD73" s="1"/>
  <c r="O74"/>
  <c r="U74" s="1"/>
  <c r="V74" s="1"/>
  <c r="AD74" s="1"/>
  <c r="S76"/>
  <c r="T76" s="1"/>
  <c r="AA76"/>
  <c r="X77"/>
  <c r="O78"/>
  <c r="U78" s="1"/>
  <c r="V78" s="1"/>
  <c r="AD78" s="1"/>
  <c r="S80"/>
  <c r="T80" s="1"/>
  <c r="AA80"/>
  <c r="X81"/>
  <c r="AD81" s="1"/>
  <c r="O82"/>
  <c r="U82" s="1"/>
  <c r="V82" s="1"/>
  <c r="S84"/>
  <c r="T84" s="1"/>
  <c r="AA84"/>
  <c r="X85"/>
  <c r="O86"/>
  <c r="U86" s="1"/>
  <c r="V86" s="1"/>
  <c r="AD86" s="1"/>
  <c r="S88"/>
  <c r="T88" s="1"/>
  <c r="AA88"/>
  <c r="X89"/>
  <c r="AD89" s="1"/>
  <c r="O90"/>
  <c r="U90" s="1"/>
  <c r="V90" s="1"/>
  <c r="AD90" s="1"/>
  <c r="S92"/>
  <c r="T92" s="1"/>
  <c r="AA92"/>
  <c r="X93"/>
  <c r="O94"/>
  <c r="U94" s="1"/>
  <c r="V94" s="1"/>
  <c r="AD94" s="1"/>
  <c r="S96"/>
  <c r="T96" s="1"/>
  <c r="AA96"/>
  <c r="X97"/>
  <c r="AD97" s="1"/>
  <c r="O98"/>
  <c r="U98" s="1"/>
  <c r="V98" s="1"/>
  <c r="S100"/>
  <c r="T100" s="1"/>
  <c r="AA100"/>
  <c r="X101"/>
  <c r="O102"/>
  <c r="U102" s="1"/>
  <c r="V102" s="1"/>
  <c r="AD102" s="1"/>
  <c r="S104"/>
  <c r="T104" s="1"/>
  <c r="AA104"/>
  <c r="X105"/>
  <c r="AD105" s="1"/>
  <c r="O106"/>
  <c r="U106" s="1"/>
  <c r="V106" s="1"/>
  <c r="AD106" s="1"/>
  <c r="S108"/>
  <c r="T108" s="1"/>
  <c r="AA108"/>
  <c r="X109"/>
  <c r="O110"/>
  <c r="U110" s="1"/>
  <c r="V110" s="1"/>
  <c r="AD110" s="1"/>
  <c r="S112"/>
  <c r="T112" s="1"/>
  <c r="AA112"/>
  <c r="X113"/>
  <c r="AD113" s="1"/>
  <c r="O114"/>
  <c r="U114" s="1"/>
  <c r="V114" s="1"/>
  <c r="S116"/>
  <c r="T116" s="1"/>
  <c r="AA116"/>
  <c r="X117"/>
  <c r="O118"/>
  <c r="U118" s="1"/>
  <c r="V118" s="1"/>
  <c r="AD118" s="1"/>
  <c r="S120"/>
  <c r="T120" s="1"/>
  <c r="AA120"/>
  <c r="X121"/>
  <c r="AD121" s="1"/>
  <c r="O122"/>
  <c r="U122" s="1"/>
  <c r="V122" s="1"/>
  <c r="AD122" s="1"/>
  <c r="S124"/>
  <c r="T124" s="1"/>
  <c r="AA124"/>
  <c r="X125"/>
  <c r="AD125" s="1"/>
  <c r="O126"/>
  <c r="U126" s="1"/>
  <c r="V126" s="1"/>
  <c r="AD126" s="1"/>
  <c r="S128"/>
  <c r="T128" s="1"/>
  <c r="AA128"/>
  <c r="X129"/>
  <c r="O130"/>
  <c r="U130" s="1"/>
  <c r="V130" s="1"/>
  <c r="S132"/>
  <c r="T132" s="1"/>
  <c r="AA132"/>
  <c r="X133"/>
  <c r="AD133" s="1"/>
  <c r="O134"/>
  <c r="U134" s="1"/>
  <c r="V134" s="1"/>
  <c r="AD134" s="1"/>
  <c r="S136"/>
  <c r="T136" s="1"/>
  <c r="AA136"/>
  <c r="X137"/>
  <c r="AD137" s="1"/>
  <c r="O138"/>
  <c r="U138" s="1"/>
  <c r="V138" s="1"/>
  <c r="AD138" s="1"/>
  <c r="S140"/>
  <c r="T140" s="1"/>
  <c r="AA140"/>
  <c r="X141"/>
  <c r="AD141" s="1"/>
  <c r="O142"/>
  <c r="U142" s="1"/>
  <c r="V142" s="1"/>
  <c r="AD142" s="1"/>
  <c r="V143"/>
  <c r="AD143" s="1"/>
  <c r="S144"/>
  <c r="T144" s="1"/>
  <c r="AD144" s="1"/>
  <c r="AA144"/>
  <c r="X145"/>
  <c r="AD145" s="1"/>
  <c r="O149"/>
  <c r="U149" s="1"/>
  <c r="V149" s="1"/>
  <c r="AD149" s="1"/>
  <c r="S151"/>
  <c r="T151" s="1"/>
  <c r="AD151" s="1"/>
  <c r="AA151"/>
  <c r="X152"/>
  <c r="AD152" s="1"/>
  <c r="O153"/>
  <c r="U153" s="1"/>
  <c r="V153" s="1"/>
  <c r="AD153" s="1"/>
  <c r="S155"/>
  <c r="T155" s="1"/>
  <c r="AD155" s="1"/>
  <c r="AA155"/>
  <c r="X156"/>
  <c r="AD156" s="1"/>
  <c r="O157"/>
  <c r="U157" s="1"/>
  <c r="V157" s="1"/>
  <c r="S159"/>
  <c r="T159" s="1"/>
  <c r="AD159" s="1"/>
  <c r="AA159"/>
  <c r="X160"/>
  <c r="AD160" s="1"/>
  <c r="O161"/>
  <c r="U161" s="1"/>
  <c r="V161" s="1"/>
  <c r="AD161" s="1"/>
  <c r="S163"/>
  <c r="T163" s="1"/>
  <c r="AD163" s="1"/>
  <c r="AA163"/>
  <c r="X164"/>
  <c r="AD164" s="1"/>
  <c r="O165"/>
  <c r="U165" s="1"/>
  <c r="V165" s="1"/>
  <c r="AD165" s="1"/>
  <c r="S167"/>
  <c r="T167" s="1"/>
  <c r="AD167" s="1"/>
  <c r="AA167"/>
  <c r="X168"/>
  <c r="AD168" s="1"/>
  <c r="O169"/>
  <c r="U169" s="1"/>
  <c r="V169" s="1"/>
  <c r="AD169" s="1"/>
  <c r="S171"/>
  <c r="T171" s="1"/>
  <c r="AD171" s="1"/>
  <c r="AA171"/>
  <c r="X172"/>
  <c r="AD172" s="1"/>
  <c r="O173"/>
  <c r="U173" s="1"/>
  <c r="V173" s="1"/>
  <c r="S175"/>
  <c r="T175" s="1"/>
  <c r="AD175" s="1"/>
  <c r="AA175"/>
  <c r="X176"/>
  <c r="AD176" s="1"/>
  <c r="O177"/>
  <c r="U177" s="1"/>
  <c r="V177" s="1"/>
  <c r="AD177" s="1"/>
  <c r="S179"/>
  <c r="T179" s="1"/>
  <c r="AD179" s="1"/>
  <c r="AA179"/>
  <c r="X198"/>
  <c r="AD198" s="1"/>
  <c r="S201"/>
  <c r="T201" s="1"/>
  <c r="AA201"/>
  <c r="X202"/>
  <c r="S205"/>
  <c r="T205" s="1"/>
  <c r="AA205"/>
  <c r="X206"/>
  <c r="AD206" s="1"/>
  <c r="S209"/>
  <c r="T209" s="1"/>
  <c r="AD209" s="1"/>
  <c r="AA209"/>
  <c r="X210"/>
  <c r="AD210" s="1"/>
  <c r="S213"/>
  <c r="T213" s="1"/>
  <c r="AD213" s="1"/>
  <c r="AA213"/>
  <c r="X214"/>
  <c r="S217"/>
  <c r="T217" s="1"/>
  <c r="AA217"/>
  <c r="X218"/>
  <c r="AD218" s="1"/>
  <c r="S221"/>
  <c r="T221" s="1"/>
  <c r="AA221"/>
  <c r="X222"/>
  <c r="AD222" s="1"/>
  <c r="S225"/>
  <c r="T225" s="1"/>
  <c r="AD225" s="1"/>
  <c r="AA225"/>
  <c r="X226"/>
  <c r="AD226" s="1"/>
  <c r="S232"/>
  <c r="T232" s="1"/>
  <c r="AD232" s="1"/>
  <c r="AA232"/>
  <c r="X233"/>
  <c r="AD233" s="1"/>
  <c r="V235"/>
  <c r="AD235" s="1"/>
  <c r="S236"/>
  <c r="T236" s="1"/>
  <c r="AD236" s="1"/>
  <c r="AA236"/>
  <c r="X237"/>
  <c r="AD237" s="1"/>
  <c r="S240"/>
  <c r="T240" s="1"/>
  <c r="AA240"/>
  <c r="X241"/>
  <c r="AD241" s="1"/>
  <c r="S244"/>
  <c r="T244" s="1"/>
  <c r="AD244" s="1"/>
  <c r="AA244"/>
  <c r="X245"/>
  <c r="AD245" s="1"/>
  <c r="S248"/>
  <c r="T248" s="1"/>
  <c r="AD248" s="1"/>
  <c r="AA248"/>
  <c r="X249"/>
  <c r="AD249" s="1"/>
  <c r="S255"/>
  <c r="T255" s="1"/>
  <c r="AD255" s="1"/>
  <c r="AA255"/>
  <c r="X256"/>
  <c r="AD256" s="1"/>
  <c r="S259"/>
  <c r="T259" s="1"/>
  <c r="AA259"/>
  <c r="X260"/>
  <c r="AD260" s="1"/>
  <c r="S263"/>
  <c r="T263" s="1"/>
  <c r="AD263" s="1"/>
  <c r="AA263"/>
  <c r="X264"/>
  <c r="AD264" s="1"/>
  <c r="S267"/>
  <c r="T267" s="1"/>
  <c r="AD267" s="1"/>
  <c r="AA267"/>
  <c r="X268"/>
  <c r="S271"/>
  <c r="T271" s="1"/>
  <c r="AD271" s="1"/>
  <c r="AA271"/>
  <c r="X272"/>
  <c r="AD272" s="1"/>
  <c r="S275"/>
  <c r="T275" s="1"/>
  <c r="AA275"/>
  <c r="X276"/>
  <c r="AD276" s="1"/>
  <c r="S279"/>
  <c r="T279" s="1"/>
  <c r="AD279" s="1"/>
  <c r="AA279"/>
  <c r="X280"/>
  <c r="AD280" s="1"/>
  <c r="S283"/>
  <c r="T283" s="1"/>
  <c r="AD283" s="1"/>
  <c r="AA283"/>
  <c r="X284"/>
  <c r="AD284" s="1"/>
  <c r="S302"/>
  <c r="T302" s="1"/>
  <c r="AD302" s="1"/>
  <c r="AA302"/>
  <c r="X303"/>
  <c r="AD303" s="1"/>
  <c r="S306"/>
  <c r="T306" s="1"/>
  <c r="AA306"/>
  <c r="X307"/>
  <c r="AD307" s="1"/>
  <c r="S310"/>
  <c r="T310" s="1"/>
  <c r="AD310" s="1"/>
  <c r="AA310"/>
  <c r="X311"/>
  <c r="AD311" s="1"/>
  <c r="S314"/>
  <c r="T314" s="1"/>
  <c r="AD314" s="1"/>
  <c r="AA314"/>
  <c r="X315"/>
  <c r="AD315" s="1"/>
  <c r="S318"/>
  <c r="T318" s="1"/>
  <c r="AD318" s="1"/>
  <c r="AA318"/>
  <c r="X319"/>
  <c r="AD319" s="1"/>
  <c r="S322"/>
  <c r="T322" s="1"/>
  <c r="AA322"/>
  <c r="X323"/>
  <c r="AD323" s="1"/>
  <c r="S326"/>
  <c r="T326" s="1"/>
  <c r="AD326" s="1"/>
  <c r="AA326"/>
  <c r="X327"/>
  <c r="AD327" s="1"/>
  <c r="S330"/>
  <c r="T330" s="1"/>
  <c r="AD330" s="1"/>
  <c r="AA330"/>
  <c r="X331"/>
  <c r="AD331" s="1"/>
  <c r="S334"/>
  <c r="T334" s="1"/>
  <c r="AD334" s="1"/>
  <c r="AA334"/>
  <c r="X335"/>
  <c r="AD335" s="1"/>
  <c r="S338"/>
  <c r="T338" s="1"/>
  <c r="AA338"/>
  <c r="X339"/>
  <c r="AD339" s="1"/>
  <c r="S342"/>
  <c r="T342" s="1"/>
  <c r="AD342" s="1"/>
  <c r="AA342"/>
  <c r="X343"/>
  <c r="AD343" s="1"/>
  <c r="S346"/>
  <c r="T346" s="1"/>
  <c r="AD346" s="1"/>
  <c r="AA346"/>
  <c r="X347"/>
  <c r="S356"/>
  <c r="T356" s="1"/>
  <c r="AD356" s="1"/>
  <c r="AA356"/>
  <c r="X357"/>
  <c r="AB357"/>
  <c r="AC357" s="1"/>
  <c r="Y358"/>
  <c r="AD354" s="1"/>
  <c r="S360"/>
  <c r="T360" s="1"/>
  <c r="AD360" s="1"/>
  <c r="AA360"/>
  <c r="X361"/>
  <c r="AB361"/>
  <c r="AC361" s="1"/>
  <c r="Y362"/>
  <c r="S364"/>
  <c r="T364" s="1"/>
  <c r="AA364"/>
  <c r="X365"/>
  <c r="AB365"/>
  <c r="AC365" s="1"/>
  <c r="Y366"/>
  <c r="S368"/>
  <c r="T368" s="1"/>
  <c r="AA368"/>
  <c r="X369"/>
  <c r="AB369"/>
  <c r="AC369" s="1"/>
  <c r="Y370"/>
  <c r="S372"/>
  <c r="T372" s="1"/>
  <c r="AD372" s="1"/>
  <c r="AA372"/>
  <c r="X373"/>
  <c r="AB373"/>
  <c r="AC373" s="1"/>
  <c r="Y374"/>
  <c r="S376"/>
  <c r="T376" s="1"/>
  <c r="AD376" s="1"/>
  <c r="AA376"/>
  <c r="X377"/>
  <c r="AB377"/>
  <c r="AC377" s="1"/>
  <c r="Y378"/>
  <c r="S380"/>
  <c r="T380" s="1"/>
  <c r="AD380" s="1"/>
  <c r="AA380"/>
  <c r="X381"/>
  <c r="AB381"/>
  <c r="AC381" s="1"/>
  <c r="Y382"/>
  <c r="S384"/>
  <c r="T384" s="1"/>
  <c r="AA384"/>
  <c r="X385"/>
  <c r="AB385"/>
  <c r="AC385" s="1"/>
  <c r="Y386"/>
  <c r="S388"/>
  <c r="T388" s="1"/>
  <c r="AD388" s="1"/>
  <c r="AA388"/>
  <c r="X389"/>
  <c r="AB389"/>
  <c r="AC389" s="1"/>
  <c r="Y390"/>
  <c r="S392"/>
  <c r="T392" s="1"/>
  <c r="AD392" s="1"/>
  <c r="AA392"/>
  <c r="X393"/>
  <c r="AB393"/>
  <c r="AC393" s="1"/>
  <c r="Y394"/>
  <c r="S396"/>
  <c r="T396" s="1"/>
  <c r="AD396" s="1"/>
  <c r="AA396"/>
  <c r="X397"/>
  <c r="AB397"/>
  <c r="AC397" s="1"/>
  <c r="Y398"/>
  <c r="S400"/>
  <c r="T400" s="1"/>
  <c r="AA400"/>
  <c r="X401"/>
  <c r="AB401"/>
  <c r="AC401" s="1"/>
  <c r="Y402"/>
  <c r="S404"/>
  <c r="T404" s="1"/>
  <c r="AD404" s="1"/>
  <c r="AA404"/>
  <c r="X405"/>
  <c r="AB405"/>
  <c r="AC405" s="1"/>
  <c r="Y406"/>
  <c r="S408"/>
  <c r="T408" s="1"/>
  <c r="AD408" s="1"/>
  <c r="AA408"/>
  <c r="X409"/>
  <c r="AB409"/>
  <c r="AC409" s="1"/>
  <c r="Y410"/>
  <c r="S412"/>
  <c r="T412" s="1"/>
  <c r="AD412" s="1"/>
  <c r="AA412"/>
  <c r="X413"/>
  <c r="AB413"/>
  <c r="AC413" s="1"/>
  <c r="Y414"/>
  <c r="S416"/>
  <c r="T416" s="1"/>
  <c r="AA416"/>
  <c r="X417"/>
  <c r="AB417"/>
  <c r="AC417" s="1"/>
  <c r="Y418"/>
  <c r="S420"/>
  <c r="T420" s="1"/>
  <c r="AD420" s="1"/>
  <c r="AA420"/>
  <c r="X421"/>
  <c r="AB421"/>
  <c r="AC421" s="1"/>
  <c r="Y422"/>
  <c r="S424"/>
  <c r="T424" s="1"/>
  <c r="AD424" s="1"/>
  <c r="AA424"/>
  <c r="X425"/>
  <c r="AB425"/>
  <c r="AC425" s="1"/>
  <c r="Y426"/>
  <c r="S428"/>
  <c r="T428" s="1"/>
  <c r="AD428" s="1"/>
  <c r="AA428"/>
  <c r="X429"/>
  <c r="AB429"/>
  <c r="AC429" s="1"/>
  <c r="Y430"/>
  <c r="S432"/>
  <c r="T432" s="1"/>
  <c r="AA432"/>
  <c r="X433"/>
  <c r="AB433"/>
  <c r="AC433" s="1"/>
  <c r="Y434"/>
  <c r="S436"/>
  <c r="T436" s="1"/>
  <c r="AD436" s="1"/>
  <c r="AA436"/>
  <c r="X440"/>
  <c r="AB440"/>
  <c r="AC440" s="1"/>
  <c r="Y441"/>
  <c r="AD438" s="1"/>
  <c r="S443"/>
  <c r="T443" s="1"/>
  <c r="AD443" s="1"/>
  <c r="AA443"/>
  <c r="X444"/>
  <c r="AB444"/>
  <c r="AC444" s="1"/>
  <c r="Y445"/>
  <c r="S447"/>
  <c r="T447" s="1"/>
  <c r="AD447" s="1"/>
  <c r="AA447"/>
  <c r="X448"/>
  <c r="AB448"/>
  <c r="AC448" s="1"/>
  <c r="Y449"/>
  <c r="S451"/>
  <c r="T451" s="1"/>
  <c r="AA451"/>
  <c r="X452"/>
  <c r="AD452" s="1"/>
  <c r="Y453"/>
  <c r="V454"/>
  <c r="AD454" s="1"/>
  <c r="S455"/>
  <c r="T455" s="1"/>
  <c r="AD455" s="1"/>
  <c r="AA455"/>
  <c r="X456"/>
  <c r="Y457"/>
  <c r="S459"/>
  <c r="T459" s="1"/>
  <c r="AD459" s="1"/>
  <c r="AA459"/>
  <c r="X460"/>
  <c r="Y461"/>
  <c r="S463"/>
  <c r="T463" s="1"/>
  <c r="AD463" s="1"/>
  <c r="AA463"/>
  <c r="X464"/>
  <c r="AD464" s="1"/>
  <c r="Y465"/>
  <c r="S467"/>
  <c r="T467" s="1"/>
  <c r="AD467" s="1"/>
  <c r="AA467"/>
  <c r="X468"/>
  <c r="AD468" s="1"/>
  <c r="Y469"/>
  <c r="S471"/>
  <c r="T471" s="1"/>
  <c r="AD471" s="1"/>
  <c r="AA471"/>
  <c r="X472"/>
  <c r="AD472" s="1"/>
  <c r="Y473"/>
  <c r="S475"/>
  <c r="T475" s="1"/>
  <c r="AD475" s="1"/>
  <c r="AA475"/>
  <c r="X476"/>
  <c r="AD476" s="1"/>
  <c r="Y477"/>
  <c r="S482"/>
  <c r="T482" s="1"/>
  <c r="AA482"/>
  <c r="X483"/>
  <c r="AB483"/>
  <c r="AC483" s="1"/>
  <c r="Y484"/>
  <c r="AD480" s="1"/>
  <c r="S486"/>
  <c r="T486" s="1"/>
  <c r="AD486" s="1"/>
  <c r="AA486"/>
  <c r="X487"/>
  <c r="AB487"/>
  <c r="AC487" s="1"/>
  <c r="Y491"/>
  <c r="AD489" s="1"/>
  <c r="S493"/>
  <c r="T493" s="1"/>
  <c r="AD493" s="1"/>
  <c r="AA493"/>
  <c r="X494"/>
  <c r="AB494"/>
  <c r="AC494" s="1"/>
  <c r="S506"/>
  <c r="T506" s="1"/>
  <c r="AD506" s="1"/>
  <c r="AA506"/>
  <c r="X507"/>
  <c r="AB507"/>
  <c r="AC507" s="1"/>
  <c r="S525"/>
  <c r="T525" s="1"/>
  <c r="AD525" s="1"/>
  <c r="AA525"/>
  <c r="X526"/>
  <c r="AB526"/>
  <c r="AC526" s="1"/>
  <c r="S547"/>
  <c r="T547" s="1"/>
  <c r="AD547" s="1"/>
  <c r="AA547"/>
  <c r="X548"/>
  <c r="AB548"/>
  <c r="AC548" s="1"/>
  <c r="Y549"/>
  <c r="AD545" s="1"/>
  <c r="Z550"/>
  <c r="AA550" s="1"/>
  <c r="S551"/>
  <c r="T551" s="1"/>
  <c r="AD551" s="1"/>
  <c r="AA551"/>
  <c r="X552"/>
  <c r="AB552"/>
  <c r="AC552" s="1"/>
  <c r="Y553"/>
  <c r="Z554"/>
  <c r="AA554" s="1"/>
  <c r="S555"/>
  <c r="T555" s="1"/>
  <c r="AD555" s="1"/>
  <c r="AA555"/>
  <c r="X556"/>
  <c r="AB556"/>
  <c r="AC556" s="1"/>
  <c r="Y557"/>
  <c r="Z558"/>
  <c r="AA558" s="1"/>
  <c r="S559"/>
  <c r="T559" s="1"/>
  <c r="AD559" s="1"/>
  <c r="AA559"/>
  <c r="X563"/>
  <c r="AB563"/>
  <c r="AC563" s="1"/>
  <c r="Y564"/>
  <c r="Z565"/>
  <c r="AA565" s="1"/>
  <c r="S566"/>
  <c r="T566" s="1"/>
  <c r="AD566" s="1"/>
  <c r="AA566"/>
  <c r="X567"/>
  <c r="AB567"/>
  <c r="AC567" s="1"/>
  <c r="Y568"/>
  <c r="S570"/>
  <c r="T570" s="1"/>
  <c r="AA570"/>
  <c r="X571"/>
  <c r="AB571"/>
  <c r="AC571" s="1"/>
  <c r="Y572"/>
  <c r="Z573"/>
  <c r="AA573" s="1"/>
  <c r="S574"/>
  <c r="T574" s="1"/>
  <c r="AD574" s="1"/>
  <c r="AA574"/>
  <c r="X575"/>
  <c r="AB575"/>
  <c r="AC575" s="1"/>
  <c r="Y576"/>
  <c r="Z577"/>
  <c r="AA577" s="1"/>
  <c r="S578"/>
  <c r="T578" s="1"/>
  <c r="AA578"/>
  <c r="X579"/>
  <c r="AB579"/>
  <c r="AC579" s="1"/>
  <c r="Y580"/>
  <c r="S582"/>
  <c r="T582" s="1"/>
  <c r="AD582" s="1"/>
  <c r="AA582"/>
  <c r="X583"/>
  <c r="AB583"/>
  <c r="AC583" s="1"/>
  <c r="Y584"/>
  <c r="Z585"/>
  <c r="AA585" s="1"/>
  <c r="S586"/>
  <c r="T586" s="1"/>
  <c r="AD586" s="1"/>
  <c r="AA586"/>
  <c r="X587"/>
  <c r="AB587"/>
  <c r="AC587" s="1"/>
  <c r="Y588"/>
  <c r="Z589"/>
  <c r="AA589" s="1"/>
  <c r="S590"/>
  <c r="T590" s="1"/>
  <c r="AA590"/>
  <c r="X591"/>
  <c r="AB591"/>
  <c r="AC591" s="1"/>
  <c r="Y592"/>
  <c r="Z593"/>
  <c r="AA593" s="1"/>
  <c r="S594"/>
  <c r="T594" s="1"/>
  <c r="AD594" s="1"/>
  <c r="AA594"/>
  <c r="X595"/>
  <c r="AB595"/>
  <c r="AC595" s="1"/>
  <c r="Y596"/>
  <c r="Z597"/>
  <c r="AA597" s="1"/>
  <c r="S598"/>
  <c r="T598" s="1"/>
  <c r="AD598" s="1"/>
  <c r="AA598"/>
  <c r="X599"/>
  <c r="AB599"/>
  <c r="AC599" s="1"/>
  <c r="Y600"/>
  <c r="Z601"/>
  <c r="AA601" s="1"/>
  <c r="S602"/>
  <c r="T602" s="1"/>
  <c r="AD602" s="1"/>
  <c r="AA602"/>
  <c r="X603"/>
  <c r="AB603"/>
  <c r="AC603" s="1"/>
  <c r="Y604"/>
  <c r="Z605"/>
  <c r="AA605" s="1"/>
  <c r="S606"/>
  <c r="T606" s="1"/>
  <c r="AD606" s="1"/>
  <c r="AA606"/>
  <c r="X607"/>
  <c r="AB607"/>
  <c r="AC607" s="1"/>
  <c r="Y608"/>
  <c r="Z609"/>
  <c r="AA609" s="1"/>
  <c r="S610"/>
  <c r="T610" s="1"/>
  <c r="AD610" s="1"/>
  <c r="AA610"/>
  <c r="X611"/>
  <c r="AB611"/>
  <c r="AC611" s="1"/>
  <c r="Y612"/>
  <c r="Z613"/>
  <c r="AA613" s="1"/>
  <c r="S614"/>
  <c r="T614" s="1"/>
  <c r="AD614" s="1"/>
  <c r="AA614"/>
  <c r="X615"/>
  <c r="AB615"/>
  <c r="AC615" s="1"/>
  <c r="Y616"/>
  <c r="Z617"/>
  <c r="AA617" s="1"/>
  <c r="S618"/>
  <c r="T618" s="1"/>
  <c r="AD618" s="1"/>
  <c r="AA618"/>
  <c r="X619"/>
  <c r="AB619"/>
  <c r="AC619" s="1"/>
  <c r="Y620"/>
  <c r="Z621"/>
  <c r="AA621" s="1"/>
  <c r="S622"/>
  <c r="T622" s="1"/>
  <c r="AD622" s="1"/>
  <c r="AA622"/>
  <c r="X623"/>
  <c r="AB623"/>
  <c r="AC623" s="1"/>
  <c r="Y624"/>
  <c r="Z625"/>
  <c r="AA625" s="1"/>
  <c r="S626"/>
  <c r="T626" s="1"/>
  <c r="AD626" s="1"/>
  <c r="AA626"/>
  <c r="X627"/>
  <c r="AB627"/>
  <c r="AC627" s="1"/>
  <c r="Y628"/>
  <c r="Z629"/>
  <c r="AA629" s="1"/>
  <c r="S630"/>
  <c r="T630" s="1"/>
  <c r="AD630" s="1"/>
  <c r="AA630"/>
  <c r="X631"/>
  <c r="AB631"/>
  <c r="AC631" s="1"/>
  <c r="Y632"/>
  <c r="Z633"/>
  <c r="AA633" s="1"/>
  <c r="S634"/>
  <c r="T634" s="1"/>
  <c r="AD634" s="1"/>
  <c r="AA634"/>
  <c r="X635"/>
  <c r="AB635"/>
  <c r="AC635" s="1"/>
  <c r="Y636"/>
  <c r="Z637"/>
  <c r="AA637" s="1"/>
  <c r="S638"/>
  <c r="T638" s="1"/>
  <c r="AD638" s="1"/>
  <c r="AA638"/>
  <c r="X639"/>
  <c r="AB639"/>
  <c r="AC639" s="1"/>
  <c r="Y640"/>
  <c r="Z641"/>
  <c r="AA641" s="1"/>
  <c r="S642"/>
  <c r="T642" s="1"/>
  <c r="AD642" s="1"/>
  <c r="AA642"/>
  <c r="X643"/>
  <c r="AB643"/>
  <c r="AC643" s="1"/>
  <c r="Y644"/>
  <c r="Z645"/>
  <c r="AA645" s="1"/>
  <c r="S646"/>
  <c r="T646" s="1"/>
  <c r="AD646" s="1"/>
  <c r="AA646"/>
  <c r="X647"/>
  <c r="AB647"/>
  <c r="AC647" s="1"/>
  <c r="Y648"/>
  <c r="Z649"/>
  <c r="AA649" s="1"/>
  <c r="S650"/>
  <c r="T650" s="1"/>
  <c r="AD650" s="1"/>
  <c r="AA650"/>
  <c r="X651"/>
  <c r="AB651"/>
  <c r="AC651" s="1"/>
  <c r="Y652"/>
  <c r="Z653"/>
  <c r="AA653" s="1"/>
  <c r="S654"/>
  <c r="T654" s="1"/>
  <c r="AA654"/>
  <c r="X655"/>
  <c r="AB655"/>
  <c r="AC655" s="1"/>
  <c r="Y656"/>
  <c r="Z657"/>
  <c r="AA657" s="1"/>
  <c r="S658"/>
  <c r="T658" s="1"/>
  <c r="AD658" s="1"/>
  <c r="AA658"/>
  <c r="X659"/>
  <c r="AB659"/>
  <c r="AC659" s="1"/>
  <c r="Y660"/>
  <c r="Z661"/>
  <c r="AA661" s="1"/>
  <c r="S662"/>
  <c r="T662" s="1"/>
  <c r="AD662" s="1"/>
  <c r="AA662"/>
  <c r="X663"/>
  <c r="AB663"/>
  <c r="AC663" s="1"/>
  <c r="Y664"/>
  <c r="Z665"/>
  <c r="AA665" s="1"/>
  <c r="S666"/>
  <c r="T666" s="1"/>
  <c r="AA666"/>
  <c r="X667"/>
  <c r="AB667"/>
  <c r="AC667" s="1"/>
  <c r="Y668"/>
  <c r="Z669"/>
  <c r="AA669" s="1"/>
  <c r="S670"/>
  <c r="T670" s="1"/>
  <c r="AD670" s="1"/>
  <c r="AA670"/>
  <c r="X671"/>
  <c r="AB671"/>
  <c r="AC671" s="1"/>
  <c r="Y672"/>
  <c r="Z673"/>
  <c r="AA673" s="1"/>
  <c r="S674"/>
  <c r="T674" s="1"/>
  <c r="AD674" s="1"/>
  <c r="AA674"/>
  <c r="X675"/>
  <c r="AB675"/>
  <c r="AC675" s="1"/>
  <c r="Y676"/>
  <c r="Z677"/>
  <c r="AA677" s="1"/>
  <c r="S678"/>
  <c r="T678" s="1"/>
  <c r="AD678" s="1"/>
  <c r="AA678"/>
  <c r="X679"/>
  <c r="AB679"/>
  <c r="AC679" s="1"/>
  <c r="Y680"/>
  <c r="Z681"/>
  <c r="AA681" s="1"/>
  <c r="S682"/>
  <c r="T682" s="1"/>
  <c r="AD682" s="1"/>
  <c r="AA682"/>
  <c r="X683"/>
  <c r="AB683"/>
  <c r="AC683" s="1"/>
  <c r="Y684"/>
  <c r="S686"/>
  <c r="T686" s="1"/>
  <c r="AA686"/>
  <c r="X687"/>
  <c r="AB687"/>
  <c r="AC687" s="1"/>
  <c r="Y688"/>
  <c r="S690"/>
  <c r="T690" s="1"/>
  <c r="AD690" s="1"/>
  <c r="AA690"/>
  <c r="X691"/>
  <c r="AB691"/>
  <c r="AC691" s="1"/>
  <c r="Y692"/>
  <c r="V700"/>
  <c r="S712"/>
  <c r="T712" s="1"/>
  <c r="AA714"/>
  <c r="S716"/>
  <c r="T716" s="1"/>
  <c r="S720"/>
  <c r="T720" s="1"/>
  <c r="AA722"/>
  <c r="V723"/>
  <c r="S724"/>
  <c r="T724" s="1"/>
  <c r="S728"/>
  <c r="T728" s="1"/>
  <c r="S732"/>
  <c r="T732" s="1"/>
  <c r="V735"/>
  <c r="S736"/>
  <c r="T736" s="1"/>
  <c r="V739"/>
  <c r="S740"/>
  <c r="T740" s="1"/>
  <c r="S744"/>
  <c r="T744" s="1"/>
  <c r="Z748"/>
  <c r="AA748" s="1"/>
  <c r="Z752"/>
  <c r="AA752" s="1"/>
  <c r="Z756"/>
  <c r="AA756" s="1"/>
  <c r="Z760"/>
  <c r="AA760" s="1"/>
  <c r="Z764"/>
  <c r="AA764" s="1"/>
  <c r="Z768"/>
  <c r="AA768" s="1"/>
  <c r="Z772"/>
  <c r="AA772" s="1"/>
  <c r="AD781"/>
  <c r="AD841"/>
  <c r="AD861"/>
  <c r="AD877"/>
  <c r="AD897"/>
  <c r="AA950"/>
  <c r="AA986"/>
  <c r="AD994"/>
  <c r="AD998"/>
  <c r="AD1002"/>
  <c r="AD1006"/>
  <c r="AD1010"/>
  <c r="AD1014"/>
  <c r="AD1024"/>
  <c r="AA1046"/>
  <c r="AD1056"/>
  <c r="AA1078"/>
  <c r="AD1088"/>
  <c r="AD1101"/>
  <c r="AA1110"/>
  <c r="AD1120"/>
  <c r="AA1142"/>
  <c r="AD1152"/>
  <c r="AA1174"/>
  <c r="AA1234"/>
  <c r="AA1262"/>
  <c r="AD1294"/>
  <c r="AD1310"/>
  <c r="AD1355"/>
  <c r="Y712"/>
  <c r="AB712"/>
  <c r="AC712" s="1"/>
  <c r="X712"/>
  <c r="Y716"/>
  <c r="AB716"/>
  <c r="AC716" s="1"/>
  <c r="X716"/>
  <c r="Y720"/>
  <c r="AB720"/>
  <c r="AC720" s="1"/>
  <c r="X720"/>
  <c r="Y724"/>
  <c r="AB724"/>
  <c r="AC724" s="1"/>
  <c r="X724"/>
  <c r="Y728"/>
  <c r="AB728"/>
  <c r="AC728" s="1"/>
  <c r="X728"/>
  <c r="Y732"/>
  <c r="AB732"/>
  <c r="AC732" s="1"/>
  <c r="X732"/>
  <c r="Y736"/>
  <c r="AB736"/>
  <c r="AC736" s="1"/>
  <c r="X736"/>
  <c r="Y740"/>
  <c r="AB740"/>
  <c r="AC740" s="1"/>
  <c r="X740"/>
  <c r="Y744"/>
  <c r="AB744"/>
  <c r="AC744" s="1"/>
  <c r="X744"/>
  <c r="AB747"/>
  <c r="AC747" s="1"/>
  <c r="X747"/>
  <c r="AA747"/>
  <c r="S747"/>
  <c r="T747" s="1"/>
  <c r="AB751"/>
  <c r="AC751" s="1"/>
  <c r="X751"/>
  <c r="AA751"/>
  <c r="S751"/>
  <c r="T751" s="1"/>
  <c r="AB755"/>
  <c r="AC755" s="1"/>
  <c r="X755"/>
  <c r="AA755"/>
  <c r="S755"/>
  <c r="T755" s="1"/>
  <c r="AB759"/>
  <c r="AC759" s="1"/>
  <c r="X759"/>
  <c r="AA759"/>
  <c r="S759"/>
  <c r="T759" s="1"/>
  <c r="AB763"/>
  <c r="AC763" s="1"/>
  <c r="X763"/>
  <c r="AA763"/>
  <c r="S763"/>
  <c r="T763" s="1"/>
  <c r="AB767"/>
  <c r="AC767" s="1"/>
  <c r="X767"/>
  <c r="AA767"/>
  <c r="S767"/>
  <c r="T767" s="1"/>
  <c r="AB771"/>
  <c r="AC771" s="1"/>
  <c r="X771"/>
  <c r="AA771"/>
  <c r="S771"/>
  <c r="T771" s="1"/>
  <c r="S10"/>
  <c r="T10" s="1"/>
  <c r="S14"/>
  <c r="T14" s="1"/>
  <c r="S24"/>
  <c r="T24" s="1"/>
  <c r="AD24" s="1"/>
  <c r="S28"/>
  <c r="T28" s="1"/>
  <c r="S32"/>
  <c r="T32" s="1"/>
  <c r="S36"/>
  <c r="T36" s="1"/>
  <c r="S40"/>
  <c r="T40" s="1"/>
  <c r="AD40" s="1"/>
  <c r="S44"/>
  <c r="T44" s="1"/>
  <c r="S357"/>
  <c r="T357" s="1"/>
  <c r="X358"/>
  <c r="S361"/>
  <c r="T361" s="1"/>
  <c r="X362"/>
  <c r="S365"/>
  <c r="T365" s="1"/>
  <c r="X366"/>
  <c r="S369"/>
  <c r="T369" s="1"/>
  <c r="AD369" s="1"/>
  <c r="X370"/>
  <c r="S373"/>
  <c r="T373" s="1"/>
  <c r="AD373" s="1"/>
  <c r="X374"/>
  <c r="S377"/>
  <c r="T377" s="1"/>
  <c r="X378"/>
  <c r="S381"/>
  <c r="T381" s="1"/>
  <c r="X382"/>
  <c r="S385"/>
  <c r="T385" s="1"/>
  <c r="X386"/>
  <c r="S389"/>
  <c r="T389" s="1"/>
  <c r="X390"/>
  <c r="S393"/>
  <c r="T393" s="1"/>
  <c r="X394"/>
  <c r="S397"/>
  <c r="T397" s="1"/>
  <c r="X398"/>
  <c r="S401"/>
  <c r="T401" s="1"/>
  <c r="AD401" s="1"/>
  <c r="X402"/>
  <c r="S405"/>
  <c r="T405" s="1"/>
  <c r="X406"/>
  <c r="S409"/>
  <c r="T409" s="1"/>
  <c r="X410"/>
  <c r="S413"/>
  <c r="T413" s="1"/>
  <c r="X414"/>
  <c r="S417"/>
  <c r="T417" s="1"/>
  <c r="X418"/>
  <c r="S421"/>
  <c r="T421" s="1"/>
  <c r="X422"/>
  <c r="S425"/>
  <c r="T425" s="1"/>
  <c r="X426"/>
  <c r="S429"/>
  <c r="T429" s="1"/>
  <c r="X430"/>
  <c r="S433"/>
  <c r="T433" s="1"/>
  <c r="AD433" s="1"/>
  <c r="X434"/>
  <c r="S440"/>
  <c r="T440" s="1"/>
  <c r="X441"/>
  <c r="S444"/>
  <c r="T444" s="1"/>
  <c r="X445"/>
  <c r="S448"/>
  <c r="T448" s="1"/>
  <c r="X449"/>
  <c r="X453"/>
  <c r="X457"/>
  <c r="X461"/>
  <c r="X465"/>
  <c r="X469"/>
  <c r="X473"/>
  <c r="X477"/>
  <c r="S483"/>
  <c r="T483" s="1"/>
  <c r="X484"/>
  <c r="S487"/>
  <c r="T487" s="1"/>
  <c r="X491"/>
  <c r="S494"/>
  <c r="T494" s="1"/>
  <c r="S507"/>
  <c r="T507" s="1"/>
  <c r="AD507" s="1"/>
  <c r="S526"/>
  <c r="T526" s="1"/>
  <c r="S548"/>
  <c r="T548" s="1"/>
  <c r="X549"/>
  <c r="S552"/>
  <c r="T552" s="1"/>
  <c r="X553"/>
  <c r="AD553" s="1"/>
  <c r="S556"/>
  <c r="T556" s="1"/>
  <c r="X557"/>
  <c r="AD557" s="1"/>
  <c r="S563"/>
  <c r="T563" s="1"/>
  <c r="X564"/>
  <c r="S567"/>
  <c r="T567" s="1"/>
  <c r="X568"/>
  <c r="AD568" s="1"/>
  <c r="S571"/>
  <c r="T571" s="1"/>
  <c r="AD571" s="1"/>
  <c r="X572"/>
  <c r="AD572" s="1"/>
  <c r="S575"/>
  <c r="T575" s="1"/>
  <c r="X576"/>
  <c r="AD576" s="1"/>
  <c r="S579"/>
  <c r="T579" s="1"/>
  <c r="X580"/>
  <c r="AD580" s="1"/>
  <c r="S583"/>
  <c r="T583" s="1"/>
  <c r="X584"/>
  <c r="AD584" s="1"/>
  <c r="S587"/>
  <c r="T587" s="1"/>
  <c r="AD587" s="1"/>
  <c r="X588"/>
  <c r="AD588" s="1"/>
  <c r="S591"/>
  <c r="T591" s="1"/>
  <c r="X592"/>
  <c r="AD592" s="1"/>
  <c r="S595"/>
  <c r="T595" s="1"/>
  <c r="X596"/>
  <c r="AD596" s="1"/>
  <c r="S599"/>
  <c r="T599" s="1"/>
  <c r="X600"/>
  <c r="AD600" s="1"/>
  <c r="S603"/>
  <c r="T603" s="1"/>
  <c r="AD603" s="1"/>
  <c r="X604"/>
  <c r="AD604" s="1"/>
  <c r="S607"/>
  <c r="T607" s="1"/>
  <c r="X608"/>
  <c r="AD608" s="1"/>
  <c r="S611"/>
  <c r="T611" s="1"/>
  <c r="X612"/>
  <c r="AD612" s="1"/>
  <c r="S615"/>
  <c r="T615" s="1"/>
  <c r="X616"/>
  <c r="AD616" s="1"/>
  <c r="S619"/>
  <c r="T619" s="1"/>
  <c r="AD619" s="1"/>
  <c r="X620"/>
  <c r="AD620" s="1"/>
  <c r="S623"/>
  <c r="T623" s="1"/>
  <c r="X624"/>
  <c r="AD624" s="1"/>
  <c r="S627"/>
  <c r="T627" s="1"/>
  <c r="X628"/>
  <c r="AD628" s="1"/>
  <c r="S631"/>
  <c r="T631" s="1"/>
  <c r="X632"/>
  <c r="AD632" s="1"/>
  <c r="S635"/>
  <c r="T635" s="1"/>
  <c r="AD635" s="1"/>
  <c r="X636"/>
  <c r="AD636" s="1"/>
  <c r="S639"/>
  <c r="T639" s="1"/>
  <c r="X640"/>
  <c r="AD640" s="1"/>
  <c r="S643"/>
  <c r="T643" s="1"/>
  <c r="X644"/>
  <c r="AD644" s="1"/>
  <c r="S647"/>
  <c r="T647" s="1"/>
  <c r="X648"/>
  <c r="AD648" s="1"/>
  <c r="S651"/>
  <c r="T651" s="1"/>
  <c r="AD651" s="1"/>
  <c r="X652"/>
  <c r="AD652" s="1"/>
  <c r="S655"/>
  <c r="T655" s="1"/>
  <c r="X656"/>
  <c r="AD656" s="1"/>
  <c r="S659"/>
  <c r="T659" s="1"/>
  <c r="X660"/>
  <c r="AD660" s="1"/>
  <c r="S663"/>
  <c r="T663" s="1"/>
  <c r="X664"/>
  <c r="AD664" s="1"/>
  <c r="S667"/>
  <c r="T667" s="1"/>
  <c r="AD667" s="1"/>
  <c r="X668"/>
  <c r="S671"/>
  <c r="T671" s="1"/>
  <c r="X672"/>
  <c r="AD672" s="1"/>
  <c r="S675"/>
  <c r="T675" s="1"/>
  <c r="X676"/>
  <c r="AD676" s="1"/>
  <c r="S679"/>
  <c r="T679" s="1"/>
  <c r="X680"/>
  <c r="AD680" s="1"/>
  <c r="S683"/>
  <c r="T683" s="1"/>
  <c r="AD683" s="1"/>
  <c r="X684"/>
  <c r="AD684" s="1"/>
  <c r="S687"/>
  <c r="T687" s="1"/>
  <c r="X688"/>
  <c r="AD688" s="1"/>
  <c r="S691"/>
  <c r="T691" s="1"/>
  <c r="AD691" s="1"/>
  <c r="X692"/>
  <c r="S696"/>
  <c r="T696" s="1"/>
  <c r="AA696"/>
  <c r="AA698"/>
  <c r="S700"/>
  <c r="T700" s="1"/>
  <c r="AA700"/>
  <c r="AA702"/>
  <c r="S704"/>
  <c r="T704" s="1"/>
  <c r="AA704"/>
  <c r="S708"/>
  <c r="T708" s="1"/>
  <c r="AA708"/>
  <c r="Z711"/>
  <c r="AA711" s="1"/>
  <c r="Z712"/>
  <c r="AA712" s="1"/>
  <c r="Z715"/>
  <c r="AA715" s="1"/>
  <c r="Z716"/>
  <c r="AA716" s="1"/>
  <c r="Z719"/>
  <c r="AA719" s="1"/>
  <c r="Z720"/>
  <c r="AA720" s="1"/>
  <c r="Z723"/>
  <c r="AA723" s="1"/>
  <c r="Z724"/>
  <c r="AA724" s="1"/>
  <c r="Z727"/>
  <c r="AA727" s="1"/>
  <c r="Z728"/>
  <c r="AA728" s="1"/>
  <c r="Z731"/>
  <c r="AA731" s="1"/>
  <c r="Z732"/>
  <c r="AA732" s="1"/>
  <c r="Z735"/>
  <c r="AA735" s="1"/>
  <c r="Z736"/>
  <c r="Z739"/>
  <c r="AA739" s="1"/>
  <c r="Z740"/>
  <c r="AA740" s="1"/>
  <c r="Z743"/>
  <c r="AA743" s="1"/>
  <c r="Z744"/>
  <c r="AA744" s="1"/>
  <c r="Y747"/>
  <c r="U748"/>
  <c r="V748" s="1"/>
  <c r="Y751"/>
  <c r="U752"/>
  <c r="V752" s="1"/>
  <c r="Y755"/>
  <c r="U756"/>
  <c r="V756" s="1"/>
  <c r="AD756" s="1"/>
  <c r="Y759"/>
  <c r="U760"/>
  <c r="V760" s="1"/>
  <c r="Y763"/>
  <c r="U764"/>
  <c r="V764" s="1"/>
  <c r="Y767"/>
  <c r="U768"/>
  <c r="V768" s="1"/>
  <c r="Y771"/>
  <c r="U772"/>
  <c r="V772" s="1"/>
  <c r="AD772" s="1"/>
  <c r="AD785"/>
  <c r="AA806"/>
  <c r="AD845"/>
  <c r="AD865"/>
  <c r="AA870"/>
  <c r="AD881"/>
  <c r="AD885"/>
  <c r="AD989"/>
  <c r="AA1266"/>
  <c r="AD1278"/>
  <c r="AD1282"/>
  <c r="AD1298"/>
  <c r="AD1314"/>
  <c r="AD1318"/>
  <c r="AD1322"/>
  <c r="AD1326"/>
  <c r="AD1330"/>
  <c r="AD1334"/>
  <c r="AD1338"/>
  <c r="AB1346"/>
  <c r="AC1346" s="1"/>
  <c r="X1346"/>
  <c r="AD1346" s="1"/>
  <c r="Y1346"/>
  <c r="U1506"/>
  <c r="V1506" s="1"/>
  <c r="V1594"/>
  <c r="U1594"/>
  <c r="U1662"/>
  <c r="V1662" s="1"/>
  <c r="AD1662" s="1"/>
  <c r="Z694"/>
  <c r="AA694" s="1"/>
  <c r="Y697"/>
  <c r="Z698"/>
  <c r="Y701"/>
  <c r="Z702"/>
  <c r="Y705"/>
  <c r="Z706"/>
  <c r="AA706" s="1"/>
  <c r="Z710"/>
  <c r="AA710" s="1"/>
  <c r="Y713"/>
  <c r="Z714"/>
  <c r="Y717"/>
  <c r="Z718"/>
  <c r="AA718" s="1"/>
  <c r="Y721"/>
  <c r="Z722"/>
  <c r="Y725"/>
  <c r="Z726"/>
  <c r="AA726" s="1"/>
  <c r="Y729"/>
  <c r="Z730"/>
  <c r="AA730" s="1"/>
  <c r="Y733"/>
  <c r="Z734"/>
  <c r="AA734" s="1"/>
  <c r="Y737"/>
  <c r="Z738"/>
  <c r="AA738" s="1"/>
  <c r="Y741"/>
  <c r="Z742"/>
  <c r="AA742" s="1"/>
  <c r="Z746"/>
  <c r="AA746" s="1"/>
  <c r="Y749"/>
  <c r="Z750"/>
  <c r="AA750" s="1"/>
  <c r="Y753"/>
  <c r="Z754"/>
  <c r="Y757"/>
  <c r="Z758"/>
  <c r="AA758" s="1"/>
  <c r="Y761"/>
  <c r="Z762"/>
  <c r="AA762" s="1"/>
  <c r="Y765"/>
  <c r="Z766"/>
  <c r="AA766" s="1"/>
  <c r="Y769"/>
  <c r="Z770"/>
  <c r="Y773"/>
  <c r="Z774"/>
  <c r="AA774" s="1"/>
  <c r="S775"/>
  <c r="T775" s="1"/>
  <c r="X776"/>
  <c r="AB776"/>
  <c r="AC776" s="1"/>
  <c r="Y777"/>
  <c r="Z778"/>
  <c r="AA778" s="1"/>
  <c r="S779"/>
  <c r="T779" s="1"/>
  <c r="X780"/>
  <c r="AB780"/>
  <c r="AC780" s="1"/>
  <c r="Y781"/>
  <c r="Z782"/>
  <c r="AA782" s="1"/>
  <c r="S783"/>
  <c r="T783" s="1"/>
  <c r="X784"/>
  <c r="AB784"/>
  <c r="AC784" s="1"/>
  <c r="Y785"/>
  <c r="Z786"/>
  <c r="AA786" s="1"/>
  <c r="S787"/>
  <c r="T787" s="1"/>
  <c r="X788"/>
  <c r="AB788"/>
  <c r="AC788" s="1"/>
  <c r="Y789"/>
  <c r="Z790"/>
  <c r="AA790" s="1"/>
  <c r="S791"/>
  <c r="T791" s="1"/>
  <c r="X792"/>
  <c r="AB792"/>
  <c r="AC792" s="1"/>
  <c r="O793"/>
  <c r="U793" s="1"/>
  <c r="V793" s="1"/>
  <c r="AD793" s="1"/>
  <c r="Y793"/>
  <c r="Z794"/>
  <c r="AA794" s="1"/>
  <c r="S795"/>
  <c r="T795" s="1"/>
  <c r="X796"/>
  <c r="AB796"/>
  <c r="AC796" s="1"/>
  <c r="O797"/>
  <c r="U797" s="1"/>
  <c r="V797" s="1"/>
  <c r="AD797" s="1"/>
  <c r="Y797"/>
  <c r="Z798"/>
  <c r="AA798" s="1"/>
  <c r="S799"/>
  <c r="T799" s="1"/>
  <c r="X800"/>
  <c r="AB800"/>
  <c r="AC800" s="1"/>
  <c r="O801"/>
  <c r="U801" s="1"/>
  <c r="V801" s="1"/>
  <c r="AD801" s="1"/>
  <c r="Y801"/>
  <c r="Z802"/>
  <c r="AA802" s="1"/>
  <c r="S803"/>
  <c r="T803" s="1"/>
  <c r="X804"/>
  <c r="AB804"/>
  <c r="AC804" s="1"/>
  <c r="Y805"/>
  <c r="Z806"/>
  <c r="S807"/>
  <c r="T807" s="1"/>
  <c r="AA807"/>
  <c r="X808"/>
  <c r="AB808"/>
  <c r="AC808" s="1"/>
  <c r="Y809"/>
  <c r="Z810"/>
  <c r="AA810" s="1"/>
  <c r="S811"/>
  <c r="T811" s="1"/>
  <c r="X812"/>
  <c r="AB812"/>
  <c r="AC812" s="1"/>
  <c r="Y813"/>
  <c r="Z814"/>
  <c r="AA814" s="1"/>
  <c r="S815"/>
  <c r="T815" s="1"/>
  <c r="AA815"/>
  <c r="X816"/>
  <c r="AB816"/>
  <c r="AC816" s="1"/>
  <c r="Y817"/>
  <c r="Z818"/>
  <c r="AA818" s="1"/>
  <c r="S819"/>
  <c r="T819" s="1"/>
  <c r="X820"/>
  <c r="AB820"/>
  <c r="AC820" s="1"/>
  <c r="Y821"/>
  <c r="Z822"/>
  <c r="AA822" s="1"/>
  <c r="S823"/>
  <c r="T823" s="1"/>
  <c r="AA823"/>
  <c r="X824"/>
  <c r="AB824"/>
  <c r="AC824" s="1"/>
  <c r="Y825"/>
  <c r="Z826"/>
  <c r="AA826" s="1"/>
  <c r="S827"/>
  <c r="T827" s="1"/>
  <c r="X828"/>
  <c r="AB828"/>
  <c r="AC828" s="1"/>
  <c r="Y829"/>
  <c r="Z830"/>
  <c r="AA830" s="1"/>
  <c r="S831"/>
  <c r="T831" s="1"/>
  <c r="AA831"/>
  <c r="X832"/>
  <c r="AB832"/>
  <c r="AC832" s="1"/>
  <c r="Y833"/>
  <c r="Z834"/>
  <c r="AA834" s="1"/>
  <c r="S835"/>
  <c r="T835" s="1"/>
  <c r="X836"/>
  <c r="AB836"/>
  <c r="AC836" s="1"/>
  <c r="Y837"/>
  <c r="Z838"/>
  <c r="AA838" s="1"/>
  <c r="S839"/>
  <c r="T839" s="1"/>
  <c r="AA839"/>
  <c r="X840"/>
  <c r="AB840"/>
  <c r="AC840" s="1"/>
  <c r="Y841"/>
  <c r="Z842"/>
  <c r="AA842" s="1"/>
  <c r="S843"/>
  <c r="T843" s="1"/>
  <c r="X844"/>
  <c r="AB844"/>
  <c r="AC844" s="1"/>
  <c r="Y845"/>
  <c r="Z846"/>
  <c r="AA846" s="1"/>
  <c r="S847"/>
  <c r="T847" s="1"/>
  <c r="AA847"/>
  <c r="X848"/>
  <c r="AB848"/>
  <c r="AC848" s="1"/>
  <c r="Y849"/>
  <c r="Z850"/>
  <c r="AA850" s="1"/>
  <c r="S851"/>
  <c r="T851" s="1"/>
  <c r="X852"/>
  <c r="AB852"/>
  <c r="AC852" s="1"/>
  <c r="Y853"/>
  <c r="Z854"/>
  <c r="S855"/>
  <c r="T855" s="1"/>
  <c r="AA855"/>
  <c r="X856"/>
  <c r="AB856"/>
  <c r="AC856" s="1"/>
  <c r="Y857"/>
  <c r="Z858"/>
  <c r="AA858" s="1"/>
  <c r="S859"/>
  <c r="T859" s="1"/>
  <c r="X860"/>
  <c r="AB860"/>
  <c r="AC860" s="1"/>
  <c r="Y861"/>
  <c r="Z862"/>
  <c r="AA862" s="1"/>
  <c r="S863"/>
  <c r="T863" s="1"/>
  <c r="AA863"/>
  <c r="X864"/>
  <c r="AB864"/>
  <c r="AC864" s="1"/>
  <c r="Y865"/>
  <c r="Z866"/>
  <c r="AA866" s="1"/>
  <c r="S867"/>
  <c r="T867" s="1"/>
  <c r="X868"/>
  <c r="AB868"/>
  <c r="AC868" s="1"/>
  <c r="Y869"/>
  <c r="Z870"/>
  <c r="S871"/>
  <c r="T871" s="1"/>
  <c r="AA871"/>
  <c r="X872"/>
  <c r="AB872"/>
  <c r="AC872" s="1"/>
  <c r="Y873"/>
  <c r="Z874"/>
  <c r="AA874" s="1"/>
  <c r="S875"/>
  <c r="T875" s="1"/>
  <c r="X876"/>
  <c r="AB876"/>
  <c r="AC876" s="1"/>
  <c r="Y877"/>
  <c r="Z878"/>
  <c r="AA878" s="1"/>
  <c r="S879"/>
  <c r="T879" s="1"/>
  <c r="AA879"/>
  <c r="X880"/>
  <c r="AB880"/>
  <c r="AC880" s="1"/>
  <c r="Y881"/>
  <c r="Z882"/>
  <c r="AA882" s="1"/>
  <c r="S883"/>
  <c r="T883" s="1"/>
  <c r="X884"/>
  <c r="AB884"/>
  <c r="AC884" s="1"/>
  <c r="Y885"/>
  <c r="Z886"/>
  <c r="AA886" s="1"/>
  <c r="S887"/>
  <c r="T887" s="1"/>
  <c r="AA887"/>
  <c r="X888"/>
  <c r="AB888"/>
  <c r="AC888" s="1"/>
  <c r="Y889"/>
  <c r="Z890"/>
  <c r="AA890" s="1"/>
  <c r="S891"/>
  <c r="T891" s="1"/>
  <c r="X892"/>
  <c r="AB892"/>
  <c r="AC892" s="1"/>
  <c r="Y893"/>
  <c r="Z894"/>
  <c r="AA894" s="1"/>
  <c r="S895"/>
  <c r="T895" s="1"/>
  <c r="AA895"/>
  <c r="X896"/>
  <c r="AB896"/>
  <c r="AC896" s="1"/>
  <c r="Y897"/>
  <c r="Z898"/>
  <c r="AA898" s="1"/>
  <c r="S899"/>
  <c r="T899" s="1"/>
  <c r="X900"/>
  <c r="AB900"/>
  <c r="AC900" s="1"/>
  <c r="O901"/>
  <c r="U901" s="1"/>
  <c r="V901" s="1"/>
  <c r="AD901" s="1"/>
  <c r="Y901"/>
  <c r="Z902"/>
  <c r="AA902" s="1"/>
  <c r="S903"/>
  <c r="T903" s="1"/>
  <c r="X904"/>
  <c r="AB904"/>
  <c r="AC904" s="1"/>
  <c r="O905"/>
  <c r="U905" s="1"/>
  <c r="V905" s="1"/>
  <c r="AD905" s="1"/>
  <c r="Y905"/>
  <c r="Z906"/>
  <c r="AA906" s="1"/>
  <c r="S907"/>
  <c r="T907" s="1"/>
  <c r="X908"/>
  <c r="AB908"/>
  <c r="AC908" s="1"/>
  <c r="O909"/>
  <c r="U909" s="1"/>
  <c r="V909" s="1"/>
  <c r="AD909" s="1"/>
  <c r="Y909"/>
  <c r="Z910"/>
  <c r="AA910" s="1"/>
  <c r="S911"/>
  <c r="T911" s="1"/>
  <c r="X912"/>
  <c r="AB912"/>
  <c r="AC912" s="1"/>
  <c r="O913"/>
  <c r="U913" s="1"/>
  <c r="V913" s="1"/>
  <c r="Y913"/>
  <c r="Z914"/>
  <c r="AA914" s="1"/>
  <c r="S915"/>
  <c r="T915" s="1"/>
  <c r="X916"/>
  <c r="AB916"/>
  <c r="AC916" s="1"/>
  <c r="O917"/>
  <c r="U917" s="1"/>
  <c r="V917" s="1"/>
  <c r="AD917" s="1"/>
  <c r="Y917"/>
  <c r="Z918"/>
  <c r="AA918" s="1"/>
  <c r="S919"/>
  <c r="T919" s="1"/>
  <c r="X920"/>
  <c r="AB920"/>
  <c r="AC920" s="1"/>
  <c r="O921"/>
  <c r="U921" s="1"/>
  <c r="V921" s="1"/>
  <c r="AD921" s="1"/>
  <c r="Y921"/>
  <c r="Z922"/>
  <c r="AA922" s="1"/>
  <c r="S923"/>
  <c r="T923" s="1"/>
  <c r="X924"/>
  <c r="AB924"/>
  <c r="AC924" s="1"/>
  <c r="O925"/>
  <c r="U925" s="1"/>
  <c r="V925" s="1"/>
  <c r="AD925" s="1"/>
  <c r="Y925"/>
  <c r="Z926"/>
  <c r="AA926" s="1"/>
  <c r="S927"/>
  <c r="T927" s="1"/>
  <c r="X928"/>
  <c r="AB928"/>
  <c r="AC928" s="1"/>
  <c r="O929"/>
  <c r="U929" s="1"/>
  <c r="V929" s="1"/>
  <c r="AD929" s="1"/>
  <c r="Y929"/>
  <c r="Z930"/>
  <c r="AA930" s="1"/>
  <c r="S931"/>
  <c r="T931" s="1"/>
  <c r="X932"/>
  <c r="AB932"/>
  <c r="AC932" s="1"/>
  <c r="O933"/>
  <c r="U933" s="1"/>
  <c r="V933" s="1"/>
  <c r="AD933" s="1"/>
  <c r="Y933"/>
  <c r="Z934"/>
  <c r="AA934" s="1"/>
  <c r="S935"/>
  <c r="T935" s="1"/>
  <c r="X936"/>
  <c r="AB936"/>
  <c r="AC936" s="1"/>
  <c r="O937"/>
  <c r="U937" s="1"/>
  <c r="V937" s="1"/>
  <c r="AD937" s="1"/>
  <c r="Y937"/>
  <c r="Z938"/>
  <c r="AA938" s="1"/>
  <c r="S939"/>
  <c r="T939" s="1"/>
  <c r="X940"/>
  <c r="AB940"/>
  <c r="AC940" s="1"/>
  <c r="O941"/>
  <c r="U941" s="1"/>
  <c r="V941" s="1"/>
  <c r="AD941" s="1"/>
  <c r="Y941"/>
  <c r="Z942"/>
  <c r="AA942" s="1"/>
  <c r="S943"/>
  <c r="T943" s="1"/>
  <c r="X944"/>
  <c r="AD944" s="1"/>
  <c r="AB944"/>
  <c r="AC944" s="1"/>
  <c r="O945"/>
  <c r="U945" s="1"/>
  <c r="V945" s="1"/>
  <c r="AD945" s="1"/>
  <c r="Y945"/>
  <c r="Z946"/>
  <c r="AA946" s="1"/>
  <c r="S947"/>
  <c r="T947" s="1"/>
  <c r="X948"/>
  <c r="AB948"/>
  <c r="AC948" s="1"/>
  <c r="O949"/>
  <c r="U949" s="1"/>
  <c r="V949" s="1"/>
  <c r="AD949" s="1"/>
  <c r="Y949"/>
  <c r="Z950"/>
  <c r="S951"/>
  <c r="T951" s="1"/>
  <c r="X952"/>
  <c r="AD952" s="1"/>
  <c r="AB952"/>
  <c r="AC952" s="1"/>
  <c r="O953"/>
  <c r="U953" s="1"/>
  <c r="V953" s="1"/>
  <c r="AD953" s="1"/>
  <c r="Y953"/>
  <c r="Z954"/>
  <c r="AA954" s="1"/>
  <c r="S955"/>
  <c r="T955" s="1"/>
  <c r="AA955"/>
  <c r="X956"/>
  <c r="AD956" s="1"/>
  <c r="AB956"/>
  <c r="AC956" s="1"/>
  <c r="O957"/>
  <c r="U957" s="1"/>
  <c r="V957" s="1"/>
  <c r="AD957" s="1"/>
  <c r="Y957"/>
  <c r="Z958"/>
  <c r="AA958" s="1"/>
  <c r="S959"/>
  <c r="T959" s="1"/>
  <c r="X960"/>
  <c r="AD960" s="1"/>
  <c r="AB960"/>
  <c r="AC960" s="1"/>
  <c r="O961"/>
  <c r="U961" s="1"/>
  <c r="V961" s="1"/>
  <c r="Y961"/>
  <c r="Z962"/>
  <c r="AA962" s="1"/>
  <c r="S963"/>
  <c r="T963" s="1"/>
  <c r="X964"/>
  <c r="AD964" s="1"/>
  <c r="AB964"/>
  <c r="AC964" s="1"/>
  <c r="O965"/>
  <c r="U965" s="1"/>
  <c r="V965" s="1"/>
  <c r="AD965" s="1"/>
  <c r="Y965"/>
  <c r="Z966"/>
  <c r="AA966" s="1"/>
  <c r="S967"/>
  <c r="T967" s="1"/>
  <c r="X968"/>
  <c r="AD968" s="1"/>
  <c r="AB968"/>
  <c r="AC968" s="1"/>
  <c r="O969"/>
  <c r="U969" s="1"/>
  <c r="V969" s="1"/>
  <c r="AD969" s="1"/>
  <c r="Y969"/>
  <c r="Z970"/>
  <c r="S971"/>
  <c r="T971" s="1"/>
  <c r="AA971"/>
  <c r="X972"/>
  <c r="AD972" s="1"/>
  <c r="AB972"/>
  <c r="AC972" s="1"/>
  <c r="O973"/>
  <c r="U973" s="1"/>
  <c r="V973" s="1"/>
  <c r="AD973" s="1"/>
  <c r="Y973"/>
  <c r="Z974"/>
  <c r="AA974" s="1"/>
  <c r="S975"/>
  <c r="T975" s="1"/>
  <c r="X976"/>
  <c r="AD976" s="1"/>
  <c r="AB976"/>
  <c r="AC976" s="1"/>
  <c r="O977"/>
  <c r="U977" s="1"/>
  <c r="V977" s="1"/>
  <c r="AD977" s="1"/>
  <c r="Y977"/>
  <c r="Z978"/>
  <c r="AA978" s="1"/>
  <c r="S979"/>
  <c r="T979" s="1"/>
  <c r="X980"/>
  <c r="AD980" s="1"/>
  <c r="AB980"/>
  <c r="AC980" s="1"/>
  <c r="O981"/>
  <c r="U981" s="1"/>
  <c r="V981" s="1"/>
  <c r="AD981" s="1"/>
  <c r="Y981"/>
  <c r="Z982"/>
  <c r="AA982" s="1"/>
  <c r="S983"/>
  <c r="T983" s="1"/>
  <c r="X984"/>
  <c r="AB984"/>
  <c r="AC984" s="1"/>
  <c r="O985"/>
  <c r="U985" s="1"/>
  <c r="V985" s="1"/>
  <c r="AD985" s="1"/>
  <c r="Y985"/>
  <c r="Z986"/>
  <c r="S987"/>
  <c r="T987" s="1"/>
  <c r="AA987"/>
  <c r="X988"/>
  <c r="AB988"/>
  <c r="AC988" s="1"/>
  <c r="O989"/>
  <c r="U989" s="1"/>
  <c r="V989" s="1"/>
  <c r="Y989"/>
  <c r="Z990"/>
  <c r="AA990" s="1"/>
  <c r="S991"/>
  <c r="T991" s="1"/>
  <c r="X992"/>
  <c r="AD992" s="1"/>
  <c r="AB992"/>
  <c r="AC992" s="1"/>
  <c r="O993"/>
  <c r="U993" s="1"/>
  <c r="V993" s="1"/>
  <c r="AD993" s="1"/>
  <c r="Y993"/>
  <c r="S995"/>
  <c r="T995" s="1"/>
  <c r="X996"/>
  <c r="AD996" s="1"/>
  <c r="AB996"/>
  <c r="AC996" s="1"/>
  <c r="O997"/>
  <c r="U997" s="1"/>
  <c r="V997" s="1"/>
  <c r="AD997" s="1"/>
  <c r="Y997"/>
  <c r="S999"/>
  <c r="T999" s="1"/>
  <c r="X1000"/>
  <c r="AD1000" s="1"/>
  <c r="AB1000"/>
  <c r="AC1000" s="1"/>
  <c r="O1001"/>
  <c r="U1001" s="1"/>
  <c r="V1001" s="1"/>
  <c r="AD1001" s="1"/>
  <c r="Y1001"/>
  <c r="S1003"/>
  <c r="T1003" s="1"/>
  <c r="X1004"/>
  <c r="AD1004" s="1"/>
  <c r="AB1004"/>
  <c r="AC1004" s="1"/>
  <c r="O1005"/>
  <c r="U1005" s="1"/>
  <c r="V1005" s="1"/>
  <c r="AD1005" s="1"/>
  <c r="Y1005"/>
  <c r="S1007"/>
  <c r="T1007" s="1"/>
  <c r="X1008"/>
  <c r="AD1008" s="1"/>
  <c r="AB1008"/>
  <c r="AC1008" s="1"/>
  <c r="O1009"/>
  <c r="U1009" s="1"/>
  <c r="V1009" s="1"/>
  <c r="AD1009" s="1"/>
  <c r="Y1009"/>
  <c r="S1011"/>
  <c r="T1011" s="1"/>
  <c r="X1012"/>
  <c r="AD1012" s="1"/>
  <c r="AB1012"/>
  <c r="AC1012" s="1"/>
  <c r="O1013"/>
  <c r="U1013" s="1"/>
  <c r="V1013" s="1"/>
  <c r="AD1013" s="1"/>
  <c r="Y1013"/>
  <c r="S1015"/>
  <c r="T1015" s="1"/>
  <c r="X1016"/>
  <c r="AD1016" s="1"/>
  <c r="AB1016"/>
  <c r="AC1016" s="1"/>
  <c r="O1017"/>
  <c r="U1017" s="1"/>
  <c r="V1017" s="1"/>
  <c r="AD1017" s="1"/>
  <c r="Y1017"/>
  <c r="Z1018"/>
  <c r="AA1018" s="1"/>
  <c r="S1019"/>
  <c r="T1019" s="1"/>
  <c r="X1020"/>
  <c r="AD1020" s="1"/>
  <c r="AB1020"/>
  <c r="AC1020" s="1"/>
  <c r="O1021"/>
  <c r="U1021" s="1"/>
  <c r="V1021" s="1"/>
  <c r="AD1021" s="1"/>
  <c r="Y1021"/>
  <c r="Z1022"/>
  <c r="AA1022" s="1"/>
  <c r="S1023"/>
  <c r="T1023" s="1"/>
  <c r="X1024"/>
  <c r="AB1024"/>
  <c r="AC1024" s="1"/>
  <c r="O1025"/>
  <c r="U1025" s="1"/>
  <c r="V1025" s="1"/>
  <c r="AD1025" s="1"/>
  <c r="Y1025"/>
  <c r="Z1026"/>
  <c r="AA1026" s="1"/>
  <c r="S1027"/>
  <c r="T1027" s="1"/>
  <c r="AA1027"/>
  <c r="X1028"/>
  <c r="AB1028"/>
  <c r="AC1028" s="1"/>
  <c r="O1029"/>
  <c r="U1029" s="1"/>
  <c r="V1029" s="1"/>
  <c r="AD1029" s="1"/>
  <c r="Y1029"/>
  <c r="Z1030"/>
  <c r="AA1030" s="1"/>
  <c r="S1031"/>
  <c r="T1031" s="1"/>
  <c r="X1032"/>
  <c r="AD1032" s="1"/>
  <c r="AB1032"/>
  <c r="AC1032" s="1"/>
  <c r="O1033"/>
  <c r="U1033" s="1"/>
  <c r="V1033" s="1"/>
  <c r="AD1033" s="1"/>
  <c r="Y1033"/>
  <c r="Z1034"/>
  <c r="AA1034" s="1"/>
  <c r="S1035"/>
  <c r="T1035" s="1"/>
  <c r="X1036"/>
  <c r="AD1036" s="1"/>
  <c r="AB1036"/>
  <c r="AC1036" s="1"/>
  <c r="O1037"/>
  <c r="U1037" s="1"/>
  <c r="V1037" s="1"/>
  <c r="AD1037" s="1"/>
  <c r="Y1037"/>
  <c r="Z1038"/>
  <c r="AA1038" s="1"/>
  <c r="S1039"/>
  <c r="T1039" s="1"/>
  <c r="X1040"/>
  <c r="AD1040" s="1"/>
  <c r="AB1040"/>
  <c r="AC1040" s="1"/>
  <c r="O1041"/>
  <c r="U1041" s="1"/>
  <c r="V1041" s="1"/>
  <c r="AD1041" s="1"/>
  <c r="Y1041"/>
  <c r="Z1042"/>
  <c r="AA1042" s="1"/>
  <c r="S1043"/>
  <c r="T1043" s="1"/>
  <c r="AA1043"/>
  <c r="X1044"/>
  <c r="AD1044" s="1"/>
  <c r="AB1044"/>
  <c r="AC1044" s="1"/>
  <c r="O1045"/>
  <c r="U1045" s="1"/>
  <c r="V1045" s="1"/>
  <c r="AD1045" s="1"/>
  <c r="Y1045"/>
  <c r="Z1046"/>
  <c r="S1047"/>
  <c r="T1047" s="1"/>
  <c r="X1048"/>
  <c r="AD1048" s="1"/>
  <c r="AB1048"/>
  <c r="AC1048" s="1"/>
  <c r="O1049"/>
  <c r="U1049" s="1"/>
  <c r="V1049" s="1"/>
  <c r="AD1049" s="1"/>
  <c r="Y1049"/>
  <c r="Z1050"/>
  <c r="AA1050" s="1"/>
  <c r="S1051"/>
  <c r="T1051" s="1"/>
  <c r="X1052"/>
  <c r="AD1052" s="1"/>
  <c r="AB1052"/>
  <c r="AC1052" s="1"/>
  <c r="O1053"/>
  <c r="U1053" s="1"/>
  <c r="V1053" s="1"/>
  <c r="AD1053" s="1"/>
  <c r="Y1053"/>
  <c r="Z1054"/>
  <c r="AA1054" s="1"/>
  <c r="S1055"/>
  <c r="T1055" s="1"/>
  <c r="X1056"/>
  <c r="AB1056"/>
  <c r="AC1056" s="1"/>
  <c r="O1057"/>
  <c r="U1057" s="1"/>
  <c r="V1057" s="1"/>
  <c r="AD1057" s="1"/>
  <c r="Y1057"/>
  <c r="Z1058"/>
  <c r="AA1058" s="1"/>
  <c r="S1059"/>
  <c r="T1059" s="1"/>
  <c r="AA1059"/>
  <c r="X1060"/>
  <c r="AB1060"/>
  <c r="AC1060" s="1"/>
  <c r="O1061"/>
  <c r="U1061" s="1"/>
  <c r="V1061" s="1"/>
  <c r="AD1061" s="1"/>
  <c r="Y1061"/>
  <c r="Z1062"/>
  <c r="AA1062" s="1"/>
  <c r="S1063"/>
  <c r="T1063" s="1"/>
  <c r="X1064"/>
  <c r="AD1064" s="1"/>
  <c r="AB1064"/>
  <c r="AC1064" s="1"/>
  <c r="O1065"/>
  <c r="U1065" s="1"/>
  <c r="V1065" s="1"/>
  <c r="AD1065" s="1"/>
  <c r="Y1065"/>
  <c r="Z1066"/>
  <c r="AA1066" s="1"/>
  <c r="S1067"/>
  <c r="T1067" s="1"/>
  <c r="X1068"/>
  <c r="AD1068" s="1"/>
  <c r="AB1068"/>
  <c r="AC1068" s="1"/>
  <c r="O1069"/>
  <c r="U1069" s="1"/>
  <c r="V1069" s="1"/>
  <c r="AD1069" s="1"/>
  <c r="Y1069"/>
  <c r="Z1070"/>
  <c r="AA1070" s="1"/>
  <c r="S1071"/>
  <c r="T1071" s="1"/>
  <c r="X1072"/>
  <c r="AD1072" s="1"/>
  <c r="AB1072"/>
  <c r="AC1072" s="1"/>
  <c r="O1073"/>
  <c r="U1073" s="1"/>
  <c r="V1073" s="1"/>
  <c r="AD1073" s="1"/>
  <c r="Y1073"/>
  <c r="Z1074"/>
  <c r="AA1074" s="1"/>
  <c r="S1075"/>
  <c r="T1075" s="1"/>
  <c r="AA1075"/>
  <c r="X1076"/>
  <c r="AD1076" s="1"/>
  <c r="AB1076"/>
  <c r="AC1076" s="1"/>
  <c r="O1077"/>
  <c r="U1077" s="1"/>
  <c r="V1077" s="1"/>
  <c r="AD1077" s="1"/>
  <c r="Y1077"/>
  <c r="Z1078"/>
  <c r="S1079"/>
  <c r="T1079" s="1"/>
  <c r="X1080"/>
  <c r="AD1080" s="1"/>
  <c r="AB1080"/>
  <c r="AC1080" s="1"/>
  <c r="O1081"/>
  <c r="U1081" s="1"/>
  <c r="V1081" s="1"/>
  <c r="AD1081" s="1"/>
  <c r="Y1081"/>
  <c r="Z1082"/>
  <c r="AA1082" s="1"/>
  <c r="S1083"/>
  <c r="T1083" s="1"/>
  <c r="X1084"/>
  <c r="AD1084" s="1"/>
  <c r="AB1084"/>
  <c r="AC1084" s="1"/>
  <c r="O1085"/>
  <c r="U1085" s="1"/>
  <c r="V1085" s="1"/>
  <c r="AD1085" s="1"/>
  <c r="Y1085"/>
  <c r="Z1086"/>
  <c r="AA1086" s="1"/>
  <c r="S1087"/>
  <c r="T1087" s="1"/>
  <c r="X1088"/>
  <c r="AB1088"/>
  <c r="AC1088" s="1"/>
  <c r="O1089"/>
  <c r="U1089" s="1"/>
  <c r="V1089" s="1"/>
  <c r="AD1089" s="1"/>
  <c r="Y1089"/>
  <c r="Z1090"/>
  <c r="AA1090" s="1"/>
  <c r="S1091"/>
  <c r="T1091" s="1"/>
  <c r="AA1091"/>
  <c r="X1092"/>
  <c r="AB1092"/>
  <c r="AC1092" s="1"/>
  <c r="O1093"/>
  <c r="U1093" s="1"/>
  <c r="V1093" s="1"/>
  <c r="AD1093" s="1"/>
  <c r="Y1093"/>
  <c r="Z1094"/>
  <c r="AA1094" s="1"/>
  <c r="S1095"/>
  <c r="T1095" s="1"/>
  <c r="X1096"/>
  <c r="AD1096" s="1"/>
  <c r="AB1096"/>
  <c r="AC1096" s="1"/>
  <c r="O1097"/>
  <c r="U1097" s="1"/>
  <c r="V1097" s="1"/>
  <c r="AD1097" s="1"/>
  <c r="Y1097"/>
  <c r="Z1098"/>
  <c r="AA1098" s="1"/>
  <c r="S1099"/>
  <c r="T1099" s="1"/>
  <c r="X1100"/>
  <c r="AD1100" s="1"/>
  <c r="AB1100"/>
  <c r="AC1100" s="1"/>
  <c r="O1101"/>
  <c r="U1101" s="1"/>
  <c r="V1101" s="1"/>
  <c r="Y1101"/>
  <c r="Z1102"/>
  <c r="AA1102" s="1"/>
  <c r="S1103"/>
  <c r="T1103" s="1"/>
  <c r="X1104"/>
  <c r="AD1104" s="1"/>
  <c r="AB1104"/>
  <c r="AC1104" s="1"/>
  <c r="O1105"/>
  <c r="U1105" s="1"/>
  <c r="V1105" s="1"/>
  <c r="AD1105" s="1"/>
  <c r="Y1105"/>
  <c r="Z1106"/>
  <c r="AA1106" s="1"/>
  <c r="S1107"/>
  <c r="T1107" s="1"/>
  <c r="AA1107"/>
  <c r="X1108"/>
  <c r="AD1108" s="1"/>
  <c r="AB1108"/>
  <c r="AC1108" s="1"/>
  <c r="O1109"/>
  <c r="U1109" s="1"/>
  <c r="V1109" s="1"/>
  <c r="AD1109" s="1"/>
  <c r="Y1109"/>
  <c r="Z1110"/>
  <c r="S1111"/>
  <c r="T1111" s="1"/>
  <c r="X1112"/>
  <c r="AD1112" s="1"/>
  <c r="AB1112"/>
  <c r="AC1112" s="1"/>
  <c r="O1113"/>
  <c r="U1113" s="1"/>
  <c r="V1113" s="1"/>
  <c r="AD1113" s="1"/>
  <c r="Y1113"/>
  <c r="Z1114"/>
  <c r="AA1114" s="1"/>
  <c r="S1115"/>
  <c r="T1115" s="1"/>
  <c r="X1116"/>
  <c r="AD1116" s="1"/>
  <c r="AB1116"/>
  <c r="AC1116" s="1"/>
  <c r="O1117"/>
  <c r="U1117" s="1"/>
  <c r="V1117" s="1"/>
  <c r="AD1117" s="1"/>
  <c r="Y1117"/>
  <c r="Z1118"/>
  <c r="AA1118" s="1"/>
  <c r="S1119"/>
  <c r="T1119" s="1"/>
  <c r="X1120"/>
  <c r="AB1120"/>
  <c r="AC1120" s="1"/>
  <c r="O1121"/>
  <c r="U1121" s="1"/>
  <c r="V1121" s="1"/>
  <c r="AD1121" s="1"/>
  <c r="Y1121"/>
  <c r="Z1122"/>
  <c r="AA1122" s="1"/>
  <c r="S1123"/>
  <c r="T1123" s="1"/>
  <c r="AA1123"/>
  <c r="X1124"/>
  <c r="AB1124"/>
  <c r="AC1124" s="1"/>
  <c r="O1125"/>
  <c r="U1125" s="1"/>
  <c r="V1125" s="1"/>
  <c r="AD1125" s="1"/>
  <c r="Y1125"/>
  <c r="Z1126"/>
  <c r="AA1126" s="1"/>
  <c r="S1127"/>
  <c r="T1127" s="1"/>
  <c r="X1128"/>
  <c r="AD1128" s="1"/>
  <c r="AB1128"/>
  <c r="AC1128" s="1"/>
  <c r="O1129"/>
  <c r="U1129" s="1"/>
  <c r="V1129" s="1"/>
  <c r="AD1129" s="1"/>
  <c r="Y1129"/>
  <c r="Z1130"/>
  <c r="AA1130" s="1"/>
  <c r="S1131"/>
  <c r="T1131" s="1"/>
  <c r="X1132"/>
  <c r="AD1132" s="1"/>
  <c r="AB1132"/>
  <c r="AC1132" s="1"/>
  <c r="O1133"/>
  <c r="U1133" s="1"/>
  <c r="V1133" s="1"/>
  <c r="AD1133" s="1"/>
  <c r="Y1133"/>
  <c r="Z1134"/>
  <c r="AA1134" s="1"/>
  <c r="S1135"/>
  <c r="T1135" s="1"/>
  <c r="X1136"/>
  <c r="AD1136" s="1"/>
  <c r="AB1136"/>
  <c r="AC1136" s="1"/>
  <c r="O1137"/>
  <c r="U1137" s="1"/>
  <c r="V1137" s="1"/>
  <c r="AD1137" s="1"/>
  <c r="Y1137"/>
  <c r="Z1138"/>
  <c r="AA1138" s="1"/>
  <c r="S1139"/>
  <c r="T1139" s="1"/>
  <c r="AA1139"/>
  <c r="X1140"/>
  <c r="AD1140" s="1"/>
  <c r="AB1140"/>
  <c r="AC1140" s="1"/>
  <c r="O1141"/>
  <c r="U1141" s="1"/>
  <c r="V1141" s="1"/>
  <c r="AD1141" s="1"/>
  <c r="Y1141"/>
  <c r="Z1142"/>
  <c r="S1143"/>
  <c r="T1143" s="1"/>
  <c r="X1144"/>
  <c r="AD1144" s="1"/>
  <c r="AB1144"/>
  <c r="AC1144" s="1"/>
  <c r="O1145"/>
  <c r="U1145" s="1"/>
  <c r="V1145" s="1"/>
  <c r="AD1145" s="1"/>
  <c r="Y1145"/>
  <c r="Z1146"/>
  <c r="AA1146" s="1"/>
  <c r="S1147"/>
  <c r="T1147" s="1"/>
  <c r="X1148"/>
  <c r="AD1148" s="1"/>
  <c r="AB1148"/>
  <c r="AC1148" s="1"/>
  <c r="O1149"/>
  <c r="U1149" s="1"/>
  <c r="V1149" s="1"/>
  <c r="AD1149" s="1"/>
  <c r="Y1149"/>
  <c r="Z1150"/>
  <c r="AA1150" s="1"/>
  <c r="S1151"/>
  <c r="T1151" s="1"/>
  <c r="X1152"/>
  <c r="AB1152"/>
  <c r="AC1152" s="1"/>
  <c r="O1153"/>
  <c r="U1153" s="1"/>
  <c r="V1153" s="1"/>
  <c r="AD1153" s="1"/>
  <c r="Y1153"/>
  <c r="Z1154"/>
  <c r="AA1154" s="1"/>
  <c r="S1155"/>
  <c r="T1155" s="1"/>
  <c r="AA1155"/>
  <c r="X1156"/>
  <c r="AB1156"/>
  <c r="AC1156" s="1"/>
  <c r="O1157"/>
  <c r="U1157" s="1"/>
  <c r="V1157" s="1"/>
  <c r="AD1157" s="1"/>
  <c r="Y1157"/>
  <c r="Z1158"/>
  <c r="AA1158" s="1"/>
  <c r="S1159"/>
  <c r="T1159" s="1"/>
  <c r="X1160"/>
  <c r="AD1160" s="1"/>
  <c r="AB1160"/>
  <c r="AC1160" s="1"/>
  <c r="O1161"/>
  <c r="U1161" s="1"/>
  <c r="V1161" s="1"/>
  <c r="AD1161" s="1"/>
  <c r="Y1161"/>
  <c r="Z1162"/>
  <c r="AA1162" s="1"/>
  <c r="S1163"/>
  <c r="T1163" s="1"/>
  <c r="X1164"/>
  <c r="AD1164" s="1"/>
  <c r="AB1164"/>
  <c r="AC1164" s="1"/>
  <c r="O1165"/>
  <c r="U1165" s="1"/>
  <c r="V1165" s="1"/>
  <c r="AD1165" s="1"/>
  <c r="Y1165"/>
  <c r="Z1166"/>
  <c r="AA1166" s="1"/>
  <c r="S1167"/>
  <c r="T1167" s="1"/>
  <c r="X1168"/>
  <c r="AD1168" s="1"/>
  <c r="AB1168"/>
  <c r="AC1168" s="1"/>
  <c r="O1169"/>
  <c r="U1169" s="1"/>
  <c r="V1169" s="1"/>
  <c r="AD1169" s="1"/>
  <c r="Y1169"/>
  <c r="Z1170"/>
  <c r="AA1170" s="1"/>
  <c r="S1171"/>
  <c r="T1171" s="1"/>
  <c r="AA1171"/>
  <c r="X1172"/>
  <c r="AD1172" s="1"/>
  <c r="AB1172"/>
  <c r="AC1172" s="1"/>
  <c r="O1173"/>
  <c r="U1173" s="1"/>
  <c r="V1173" s="1"/>
  <c r="AD1173" s="1"/>
  <c r="Y1173"/>
  <c r="Z1174"/>
  <c r="S1175"/>
  <c r="T1175" s="1"/>
  <c r="X1176"/>
  <c r="AD1176" s="1"/>
  <c r="AB1176"/>
  <c r="AC1176" s="1"/>
  <c r="O1177"/>
  <c r="U1177" s="1"/>
  <c r="V1177" s="1"/>
  <c r="AD1177" s="1"/>
  <c r="Y1177"/>
  <c r="Z1178"/>
  <c r="AA1178" s="1"/>
  <c r="S1179"/>
  <c r="T1179" s="1"/>
  <c r="X1180"/>
  <c r="AD1180" s="1"/>
  <c r="AB1180"/>
  <c r="AC1180" s="1"/>
  <c r="O1181"/>
  <c r="U1181" s="1"/>
  <c r="V1181" s="1"/>
  <c r="AD1181" s="1"/>
  <c r="Y1181"/>
  <c r="Z1182"/>
  <c r="AA1182" s="1"/>
  <c r="S1183"/>
  <c r="T1183" s="1"/>
  <c r="X1184"/>
  <c r="AB1184"/>
  <c r="AC1184" s="1"/>
  <c r="O1185"/>
  <c r="U1185" s="1"/>
  <c r="V1185" s="1"/>
  <c r="AD1185" s="1"/>
  <c r="Y1185"/>
  <c r="Z1186"/>
  <c r="AA1186" s="1"/>
  <c r="S1187"/>
  <c r="T1187" s="1"/>
  <c r="AA1187"/>
  <c r="X1188"/>
  <c r="AB1188"/>
  <c r="AC1188" s="1"/>
  <c r="O1189"/>
  <c r="U1189" s="1"/>
  <c r="V1189" s="1"/>
  <c r="AD1189" s="1"/>
  <c r="Y1189"/>
  <c r="Z1190"/>
  <c r="AA1190" s="1"/>
  <c r="S1191"/>
  <c r="T1191" s="1"/>
  <c r="X1192"/>
  <c r="AB1192"/>
  <c r="AC1192" s="1"/>
  <c r="O1193"/>
  <c r="U1193" s="1"/>
  <c r="V1193" s="1"/>
  <c r="AD1193" s="1"/>
  <c r="Y1193"/>
  <c r="Z1194"/>
  <c r="AA1194" s="1"/>
  <c r="S1195"/>
  <c r="T1195" s="1"/>
  <c r="X1196"/>
  <c r="AB1196"/>
  <c r="AC1196" s="1"/>
  <c r="O1197"/>
  <c r="U1197" s="1"/>
  <c r="V1197" s="1"/>
  <c r="AD1197" s="1"/>
  <c r="Y1197"/>
  <c r="Z1198"/>
  <c r="AA1198" s="1"/>
  <c r="S1199"/>
  <c r="T1199" s="1"/>
  <c r="X1200"/>
  <c r="AB1200"/>
  <c r="AC1200" s="1"/>
  <c r="O1201"/>
  <c r="U1201" s="1"/>
  <c r="V1201" s="1"/>
  <c r="AD1201" s="1"/>
  <c r="Y1201"/>
  <c r="Z1202"/>
  <c r="S1203"/>
  <c r="T1203" s="1"/>
  <c r="AA1203"/>
  <c r="X1204"/>
  <c r="AB1204"/>
  <c r="AC1204" s="1"/>
  <c r="O1205"/>
  <c r="U1205" s="1"/>
  <c r="V1205" s="1"/>
  <c r="Y1205"/>
  <c r="Z1206"/>
  <c r="AA1206" s="1"/>
  <c r="S1207"/>
  <c r="T1207" s="1"/>
  <c r="X1208"/>
  <c r="AB1208"/>
  <c r="AC1208" s="1"/>
  <c r="O1209"/>
  <c r="U1209" s="1"/>
  <c r="V1209" s="1"/>
  <c r="AD1209" s="1"/>
  <c r="Y1209"/>
  <c r="Z1210"/>
  <c r="AA1210" s="1"/>
  <c r="S1211"/>
  <c r="T1211" s="1"/>
  <c r="X1212"/>
  <c r="AB1212"/>
  <c r="AC1212" s="1"/>
  <c r="O1213"/>
  <c r="U1213" s="1"/>
  <c r="V1213" s="1"/>
  <c r="AD1213" s="1"/>
  <c r="Y1213"/>
  <c r="Z1214"/>
  <c r="S1215"/>
  <c r="T1215" s="1"/>
  <c r="X1216"/>
  <c r="AB1216"/>
  <c r="AC1216" s="1"/>
  <c r="O1217"/>
  <c r="U1217" s="1"/>
  <c r="V1217" s="1"/>
  <c r="AD1217" s="1"/>
  <c r="Y1217"/>
  <c r="Z1218"/>
  <c r="AA1218" s="1"/>
  <c r="S1219"/>
  <c r="T1219" s="1"/>
  <c r="X1220"/>
  <c r="AB1220"/>
  <c r="AC1220" s="1"/>
  <c r="O1221"/>
  <c r="U1221" s="1"/>
  <c r="V1221" s="1"/>
  <c r="AD1221" s="1"/>
  <c r="Y1221"/>
  <c r="Z1222"/>
  <c r="AA1222" s="1"/>
  <c r="S1223"/>
  <c r="T1223" s="1"/>
  <c r="X1224"/>
  <c r="AD1224" s="1"/>
  <c r="AB1224"/>
  <c r="AC1224" s="1"/>
  <c r="O1225"/>
  <c r="U1225" s="1"/>
  <c r="V1225" s="1"/>
  <c r="AD1225" s="1"/>
  <c r="Y1225"/>
  <c r="Z1226"/>
  <c r="AA1226" s="1"/>
  <c r="S1227"/>
  <c r="T1227" s="1"/>
  <c r="X1228"/>
  <c r="AD1228" s="1"/>
  <c r="AB1228"/>
  <c r="AC1228" s="1"/>
  <c r="O1229"/>
  <c r="U1229" s="1"/>
  <c r="V1229" s="1"/>
  <c r="AD1229" s="1"/>
  <c r="Y1229"/>
  <c r="Z1230"/>
  <c r="AA1230" s="1"/>
  <c r="S1231"/>
  <c r="T1231" s="1"/>
  <c r="X1232"/>
  <c r="AD1232" s="1"/>
  <c r="AB1232"/>
  <c r="AC1232" s="1"/>
  <c r="O1233"/>
  <c r="U1233" s="1"/>
  <c r="V1233" s="1"/>
  <c r="AD1233" s="1"/>
  <c r="Y1233"/>
  <c r="Z1234"/>
  <c r="S1235"/>
  <c r="T1235" s="1"/>
  <c r="AA1235"/>
  <c r="X1236"/>
  <c r="AD1236" s="1"/>
  <c r="AB1236"/>
  <c r="AC1236" s="1"/>
  <c r="O1237"/>
  <c r="U1237" s="1"/>
  <c r="V1237" s="1"/>
  <c r="Y1237"/>
  <c r="Z1238"/>
  <c r="AA1238" s="1"/>
  <c r="S1239"/>
  <c r="T1239" s="1"/>
  <c r="X1240"/>
  <c r="AB1240"/>
  <c r="AC1240" s="1"/>
  <c r="O1241"/>
  <c r="U1241" s="1"/>
  <c r="V1241" s="1"/>
  <c r="AD1241" s="1"/>
  <c r="Y1241"/>
  <c r="Z1242"/>
  <c r="AA1242" s="1"/>
  <c r="S1243"/>
  <c r="T1243" s="1"/>
  <c r="X1244"/>
  <c r="AB1244"/>
  <c r="AC1244" s="1"/>
  <c r="O1245"/>
  <c r="U1245" s="1"/>
  <c r="V1245" s="1"/>
  <c r="AD1245" s="1"/>
  <c r="Y1245"/>
  <c r="Z1246"/>
  <c r="S1247"/>
  <c r="T1247" s="1"/>
  <c r="X1248"/>
  <c r="AB1248"/>
  <c r="AC1248" s="1"/>
  <c r="O1249"/>
  <c r="U1249" s="1"/>
  <c r="V1249" s="1"/>
  <c r="AD1249" s="1"/>
  <c r="Y1249"/>
  <c r="Z1250"/>
  <c r="AA1250" s="1"/>
  <c r="S1251"/>
  <c r="T1251" s="1"/>
  <c r="X1252"/>
  <c r="AD1252" s="1"/>
  <c r="AB1252"/>
  <c r="AC1252" s="1"/>
  <c r="O1253"/>
  <c r="U1253" s="1"/>
  <c r="V1253" s="1"/>
  <c r="AD1253" s="1"/>
  <c r="Y1253"/>
  <c r="Z1254"/>
  <c r="AA1254" s="1"/>
  <c r="S1255"/>
  <c r="T1255" s="1"/>
  <c r="X1256"/>
  <c r="AD1256" s="1"/>
  <c r="AB1256"/>
  <c r="AC1256" s="1"/>
  <c r="O1257"/>
  <c r="U1257" s="1"/>
  <c r="V1257" s="1"/>
  <c r="AD1257" s="1"/>
  <c r="Y1257"/>
  <c r="Z1258"/>
  <c r="AA1258" s="1"/>
  <c r="S1259"/>
  <c r="T1259" s="1"/>
  <c r="X1260"/>
  <c r="AD1260" s="1"/>
  <c r="AB1260"/>
  <c r="AC1260" s="1"/>
  <c r="O1261"/>
  <c r="U1261" s="1"/>
  <c r="V1261" s="1"/>
  <c r="AD1261" s="1"/>
  <c r="Y1261"/>
  <c r="Z1262"/>
  <c r="S1263"/>
  <c r="T1263" s="1"/>
  <c r="X1264"/>
  <c r="AB1264"/>
  <c r="AC1264" s="1"/>
  <c r="O1265"/>
  <c r="U1265" s="1"/>
  <c r="V1265" s="1"/>
  <c r="AD1265" s="1"/>
  <c r="Y1265"/>
  <c r="Z1266"/>
  <c r="S1267"/>
  <c r="T1267" s="1"/>
  <c r="X1268"/>
  <c r="AD1268" s="1"/>
  <c r="AB1268"/>
  <c r="AC1268" s="1"/>
  <c r="O1269"/>
  <c r="U1269" s="1"/>
  <c r="V1269" s="1"/>
  <c r="AD1269" s="1"/>
  <c r="Y1269"/>
  <c r="Z1270"/>
  <c r="AA1270" s="1"/>
  <c r="S1271"/>
  <c r="T1271" s="1"/>
  <c r="X1272"/>
  <c r="AD1272" s="1"/>
  <c r="AB1272"/>
  <c r="AC1272" s="1"/>
  <c r="O1273"/>
  <c r="U1273" s="1"/>
  <c r="V1273" s="1"/>
  <c r="AD1273" s="1"/>
  <c r="Y1273"/>
  <c r="Z1274"/>
  <c r="AA1274" s="1"/>
  <c r="AD1274" s="1"/>
  <c r="S1275"/>
  <c r="T1275" s="1"/>
  <c r="X1276"/>
  <c r="AD1276" s="1"/>
  <c r="AB1276"/>
  <c r="AC1276" s="1"/>
  <c r="O1277"/>
  <c r="U1277" s="1"/>
  <c r="V1277" s="1"/>
  <c r="AD1277" s="1"/>
  <c r="Y1277"/>
  <c r="S1279"/>
  <c r="T1279" s="1"/>
  <c r="AA1279"/>
  <c r="X1280"/>
  <c r="AD1280" s="1"/>
  <c r="AB1280"/>
  <c r="AC1280" s="1"/>
  <c r="O1281"/>
  <c r="U1281" s="1"/>
  <c r="V1281" s="1"/>
  <c r="AD1281" s="1"/>
  <c r="Y1281"/>
  <c r="S1283"/>
  <c r="T1283" s="1"/>
  <c r="X1284"/>
  <c r="AB1284"/>
  <c r="AC1284" s="1"/>
  <c r="O1285"/>
  <c r="U1285" s="1"/>
  <c r="V1285" s="1"/>
  <c r="AD1285" s="1"/>
  <c r="Y1285"/>
  <c r="S1287"/>
  <c r="T1287" s="1"/>
  <c r="AA1287"/>
  <c r="X1288"/>
  <c r="AB1288"/>
  <c r="AC1288" s="1"/>
  <c r="O1289"/>
  <c r="U1289" s="1"/>
  <c r="V1289" s="1"/>
  <c r="AD1289" s="1"/>
  <c r="Y1289"/>
  <c r="S1291"/>
  <c r="T1291" s="1"/>
  <c r="X1292"/>
  <c r="AB1292"/>
  <c r="AC1292" s="1"/>
  <c r="O1293"/>
  <c r="U1293" s="1"/>
  <c r="V1293" s="1"/>
  <c r="AD1293" s="1"/>
  <c r="Y1293"/>
  <c r="S1295"/>
  <c r="T1295" s="1"/>
  <c r="AA1295"/>
  <c r="X1296"/>
  <c r="AB1296"/>
  <c r="AC1296" s="1"/>
  <c r="O1297"/>
  <c r="U1297" s="1"/>
  <c r="V1297" s="1"/>
  <c r="AD1297" s="1"/>
  <c r="Y1297"/>
  <c r="S1299"/>
  <c r="T1299" s="1"/>
  <c r="X1300"/>
  <c r="AB1300"/>
  <c r="AC1300" s="1"/>
  <c r="O1301"/>
  <c r="U1301" s="1"/>
  <c r="V1301" s="1"/>
  <c r="AD1301" s="1"/>
  <c r="Y1301"/>
  <c r="S1303"/>
  <c r="T1303" s="1"/>
  <c r="AA1303"/>
  <c r="X1304"/>
  <c r="AB1304"/>
  <c r="AC1304" s="1"/>
  <c r="O1305"/>
  <c r="U1305" s="1"/>
  <c r="V1305" s="1"/>
  <c r="AD1305" s="1"/>
  <c r="Y1305"/>
  <c r="S1307"/>
  <c r="T1307" s="1"/>
  <c r="X1308"/>
  <c r="AB1308"/>
  <c r="AC1308" s="1"/>
  <c r="O1309"/>
  <c r="U1309" s="1"/>
  <c r="V1309" s="1"/>
  <c r="AD1309" s="1"/>
  <c r="Y1309"/>
  <c r="S1311"/>
  <c r="T1311" s="1"/>
  <c r="AA1311"/>
  <c r="X1312"/>
  <c r="AB1312"/>
  <c r="AC1312" s="1"/>
  <c r="O1313"/>
  <c r="U1313" s="1"/>
  <c r="V1313" s="1"/>
  <c r="AD1313" s="1"/>
  <c r="Y1313"/>
  <c r="S1315"/>
  <c r="T1315" s="1"/>
  <c r="X1316"/>
  <c r="AB1316"/>
  <c r="AC1316" s="1"/>
  <c r="O1317"/>
  <c r="U1317" s="1"/>
  <c r="V1317" s="1"/>
  <c r="AD1317" s="1"/>
  <c r="Y1317"/>
  <c r="S1319"/>
  <c r="T1319" s="1"/>
  <c r="AA1319"/>
  <c r="X1320"/>
  <c r="AB1320"/>
  <c r="AC1320" s="1"/>
  <c r="O1321"/>
  <c r="U1321" s="1"/>
  <c r="V1321" s="1"/>
  <c r="AD1321" s="1"/>
  <c r="Y1321"/>
  <c r="S1323"/>
  <c r="T1323" s="1"/>
  <c r="X1324"/>
  <c r="AD1324" s="1"/>
  <c r="AB1324"/>
  <c r="AC1324" s="1"/>
  <c r="O1325"/>
  <c r="U1325" s="1"/>
  <c r="V1325" s="1"/>
  <c r="AD1325" s="1"/>
  <c r="Y1325"/>
  <c r="S1327"/>
  <c r="T1327" s="1"/>
  <c r="AA1327"/>
  <c r="X1328"/>
  <c r="AD1328" s="1"/>
  <c r="AB1328"/>
  <c r="AC1328" s="1"/>
  <c r="O1329"/>
  <c r="U1329" s="1"/>
  <c r="V1329" s="1"/>
  <c r="AD1329" s="1"/>
  <c r="Y1329"/>
  <c r="S1331"/>
  <c r="T1331" s="1"/>
  <c r="X1332"/>
  <c r="AD1332" s="1"/>
  <c r="AB1332"/>
  <c r="AC1332" s="1"/>
  <c r="O1333"/>
  <c r="U1333" s="1"/>
  <c r="V1333" s="1"/>
  <c r="AD1333" s="1"/>
  <c r="Y1333"/>
  <c r="S1335"/>
  <c r="T1335" s="1"/>
  <c r="AA1335"/>
  <c r="X1336"/>
  <c r="AD1336" s="1"/>
  <c r="AB1336"/>
  <c r="AC1336" s="1"/>
  <c r="O1337"/>
  <c r="U1337" s="1"/>
  <c r="V1337" s="1"/>
  <c r="AD1337" s="1"/>
  <c r="Y1337"/>
  <c r="S1339"/>
  <c r="T1339" s="1"/>
  <c r="X1340"/>
  <c r="AB1340"/>
  <c r="AC1340" s="1"/>
  <c r="O1341"/>
  <c r="U1341" s="1"/>
  <c r="V1341" s="1"/>
  <c r="AD1341" s="1"/>
  <c r="Y1341"/>
  <c r="S1343"/>
  <c r="T1343" s="1"/>
  <c r="AA1343"/>
  <c r="X1344"/>
  <c r="AB1344"/>
  <c r="AC1344" s="1"/>
  <c r="O1345"/>
  <c r="U1345" s="1"/>
  <c r="V1345" s="1"/>
  <c r="AD1345" s="1"/>
  <c r="Y1345"/>
  <c r="S1382"/>
  <c r="T1382" s="1"/>
  <c r="S1386"/>
  <c r="T1386" s="1"/>
  <c r="AD1451"/>
  <c r="AD1606"/>
  <c r="AD1622"/>
  <c r="AD1638"/>
  <c r="AB1382"/>
  <c r="AC1382" s="1"/>
  <c r="X1382"/>
  <c r="Y1382"/>
  <c r="AB1386"/>
  <c r="AC1386" s="1"/>
  <c r="X1386"/>
  <c r="Y1386"/>
  <c r="U1492"/>
  <c r="V1492"/>
  <c r="U1496"/>
  <c r="V1496" s="1"/>
  <c r="U1502"/>
  <c r="V1502" s="1"/>
  <c r="Z775"/>
  <c r="AA775" s="1"/>
  <c r="S776"/>
  <c r="T776" s="1"/>
  <c r="Z779"/>
  <c r="AA779" s="1"/>
  <c r="S780"/>
  <c r="T780" s="1"/>
  <c r="Z783"/>
  <c r="AA783" s="1"/>
  <c r="S784"/>
  <c r="T784" s="1"/>
  <c r="AD784" s="1"/>
  <c r="AA784"/>
  <c r="Z787"/>
  <c r="AA787" s="1"/>
  <c r="S788"/>
  <c r="T788" s="1"/>
  <c r="AA788"/>
  <c r="Z791"/>
  <c r="AA791" s="1"/>
  <c r="S792"/>
  <c r="T792" s="1"/>
  <c r="Z795"/>
  <c r="AA795" s="1"/>
  <c r="S796"/>
  <c r="T796" s="1"/>
  <c r="Z799"/>
  <c r="AA799" s="1"/>
  <c r="S800"/>
  <c r="T800" s="1"/>
  <c r="AD800" s="1"/>
  <c r="AA800"/>
  <c r="Z803"/>
  <c r="AA803" s="1"/>
  <c r="S804"/>
  <c r="T804" s="1"/>
  <c r="AA804"/>
  <c r="Z807"/>
  <c r="S808"/>
  <c r="T808" s="1"/>
  <c r="Z811"/>
  <c r="AA811" s="1"/>
  <c r="S812"/>
  <c r="T812" s="1"/>
  <c r="Z815"/>
  <c r="S816"/>
  <c r="T816" s="1"/>
  <c r="Z819"/>
  <c r="AA819" s="1"/>
  <c r="S820"/>
  <c r="T820" s="1"/>
  <c r="AA820"/>
  <c r="Z823"/>
  <c r="S824"/>
  <c r="T824" s="1"/>
  <c r="Z827"/>
  <c r="AA827" s="1"/>
  <c r="S828"/>
  <c r="T828" s="1"/>
  <c r="Z831"/>
  <c r="S832"/>
  <c r="T832" s="1"/>
  <c r="Z835"/>
  <c r="AA835" s="1"/>
  <c r="S836"/>
  <c r="T836" s="1"/>
  <c r="AA836"/>
  <c r="Z839"/>
  <c r="S840"/>
  <c r="T840" s="1"/>
  <c r="Z843"/>
  <c r="AA843" s="1"/>
  <c r="S844"/>
  <c r="T844" s="1"/>
  <c r="Z847"/>
  <c r="S848"/>
  <c r="T848" s="1"/>
  <c r="Z851"/>
  <c r="AA851" s="1"/>
  <c r="S852"/>
  <c r="T852" s="1"/>
  <c r="AA852"/>
  <c r="Z855"/>
  <c r="S856"/>
  <c r="T856" s="1"/>
  <c r="Z859"/>
  <c r="AA859" s="1"/>
  <c r="S860"/>
  <c r="T860" s="1"/>
  <c r="Z863"/>
  <c r="S864"/>
  <c r="T864" s="1"/>
  <c r="AD864" s="1"/>
  <c r="AA864"/>
  <c r="Z867"/>
  <c r="AA867" s="1"/>
  <c r="S868"/>
  <c r="T868" s="1"/>
  <c r="AA868"/>
  <c r="Z871"/>
  <c r="S872"/>
  <c r="T872" s="1"/>
  <c r="Z875"/>
  <c r="AA875" s="1"/>
  <c r="S876"/>
  <c r="T876" s="1"/>
  <c r="Z879"/>
  <c r="S880"/>
  <c r="T880" s="1"/>
  <c r="AD880" s="1"/>
  <c r="AA880"/>
  <c r="Z883"/>
  <c r="AA883" s="1"/>
  <c r="S884"/>
  <c r="T884" s="1"/>
  <c r="Z887"/>
  <c r="S888"/>
  <c r="T888" s="1"/>
  <c r="Z891"/>
  <c r="AA891" s="1"/>
  <c r="S892"/>
  <c r="T892" s="1"/>
  <c r="Z895"/>
  <c r="S896"/>
  <c r="T896" s="1"/>
  <c r="AD896" s="1"/>
  <c r="AA896"/>
  <c r="Z899"/>
  <c r="AA899" s="1"/>
  <c r="S900"/>
  <c r="T900" s="1"/>
  <c r="Z903"/>
  <c r="AA903" s="1"/>
  <c r="S904"/>
  <c r="T904" s="1"/>
  <c r="Z907"/>
  <c r="AA907" s="1"/>
  <c r="S908"/>
  <c r="T908" s="1"/>
  <c r="Z911"/>
  <c r="AA911" s="1"/>
  <c r="S912"/>
  <c r="T912" s="1"/>
  <c r="AD912" s="1"/>
  <c r="AA912"/>
  <c r="Z915"/>
  <c r="AA915" s="1"/>
  <c r="S916"/>
  <c r="T916" s="1"/>
  <c r="Z919"/>
  <c r="AA919" s="1"/>
  <c r="S920"/>
  <c r="T920" s="1"/>
  <c r="Z923"/>
  <c r="AA923" s="1"/>
  <c r="S924"/>
  <c r="T924" s="1"/>
  <c r="Z927"/>
  <c r="AA927" s="1"/>
  <c r="S928"/>
  <c r="T928" s="1"/>
  <c r="AD928" s="1"/>
  <c r="AA928"/>
  <c r="Z931"/>
  <c r="AA931" s="1"/>
  <c r="S932"/>
  <c r="T932" s="1"/>
  <c r="Z935"/>
  <c r="AA935" s="1"/>
  <c r="S936"/>
  <c r="T936" s="1"/>
  <c r="Z939"/>
  <c r="AA939" s="1"/>
  <c r="S940"/>
  <c r="T940" s="1"/>
  <c r="Z943"/>
  <c r="AA943" s="1"/>
  <c r="AA944"/>
  <c r="Z947"/>
  <c r="AA947" s="1"/>
  <c r="Z951"/>
  <c r="AA951" s="1"/>
  <c r="Z955"/>
  <c r="Z959"/>
  <c r="AA959" s="1"/>
  <c r="Z963"/>
  <c r="AA963" s="1"/>
  <c r="Z967"/>
  <c r="AA967" s="1"/>
  <c r="Z971"/>
  <c r="Z975"/>
  <c r="AA975" s="1"/>
  <c r="Z979"/>
  <c r="AA979" s="1"/>
  <c r="Z983"/>
  <c r="AA983" s="1"/>
  <c r="Z987"/>
  <c r="Z991"/>
  <c r="AA991" s="1"/>
  <c r="Z995"/>
  <c r="AA995" s="1"/>
  <c r="Z999"/>
  <c r="AA999" s="1"/>
  <c r="Z1003"/>
  <c r="AA1003" s="1"/>
  <c r="Z1007"/>
  <c r="AA1007" s="1"/>
  <c r="Z1011"/>
  <c r="AA1011" s="1"/>
  <c r="Z1015"/>
  <c r="AA1015" s="1"/>
  <c r="Z1019"/>
  <c r="AA1019" s="1"/>
  <c r="Z1023"/>
  <c r="AA1023" s="1"/>
  <c r="Z1027"/>
  <c r="Z1031"/>
  <c r="AA1031" s="1"/>
  <c r="Z1035"/>
  <c r="AA1035" s="1"/>
  <c r="Z1039"/>
  <c r="AA1039" s="1"/>
  <c r="Z1043"/>
  <c r="Z1047"/>
  <c r="AA1047" s="1"/>
  <c r="Z1051"/>
  <c r="AA1051" s="1"/>
  <c r="Z1055"/>
  <c r="AA1055" s="1"/>
  <c r="Z1059"/>
  <c r="Z1063"/>
  <c r="AA1063" s="1"/>
  <c r="Z1067"/>
  <c r="AA1067" s="1"/>
  <c r="Z1071"/>
  <c r="AA1071" s="1"/>
  <c r="Z1075"/>
  <c r="Z1079"/>
  <c r="AA1079" s="1"/>
  <c r="Z1083"/>
  <c r="AA1083" s="1"/>
  <c r="Z1087"/>
  <c r="AA1087" s="1"/>
  <c r="Z1091"/>
  <c r="Z1095"/>
  <c r="AA1095" s="1"/>
  <c r="Z1099"/>
  <c r="AA1099" s="1"/>
  <c r="Z1103"/>
  <c r="AA1103" s="1"/>
  <c r="Z1107"/>
  <c r="Z1111"/>
  <c r="AA1111" s="1"/>
  <c r="Z1115"/>
  <c r="AA1115" s="1"/>
  <c r="Z1119"/>
  <c r="AA1119" s="1"/>
  <c r="Z1123"/>
  <c r="Z1127"/>
  <c r="AA1127" s="1"/>
  <c r="Z1131"/>
  <c r="AA1131" s="1"/>
  <c r="Z1135"/>
  <c r="AA1135" s="1"/>
  <c r="Z1139"/>
  <c r="Z1143"/>
  <c r="AA1143" s="1"/>
  <c r="Z1147"/>
  <c r="AA1147" s="1"/>
  <c r="Z1151"/>
  <c r="AA1151" s="1"/>
  <c r="Z1155"/>
  <c r="Z1159"/>
  <c r="AA1159" s="1"/>
  <c r="Z1163"/>
  <c r="AA1163" s="1"/>
  <c r="Z1167"/>
  <c r="AA1167" s="1"/>
  <c r="Z1171"/>
  <c r="Z1175"/>
  <c r="AA1175" s="1"/>
  <c r="Z1179"/>
  <c r="AA1179" s="1"/>
  <c r="Z1183"/>
  <c r="AA1183" s="1"/>
  <c r="S1184"/>
  <c r="T1184" s="1"/>
  <c r="Z1187"/>
  <c r="S1188"/>
  <c r="T1188" s="1"/>
  <c r="Z1191"/>
  <c r="AA1191" s="1"/>
  <c r="S1192"/>
  <c r="T1192" s="1"/>
  <c r="AA1192"/>
  <c r="Z1195"/>
  <c r="AA1195" s="1"/>
  <c r="S1196"/>
  <c r="T1196" s="1"/>
  <c r="Z1199"/>
  <c r="AA1199" s="1"/>
  <c r="S1200"/>
  <c r="T1200" s="1"/>
  <c r="Z1203"/>
  <c r="S1204"/>
  <c r="T1204" s="1"/>
  <c r="Z1207"/>
  <c r="AA1207" s="1"/>
  <c r="Z1211"/>
  <c r="AA1211" s="1"/>
  <c r="Z1215"/>
  <c r="AA1215" s="1"/>
  <c r="Z1219"/>
  <c r="AA1219" s="1"/>
  <c r="Z1223"/>
  <c r="AA1223" s="1"/>
  <c r="Z1227"/>
  <c r="AA1227" s="1"/>
  <c r="Z1231"/>
  <c r="AA1231" s="1"/>
  <c r="Z1235"/>
  <c r="Z1239"/>
  <c r="AA1239" s="1"/>
  <c r="Z1243"/>
  <c r="AA1243" s="1"/>
  <c r="Z1247"/>
  <c r="AA1247" s="1"/>
  <c r="Z1251"/>
  <c r="AA1251" s="1"/>
  <c r="Z1255"/>
  <c r="AA1255" s="1"/>
  <c r="Z1259"/>
  <c r="AA1259" s="1"/>
  <c r="Z1263"/>
  <c r="AA1263" s="1"/>
  <c r="Z1267"/>
  <c r="AA1267" s="1"/>
  <c r="Z1271"/>
  <c r="AA1271" s="1"/>
  <c r="Z1275"/>
  <c r="AA1275" s="1"/>
  <c r="Z1279"/>
  <c r="Z1283"/>
  <c r="AA1283" s="1"/>
  <c r="S1284"/>
  <c r="T1284" s="1"/>
  <c r="Z1287"/>
  <c r="S1288"/>
  <c r="T1288" s="1"/>
  <c r="AD1288" s="1"/>
  <c r="AA1288"/>
  <c r="Z1291"/>
  <c r="AA1291" s="1"/>
  <c r="S1292"/>
  <c r="T1292" s="1"/>
  <c r="Z1295"/>
  <c r="S1296"/>
  <c r="T1296" s="1"/>
  <c r="Z1299"/>
  <c r="AA1299" s="1"/>
  <c r="S1300"/>
  <c r="T1300" s="1"/>
  <c r="Z1303"/>
  <c r="S1304"/>
  <c r="T1304" s="1"/>
  <c r="AD1304" s="1"/>
  <c r="AA1304"/>
  <c r="Z1307"/>
  <c r="AA1307" s="1"/>
  <c r="S1308"/>
  <c r="T1308" s="1"/>
  <c r="Z1311"/>
  <c r="S1312"/>
  <c r="T1312" s="1"/>
  <c r="Z1315"/>
  <c r="AA1315" s="1"/>
  <c r="Z1319"/>
  <c r="Z1323"/>
  <c r="AA1323" s="1"/>
  <c r="Z1327"/>
  <c r="Z1331"/>
  <c r="AA1331" s="1"/>
  <c r="Z1335"/>
  <c r="Z1339"/>
  <c r="AA1339" s="1"/>
  <c r="S1340"/>
  <c r="T1340" s="1"/>
  <c r="Z1343"/>
  <c r="S1344"/>
  <c r="T1344" s="1"/>
  <c r="AD1344" s="1"/>
  <c r="AA1344"/>
  <c r="Z1382"/>
  <c r="AA1382" s="1"/>
  <c r="Z1386"/>
  <c r="AD1419"/>
  <c r="AD1658"/>
  <c r="AD1676"/>
  <c r="AB1350"/>
  <c r="AC1350" s="1"/>
  <c r="X1350"/>
  <c r="Y1350"/>
  <c r="AB1354"/>
  <c r="AC1354" s="1"/>
  <c r="X1354"/>
  <c r="Y1354"/>
  <c r="AB1358"/>
  <c r="AC1358" s="1"/>
  <c r="X1358"/>
  <c r="Y1358"/>
  <c r="AB1362"/>
  <c r="AC1362" s="1"/>
  <c r="X1362"/>
  <c r="Y1362"/>
  <c r="AB1366"/>
  <c r="AC1366" s="1"/>
  <c r="X1366"/>
  <c r="Y1366"/>
  <c r="AB1370"/>
  <c r="AC1370" s="1"/>
  <c r="X1370"/>
  <c r="Y1370"/>
  <c r="AB1374"/>
  <c r="AC1374" s="1"/>
  <c r="X1374"/>
  <c r="Y1374"/>
  <c r="AB1378"/>
  <c r="AC1378" s="1"/>
  <c r="X1378"/>
  <c r="Y1378"/>
  <c r="AA1381"/>
  <c r="S1381"/>
  <c r="T1381" s="1"/>
  <c r="AB1381"/>
  <c r="AC1381" s="1"/>
  <c r="X1381"/>
  <c r="AA1385"/>
  <c r="S1385"/>
  <c r="T1385" s="1"/>
  <c r="AB1385"/>
  <c r="AC1385" s="1"/>
  <c r="X1385"/>
  <c r="Z1389"/>
  <c r="AA1389" s="1"/>
  <c r="S1389"/>
  <c r="T1389" s="1"/>
  <c r="AB1389"/>
  <c r="AC1389" s="1"/>
  <c r="X1389"/>
  <c r="V1494"/>
  <c r="U1494"/>
  <c r="U1498"/>
  <c r="V1498" s="1"/>
  <c r="V1514"/>
  <c r="U1514"/>
  <c r="U1558"/>
  <c r="V1558" s="1"/>
  <c r="AD1558" s="1"/>
  <c r="V1670"/>
  <c r="U1670"/>
  <c r="Z776"/>
  <c r="AA776" s="1"/>
  <c r="Y779"/>
  <c r="Z780"/>
  <c r="AA780" s="1"/>
  <c r="Y783"/>
  <c r="Z784"/>
  <c r="Y787"/>
  <c r="Z788"/>
  <c r="Y791"/>
  <c r="Z792"/>
  <c r="AA792" s="1"/>
  <c r="Y795"/>
  <c r="Z796"/>
  <c r="AA796" s="1"/>
  <c r="Y799"/>
  <c r="Z800"/>
  <c r="Y803"/>
  <c r="Z804"/>
  <c r="Y807"/>
  <c r="Z808"/>
  <c r="AA808" s="1"/>
  <c r="Z812"/>
  <c r="AA812" s="1"/>
  <c r="Z816"/>
  <c r="AA816" s="1"/>
  <c r="Z820"/>
  <c r="Z824"/>
  <c r="AA824" s="1"/>
  <c r="Z828"/>
  <c r="AA828" s="1"/>
  <c r="Z832"/>
  <c r="AA832" s="1"/>
  <c r="Z836"/>
  <c r="Y839"/>
  <c r="Z840"/>
  <c r="AA840" s="1"/>
  <c r="Y843"/>
  <c r="Z844"/>
  <c r="AA844" s="1"/>
  <c r="Y847"/>
  <c r="Z848"/>
  <c r="AA848" s="1"/>
  <c r="Y851"/>
  <c r="Z852"/>
  <c r="Z856"/>
  <c r="AA856" s="1"/>
  <c r="Y859"/>
  <c r="Z860"/>
  <c r="AA860" s="1"/>
  <c r="Y863"/>
  <c r="Z864"/>
  <c r="Y867"/>
  <c r="Z868"/>
  <c r="Y871"/>
  <c r="Z872"/>
  <c r="AA872" s="1"/>
  <c r="Y875"/>
  <c r="Z876"/>
  <c r="AA876" s="1"/>
  <c r="Y879"/>
  <c r="Z880"/>
  <c r="Z884"/>
  <c r="AA884" s="1"/>
  <c r="Y887"/>
  <c r="Z888"/>
  <c r="AA888" s="1"/>
  <c r="Y891"/>
  <c r="Z892"/>
  <c r="AA892" s="1"/>
  <c r="Y895"/>
  <c r="Z896"/>
  <c r="Y899"/>
  <c r="Z900"/>
  <c r="AA900" s="1"/>
  <c r="Y903"/>
  <c r="Z904"/>
  <c r="AA904" s="1"/>
  <c r="Y907"/>
  <c r="Z908"/>
  <c r="AA908" s="1"/>
  <c r="Y911"/>
  <c r="Z912"/>
  <c r="Y915"/>
  <c r="Z916"/>
  <c r="AA916" s="1"/>
  <c r="Y919"/>
  <c r="Z920"/>
  <c r="AA920" s="1"/>
  <c r="Y923"/>
  <c r="Z924"/>
  <c r="AA924" s="1"/>
  <c r="Y927"/>
  <c r="Z928"/>
  <c r="Y931"/>
  <c r="Z932"/>
  <c r="AA932" s="1"/>
  <c r="Y935"/>
  <c r="Z936"/>
  <c r="AA936" s="1"/>
  <c r="Y939"/>
  <c r="Z940"/>
  <c r="AA940" s="1"/>
  <c r="Y943"/>
  <c r="Z944"/>
  <c r="Y947"/>
  <c r="Z948"/>
  <c r="AA948" s="1"/>
  <c r="AD948" s="1"/>
  <c r="Y951"/>
  <c r="Z952"/>
  <c r="AA952" s="1"/>
  <c r="Y955"/>
  <c r="Z956"/>
  <c r="AA956" s="1"/>
  <c r="Y959"/>
  <c r="Z960"/>
  <c r="AA960" s="1"/>
  <c r="Y963"/>
  <c r="Z964"/>
  <c r="AA964" s="1"/>
  <c r="Y967"/>
  <c r="Z968"/>
  <c r="AA968" s="1"/>
  <c r="Y971"/>
  <c r="Z972"/>
  <c r="AA972" s="1"/>
  <c r="Y975"/>
  <c r="Z976"/>
  <c r="AA976" s="1"/>
  <c r="Y979"/>
  <c r="Z980"/>
  <c r="AA980" s="1"/>
  <c r="Y983"/>
  <c r="Z984"/>
  <c r="AA984" s="1"/>
  <c r="AD984" s="1"/>
  <c r="Y987"/>
  <c r="Z988"/>
  <c r="AA988" s="1"/>
  <c r="AD988" s="1"/>
  <c r="Y991"/>
  <c r="Z992"/>
  <c r="AA992" s="1"/>
  <c r="Y995"/>
  <c r="Z996"/>
  <c r="AA996" s="1"/>
  <c r="Y999"/>
  <c r="Z1000"/>
  <c r="AA1000" s="1"/>
  <c r="Y1003"/>
  <c r="Z1004"/>
  <c r="AA1004" s="1"/>
  <c r="Y1007"/>
  <c r="Z1008"/>
  <c r="AA1008" s="1"/>
  <c r="Y1011"/>
  <c r="Z1012"/>
  <c r="AA1012" s="1"/>
  <c r="Y1015"/>
  <c r="Z1016"/>
  <c r="AA1016" s="1"/>
  <c r="Y1019"/>
  <c r="Z1020"/>
  <c r="AA1020" s="1"/>
  <c r="Y1023"/>
  <c r="Z1024"/>
  <c r="AA1024" s="1"/>
  <c r="Y1027"/>
  <c r="Z1028"/>
  <c r="AA1028" s="1"/>
  <c r="AD1028" s="1"/>
  <c r="Y1031"/>
  <c r="Z1032"/>
  <c r="AA1032" s="1"/>
  <c r="Y1035"/>
  <c r="Z1036"/>
  <c r="AA1036" s="1"/>
  <c r="Y1039"/>
  <c r="Z1040"/>
  <c r="AA1040" s="1"/>
  <c r="Y1043"/>
  <c r="Z1044"/>
  <c r="AA1044" s="1"/>
  <c r="Y1047"/>
  <c r="Z1048"/>
  <c r="AA1048" s="1"/>
  <c r="Y1051"/>
  <c r="Z1052"/>
  <c r="AA1052" s="1"/>
  <c r="Y1055"/>
  <c r="Z1056"/>
  <c r="AA1056" s="1"/>
  <c r="Y1059"/>
  <c r="Z1060"/>
  <c r="AA1060" s="1"/>
  <c r="AD1060" s="1"/>
  <c r="Y1063"/>
  <c r="Z1064"/>
  <c r="AA1064" s="1"/>
  <c r="Y1067"/>
  <c r="Z1068"/>
  <c r="AA1068" s="1"/>
  <c r="Y1071"/>
  <c r="Z1072"/>
  <c r="AA1072" s="1"/>
  <c r="Y1075"/>
  <c r="Z1076"/>
  <c r="AA1076" s="1"/>
  <c r="Y1079"/>
  <c r="Z1080"/>
  <c r="AA1080" s="1"/>
  <c r="Y1083"/>
  <c r="Z1084"/>
  <c r="AA1084" s="1"/>
  <c r="Y1087"/>
  <c r="Z1088"/>
  <c r="AA1088" s="1"/>
  <c r="Y1091"/>
  <c r="Z1092"/>
  <c r="AA1092" s="1"/>
  <c r="AD1092" s="1"/>
  <c r="Y1095"/>
  <c r="Z1096"/>
  <c r="AA1096" s="1"/>
  <c r="Y1099"/>
  <c r="Z1100"/>
  <c r="AA1100" s="1"/>
  <c r="Y1103"/>
  <c r="Z1104"/>
  <c r="AA1104" s="1"/>
  <c r="Y1107"/>
  <c r="Z1108"/>
  <c r="AA1108" s="1"/>
  <c r="Y1111"/>
  <c r="Z1112"/>
  <c r="AA1112" s="1"/>
  <c r="Y1115"/>
  <c r="Z1116"/>
  <c r="AA1116" s="1"/>
  <c r="Y1119"/>
  <c r="Z1120"/>
  <c r="AA1120" s="1"/>
  <c r="Y1123"/>
  <c r="Z1124"/>
  <c r="AA1124" s="1"/>
  <c r="AD1124" s="1"/>
  <c r="Y1127"/>
  <c r="Z1128"/>
  <c r="AA1128" s="1"/>
  <c r="Y1131"/>
  <c r="Z1132"/>
  <c r="AA1132" s="1"/>
  <c r="Y1135"/>
  <c r="Z1136"/>
  <c r="AA1136" s="1"/>
  <c r="Y1139"/>
  <c r="Z1140"/>
  <c r="AA1140" s="1"/>
  <c r="Y1143"/>
  <c r="Z1144"/>
  <c r="AA1144" s="1"/>
  <c r="Y1147"/>
  <c r="Z1148"/>
  <c r="AA1148" s="1"/>
  <c r="Y1151"/>
  <c r="Z1152"/>
  <c r="AA1152" s="1"/>
  <c r="Y1155"/>
  <c r="Z1156"/>
  <c r="AA1156" s="1"/>
  <c r="AD1156" s="1"/>
  <c r="Y1159"/>
  <c r="Z1160"/>
  <c r="AA1160" s="1"/>
  <c r="Y1163"/>
  <c r="Z1164"/>
  <c r="AA1164" s="1"/>
  <c r="Y1167"/>
  <c r="Z1168"/>
  <c r="AA1168" s="1"/>
  <c r="Y1171"/>
  <c r="Z1172"/>
  <c r="AA1172" s="1"/>
  <c r="Y1175"/>
  <c r="Z1176"/>
  <c r="AA1176" s="1"/>
  <c r="Y1179"/>
  <c r="Z1180"/>
  <c r="AA1180" s="1"/>
  <c r="Y1183"/>
  <c r="Z1184"/>
  <c r="AA1184" s="1"/>
  <c r="Y1187"/>
  <c r="Z1188"/>
  <c r="AA1188" s="1"/>
  <c r="Y1191"/>
  <c r="Z1192"/>
  <c r="Y1195"/>
  <c r="Z1196"/>
  <c r="AA1196" s="1"/>
  <c r="Y1199"/>
  <c r="Z1200"/>
  <c r="AA1200" s="1"/>
  <c r="Y1203"/>
  <c r="Z1204"/>
  <c r="AA1204" s="1"/>
  <c r="Y1207"/>
  <c r="Z1208"/>
  <c r="AA1208" s="1"/>
  <c r="Y1211"/>
  <c r="Z1212"/>
  <c r="AA1212" s="1"/>
  <c r="AD1212" s="1"/>
  <c r="Y1215"/>
  <c r="Z1216"/>
  <c r="AA1216" s="1"/>
  <c r="Y1219"/>
  <c r="Z1220"/>
  <c r="AA1220" s="1"/>
  <c r="Y1223"/>
  <c r="Z1224"/>
  <c r="AA1224" s="1"/>
  <c r="Y1227"/>
  <c r="Z1228"/>
  <c r="AA1228" s="1"/>
  <c r="Y1231"/>
  <c r="Z1232"/>
  <c r="AA1232" s="1"/>
  <c r="Y1235"/>
  <c r="Z1236"/>
  <c r="AA1236" s="1"/>
  <c r="Y1239"/>
  <c r="Z1240"/>
  <c r="AA1240" s="1"/>
  <c r="Y1243"/>
  <c r="Z1244"/>
  <c r="AA1244" s="1"/>
  <c r="AD1244" s="1"/>
  <c r="Y1247"/>
  <c r="Z1248"/>
  <c r="AA1248" s="1"/>
  <c r="Y1251"/>
  <c r="Z1252"/>
  <c r="AA1252" s="1"/>
  <c r="Y1255"/>
  <c r="Z1256"/>
  <c r="AA1256" s="1"/>
  <c r="Y1259"/>
  <c r="Z1260"/>
  <c r="AA1260" s="1"/>
  <c r="Y1263"/>
  <c r="Z1264"/>
  <c r="AA1264" s="1"/>
  <c r="AD1264" s="1"/>
  <c r="Y1267"/>
  <c r="Z1268"/>
  <c r="AA1268" s="1"/>
  <c r="Y1271"/>
  <c r="Z1272"/>
  <c r="AA1272" s="1"/>
  <c r="Y1275"/>
  <c r="Z1276"/>
  <c r="AA1276" s="1"/>
  <c r="Y1279"/>
  <c r="Z1280"/>
  <c r="AA1280" s="1"/>
  <c r="Y1283"/>
  <c r="Z1284"/>
  <c r="AA1284" s="1"/>
  <c r="Y1287"/>
  <c r="Z1288"/>
  <c r="Y1291"/>
  <c r="Z1292"/>
  <c r="AA1292" s="1"/>
  <c r="Y1295"/>
  <c r="Z1296"/>
  <c r="AA1296" s="1"/>
  <c r="Y1299"/>
  <c r="Z1300"/>
  <c r="AA1300" s="1"/>
  <c r="Y1303"/>
  <c r="Z1304"/>
  <c r="Y1307"/>
  <c r="Z1308"/>
  <c r="AA1308" s="1"/>
  <c r="Y1311"/>
  <c r="Z1312"/>
  <c r="AA1312" s="1"/>
  <c r="Y1315"/>
  <c r="Z1316"/>
  <c r="AA1316" s="1"/>
  <c r="Y1319"/>
  <c r="Z1320"/>
  <c r="AA1320" s="1"/>
  <c r="Y1323"/>
  <c r="Z1324"/>
  <c r="AA1324" s="1"/>
  <c r="Y1327"/>
  <c r="Z1328"/>
  <c r="AA1328" s="1"/>
  <c r="Y1331"/>
  <c r="Z1332"/>
  <c r="AA1332" s="1"/>
  <c r="Y1335"/>
  <c r="Z1336"/>
  <c r="AA1336" s="1"/>
  <c r="Y1339"/>
  <c r="Z1340"/>
  <c r="AA1340" s="1"/>
  <c r="Y1343"/>
  <c r="Z1344"/>
  <c r="Z1350"/>
  <c r="AA1350" s="1"/>
  <c r="Z1354"/>
  <c r="AA1354" s="1"/>
  <c r="Z1358"/>
  <c r="AA1358" s="1"/>
  <c r="Z1362"/>
  <c r="AA1362" s="1"/>
  <c r="Z1366"/>
  <c r="AA1366" s="1"/>
  <c r="Z1370"/>
  <c r="AA1370" s="1"/>
  <c r="Z1374"/>
  <c r="AA1374" s="1"/>
  <c r="Z1378"/>
  <c r="AA1378" s="1"/>
  <c r="Y1381"/>
  <c r="U1382"/>
  <c r="V1382" s="1"/>
  <c r="Y1385"/>
  <c r="U1386"/>
  <c r="V1386" s="1"/>
  <c r="Y1389"/>
  <c r="AD1618"/>
  <c r="AD1634"/>
  <c r="AA1349"/>
  <c r="S1349"/>
  <c r="T1349" s="1"/>
  <c r="AB1349"/>
  <c r="AC1349" s="1"/>
  <c r="X1349"/>
  <c r="AA1353"/>
  <c r="S1353"/>
  <c r="T1353" s="1"/>
  <c r="AB1353"/>
  <c r="AC1353" s="1"/>
  <c r="X1353"/>
  <c r="AA1357"/>
  <c r="S1357"/>
  <c r="T1357" s="1"/>
  <c r="AB1357"/>
  <c r="AC1357" s="1"/>
  <c r="X1357"/>
  <c r="AA1361"/>
  <c r="S1361"/>
  <c r="T1361" s="1"/>
  <c r="AB1361"/>
  <c r="AC1361" s="1"/>
  <c r="X1361"/>
  <c r="AA1365"/>
  <c r="S1365"/>
  <c r="T1365" s="1"/>
  <c r="AB1365"/>
  <c r="AC1365" s="1"/>
  <c r="X1365"/>
  <c r="AA1369"/>
  <c r="S1369"/>
  <c r="T1369" s="1"/>
  <c r="AB1369"/>
  <c r="AC1369" s="1"/>
  <c r="X1369"/>
  <c r="AA1373"/>
  <c r="S1373"/>
  <c r="T1373" s="1"/>
  <c r="AB1373"/>
  <c r="AC1373" s="1"/>
  <c r="X1373"/>
  <c r="AA1377"/>
  <c r="S1377"/>
  <c r="T1377" s="1"/>
  <c r="AB1377"/>
  <c r="AC1377" s="1"/>
  <c r="X1377"/>
  <c r="Z1390"/>
  <c r="AA1390" s="1"/>
  <c r="S1390"/>
  <c r="T1390" s="1"/>
  <c r="AB1390"/>
  <c r="AC1390" s="1"/>
  <c r="X1390"/>
  <c r="Y1390"/>
  <c r="U1510"/>
  <c r="V1510" s="1"/>
  <c r="V1642"/>
  <c r="AD1642" s="1"/>
  <c r="U1642"/>
  <c r="U1673"/>
  <c r="V1673"/>
  <c r="S694"/>
  <c r="T694" s="1"/>
  <c r="S698"/>
  <c r="T698" s="1"/>
  <c r="AD698" s="1"/>
  <c r="S702"/>
  <c r="T702" s="1"/>
  <c r="S706"/>
  <c r="T706" s="1"/>
  <c r="S710"/>
  <c r="T710" s="1"/>
  <c r="S714"/>
  <c r="T714" s="1"/>
  <c r="S718"/>
  <c r="T718" s="1"/>
  <c r="S722"/>
  <c r="T722" s="1"/>
  <c r="S726"/>
  <c r="T726" s="1"/>
  <c r="S730"/>
  <c r="T730" s="1"/>
  <c r="S734"/>
  <c r="T734" s="1"/>
  <c r="S738"/>
  <c r="T738" s="1"/>
  <c r="S742"/>
  <c r="T742" s="1"/>
  <c r="S746"/>
  <c r="T746" s="1"/>
  <c r="S750"/>
  <c r="T750" s="1"/>
  <c r="S754"/>
  <c r="T754" s="1"/>
  <c r="AD754" s="1"/>
  <c r="S758"/>
  <c r="T758" s="1"/>
  <c r="S762"/>
  <c r="T762" s="1"/>
  <c r="S766"/>
  <c r="T766" s="1"/>
  <c r="S770"/>
  <c r="T770" s="1"/>
  <c r="AD770" s="1"/>
  <c r="S774"/>
  <c r="T774" s="1"/>
  <c r="X775"/>
  <c r="S778"/>
  <c r="T778" s="1"/>
  <c r="X779"/>
  <c r="S782"/>
  <c r="T782" s="1"/>
  <c r="X783"/>
  <c r="S786"/>
  <c r="T786" s="1"/>
  <c r="X787"/>
  <c r="S790"/>
  <c r="T790" s="1"/>
  <c r="X791"/>
  <c r="S794"/>
  <c r="T794" s="1"/>
  <c r="X795"/>
  <c r="S798"/>
  <c r="T798" s="1"/>
  <c r="X799"/>
  <c r="S802"/>
  <c r="T802" s="1"/>
  <c r="X803"/>
  <c r="S806"/>
  <c r="T806" s="1"/>
  <c r="AD806" s="1"/>
  <c r="X807"/>
  <c r="S810"/>
  <c r="T810" s="1"/>
  <c r="X811"/>
  <c r="S814"/>
  <c r="T814" s="1"/>
  <c r="X815"/>
  <c r="S818"/>
  <c r="T818" s="1"/>
  <c r="X819"/>
  <c r="S822"/>
  <c r="T822" s="1"/>
  <c r="X823"/>
  <c r="S826"/>
  <c r="T826" s="1"/>
  <c r="X827"/>
  <c r="S830"/>
  <c r="T830" s="1"/>
  <c r="X831"/>
  <c r="S834"/>
  <c r="T834" s="1"/>
  <c r="X835"/>
  <c r="S838"/>
  <c r="T838" s="1"/>
  <c r="X839"/>
  <c r="S842"/>
  <c r="T842" s="1"/>
  <c r="X843"/>
  <c r="S846"/>
  <c r="T846" s="1"/>
  <c r="X847"/>
  <c r="S850"/>
  <c r="T850" s="1"/>
  <c r="X851"/>
  <c r="S854"/>
  <c r="T854" s="1"/>
  <c r="AD854" s="1"/>
  <c r="X855"/>
  <c r="S858"/>
  <c r="T858" s="1"/>
  <c r="X859"/>
  <c r="S862"/>
  <c r="T862" s="1"/>
  <c r="X863"/>
  <c r="S866"/>
  <c r="T866" s="1"/>
  <c r="X867"/>
  <c r="S870"/>
  <c r="T870" s="1"/>
  <c r="AD870" s="1"/>
  <c r="X871"/>
  <c r="S874"/>
  <c r="T874" s="1"/>
  <c r="X875"/>
  <c r="S878"/>
  <c r="T878" s="1"/>
  <c r="X879"/>
  <c r="S882"/>
  <c r="T882" s="1"/>
  <c r="X883"/>
  <c r="S886"/>
  <c r="T886" s="1"/>
  <c r="X887"/>
  <c r="S890"/>
  <c r="T890" s="1"/>
  <c r="X891"/>
  <c r="S894"/>
  <c r="T894" s="1"/>
  <c r="X895"/>
  <c r="S898"/>
  <c r="T898" s="1"/>
  <c r="X899"/>
  <c r="S902"/>
  <c r="T902" s="1"/>
  <c r="X903"/>
  <c r="S906"/>
  <c r="T906" s="1"/>
  <c r="X907"/>
  <c r="S910"/>
  <c r="T910" s="1"/>
  <c r="X911"/>
  <c r="S914"/>
  <c r="T914" s="1"/>
  <c r="X915"/>
  <c r="S918"/>
  <c r="T918" s="1"/>
  <c r="X919"/>
  <c r="S922"/>
  <c r="T922" s="1"/>
  <c r="X923"/>
  <c r="S926"/>
  <c r="T926" s="1"/>
  <c r="X927"/>
  <c r="S930"/>
  <c r="T930" s="1"/>
  <c r="X931"/>
  <c r="S934"/>
  <c r="T934" s="1"/>
  <c r="X935"/>
  <c r="S938"/>
  <c r="T938" s="1"/>
  <c r="X939"/>
  <c r="S942"/>
  <c r="T942" s="1"/>
  <c r="X943"/>
  <c r="S946"/>
  <c r="T946" s="1"/>
  <c r="X947"/>
  <c r="S950"/>
  <c r="T950" s="1"/>
  <c r="AD950" s="1"/>
  <c r="X951"/>
  <c r="S954"/>
  <c r="T954" s="1"/>
  <c r="X955"/>
  <c r="S958"/>
  <c r="T958" s="1"/>
  <c r="X959"/>
  <c r="S962"/>
  <c r="T962" s="1"/>
  <c r="X963"/>
  <c r="S966"/>
  <c r="T966" s="1"/>
  <c r="X967"/>
  <c r="S970"/>
  <c r="T970" s="1"/>
  <c r="AD970" s="1"/>
  <c r="X971"/>
  <c r="S974"/>
  <c r="T974" s="1"/>
  <c r="X975"/>
  <c r="S978"/>
  <c r="T978" s="1"/>
  <c r="X979"/>
  <c r="S982"/>
  <c r="T982" s="1"/>
  <c r="X983"/>
  <c r="S986"/>
  <c r="T986" s="1"/>
  <c r="X987"/>
  <c r="S990"/>
  <c r="T990" s="1"/>
  <c r="X991"/>
  <c r="X995"/>
  <c r="X999"/>
  <c r="X1003"/>
  <c r="X1007"/>
  <c r="X1011"/>
  <c r="X1015"/>
  <c r="S1018"/>
  <c r="T1018" s="1"/>
  <c r="X1019"/>
  <c r="S1022"/>
  <c r="T1022" s="1"/>
  <c r="X1023"/>
  <c r="S1026"/>
  <c r="T1026" s="1"/>
  <c r="X1027"/>
  <c r="S1030"/>
  <c r="T1030" s="1"/>
  <c r="X1031"/>
  <c r="S1034"/>
  <c r="T1034" s="1"/>
  <c r="X1035"/>
  <c r="S1038"/>
  <c r="T1038" s="1"/>
  <c r="X1039"/>
  <c r="S1042"/>
  <c r="T1042" s="1"/>
  <c r="X1043"/>
  <c r="S1046"/>
  <c r="T1046" s="1"/>
  <c r="X1047"/>
  <c r="S1050"/>
  <c r="T1050" s="1"/>
  <c r="X1051"/>
  <c r="S1054"/>
  <c r="T1054" s="1"/>
  <c r="X1055"/>
  <c r="S1058"/>
  <c r="T1058" s="1"/>
  <c r="X1059"/>
  <c r="S1062"/>
  <c r="T1062" s="1"/>
  <c r="X1063"/>
  <c r="S1066"/>
  <c r="T1066" s="1"/>
  <c r="X1067"/>
  <c r="S1070"/>
  <c r="T1070" s="1"/>
  <c r="X1071"/>
  <c r="S1074"/>
  <c r="T1074" s="1"/>
  <c r="X1075"/>
  <c r="S1078"/>
  <c r="T1078" s="1"/>
  <c r="X1079"/>
  <c r="S1082"/>
  <c r="T1082" s="1"/>
  <c r="X1083"/>
  <c r="S1086"/>
  <c r="T1086" s="1"/>
  <c r="X1087"/>
  <c r="S1090"/>
  <c r="T1090" s="1"/>
  <c r="X1091"/>
  <c r="S1094"/>
  <c r="T1094" s="1"/>
  <c r="X1095"/>
  <c r="S1098"/>
  <c r="T1098" s="1"/>
  <c r="X1099"/>
  <c r="S1102"/>
  <c r="T1102" s="1"/>
  <c r="X1103"/>
  <c r="S1106"/>
  <c r="T1106" s="1"/>
  <c r="X1107"/>
  <c r="S1110"/>
  <c r="T1110" s="1"/>
  <c r="X1111"/>
  <c r="S1114"/>
  <c r="T1114" s="1"/>
  <c r="X1115"/>
  <c r="S1118"/>
  <c r="T1118" s="1"/>
  <c r="X1119"/>
  <c r="S1122"/>
  <c r="T1122" s="1"/>
  <c r="X1123"/>
  <c r="S1126"/>
  <c r="T1126" s="1"/>
  <c r="X1127"/>
  <c r="S1130"/>
  <c r="T1130" s="1"/>
  <c r="X1131"/>
  <c r="S1134"/>
  <c r="T1134" s="1"/>
  <c r="X1135"/>
  <c r="S1138"/>
  <c r="T1138" s="1"/>
  <c r="X1139"/>
  <c r="S1142"/>
  <c r="T1142" s="1"/>
  <c r="X1143"/>
  <c r="S1146"/>
  <c r="T1146" s="1"/>
  <c r="X1147"/>
  <c r="S1150"/>
  <c r="T1150" s="1"/>
  <c r="X1151"/>
  <c r="S1154"/>
  <c r="T1154" s="1"/>
  <c r="X1155"/>
  <c r="S1158"/>
  <c r="T1158" s="1"/>
  <c r="X1159"/>
  <c r="S1162"/>
  <c r="T1162" s="1"/>
  <c r="X1163"/>
  <c r="S1166"/>
  <c r="T1166" s="1"/>
  <c r="X1167"/>
  <c r="S1170"/>
  <c r="T1170" s="1"/>
  <c r="X1171"/>
  <c r="S1174"/>
  <c r="T1174" s="1"/>
  <c r="X1175"/>
  <c r="S1178"/>
  <c r="T1178" s="1"/>
  <c r="X1179"/>
  <c r="S1182"/>
  <c r="T1182" s="1"/>
  <c r="X1183"/>
  <c r="S1186"/>
  <c r="T1186" s="1"/>
  <c r="X1187"/>
  <c r="S1190"/>
  <c r="T1190" s="1"/>
  <c r="X1191"/>
  <c r="S1194"/>
  <c r="T1194" s="1"/>
  <c r="X1195"/>
  <c r="S1198"/>
  <c r="T1198" s="1"/>
  <c r="X1199"/>
  <c r="S1202"/>
  <c r="T1202" s="1"/>
  <c r="AD1202" s="1"/>
  <c r="X1203"/>
  <c r="S1206"/>
  <c r="T1206" s="1"/>
  <c r="X1207"/>
  <c r="S1210"/>
  <c r="T1210" s="1"/>
  <c r="X1211"/>
  <c r="S1214"/>
  <c r="T1214" s="1"/>
  <c r="AD1214" s="1"/>
  <c r="X1215"/>
  <c r="S1218"/>
  <c r="T1218" s="1"/>
  <c r="X1219"/>
  <c r="S1222"/>
  <c r="T1222" s="1"/>
  <c r="X1223"/>
  <c r="S1226"/>
  <c r="T1226" s="1"/>
  <c r="X1227"/>
  <c r="S1230"/>
  <c r="T1230" s="1"/>
  <c r="X1231"/>
  <c r="S1234"/>
  <c r="T1234" s="1"/>
  <c r="AD1234" s="1"/>
  <c r="X1235"/>
  <c r="S1238"/>
  <c r="T1238" s="1"/>
  <c r="X1239"/>
  <c r="S1242"/>
  <c r="T1242" s="1"/>
  <c r="X1243"/>
  <c r="S1246"/>
  <c r="T1246" s="1"/>
  <c r="AD1246" s="1"/>
  <c r="X1247"/>
  <c r="S1250"/>
  <c r="T1250" s="1"/>
  <c r="X1251"/>
  <c r="S1254"/>
  <c r="T1254" s="1"/>
  <c r="X1255"/>
  <c r="S1258"/>
  <c r="T1258" s="1"/>
  <c r="X1259"/>
  <c r="S1262"/>
  <c r="T1262" s="1"/>
  <c r="X1263"/>
  <c r="S1266"/>
  <c r="T1266" s="1"/>
  <c r="AD1266" s="1"/>
  <c r="X1267"/>
  <c r="S1270"/>
  <c r="T1270" s="1"/>
  <c r="X1271"/>
  <c r="X1275"/>
  <c r="X1279"/>
  <c r="X1283"/>
  <c r="X1287"/>
  <c r="X1291"/>
  <c r="X1295"/>
  <c r="X1299"/>
  <c r="X1303"/>
  <c r="X1307"/>
  <c r="X1311"/>
  <c r="X1315"/>
  <c r="X1319"/>
  <c r="X1323"/>
  <c r="X1327"/>
  <c r="X1331"/>
  <c r="X1335"/>
  <c r="X1339"/>
  <c r="X1343"/>
  <c r="Y1349"/>
  <c r="U1350"/>
  <c r="V1350" s="1"/>
  <c r="Y1353"/>
  <c r="U1354"/>
  <c r="V1354" s="1"/>
  <c r="AD1354" s="1"/>
  <c r="Y1357"/>
  <c r="U1358"/>
  <c r="V1358" s="1"/>
  <c r="AD1358" s="1"/>
  <c r="Y1361"/>
  <c r="U1362"/>
  <c r="V1362" s="1"/>
  <c r="AD1362" s="1"/>
  <c r="Y1365"/>
  <c r="U1366"/>
  <c r="V1366" s="1"/>
  <c r="AD1366" s="1"/>
  <c r="Y1369"/>
  <c r="U1370"/>
  <c r="V1370" s="1"/>
  <c r="AD1370" s="1"/>
  <c r="Y1373"/>
  <c r="U1374"/>
  <c r="V1374" s="1"/>
  <c r="AD1374" s="1"/>
  <c r="Y1377"/>
  <c r="U1378"/>
  <c r="V1378" s="1"/>
  <c r="AD1378" s="1"/>
  <c r="AD1427"/>
  <c r="AD1471"/>
  <c r="AD1528"/>
  <c r="AD1544"/>
  <c r="AD1548"/>
  <c r="AD1552"/>
  <c r="AD1556"/>
  <c r="AD1684"/>
  <c r="AB1678"/>
  <c r="AC1678" s="1"/>
  <c r="X1678"/>
  <c r="AD1678" s="1"/>
  <c r="Y1678"/>
  <c r="AA1681"/>
  <c r="S1681"/>
  <c r="T1681" s="1"/>
  <c r="AB1681"/>
  <c r="AC1681" s="1"/>
  <c r="X1681"/>
  <c r="AB1686"/>
  <c r="AC1686" s="1"/>
  <c r="X1686"/>
  <c r="AD1686" s="1"/>
  <c r="Y1686"/>
  <c r="AB1690"/>
  <c r="AC1690" s="1"/>
  <c r="X1690"/>
  <c r="AD1690" s="1"/>
  <c r="Y1690"/>
  <c r="AB1694"/>
  <c r="AC1694" s="1"/>
  <c r="X1694"/>
  <c r="AD1694" s="1"/>
  <c r="Y1694"/>
  <c r="AB1698"/>
  <c r="AC1698" s="1"/>
  <c r="X1698"/>
  <c r="AD1698" s="1"/>
  <c r="Y1698"/>
  <c r="AB1702"/>
  <c r="AC1702" s="1"/>
  <c r="AD1702" s="1"/>
  <c r="X1702"/>
  <c r="Y1702"/>
  <c r="AB1706"/>
  <c r="AC1706" s="1"/>
  <c r="X1706"/>
  <c r="Y1706"/>
  <c r="AA1706"/>
  <c r="S1706"/>
  <c r="T1706" s="1"/>
  <c r="U1815"/>
  <c r="V1815" s="1"/>
  <c r="AD1815" s="1"/>
  <c r="U1819"/>
  <c r="V1819"/>
  <c r="AD1819" s="1"/>
  <c r="U1823"/>
  <c r="V1823" s="1"/>
  <c r="AD1823" s="1"/>
  <c r="U1827"/>
  <c r="V1827"/>
  <c r="U1831"/>
  <c r="V1831" s="1"/>
  <c r="AD1831" s="1"/>
  <c r="U1835"/>
  <c r="V1835"/>
  <c r="U1851"/>
  <c r="V1851" s="1"/>
  <c r="AD1851" s="1"/>
  <c r="U1855"/>
  <c r="V1855"/>
  <c r="U1875"/>
  <c r="V1875" s="1"/>
  <c r="AD1875" s="1"/>
  <c r="U2025"/>
  <c r="V2025"/>
  <c r="Z1347"/>
  <c r="AA1347" s="1"/>
  <c r="AD1347" s="1"/>
  <c r="S1348"/>
  <c r="T1348" s="1"/>
  <c r="AD1348" s="1"/>
  <c r="AA1348"/>
  <c r="Z1351"/>
  <c r="AA1351" s="1"/>
  <c r="AD1351" s="1"/>
  <c r="S1352"/>
  <c r="T1352" s="1"/>
  <c r="AD1352" s="1"/>
  <c r="AA1352"/>
  <c r="Z1355"/>
  <c r="AA1355" s="1"/>
  <c r="S1356"/>
  <c r="T1356" s="1"/>
  <c r="AA1356"/>
  <c r="Z1359"/>
  <c r="AA1359" s="1"/>
  <c r="AD1359" s="1"/>
  <c r="S1360"/>
  <c r="T1360" s="1"/>
  <c r="AA1360"/>
  <c r="Z1363"/>
  <c r="AA1363" s="1"/>
  <c r="AD1363" s="1"/>
  <c r="S1364"/>
  <c r="T1364" s="1"/>
  <c r="AD1364" s="1"/>
  <c r="AA1364"/>
  <c r="Z1367"/>
  <c r="AA1367" s="1"/>
  <c r="AD1367" s="1"/>
  <c r="S1368"/>
  <c r="T1368" s="1"/>
  <c r="AD1368" s="1"/>
  <c r="AA1368"/>
  <c r="Z1371"/>
  <c r="AA1371" s="1"/>
  <c r="AD1371" s="1"/>
  <c r="S1372"/>
  <c r="T1372" s="1"/>
  <c r="AA1372"/>
  <c r="Z1375"/>
  <c r="AA1375" s="1"/>
  <c r="AD1375" s="1"/>
  <c r="S1376"/>
  <c r="T1376" s="1"/>
  <c r="AA1376"/>
  <c r="S1380"/>
  <c r="T1380" s="1"/>
  <c r="AD1380" s="1"/>
  <c r="AA1380"/>
  <c r="Z1383"/>
  <c r="AA1383" s="1"/>
  <c r="AD1383" s="1"/>
  <c r="S1384"/>
  <c r="T1384" s="1"/>
  <c r="AA1384"/>
  <c r="Z1387"/>
  <c r="AA1387" s="1"/>
  <c r="AD1387" s="1"/>
  <c r="S1388"/>
  <c r="T1388" s="1"/>
  <c r="AA1388"/>
  <c r="Z1391"/>
  <c r="AA1391" s="1"/>
  <c r="AD1391" s="1"/>
  <c r="S1392"/>
  <c r="T1392" s="1"/>
  <c r="AD1392" s="1"/>
  <c r="AA1392"/>
  <c r="X1393"/>
  <c r="AB1393"/>
  <c r="AC1393" s="1"/>
  <c r="Y1394"/>
  <c r="Z1395"/>
  <c r="AA1395" s="1"/>
  <c r="AD1395" s="1"/>
  <c r="S1396"/>
  <c r="T1396" s="1"/>
  <c r="AA1396"/>
  <c r="X1397"/>
  <c r="AB1397"/>
  <c r="AC1397" s="1"/>
  <c r="Y1398"/>
  <c r="Z1399"/>
  <c r="AA1399" s="1"/>
  <c r="AD1399" s="1"/>
  <c r="S1400"/>
  <c r="T1400" s="1"/>
  <c r="AD1400" s="1"/>
  <c r="AA1400"/>
  <c r="X1401"/>
  <c r="AB1401"/>
  <c r="AC1401" s="1"/>
  <c r="Y1402"/>
  <c r="Z1403"/>
  <c r="AA1403" s="1"/>
  <c r="AD1403" s="1"/>
  <c r="S1404"/>
  <c r="T1404" s="1"/>
  <c r="AA1404"/>
  <c r="X1405"/>
  <c r="AB1405"/>
  <c r="AC1405" s="1"/>
  <c r="Y1406"/>
  <c r="Z1407"/>
  <c r="AA1407" s="1"/>
  <c r="AD1407" s="1"/>
  <c r="S1408"/>
  <c r="T1408" s="1"/>
  <c r="AD1408" s="1"/>
  <c r="AA1408"/>
  <c r="X1409"/>
  <c r="AB1409"/>
  <c r="AC1409" s="1"/>
  <c r="Y1410"/>
  <c r="Z1411"/>
  <c r="AA1411" s="1"/>
  <c r="AD1411" s="1"/>
  <c r="S1412"/>
  <c r="T1412" s="1"/>
  <c r="AA1412"/>
  <c r="X1413"/>
  <c r="AB1413"/>
  <c r="AC1413" s="1"/>
  <c r="Y1414"/>
  <c r="Z1415"/>
  <c r="AA1415" s="1"/>
  <c r="AD1415" s="1"/>
  <c r="S1416"/>
  <c r="T1416" s="1"/>
  <c r="AD1416" s="1"/>
  <c r="AA1416"/>
  <c r="X1417"/>
  <c r="AB1417"/>
  <c r="AC1417" s="1"/>
  <c r="Y1418"/>
  <c r="Z1419"/>
  <c r="AA1419" s="1"/>
  <c r="S1420"/>
  <c r="T1420" s="1"/>
  <c r="AA1420"/>
  <c r="X1421"/>
  <c r="AB1421"/>
  <c r="AC1421" s="1"/>
  <c r="Y1422"/>
  <c r="Z1423"/>
  <c r="AA1423" s="1"/>
  <c r="AD1423" s="1"/>
  <c r="S1424"/>
  <c r="T1424" s="1"/>
  <c r="AD1424" s="1"/>
  <c r="AA1424"/>
  <c r="X1425"/>
  <c r="AB1425"/>
  <c r="AC1425" s="1"/>
  <c r="Y1426"/>
  <c r="S1428"/>
  <c r="T1428" s="1"/>
  <c r="AA1428"/>
  <c r="X1429"/>
  <c r="AB1429"/>
  <c r="AC1429" s="1"/>
  <c r="Y1430"/>
  <c r="Z1431"/>
  <c r="AA1431" s="1"/>
  <c r="S1432"/>
  <c r="T1432" s="1"/>
  <c r="AD1432" s="1"/>
  <c r="AA1432"/>
  <c r="X1433"/>
  <c r="AB1433"/>
  <c r="AC1433" s="1"/>
  <c r="Y1434"/>
  <c r="Z1435"/>
  <c r="AA1435" s="1"/>
  <c r="AD1435" s="1"/>
  <c r="S1436"/>
  <c r="T1436" s="1"/>
  <c r="AA1436"/>
  <c r="X1437"/>
  <c r="AB1437"/>
  <c r="AC1437" s="1"/>
  <c r="Y1438"/>
  <c r="Z1439"/>
  <c r="AA1439" s="1"/>
  <c r="AD1439" s="1"/>
  <c r="S1440"/>
  <c r="T1440" s="1"/>
  <c r="AD1440" s="1"/>
  <c r="AA1440"/>
  <c r="X1441"/>
  <c r="AB1441"/>
  <c r="AC1441" s="1"/>
  <c r="Y1442"/>
  <c r="Z1443"/>
  <c r="AA1443" s="1"/>
  <c r="AD1443" s="1"/>
  <c r="S1444"/>
  <c r="T1444" s="1"/>
  <c r="AA1444"/>
  <c r="X1445"/>
  <c r="AB1445"/>
  <c r="AC1445" s="1"/>
  <c r="Y1446"/>
  <c r="Z1447"/>
  <c r="AA1447" s="1"/>
  <c r="AD1447" s="1"/>
  <c r="S1448"/>
  <c r="T1448" s="1"/>
  <c r="AD1448" s="1"/>
  <c r="AA1448"/>
  <c r="X1449"/>
  <c r="AB1449"/>
  <c r="AC1449" s="1"/>
  <c r="Y1450"/>
  <c r="Z1451"/>
  <c r="AA1451" s="1"/>
  <c r="S1452"/>
  <c r="T1452" s="1"/>
  <c r="AD1452" s="1"/>
  <c r="AA1452"/>
  <c r="X1453"/>
  <c r="AB1453"/>
  <c r="AC1453" s="1"/>
  <c r="Y1454"/>
  <c r="Z1455"/>
  <c r="AA1455" s="1"/>
  <c r="AD1455" s="1"/>
  <c r="S1456"/>
  <c r="T1456" s="1"/>
  <c r="AD1456" s="1"/>
  <c r="AA1456"/>
  <c r="X1457"/>
  <c r="AB1457"/>
  <c r="AC1457" s="1"/>
  <c r="Y1458"/>
  <c r="Z1459"/>
  <c r="AA1459" s="1"/>
  <c r="AD1459" s="1"/>
  <c r="S1460"/>
  <c r="T1460" s="1"/>
  <c r="AD1460" s="1"/>
  <c r="AA1460"/>
  <c r="X1461"/>
  <c r="AB1461"/>
  <c r="AC1461" s="1"/>
  <c r="Y1462"/>
  <c r="Z1463"/>
  <c r="AA1463" s="1"/>
  <c r="AD1463" s="1"/>
  <c r="S1464"/>
  <c r="T1464" s="1"/>
  <c r="AD1464" s="1"/>
  <c r="AA1464"/>
  <c r="X1465"/>
  <c r="AB1465"/>
  <c r="AC1465" s="1"/>
  <c r="Y1466"/>
  <c r="Z1467"/>
  <c r="AA1467" s="1"/>
  <c r="AD1467" s="1"/>
  <c r="S1468"/>
  <c r="T1468" s="1"/>
  <c r="AD1468" s="1"/>
  <c r="AA1468"/>
  <c r="X1469"/>
  <c r="AB1469"/>
  <c r="AC1469" s="1"/>
  <c r="Y1470"/>
  <c r="Z1471"/>
  <c r="AA1471" s="1"/>
  <c r="S1472"/>
  <c r="T1472" s="1"/>
  <c r="AD1472" s="1"/>
  <c r="AA1472"/>
  <c r="X1473"/>
  <c r="AB1473"/>
  <c r="AC1473" s="1"/>
  <c r="Y1474"/>
  <c r="Z1475"/>
  <c r="AA1475" s="1"/>
  <c r="S1476"/>
  <c r="T1476" s="1"/>
  <c r="AD1476" s="1"/>
  <c r="AA1476"/>
  <c r="X1477"/>
  <c r="AB1477"/>
  <c r="AC1477" s="1"/>
  <c r="Y1478"/>
  <c r="Z1479"/>
  <c r="AA1479" s="1"/>
  <c r="S1480"/>
  <c r="T1480" s="1"/>
  <c r="AD1480" s="1"/>
  <c r="AA1480"/>
  <c r="X1481"/>
  <c r="AB1481"/>
  <c r="AC1481" s="1"/>
  <c r="Y1482"/>
  <c r="Z1483"/>
  <c r="AA1483" s="1"/>
  <c r="S1484"/>
  <c r="T1484" s="1"/>
  <c r="AD1484" s="1"/>
  <c r="AA1484"/>
  <c r="X1485"/>
  <c r="AB1485"/>
  <c r="AC1485" s="1"/>
  <c r="Y1486"/>
  <c r="Z1487"/>
  <c r="AA1487" s="1"/>
  <c r="S1488"/>
  <c r="T1488" s="1"/>
  <c r="AD1488" s="1"/>
  <c r="AA1488"/>
  <c r="X1489"/>
  <c r="AB1489"/>
  <c r="AC1489" s="1"/>
  <c r="Y1490"/>
  <c r="Z1491"/>
  <c r="AA1491" s="1"/>
  <c r="S1492"/>
  <c r="T1492" s="1"/>
  <c r="AA1492"/>
  <c r="X1493"/>
  <c r="AB1493"/>
  <c r="AC1493" s="1"/>
  <c r="Y1494"/>
  <c r="Z1495"/>
  <c r="AA1495" s="1"/>
  <c r="S1496"/>
  <c r="T1496" s="1"/>
  <c r="AA1496"/>
  <c r="X1497"/>
  <c r="AB1497"/>
  <c r="AC1497" s="1"/>
  <c r="Y1498"/>
  <c r="Z1499"/>
  <c r="AA1499" s="1"/>
  <c r="S1500"/>
  <c r="T1500" s="1"/>
  <c r="AA1500"/>
  <c r="X1501"/>
  <c r="AB1501"/>
  <c r="AC1501" s="1"/>
  <c r="Y1502"/>
  <c r="Z1503"/>
  <c r="AA1503" s="1"/>
  <c r="S1504"/>
  <c r="T1504" s="1"/>
  <c r="AA1504"/>
  <c r="X1505"/>
  <c r="AB1505"/>
  <c r="AC1505" s="1"/>
  <c r="Y1506"/>
  <c r="Z1507"/>
  <c r="AA1507" s="1"/>
  <c r="S1508"/>
  <c r="T1508" s="1"/>
  <c r="AA1508"/>
  <c r="X1509"/>
  <c r="AB1509"/>
  <c r="AC1509" s="1"/>
  <c r="Y1510"/>
  <c r="Z1511"/>
  <c r="AA1511" s="1"/>
  <c r="S1512"/>
  <c r="T1512" s="1"/>
  <c r="AA1512"/>
  <c r="X1513"/>
  <c r="AB1513"/>
  <c r="AC1513" s="1"/>
  <c r="Y1514"/>
  <c r="Z1515"/>
  <c r="AA1515" s="1"/>
  <c r="S1516"/>
  <c r="T1516" s="1"/>
  <c r="AA1516"/>
  <c r="X1517"/>
  <c r="AB1517"/>
  <c r="AC1517" s="1"/>
  <c r="Y1518"/>
  <c r="Z1519"/>
  <c r="AA1519" s="1"/>
  <c r="S1520"/>
  <c r="T1520" s="1"/>
  <c r="AA1520"/>
  <c r="X1521"/>
  <c r="AB1521"/>
  <c r="AC1521" s="1"/>
  <c r="Y1522"/>
  <c r="Z1523"/>
  <c r="AA1523" s="1"/>
  <c r="AA1524"/>
  <c r="X1525"/>
  <c r="AB1525"/>
  <c r="AC1525" s="1"/>
  <c r="Y1526"/>
  <c r="Z1527"/>
  <c r="AA1527" s="1"/>
  <c r="X1529"/>
  <c r="AB1529"/>
  <c r="AC1529" s="1"/>
  <c r="Y1530"/>
  <c r="Z1531"/>
  <c r="AA1531" s="1"/>
  <c r="X1533"/>
  <c r="AB1533"/>
  <c r="AC1533" s="1"/>
  <c r="Y1534"/>
  <c r="Z1535"/>
  <c r="AA1535" s="1"/>
  <c r="X1537"/>
  <c r="AB1537"/>
  <c r="AC1537" s="1"/>
  <c r="Y1538"/>
  <c r="Z1539"/>
  <c r="AA1539" s="1"/>
  <c r="X1541"/>
  <c r="AB1541"/>
  <c r="AC1541" s="1"/>
  <c r="Y1542"/>
  <c r="Z1543"/>
  <c r="AA1543" s="1"/>
  <c r="X1545"/>
  <c r="AB1545"/>
  <c r="AC1545" s="1"/>
  <c r="Y1546"/>
  <c r="Z1547"/>
  <c r="AA1547" s="1"/>
  <c r="X1549"/>
  <c r="AB1549"/>
  <c r="AC1549" s="1"/>
  <c r="Y1550"/>
  <c r="Z1551"/>
  <c r="AA1551" s="1"/>
  <c r="X1553"/>
  <c r="AB1553"/>
  <c r="AC1553" s="1"/>
  <c r="Y1554"/>
  <c r="Z1555"/>
  <c r="AA1555" s="1"/>
  <c r="X1557"/>
  <c r="AB1557"/>
  <c r="AC1557" s="1"/>
  <c r="Y1558"/>
  <c r="Z1559"/>
  <c r="AA1559" s="1"/>
  <c r="S1560"/>
  <c r="T1560" s="1"/>
  <c r="AA1560"/>
  <c r="X1561"/>
  <c r="AB1561"/>
  <c r="AC1561" s="1"/>
  <c r="Y1562"/>
  <c r="Z1563"/>
  <c r="AA1563" s="1"/>
  <c r="S1564"/>
  <c r="T1564" s="1"/>
  <c r="AD1564" s="1"/>
  <c r="AA1564"/>
  <c r="X1565"/>
  <c r="AB1565"/>
  <c r="AC1565" s="1"/>
  <c r="Y1566"/>
  <c r="Z1567"/>
  <c r="AA1567" s="1"/>
  <c r="S1568"/>
  <c r="T1568" s="1"/>
  <c r="AA1568"/>
  <c r="X1569"/>
  <c r="AB1569"/>
  <c r="AC1569" s="1"/>
  <c r="Y1570"/>
  <c r="Z1571"/>
  <c r="AA1571" s="1"/>
  <c r="S1572"/>
  <c r="T1572" s="1"/>
  <c r="AD1572" s="1"/>
  <c r="AA1572"/>
  <c r="X1573"/>
  <c r="AB1573"/>
  <c r="AC1573" s="1"/>
  <c r="Y1574"/>
  <c r="Z1575"/>
  <c r="AA1575" s="1"/>
  <c r="S1576"/>
  <c r="T1576" s="1"/>
  <c r="AA1576"/>
  <c r="X1577"/>
  <c r="AB1577"/>
  <c r="AC1577" s="1"/>
  <c r="Y1578"/>
  <c r="Z1579"/>
  <c r="AA1579" s="1"/>
  <c r="S1580"/>
  <c r="T1580" s="1"/>
  <c r="AD1580" s="1"/>
  <c r="AA1580"/>
  <c r="X1581"/>
  <c r="AB1581"/>
  <c r="AC1581" s="1"/>
  <c r="Y1582"/>
  <c r="Z1583"/>
  <c r="AA1583" s="1"/>
  <c r="S1584"/>
  <c r="T1584" s="1"/>
  <c r="AA1584"/>
  <c r="X1585"/>
  <c r="AB1585"/>
  <c r="AC1585" s="1"/>
  <c r="Y1586"/>
  <c r="Z1587"/>
  <c r="AA1587" s="1"/>
  <c r="S1588"/>
  <c r="T1588" s="1"/>
  <c r="AD1588" s="1"/>
  <c r="AA1588"/>
  <c r="X1589"/>
  <c r="AB1589"/>
  <c r="AC1589" s="1"/>
  <c r="Y1590"/>
  <c r="Z1591"/>
  <c r="AA1591" s="1"/>
  <c r="S1592"/>
  <c r="T1592" s="1"/>
  <c r="AA1592"/>
  <c r="X1593"/>
  <c r="AB1593"/>
  <c r="AC1593" s="1"/>
  <c r="Y1594"/>
  <c r="Z1595"/>
  <c r="AA1595" s="1"/>
  <c r="S1596"/>
  <c r="T1596" s="1"/>
  <c r="AA1596"/>
  <c r="X1597"/>
  <c r="AB1597"/>
  <c r="AC1597" s="1"/>
  <c r="Y1598"/>
  <c r="Z1599"/>
  <c r="AA1599" s="1"/>
  <c r="S1600"/>
  <c r="T1600" s="1"/>
  <c r="AA1600"/>
  <c r="X1601"/>
  <c r="AB1601"/>
  <c r="AC1601" s="1"/>
  <c r="Y1602"/>
  <c r="Z1603"/>
  <c r="AA1603" s="1"/>
  <c r="S1604"/>
  <c r="T1604" s="1"/>
  <c r="AA1604"/>
  <c r="X1605"/>
  <c r="AB1605"/>
  <c r="AC1605" s="1"/>
  <c r="Y1606"/>
  <c r="Z1607"/>
  <c r="AA1607" s="1"/>
  <c r="S1608"/>
  <c r="T1608" s="1"/>
  <c r="AA1608"/>
  <c r="X1609"/>
  <c r="AB1609"/>
  <c r="AC1609" s="1"/>
  <c r="Y1610"/>
  <c r="Z1611"/>
  <c r="AA1611" s="1"/>
  <c r="S1612"/>
  <c r="T1612" s="1"/>
  <c r="AD1612" s="1"/>
  <c r="AA1612"/>
  <c r="X1613"/>
  <c r="AB1613"/>
  <c r="AC1613" s="1"/>
  <c r="Y1614"/>
  <c r="Z1615"/>
  <c r="AA1615" s="1"/>
  <c r="S1616"/>
  <c r="T1616" s="1"/>
  <c r="AA1616"/>
  <c r="X1617"/>
  <c r="AB1617"/>
  <c r="AC1617" s="1"/>
  <c r="Y1618"/>
  <c r="Z1619"/>
  <c r="AA1619" s="1"/>
  <c r="S1620"/>
  <c r="T1620" s="1"/>
  <c r="AD1620" s="1"/>
  <c r="AA1620"/>
  <c r="X1621"/>
  <c r="AB1621"/>
  <c r="AC1621" s="1"/>
  <c r="Y1622"/>
  <c r="Z1623"/>
  <c r="AA1623" s="1"/>
  <c r="S1624"/>
  <c r="T1624" s="1"/>
  <c r="AA1624"/>
  <c r="X1625"/>
  <c r="AB1625"/>
  <c r="AC1625" s="1"/>
  <c r="Y1626"/>
  <c r="Z1627"/>
  <c r="AA1627" s="1"/>
  <c r="S1628"/>
  <c r="T1628" s="1"/>
  <c r="AD1628" s="1"/>
  <c r="AA1628"/>
  <c r="X1629"/>
  <c r="AB1629"/>
  <c r="AC1629" s="1"/>
  <c r="Y1630"/>
  <c r="Z1631"/>
  <c r="AA1631" s="1"/>
  <c r="S1632"/>
  <c r="T1632" s="1"/>
  <c r="AA1632"/>
  <c r="X1633"/>
  <c r="AB1633"/>
  <c r="AC1633" s="1"/>
  <c r="Y1634"/>
  <c r="Z1635"/>
  <c r="AA1635" s="1"/>
  <c r="S1636"/>
  <c r="T1636" s="1"/>
  <c r="AD1636" s="1"/>
  <c r="AA1636"/>
  <c r="X1637"/>
  <c r="AB1637"/>
  <c r="AC1637" s="1"/>
  <c r="Y1638"/>
  <c r="S1640"/>
  <c r="T1640" s="1"/>
  <c r="AA1640"/>
  <c r="X1641"/>
  <c r="AB1641"/>
  <c r="AC1641" s="1"/>
  <c r="Y1642"/>
  <c r="S1644"/>
  <c r="T1644" s="1"/>
  <c r="AA1644"/>
  <c r="X1645"/>
  <c r="AB1645"/>
  <c r="AC1645" s="1"/>
  <c r="Y1646"/>
  <c r="S1648"/>
  <c r="T1648" s="1"/>
  <c r="AD1648" s="1"/>
  <c r="AA1648"/>
  <c r="X1649"/>
  <c r="AB1649"/>
  <c r="AC1649" s="1"/>
  <c r="Y1650"/>
  <c r="S1652"/>
  <c r="T1652" s="1"/>
  <c r="AD1652" s="1"/>
  <c r="AA1652"/>
  <c r="X1653"/>
  <c r="AB1653"/>
  <c r="AC1653" s="1"/>
  <c r="Y1654"/>
  <c r="S1656"/>
  <c r="T1656" s="1"/>
  <c r="AA1656"/>
  <c r="X1657"/>
  <c r="AB1657"/>
  <c r="AC1657" s="1"/>
  <c r="Y1658"/>
  <c r="S1660"/>
  <c r="T1660" s="1"/>
  <c r="AA1660"/>
  <c r="X1661"/>
  <c r="AB1661"/>
  <c r="AC1661" s="1"/>
  <c r="Y1662"/>
  <c r="S1664"/>
  <c r="T1664" s="1"/>
  <c r="AD1664" s="1"/>
  <c r="AA1664"/>
  <c r="X1665"/>
  <c r="AB1665"/>
  <c r="AC1665" s="1"/>
  <c r="Y1666"/>
  <c r="S1668"/>
  <c r="T1668" s="1"/>
  <c r="AD1668" s="1"/>
  <c r="AA1668"/>
  <c r="X1669"/>
  <c r="AB1669"/>
  <c r="AC1669" s="1"/>
  <c r="Y1670"/>
  <c r="AA1671"/>
  <c r="Z1673"/>
  <c r="Z1678"/>
  <c r="AA1678" s="1"/>
  <c r="O1680"/>
  <c r="U1680" s="1"/>
  <c r="V1680" s="1"/>
  <c r="AD1680" s="1"/>
  <c r="Y1681"/>
  <c r="Z1686"/>
  <c r="AA1686" s="1"/>
  <c r="Z1690"/>
  <c r="AA1690" s="1"/>
  <c r="Z1694"/>
  <c r="AA1694" s="1"/>
  <c r="Z1698"/>
  <c r="AA1698" s="1"/>
  <c r="Z1702"/>
  <c r="AA1702" s="1"/>
  <c r="AA1713"/>
  <c r="AD1739"/>
  <c r="AA1757"/>
  <c r="AD1921"/>
  <c r="AD1937"/>
  <c r="AD1939"/>
  <c r="AD2037"/>
  <c r="AD2053"/>
  <c r="AA1689"/>
  <c r="S1689"/>
  <c r="T1689" s="1"/>
  <c r="AD1689" s="1"/>
  <c r="AB1689"/>
  <c r="AC1689" s="1"/>
  <c r="X1689"/>
  <c r="AA1693"/>
  <c r="S1693"/>
  <c r="T1693" s="1"/>
  <c r="AD1693" s="1"/>
  <c r="AB1693"/>
  <c r="AC1693" s="1"/>
  <c r="X1693"/>
  <c r="AA1697"/>
  <c r="S1697"/>
  <c r="T1697" s="1"/>
  <c r="AD1697" s="1"/>
  <c r="AB1697"/>
  <c r="AC1697" s="1"/>
  <c r="X1697"/>
  <c r="AA1701"/>
  <c r="S1701"/>
  <c r="T1701" s="1"/>
  <c r="AD1701" s="1"/>
  <c r="AB1701"/>
  <c r="AC1701" s="1"/>
  <c r="X1701"/>
  <c r="AB1710"/>
  <c r="AC1710" s="1"/>
  <c r="X1710"/>
  <c r="Y1710"/>
  <c r="AA1710"/>
  <c r="S1710"/>
  <c r="T1710" s="1"/>
  <c r="AB1714"/>
  <c r="AC1714" s="1"/>
  <c r="X1714"/>
  <c r="Y1714"/>
  <c r="AA1714"/>
  <c r="S1714"/>
  <c r="T1714" s="1"/>
  <c r="AD1714" s="1"/>
  <c r="AB1718"/>
  <c r="AC1718" s="1"/>
  <c r="X1718"/>
  <c r="Y1718"/>
  <c r="AA1718"/>
  <c r="S1718"/>
  <c r="T1718" s="1"/>
  <c r="U1994"/>
  <c r="V1994" s="1"/>
  <c r="U1998"/>
  <c r="V1998" s="1"/>
  <c r="U2002"/>
  <c r="V2002" s="1"/>
  <c r="S1393"/>
  <c r="T1393" s="1"/>
  <c r="AD1393" s="1"/>
  <c r="AA1393"/>
  <c r="X1394"/>
  <c r="AB1394"/>
  <c r="AC1394" s="1"/>
  <c r="S1397"/>
  <c r="T1397" s="1"/>
  <c r="AD1397" s="1"/>
  <c r="AA1397"/>
  <c r="X1398"/>
  <c r="AB1398"/>
  <c r="AC1398" s="1"/>
  <c r="S1401"/>
  <c r="T1401" s="1"/>
  <c r="X1402"/>
  <c r="AB1402"/>
  <c r="AC1402" s="1"/>
  <c r="S1405"/>
  <c r="T1405" s="1"/>
  <c r="AD1405" s="1"/>
  <c r="AA1405"/>
  <c r="X1406"/>
  <c r="AB1406"/>
  <c r="AC1406" s="1"/>
  <c r="S1409"/>
  <c r="T1409" s="1"/>
  <c r="AD1409" s="1"/>
  <c r="AA1409"/>
  <c r="X1410"/>
  <c r="AB1410"/>
  <c r="AC1410" s="1"/>
  <c r="S1413"/>
  <c r="T1413" s="1"/>
  <c r="AD1413" s="1"/>
  <c r="AA1413"/>
  <c r="X1414"/>
  <c r="AB1414"/>
  <c r="AC1414" s="1"/>
  <c r="S1417"/>
  <c r="T1417" s="1"/>
  <c r="X1418"/>
  <c r="AB1418"/>
  <c r="AC1418" s="1"/>
  <c r="S1421"/>
  <c r="T1421" s="1"/>
  <c r="X1422"/>
  <c r="AB1422"/>
  <c r="AC1422" s="1"/>
  <c r="S1425"/>
  <c r="T1425" s="1"/>
  <c r="X1426"/>
  <c r="AB1426"/>
  <c r="AC1426" s="1"/>
  <c r="S1429"/>
  <c r="T1429" s="1"/>
  <c r="X1430"/>
  <c r="AB1430"/>
  <c r="AC1430" s="1"/>
  <c r="O1431"/>
  <c r="U1431" s="1"/>
  <c r="V1431" s="1"/>
  <c r="AD1431" s="1"/>
  <c r="S1433"/>
  <c r="T1433" s="1"/>
  <c r="X1434"/>
  <c r="AB1434"/>
  <c r="AC1434" s="1"/>
  <c r="S1437"/>
  <c r="T1437" s="1"/>
  <c r="X1438"/>
  <c r="AB1438"/>
  <c r="AC1438" s="1"/>
  <c r="S1441"/>
  <c r="T1441" s="1"/>
  <c r="X1442"/>
  <c r="AB1442"/>
  <c r="AC1442" s="1"/>
  <c r="S1445"/>
  <c r="T1445" s="1"/>
  <c r="X1446"/>
  <c r="AB1446"/>
  <c r="AC1446" s="1"/>
  <c r="S1449"/>
  <c r="T1449" s="1"/>
  <c r="X1450"/>
  <c r="AB1450"/>
  <c r="AC1450" s="1"/>
  <c r="S1453"/>
  <c r="T1453" s="1"/>
  <c r="X1454"/>
  <c r="AB1454"/>
  <c r="AC1454" s="1"/>
  <c r="S1457"/>
  <c r="T1457" s="1"/>
  <c r="X1458"/>
  <c r="AB1458"/>
  <c r="AC1458" s="1"/>
  <c r="S1461"/>
  <c r="T1461" s="1"/>
  <c r="X1462"/>
  <c r="AB1462"/>
  <c r="AC1462" s="1"/>
  <c r="S1465"/>
  <c r="T1465" s="1"/>
  <c r="X1466"/>
  <c r="AB1466"/>
  <c r="AC1466" s="1"/>
  <c r="S1469"/>
  <c r="T1469" s="1"/>
  <c r="X1470"/>
  <c r="AB1470"/>
  <c r="AC1470" s="1"/>
  <c r="O1471"/>
  <c r="U1471" s="1"/>
  <c r="V1471" s="1"/>
  <c r="S1473"/>
  <c r="T1473" s="1"/>
  <c r="X1474"/>
  <c r="AB1474"/>
  <c r="AC1474" s="1"/>
  <c r="O1475"/>
  <c r="U1475" s="1"/>
  <c r="V1475" s="1"/>
  <c r="AD1475" s="1"/>
  <c r="S1477"/>
  <c r="T1477" s="1"/>
  <c r="AA1477"/>
  <c r="X1478"/>
  <c r="AB1478"/>
  <c r="AC1478" s="1"/>
  <c r="O1479"/>
  <c r="U1479" s="1"/>
  <c r="V1479" s="1"/>
  <c r="AD1479" s="1"/>
  <c r="S1481"/>
  <c r="T1481" s="1"/>
  <c r="X1482"/>
  <c r="AB1482"/>
  <c r="AC1482" s="1"/>
  <c r="O1483"/>
  <c r="U1483" s="1"/>
  <c r="V1483" s="1"/>
  <c r="AD1483" s="1"/>
  <c r="S1485"/>
  <c r="T1485" s="1"/>
  <c r="X1486"/>
  <c r="AB1486"/>
  <c r="AC1486" s="1"/>
  <c r="O1487"/>
  <c r="U1487" s="1"/>
  <c r="V1487" s="1"/>
  <c r="AD1487" s="1"/>
  <c r="S1489"/>
  <c r="T1489" s="1"/>
  <c r="X1490"/>
  <c r="AB1490"/>
  <c r="AC1490" s="1"/>
  <c r="O1491"/>
  <c r="S1493"/>
  <c r="T1493" s="1"/>
  <c r="AA1493"/>
  <c r="X1494"/>
  <c r="AB1494"/>
  <c r="AC1494" s="1"/>
  <c r="O1495"/>
  <c r="S1497"/>
  <c r="T1497" s="1"/>
  <c r="AD1497" s="1"/>
  <c r="AA1497"/>
  <c r="X1498"/>
  <c r="AB1498"/>
  <c r="AC1498" s="1"/>
  <c r="O1499"/>
  <c r="V1500"/>
  <c r="S1501"/>
  <c r="T1501" s="1"/>
  <c r="X1502"/>
  <c r="AB1502"/>
  <c r="AC1502" s="1"/>
  <c r="O1503"/>
  <c r="V1504"/>
  <c r="S1505"/>
  <c r="T1505" s="1"/>
  <c r="AA1505"/>
  <c r="X1506"/>
  <c r="AB1506"/>
  <c r="AC1506" s="1"/>
  <c r="O1507"/>
  <c r="V1508"/>
  <c r="S1509"/>
  <c r="T1509" s="1"/>
  <c r="X1510"/>
  <c r="AB1510"/>
  <c r="AC1510" s="1"/>
  <c r="O1511"/>
  <c r="V1512"/>
  <c r="S1513"/>
  <c r="T1513" s="1"/>
  <c r="AD1513" s="1"/>
  <c r="AA1513"/>
  <c r="X1514"/>
  <c r="AB1514"/>
  <c r="AC1514" s="1"/>
  <c r="O1515"/>
  <c r="V1516"/>
  <c r="S1517"/>
  <c r="T1517" s="1"/>
  <c r="X1518"/>
  <c r="AD1518" s="1"/>
  <c r="AB1518"/>
  <c r="AC1518" s="1"/>
  <c r="O1519"/>
  <c r="V1520"/>
  <c r="S1521"/>
  <c r="T1521" s="1"/>
  <c r="AD1521" s="1"/>
  <c r="AA1521"/>
  <c r="X1522"/>
  <c r="AD1522" s="1"/>
  <c r="AB1522"/>
  <c r="AC1522" s="1"/>
  <c r="O1523"/>
  <c r="V1524"/>
  <c r="AD1524" s="1"/>
  <c r="S1525"/>
  <c r="T1525" s="1"/>
  <c r="X1526"/>
  <c r="AD1526" s="1"/>
  <c r="AB1526"/>
  <c r="AC1526" s="1"/>
  <c r="O1527"/>
  <c r="V1528"/>
  <c r="S1529"/>
  <c r="T1529" s="1"/>
  <c r="X1530"/>
  <c r="AD1530" s="1"/>
  <c r="AB1530"/>
  <c r="AC1530" s="1"/>
  <c r="O1531"/>
  <c r="V1532"/>
  <c r="AD1532" s="1"/>
  <c r="S1533"/>
  <c r="T1533" s="1"/>
  <c r="X1534"/>
  <c r="AD1534" s="1"/>
  <c r="AB1534"/>
  <c r="AC1534" s="1"/>
  <c r="O1535"/>
  <c r="V1536"/>
  <c r="AD1536" s="1"/>
  <c r="S1537"/>
  <c r="T1537" s="1"/>
  <c r="AD1537" s="1"/>
  <c r="AA1537"/>
  <c r="X1538"/>
  <c r="AD1538" s="1"/>
  <c r="AB1538"/>
  <c r="AC1538" s="1"/>
  <c r="O1539"/>
  <c r="V1540"/>
  <c r="AD1540" s="1"/>
  <c r="S1541"/>
  <c r="T1541" s="1"/>
  <c r="X1542"/>
  <c r="AD1542" s="1"/>
  <c r="AB1542"/>
  <c r="AC1542" s="1"/>
  <c r="O1543"/>
  <c r="S1545"/>
  <c r="T1545" s="1"/>
  <c r="AA1545"/>
  <c r="X1546"/>
  <c r="AD1546" s="1"/>
  <c r="AB1546"/>
  <c r="AC1546" s="1"/>
  <c r="O1547"/>
  <c r="U1547" s="1"/>
  <c r="V1547" s="1"/>
  <c r="AD1547" s="1"/>
  <c r="S1549"/>
  <c r="T1549" s="1"/>
  <c r="AD1549" s="1"/>
  <c r="AA1549"/>
  <c r="X1550"/>
  <c r="AD1550" s="1"/>
  <c r="AB1550"/>
  <c r="AC1550" s="1"/>
  <c r="O1551"/>
  <c r="U1551" s="1"/>
  <c r="V1551" s="1"/>
  <c r="AD1551" s="1"/>
  <c r="S1553"/>
  <c r="T1553" s="1"/>
  <c r="X1554"/>
  <c r="AD1554" s="1"/>
  <c r="AB1554"/>
  <c r="AC1554" s="1"/>
  <c r="O1555"/>
  <c r="U1555" s="1"/>
  <c r="V1555" s="1"/>
  <c r="AD1555" s="1"/>
  <c r="S1557"/>
  <c r="T1557" s="1"/>
  <c r="X1558"/>
  <c r="AB1558"/>
  <c r="AC1558" s="1"/>
  <c r="O1559"/>
  <c r="S1561"/>
  <c r="T1561" s="1"/>
  <c r="AA1561"/>
  <c r="X1562"/>
  <c r="AD1562" s="1"/>
  <c r="AB1562"/>
  <c r="AC1562" s="1"/>
  <c r="O1563"/>
  <c r="U1563" s="1"/>
  <c r="V1563" s="1"/>
  <c r="AD1563" s="1"/>
  <c r="S1565"/>
  <c r="T1565" s="1"/>
  <c r="AD1565" s="1"/>
  <c r="AA1565"/>
  <c r="X1566"/>
  <c r="AD1566" s="1"/>
  <c r="AB1566"/>
  <c r="AC1566" s="1"/>
  <c r="O1567"/>
  <c r="U1567" s="1"/>
  <c r="V1567" s="1"/>
  <c r="AD1567" s="1"/>
  <c r="S1569"/>
  <c r="T1569" s="1"/>
  <c r="X1570"/>
  <c r="AB1570"/>
  <c r="AC1570" s="1"/>
  <c r="AD1570" s="1"/>
  <c r="O1571"/>
  <c r="U1571" s="1"/>
  <c r="V1571" s="1"/>
  <c r="AD1571" s="1"/>
  <c r="S1573"/>
  <c r="T1573" s="1"/>
  <c r="X1574"/>
  <c r="AD1574" s="1"/>
  <c r="AB1574"/>
  <c r="AC1574" s="1"/>
  <c r="O1575"/>
  <c r="U1575" s="1"/>
  <c r="V1575" s="1"/>
  <c r="AD1575" s="1"/>
  <c r="S1577"/>
  <c r="T1577" s="1"/>
  <c r="AA1577"/>
  <c r="X1578"/>
  <c r="AD1578" s="1"/>
  <c r="AB1578"/>
  <c r="AC1578" s="1"/>
  <c r="O1579"/>
  <c r="U1579" s="1"/>
  <c r="V1579" s="1"/>
  <c r="AD1579" s="1"/>
  <c r="S1581"/>
  <c r="T1581" s="1"/>
  <c r="AD1581" s="1"/>
  <c r="AA1581"/>
  <c r="X1582"/>
  <c r="AD1582" s="1"/>
  <c r="AB1582"/>
  <c r="AC1582" s="1"/>
  <c r="O1583"/>
  <c r="U1583" s="1"/>
  <c r="V1583" s="1"/>
  <c r="AD1583" s="1"/>
  <c r="S1585"/>
  <c r="T1585" s="1"/>
  <c r="X1586"/>
  <c r="AB1586"/>
  <c r="AC1586" s="1"/>
  <c r="AD1586" s="1"/>
  <c r="O1587"/>
  <c r="U1587" s="1"/>
  <c r="V1587" s="1"/>
  <c r="AD1587" s="1"/>
  <c r="S1589"/>
  <c r="T1589" s="1"/>
  <c r="X1590"/>
  <c r="AD1590" s="1"/>
  <c r="AB1590"/>
  <c r="AC1590" s="1"/>
  <c r="O1591"/>
  <c r="U1591" s="1"/>
  <c r="V1591" s="1"/>
  <c r="AD1591" s="1"/>
  <c r="S1593"/>
  <c r="T1593" s="1"/>
  <c r="AA1593"/>
  <c r="X1594"/>
  <c r="AD1594" s="1"/>
  <c r="AB1594"/>
  <c r="AC1594" s="1"/>
  <c r="O1595"/>
  <c r="U1595" s="1"/>
  <c r="V1595" s="1"/>
  <c r="AD1595" s="1"/>
  <c r="V1596"/>
  <c r="S1597"/>
  <c r="T1597" s="1"/>
  <c r="X1598"/>
  <c r="AD1598" s="1"/>
  <c r="AB1598"/>
  <c r="AC1598" s="1"/>
  <c r="O1599"/>
  <c r="U1599" s="1"/>
  <c r="V1599" s="1"/>
  <c r="AD1599" s="1"/>
  <c r="S1601"/>
  <c r="T1601" s="1"/>
  <c r="X1602"/>
  <c r="AD1602" s="1"/>
  <c r="AB1602"/>
  <c r="AC1602" s="1"/>
  <c r="O1603"/>
  <c r="U1603" s="1"/>
  <c r="V1603" s="1"/>
  <c r="AD1603" s="1"/>
  <c r="V1604"/>
  <c r="S1605"/>
  <c r="T1605" s="1"/>
  <c r="X1606"/>
  <c r="AB1606"/>
  <c r="AC1606" s="1"/>
  <c r="O1607"/>
  <c r="U1607" s="1"/>
  <c r="V1607" s="1"/>
  <c r="AD1607" s="1"/>
  <c r="S1609"/>
  <c r="T1609" s="1"/>
  <c r="X1610"/>
  <c r="AD1610" s="1"/>
  <c r="AB1610"/>
  <c r="AC1610" s="1"/>
  <c r="O1611"/>
  <c r="U1611" s="1"/>
  <c r="V1611" s="1"/>
  <c r="AD1611" s="1"/>
  <c r="S1613"/>
  <c r="T1613" s="1"/>
  <c r="X1614"/>
  <c r="AD1614" s="1"/>
  <c r="AB1614"/>
  <c r="AC1614" s="1"/>
  <c r="O1615"/>
  <c r="U1615" s="1"/>
  <c r="V1615" s="1"/>
  <c r="AD1615" s="1"/>
  <c r="S1617"/>
  <c r="T1617" s="1"/>
  <c r="AA1617"/>
  <c r="X1618"/>
  <c r="AB1618"/>
  <c r="AC1618" s="1"/>
  <c r="O1619"/>
  <c r="U1619" s="1"/>
  <c r="V1619" s="1"/>
  <c r="AD1619" s="1"/>
  <c r="S1621"/>
  <c r="T1621" s="1"/>
  <c r="X1622"/>
  <c r="AB1622"/>
  <c r="AC1622" s="1"/>
  <c r="O1623"/>
  <c r="U1623" s="1"/>
  <c r="V1623" s="1"/>
  <c r="AD1623" s="1"/>
  <c r="S1625"/>
  <c r="T1625" s="1"/>
  <c r="X1626"/>
  <c r="AD1626" s="1"/>
  <c r="AB1626"/>
  <c r="AC1626" s="1"/>
  <c r="O1627"/>
  <c r="U1627" s="1"/>
  <c r="V1627" s="1"/>
  <c r="AD1627" s="1"/>
  <c r="S1629"/>
  <c r="T1629" s="1"/>
  <c r="X1630"/>
  <c r="AD1630" s="1"/>
  <c r="AB1630"/>
  <c r="AC1630" s="1"/>
  <c r="O1631"/>
  <c r="U1631" s="1"/>
  <c r="V1631" s="1"/>
  <c r="AD1631" s="1"/>
  <c r="S1633"/>
  <c r="T1633" s="1"/>
  <c r="AA1633"/>
  <c r="X1634"/>
  <c r="AB1634"/>
  <c r="AC1634" s="1"/>
  <c r="O1635"/>
  <c r="U1635" s="1"/>
  <c r="V1635" s="1"/>
  <c r="AD1635" s="1"/>
  <c r="S1637"/>
  <c r="T1637" s="1"/>
  <c r="X1638"/>
  <c r="AB1638"/>
  <c r="AC1638" s="1"/>
  <c r="O1639"/>
  <c r="V1640"/>
  <c r="S1641"/>
  <c r="T1641" s="1"/>
  <c r="X1642"/>
  <c r="AB1642"/>
  <c r="AC1642" s="1"/>
  <c r="O1643"/>
  <c r="V1644"/>
  <c r="S1645"/>
  <c r="T1645" s="1"/>
  <c r="AD1645" s="1"/>
  <c r="AA1645"/>
  <c r="X1646"/>
  <c r="AD1646" s="1"/>
  <c r="AB1646"/>
  <c r="AC1646" s="1"/>
  <c r="O1647"/>
  <c r="U1647" s="1"/>
  <c r="V1647" s="1"/>
  <c r="AD1647" s="1"/>
  <c r="S1649"/>
  <c r="T1649" s="1"/>
  <c r="X1650"/>
  <c r="AB1650"/>
  <c r="AC1650" s="1"/>
  <c r="AD1650" s="1"/>
  <c r="O1651"/>
  <c r="U1651" s="1"/>
  <c r="V1651" s="1"/>
  <c r="AD1651" s="1"/>
  <c r="S1653"/>
  <c r="T1653" s="1"/>
  <c r="X1654"/>
  <c r="AD1654" s="1"/>
  <c r="AB1654"/>
  <c r="AC1654" s="1"/>
  <c r="O1655"/>
  <c r="U1655" s="1"/>
  <c r="V1655" s="1"/>
  <c r="AD1655" s="1"/>
  <c r="S1657"/>
  <c r="T1657" s="1"/>
  <c r="AA1657"/>
  <c r="X1658"/>
  <c r="AB1658"/>
  <c r="AC1658" s="1"/>
  <c r="O1659"/>
  <c r="U1659" s="1"/>
  <c r="V1659" s="1"/>
  <c r="AD1659" s="1"/>
  <c r="V1660"/>
  <c r="S1661"/>
  <c r="T1661" s="1"/>
  <c r="X1662"/>
  <c r="AB1662"/>
  <c r="AC1662" s="1"/>
  <c r="O1663"/>
  <c r="U1663" s="1"/>
  <c r="V1663" s="1"/>
  <c r="AD1663" s="1"/>
  <c r="S1665"/>
  <c r="T1665" s="1"/>
  <c r="X1666"/>
  <c r="AD1666" s="1"/>
  <c r="AB1666"/>
  <c r="AC1666" s="1"/>
  <c r="O1667"/>
  <c r="U1667" s="1"/>
  <c r="V1667" s="1"/>
  <c r="AD1667" s="1"/>
  <c r="S1669"/>
  <c r="T1669" s="1"/>
  <c r="X1670"/>
  <c r="AB1670"/>
  <c r="AC1670" s="1"/>
  <c r="O1671"/>
  <c r="S1674"/>
  <c r="T1674" s="1"/>
  <c r="S1682"/>
  <c r="T1682" s="1"/>
  <c r="Y1689"/>
  <c r="Y1693"/>
  <c r="Y1697"/>
  <c r="Y1701"/>
  <c r="AD1735"/>
  <c r="AA1769"/>
  <c r="AD1925"/>
  <c r="AD1941"/>
  <c r="AD1965"/>
  <c r="AD2033"/>
  <c r="AD2049"/>
  <c r="AB1674"/>
  <c r="AC1674" s="1"/>
  <c r="X1674"/>
  <c r="Y1674"/>
  <c r="AA1677"/>
  <c r="S1677"/>
  <c r="T1677" s="1"/>
  <c r="AB1677"/>
  <c r="AC1677" s="1"/>
  <c r="X1677"/>
  <c r="AB1682"/>
  <c r="AC1682" s="1"/>
  <c r="X1682"/>
  <c r="Y1682"/>
  <c r="AA1685"/>
  <c r="S1685"/>
  <c r="T1685" s="1"/>
  <c r="AB1685"/>
  <c r="AC1685" s="1"/>
  <c r="X1685"/>
  <c r="V1816"/>
  <c r="U1816"/>
  <c r="U1820"/>
  <c r="V1820" s="1"/>
  <c r="V1824"/>
  <c r="U1824"/>
  <c r="U1832"/>
  <c r="V1832" s="1"/>
  <c r="V1836"/>
  <c r="U1836"/>
  <c r="U1856"/>
  <c r="V1856" s="1"/>
  <c r="V1876"/>
  <c r="U1876"/>
  <c r="U1996"/>
  <c r="V1996" s="1"/>
  <c r="V2000"/>
  <c r="U2000"/>
  <c r="S1394"/>
  <c r="T1394" s="1"/>
  <c r="AA1394"/>
  <c r="S1398"/>
  <c r="T1398" s="1"/>
  <c r="AD1398" s="1"/>
  <c r="AA1398"/>
  <c r="Z1401"/>
  <c r="AA1401" s="1"/>
  <c r="S1402"/>
  <c r="T1402" s="1"/>
  <c r="AD1402" s="1"/>
  <c r="AA1402"/>
  <c r="S1406"/>
  <c r="T1406" s="1"/>
  <c r="AD1406" s="1"/>
  <c r="AA1406"/>
  <c r="S1410"/>
  <c r="T1410" s="1"/>
  <c r="AD1410" s="1"/>
  <c r="AA1410"/>
  <c r="S1414"/>
  <c r="T1414" s="1"/>
  <c r="AD1414" s="1"/>
  <c r="AA1414"/>
  <c r="Z1417"/>
  <c r="AA1417" s="1"/>
  <c r="S1418"/>
  <c r="T1418" s="1"/>
  <c r="AD1418" s="1"/>
  <c r="AA1418"/>
  <c r="Z1421"/>
  <c r="AA1421" s="1"/>
  <c r="S1422"/>
  <c r="T1422" s="1"/>
  <c r="AD1422" s="1"/>
  <c r="AA1422"/>
  <c r="Z1425"/>
  <c r="AA1425" s="1"/>
  <c r="S1426"/>
  <c r="T1426" s="1"/>
  <c r="AA1426"/>
  <c r="Z1429"/>
  <c r="AA1429" s="1"/>
  <c r="S1430"/>
  <c r="T1430" s="1"/>
  <c r="AD1430" s="1"/>
  <c r="AA1430"/>
  <c r="Z1433"/>
  <c r="AA1433" s="1"/>
  <c r="S1434"/>
  <c r="T1434" s="1"/>
  <c r="AA1434"/>
  <c r="Z1437"/>
  <c r="AA1437" s="1"/>
  <c r="S1438"/>
  <c r="T1438" s="1"/>
  <c r="AD1438" s="1"/>
  <c r="AA1438"/>
  <c r="Z1441"/>
  <c r="AA1441" s="1"/>
  <c r="S1442"/>
  <c r="T1442" s="1"/>
  <c r="AA1442"/>
  <c r="Z1445"/>
  <c r="AA1445" s="1"/>
  <c r="S1446"/>
  <c r="T1446" s="1"/>
  <c r="AA1446"/>
  <c r="Z1449"/>
  <c r="AA1449" s="1"/>
  <c r="S1450"/>
  <c r="T1450" s="1"/>
  <c r="AA1450"/>
  <c r="Z1453"/>
  <c r="AA1453" s="1"/>
  <c r="S1454"/>
  <c r="T1454" s="1"/>
  <c r="AD1454" s="1"/>
  <c r="AA1454"/>
  <c r="Z1457"/>
  <c r="AA1457" s="1"/>
  <c r="S1458"/>
  <c r="T1458" s="1"/>
  <c r="AA1458"/>
  <c r="Z1461"/>
  <c r="AA1461" s="1"/>
  <c r="S1462"/>
  <c r="T1462" s="1"/>
  <c r="AA1462"/>
  <c r="Z1465"/>
  <c r="AA1465" s="1"/>
  <c r="S1466"/>
  <c r="T1466" s="1"/>
  <c r="AA1466"/>
  <c r="Z1469"/>
  <c r="AA1469" s="1"/>
  <c r="S1470"/>
  <c r="T1470" s="1"/>
  <c r="AD1470" s="1"/>
  <c r="AA1470"/>
  <c r="Z1473"/>
  <c r="AA1473" s="1"/>
  <c r="S1474"/>
  <c r="T1474" s="1"/>
  <c r="AA1474"/>
  <c r="Z1477"/>
  <c r="S1478"/>
  <c r="T1478" s="1"/>
  <c r="AA1478"/>
  <c r="Z1481"/>
  <c r="AA1481" s="1"/>
  <c r="S1482"/>
  <c r="T1482" s="1"/>
  <c r="AD1482" s="1"/>
  <c r="AA1482"/>
  <c r="Z1485"/>
  <c r="AA1485" s="1"/>
  <c r="S1486"/>
  <c r="T1486" s="1"/>
  <c r="AD1486" s="1"/>
  <c r="AA1486"/>
  <c r="Z1489"/>
  <c r="AA1489" s="1"/>
  <c r="S1490"/>
  <c r="T1490" s="1"/>
  <c r="AA1490"/>
  <c r="V1493"/>
  <c r="Z1493"/>
  <c r="S1494"/>
  <c r="T1494" s="1"/>
  <c r="AA1494"/>
  <c r="V1497"/>
  <c r="Z1497"/>
  <c r="S1498"/>
  <c r="T1498" s="1"/>
  <c r="AA1498"/>
  <c r="V1501"/>
  <c r="Z1501"/>
  <c r="AA1501" s="1"/>
  <c r="S1502"/>
  <c r="T1502" s="1"/>
  <c r="AA1502"/>
  <c r="V1505"/>
  <c r="Z1505"/>
  <c r="S1506"/>
  <c r="T1506" s="1"/>
  <c r="AA1506"/>
  <c r="V1509"/>
  <c r="Z1509"/>
  <c r="AA1509" s="1"/>
  <c r="S1510"/>
  <c r="T1510" s="1"/>
  <c r="AA1510"/>
  <c r="V1513"/>
  <c r="Z1513"/>
  <c r="S1514"/>
  <c r="T1514" s="1"/>
  <c r="AA1514"/>
  <c r="V1517"/>
  <c r="Z1517"/>
  <c r="AA1517" s="1"/>
  <c r="Z1521"/>
  <c r="Z1525"/>
  <c r="AA1525" s="1"/>
  <c r="Z1529"/>
  <c r="AA1529" s="1"/>
  <c r="Z1533"/>
  <c r="AA1533" s="1"/>
  <c r="Z1537"/>
  <c r="Z1541"/>
  <c r="AA1541" s="1"/>
  <c r="Z1545"/>
  <c r="Z1549"/>
  <c r="Z1553"/>
  <c r="AA1553" s="1"/>
  <c r="Z1557"/>
  <c r="AA1557" s="1"/>
  <c r="Z1561"/>
  <c r="Z1565"/>
  <c r="Z1569"/>
  <c r="AA1569" s="1"/>
  <c r="Z1573"/>
  <c r="AA1573" s="1"/>
  <c r="Z1577"/>
  <c r="Z1581"/>
  <c r="Z1585"/>
  <c r="AA1585" s="1"/>
  <c r="Z1589"/>
  <c r="AA1589" s="1"/>
  <c r="Z1593"/>
  <c r="Z1597"/>
  <c r="AA1597" s="1"/>
  <c r="Z1601"/>
  <c r="AA1601" s="1"/>
  <c r="Z1605"/>
  <c r="AA1605" s="1"/>
  <c r="Z1609"/>
  <c r="AA1609" s="1"/>
  <c r="Z1613"/>
  <c r="AA1613" s="1"/>
  <c r="Z1617"/>
  <c r="Z1621"/>
  <c r="AA1621" s="1"/>
  <c r="Z1625"/>
  <c r="AA1625" s="1"/>
  <c r="Z1629"/>
  <c r="AA1629" s="1"/>
  <c r="Z1633"/>
  <c r="Z1637"/>
  <c r="AA1637" s="1"/>
  <c r="Z1641"/>
  <c r="AA1641" s="1"/>
  <c r="Z1645"/>
  <c r="Z1649"/>
  <c r="AA1649" s="1"/>
  <c r="Z1653"/>
  <c r="AA1653" s="1"/>
  <c r="Z1657"/>
  <c r="Z1661"/>
  <c r="AA1661" s="1"/>
  <c r="Z1665"/>
  <c r="AA1665" s="1"/>
  <c r="Z1669"/>
  <c r="AA1669" s="1"/>
  <c r="Z1674"/>
  <c r="AA1674" s="1"/>
  <c r="Y1677"/>
  <c r="Z1682"/>
  <c r="AA1682" s="1"/>
  <c r="Y1685"/>
  <c r="AD1751"/>
  <c r="AD1787"/>
  <c r="AD1795"/>
  <c r="AA1797"/>
  <c r="AD1803"/>
  <c r="AD1811"/>
  <c r="AA1813"/>
  <c r="AA1821"/>
  <c r="AD1827"/>
  <c r="AA1829"/>
  <c r="AD1835"/>
  <c r="AA1837"/>
  <c r="AD1843"/>
  <c r="AA1853"/>
  <c r="AD1859"/>
  <c r="AA1861"/>
  <c r="AD1867"/>
  <c r="AA1877"/>
  <c r="AD1883"/>
  <c r="AD1891"/>
  <c r="AA1893"/>
  <c r="AD1899"/>
  <c r="AD1929"/>
  <c r="AA1673"/>
  <c r="S1673"/>
  <c r="T1673" s="1"/>
  <c r="AD1673" s="1"/>
  <c r="U1814"/>
  <c r="V1814" s="1"/>
  <c r="U1818"/>
  <c r="V1818"/>
  <c r="U1822"/>
  <c r="V1822" s="1"/>
  <c r="U1826"/>
  <c r="V1826"/>
  <c r="U1834"/>
  <c r="V1834" s="1"/>
  <c r="U1854"/>
  <c r="V1854"/>
  <c r="U1862"/>
  <c r="V1862" s="1"/>
  <c r="U1874"/>
  <c r="V1874"/>
  <c r="V1992"/>
  <c r="U1992"/>
  <c r="U2024"/>
  <c r="V2024" s="1"/>
  <c r="AB1673"/>
  <c r="AC1673" s="1"/>
  <c r="U1674"/>
  <c r="V1674" s="1"/>
  <c r="U1682"/>
  <c r="V1682" s="1"/>
  <c r="AA1709"/>
  <c r="AA1749"/>
  <c r="AA1785"/>
  <c r="AD1981"/>
  <c r="AB2059"/>
  <c r="AC2059" s="1"/>
  <c r="X2059"/>
  <c r="AD2059" s="1"/>
  <c r="Y2059"/>
  <c r="U2071"/>
  <c r="V2071"/>
  <c r="AD2071" s="1"/>
  <c r="U2091"/>
  <c r="V2091" s="1"/>
  <c r="AD2091" s="1"/>
  <c r="U2334"/>
  <c r="V2334" s="1"/>
  <c r="U2371"/>
  <c r="V2371" s="1"/>
  <c r="AD2371" s="1"/>
  <c r="U2422"/>
  <c r="V2422" s="1"/>
  <c r="AD2422" s="1"/>
  <c r="Z1705"/>
  <c r="AA1705" s="1"/>
  <c r="Z1709"/>
  <c r="Z1713"/>
  <c r="Z1717"/>
  <c r="AA1717" s="1"/>
  <c r="Z1721"/>
  <c r="AA1721" s="1"/>
  <c r="S1722"/>
  <c r="T1722" s="1"/>
  <c r="Z1725"/>
  <c r="AA1725" s="1"/>
  <c r="S1726"/>
  <c r="T1726" s="1"/>
  <c r="Z1729"/>
  <c r="AA1729" s="1"/>
  <c r="S1730"/>
  <c r="T1730" s="1"/>
  <c r="AD1730" s="1"/>
  <c r="AA1730"/>
  <c r="Z1733"/>
  <c r="AA1733" s="1"/>
  <c r="S1734"/>
  <c r="T1734" s="1"/>
  <c r="AA1734"/>
  <c r="Z1737"/>
  <c r="AA1737" s="1"/>
  <c r="S1738"/>
  <c r="T1738" s="1"/>
  <c r="Z1741"/>
  <c r="AA1741" s="1"/>
  <c r="S1742"/>
  <c r="T1742" s="1"/>
  <c r="Z1745"/>
  <c r="AA1745" s="1"/>
  <c r="S1746"/>
  <c r="T1746" s="1"/>
  <c r="AD1746" s="1"/>
  <c r="AA1746"/>
  <c r="Z1749"/>
  <c r="S1750"/>
  <c r="T1750" s="1"/>
  <c r="AA1750"/>
  <c r="Z1753"/>
  <c r="AA1753" s="1"/>
  <c r="S1754"/>
  <c r="T1754" s="1"/>
  <c r="O1756"/>
  <c r="U1756" s="1"/>
  <c r="V1756" s="1"/>
  <c r="AD1756" s="1"/>
  <c r="Z1757"/>
  <c r="S1758"/>
  <c r="T1758" s="1"/>
  <c r="Z1761"/>
  <c r="AA1761" s="1"/>
  <c r="S1762"/>
  <c r="T1762" s="1"/>
  <c r="Z1765"/>
  <c r="AA1765" s="1"/>
  <c r="S1766"/>
  <c r="T1766" s="1"/>
  <c r="AD1766" s="1"/>
  <c r="AA1766"/>
  <c r="Z1769"/>
  <c r="S1770"/>
  <c r="T1770" s="1"/>
  <c r="Z1773"/>
  <c r="AA1773" s="1"/>
  <c r="S1774"/>
  <c r="T1774" s="1"/>
  <c r="Z1777"/>
  <c r="AA1777" s="1"/>
  <c r="S1778"/>
  <c r="T1778" s="1"/>
  <c r="Z1781"/>
  <c r="AA1781" s="1"/>
  <c r="S1782"/>
  <c r="T1782" s="1"/>
  <c r="AD1782" s="1"/>
  <c r="AA1782"/>
  <c r="Z1785"/>
  <c r="S1786"/>
  <c r="T1786" s="1"/>
  <c r="Z1789"/>
  <c r="AA1789" s="1"/>
  <c r="S1790"/>
  <c r="T1790" s="1"/>
  <c r="Z1793"/>
  <c r="AA1793" s="1"/>
  <c r="S1794"/>
  <c r="T1794" s="1"/>
  <c r="Z1797"/>
  <c r="S1798"/>
  <c r="T1798" s="1"/>
  <c r="AD1798" s="1"/>
  <c r="AA1798"/>
  <c r="Z1801"/>
  <c r="AA1801" s="1"/>
  <c r="S1802"/>
  <c r="T1802" s="1"/>
  <c r="Z1805"/>
  <c r="AA1805" s="1"/>
  <c r="S1806"/>
  <c r="T1806" s="1"/>
  <c r="Z1809"/>
  <c r="AA1809" s="1"/>
  <c r="S1810"/>
  <c r="T1810" s="1"/>
  <c r="Z1813"/>
  <c r="S1814"/>
  <c r="T1814" s="1"/>
  <c r="AA1814"/>
  <c r="V1817"/>
  <c r="Z1817"/>
  <c r="AA1817" s="1"/>
  <c r="S1818"/>
  <c r="T1818" s="1"/>
  <c r="V1821"/>
  <c r="Z1821"/>
  <c r="S1822"/>
  <c r="T1822" s="1"/>
  <c r="V1825"/>
  <c r="Z1825"/>
  <c r="AA1825" s="1"/>
  <c r="S1826"/>
  <c r="T1826" s="1"/>
  <c r="AA1826"/>
  <c r="V1829"/>
  <c r="Z1829"/>
  <c r="S1830"/>
  <c r="T1830" s="1"/>
  <c r="AD1830" s="1"/>
  <c r="AA1830"/>
  <c r="V1833"/>
  <c r="Z1833"/>
  <c r="AA1833" s="1"/>
  <c r="S1834"/>
  <c r="T1834" s="1"/>
  <c r="Z1837"/>
  <c r="S1838"/>
  <c r="T1838" s="1"/>
  <c r="AA1838"/>
  <c r="Z1841"/>
  <c r="AA1841" s="1"/>
  <c r="S1842"/>
  <c r="T1842" s="1"/>
  <c r="Z1845"/>
  <c r="AA1845" s="1"/>
  <c r="S1846"/>
  <c r="T1846" s="1"/>
  <c r="Z1849"/>
  <c r="AA1849" s="1"/>
  <c r="S1850"/>
  <c r="T1850" s="1"/>
  <c r="V1853"/>
  <c r="Z1853"/>
  <c r="S1854"/>
  <c r="T1854" s="1"/>
  <c r="V1857"/>
  <c r="Z1857"/>
  <c r="AA1857" s="1"/>
  <c r="S1858"/>
  <c r="T1858" s="1"/>
  <c r="AD1858" s="1"/>
  <c r="AA1858"/>
  <c r="Z1861"/>
  <c r="S1862"/>
  <c r="T1862" s="1"/>
  <c r="AA1862"/>
  <c r="Z1865"/>
  <c r="AA1865" s="1"/>
  <c r="S1866"/>
  <c r="T1866" s="1"/>
  <c r="Z1869"/>
  <c r="AA1869" s="1"/>
  <c r="S1870"/>
  <c r="T1870" s="1"/>
  <c r="Z1873"/>
  <c r="AA1873" s="1"/>
  <c r="S1874"/>
  <c r="T1874" s="1"/>
  <c r="AA1874"/>
  <c r="Z1877"/>
  <c r="S1878"/>
  <c r="T1878" s="1"/>
  <c r="AA1878"/>
  <c r="Z1881"/>
  <c r="AA1881" s="1"/>
  <c r="S1882"/>
  <c r="T1882" s="1"/>
  <c r="Z1885"/>
  <c r="AA1885" s="1"/>
  <c r="S1886"/>
  <c r="T1886" s="1"/>
  <c r="Z1889"/>
  <c r="AA1889" s="1"/>
  <c r="S1890"/>
  <c r="T1890" s="1"/>
  <c r="AD1890" s="1"/>
  <c r="AA1890"/>
  <c r="Z1893"/>
  <c r="S1894"/>
  <c r="T1894" s="1"/>
  <c r="AA1894"/>
  <c r="Z1897"/>
  <c r="AA1897" s="1"/>
  <c r="S1898"/>
  <c r="T1898" s="1"/>
  <c r="Z1901"/>
  <c r="AA1901" s="1"/>
  <c r="S1902"/>
  <c r="T1902" s="1"/>
  <c r="Y1904"/>
  <c r="Z1905"/>
  <c r="AA1905" s="1"/>
  <c r="S1906"/>
  <c r="T1906" s="1"/>
  <c r="AB1907"/>
  <c r="AC1907" s="1"/>
  <c r="Y1908"/>
  <c r="Z1909"/>
  <c r="AA1909" s="1"/>
  <c r="S1910"/>
  <c r="T1910" s="1"/>
  <c r="X1911"/>
  <c r="AD1911" s="1"/>
  <c r="AB1911"/>
  <c r="AC1911" s="1"/>
  <c r="Y1912"/>
  <c r="Z1913"/>
  <c r="AA1913" s="1"/>
  <c r="S1914"/>
  <c r="T1914" s="1"/>
  <c r="X1915"/>
  <c r="AD1915" s="1"/>
  <c r="AB1915"/>
  <c r="AC1915" s="1"/>
  <c r="Y1916"/>
  <c r="Z1917"/>
  <c r="AA1917" s="1"/>
  <c r="S1918"/>
  <c r="T1918" s="1"/>
  <c r="X1919"/>
  <c r="AD1919" s="1"/>
  <c r="AB1919"/>
  <c r="AC1919" s="1"/>
  <c r="Y1920"/>
  <c r="S1922"/>
  <c r="T1922" s="1"/>
  <c r="AA1922"/>
  <c r="X1923"/>
  <c r="AD1923" s="1"/>
  <c r="AB1923"/>
  <c r="AC1923" s="1"/>
  <c r="Y1924"/>
  <c r="S1926"/>
  <c r="T1926" s="1"/>
  <c r="AA1926"/>
  <c r="X1927"/>
  <c r="AD1927" s="1"/>
  <c r="AB1927"/>
  <c r="AC1927" s="1"/>
  <c r="Y1928"/>
  <c r="S1930"/>
  <c r="T1930" s="1"/>
  <c r="X1931"/>
  <c r="AB1931"/>
  <c r="AC1931" s="1"/>
  <c r="AD1931" s="1"/>
  <c r="Y1932"/>
  <c r="S1934"/>
  <c r="T1934" s="1"/>
  <c r="X1935"/>
  <c r="AD1935" s="1"/>
  <c r="AB1935"/>
  <c r="AC1935" s="1"/>
  <c r="Y1936"/>
  <c r="S1938"/>
  <c r="T1938" s="1"/>
  <c r="AA1938"/>
  <c r="X1939"/>
  <c r="AB1939"/>
  <c r="AC1939" s="1"/>
  <c r="Y1940"/>
  <c r="S1942"/>
  <c r="T1942" s="1"/>
  <c r="AA1942"/>
  <c r="X1943"/>
  <c r="AD1943" s="1"/>
  <c r="AB1943"/>
  <c r="AC1943" s="1"/>
  <c r="Y1944"/>
  <c r="S1946"/>
  <c r="T1946" s="1"/>
  <c r="X1947"/>
  <c r="AD1947" s="1"/>
  <c r="AB1947"/>
  <c r="AC1947" s="1"/>
  <c r="Y1948"/>
  <c r="S1950"/>
  <c r="T1950" s="1"/>
  <c r="X1951"/>
  <c r="AD1951" s="1"/>
  <c r="AB1951"/>
  <c r="AC1951" s="1"/>
  <c r="Y1952"/>
  <c r="Z1953"/>
  <c r="AA1953" s="1"/>
  <c r="AD1953" s="1"/>
  <c r="S1954"/>
  <c r="T1954" s="1"/>
  <c r="AD1954" s="1"/>
  <c r="AA1954"/>
  <c r="X1955"/>
  <c r="AB1955"/>
  <c r="AC1955" s="1"/>
  <c r="Y1956"/>
  <c r="Z1957"/>
  <c r="AA1957" s="1"/>
  <c r="AD1957" s="1"/>
  <c r="S1958"/>
  <c r="T1958" s="1"/>
  <c r="AD1958" s="1"/>
  <c r="AA1958"/>
  <c r="X1959"/>
  <c r="AB1959"/>
  <c r="AC1959" s="1"/>
  <c r="Y1960"/>
  <c r="Z1961"/>
  <c r="AA1961" s="1"/>
  <c r="AD1961" s="1"/>
  <c r="S1962"/>
  <c r="T1962" s="1"/>
  <c r="AD1962" s="1"/>
  <c r="AA1962"/>
  <c r="X1963"/>
  <c r="AB1963"/>
  <c r="AC1963" s="1"/>
  <c r="Y1964"/>
  <c r="S1966"/>
  <c r="T1966" s="1"/>
  <c r="AD1966" s="1"/>
  <c r="AA1966"/>
  <c r="X1967"/>
  <c r="AB1967"/>
  <c r="AC1967" s="1"/>
  <c r="Y1968"/>
  <c r="S1970"/>
  <c r="T1970" s="1"/>
  <c r="AD1970" s="1"/>
  <c r="AA1970"/>
  <c r="X1971"/>
  <c r="AB1971"/>
  <c r="AC1971" s="1"/>
  <c r="Y1972"/>
  <c r="S1974"/>
  <c r="T1974" s="1"/>
  <c r="AA1974"/>
  <c r="X1975"/>
  <c r="AB1975"/>
  <c r="AC1975" s="1"/>
  <c r="Y1976"/>
  <c r="S1978"/>
  <c r="T1978" s="1"/>
  <c r="AD1978" s="1"/>
  <c r="AA1978"/>
  <c r="X1979"/>
  <c r="AB1979"/>
  <c r="AC1979" s="1"/>
  <c r="Y1980"/>
  <c r="Z1981"/>
  <c r="AA1981" s="1"/>
  <c r="S1982"/>
  <c r="T1982" s="1"/>
  <c r="AD1982" s="1"/>
  <c r="AA1982"/>
  <c r="X1983"/>
  <c r="AB1983"/>
  <c r="AC1983" s="1"/>
  <c r="Y1984"/>
  <c r="Z1985"/>
  <c r="AA1985" s="1"/>
  <c r="S1986"/>
  <c r="T1986" s="1"/>
  <c r="AD1986" s="1"/>
  <c r="AA1986"/>
  <c r="X1987"/>
  <c r="AB1987"/>
  <c r="AC1987" s="1"/>
  <c r="Y1988"/>
  <c r="Z1989"/>
  <c r="AA1989" s="1"/>
  <c r="S1990"/>
  <c r="T1990" s="1"/>
  <c r="AD1990" s="1"/>
  <c r="AA1990"/>
  <c r="X1991"/>
  <c r="AB1991"/>
  <c r="AC1991" s="1"/>
  <c r="Y1992"/>
  <c r="Z1993"/>
  <c r="AA1993" s="1"/>
  <c r="S1994"/>
  <c r="T1994" s="1"/>
  <c r="AA1994"/>
  <c r="X1995"/>
  <c r="AB1995"/>
  <c r="AC1995" s="1"/>
  <c r="Y1996"/>
  <c r="Z1997"/>
  <c r="AA1997" s="1"/>
  <c r="S1998"/>
  <c r="T1998" s="1"/>
  <c r="AA1998"/>
  <c r="X1999"/>
  <c r="AB1999"/>
  <c r="AC1999" s="1"/>
  <c r="Y2000"/>
  <c r="Z2001"/>
  <c r="AA2001" s="1"/>
  <c r="S2002"/>
  <c r="T2002" s="1"/>
  <c r="AA2002"/>
  <c r="X2003"/>
  <c r="AB2003"/>
  <c r="AC2003" s="1"/>
  <c r="Y2004"/>
  <c r="Z2005"/>
  <c r="AA2005" s="1"/>
  <c r="AD2005" s="1"/>
  <c r="S2006"/>
  <c r="T2006" s="1"/>
  <c r="AD2006" s="1"/>
  <c r="AA2006"/>
  <c r="X2007"/>
  <c r="AB2007"/>
  <c r="AC2007" s="1"/>
  <c r="Y2008"/>
  <c r="Z2009"/>
  <c r="AA2009" s="1"/>
  <c r="AD2009" s="1"/>
  <c r="S2010"/>
  <c r="T2010" s="1"/>
  <c r="AD2010" s="1"/>
  <c r="AA2010"/>
  <c r="X2011"/>
  <c r="AB2011"/>
  <c r="AC2011" s="1"/>
  <c r="Y2012"/>
  <c r="Z2013"/>
  <c r="AA2013" s="1"/>
  <c r="AD2013" s="1"/>
  <c r="S2014"/>
  <c r="T2014" s="1"/>
  <c r="AD2014" s="1"/>
  <c r="AA2014"/>
  <c r="X2015"/>
  <c r="AB2015"/>
  <c r="AC2015" s="1"/>
  <c r="Y2016"/>
  <c r="Z2017"/>
  <c r="AA2017" s="1"/>
  <c r="AD2017" s="1"/>
  <c r="S2018"/>
  <c r="T2018" s="1"/>
  <c r="AD2018" s="1"/>
  <c r="AA2018"/>
  <c r="X2019"/>
  <c r="AB2019"/>
  <c r="AC2019" s="1"/>
  <c r="Y2020"/>
  <c r="S2022"/>
  <c r="T2022" s="1"/>
  <c r="AD2022" s="1"/>
  <c r="AA2022"/>
  <c r="X2023"/>
  <c r="AB2023"/>
  <c r="AC2023" s="1"/>
  <c r="Y2024"/>
  <c r="Z2025"/>
  <c r="AA2025" s="1"/>
  <c r="AD2025" s="1"/>
  <c r="S2026"/>
  <c r="T2026" s="1"/>
  <c r="AA2026"/>
  <c r="X2027"/>
  <c r="AB2027"/>
  <c r="AC2027" s="1"/>
  <c r="Y2028"/>
  <c r="S2030"/>
  <c r="T2030" s="1"/>
  <c r="AD2030" s="1"/>
  <c r="AA2030"/>
  <c r="X2031"/>
  <c r="AB2031"/>
  <c r="AC2031" s="1"/>
  <c r="Y2032"/>
  <c r="S2034"/>
  <c r="T2034" s="1"/>
  <c r="AD2034" s="1"/>
  <c r="AA2034"/>
  <c r="X2035"/>
  <c r="AB2035"/>
  <c r="AC2035" s="1"/>
  <c r="Y2036"/>
  <c r="S2038"/>
  <c r="T2038" s="1"/>
  <c r="AD2038" s="1"/>
  <c r="AA2038"/>
  <c r="X2039"/>
  <c r="AB2039"/>
  <c r="AC2039" s="1"/>
  <c r="Y2040"/>
  <c r="S2042"/>
  <c r="T2042" s="1"/>
  <c r="AA2042"/>
  <c r="X2043"/>
  <c r="AB2043"/>
  <c r="AC2043" s="1"/>
  <c r="Y2044"/>
  <c r="S2046"/>
  <c r="T2046" s="1"/>
  <c r="AD2046" s="1"/>
  <c r="AA2046"/>
  <c r="X2047"/>
  <c r="AB2047"/>
  <c r="AC2047" s="1"/>
  <c r="Y2048"/>
  <c r="S2050"/>
  <c r="T2050" s="1"/>
  <c r="AD2050" s="1"/>
  <c r="AA2050"/>
  <c r="X2051"/>
  <c r="AB2051"/>
  <c r="AC2051" s="1"/>
  <c r="Y2052"/>
  <c r="S2055"/>
  <c r="T2055" s="1"/>
  <c r="Z2059"/>
  <c r="AA2059" s="1"/>
  <c r="T2064"/>
  <c r="T2068"/>
  <c r="AD2267"/>
  <c r="AD2283"/>
  <c r="AD2299"/>
  <c r="AD2315"/>
  <c r="AD2331"/>
  <c r="AD2347"/>
  <c r="AD2363"/>
  <c r="AD2379"/>
  <c r="AD2395"/>
  <c r="AD2411"/>
  <c r="AB2054"/>
  <c r="AC2054" s="1"/>
  <c r="X2054"/>
  <c r="AB2055"/>
  <c r="AC2055" s="1"/>
  <c r="X2055"/>
  <c r="Y2055"/>
  <c r="AA2058"/>
  <c r="S2058"/>
  <c r="T2058" s="1"/>
  <c r="AB2058"/>
  <c r="AC2058" s="1"/>
  <c r="X2058"/>
  <c r="AA2062"/>
  <c r="S2062"/>
  <c r="T2062" s="1"/>
  <c r="AB2062"/>
  <c r="AC2062" s="1"/>
  <c r="X2062"/>
  <c r="Y2062"/>
  <c r="AA2066"/>
  <c r="S2066"/>
  <c r="T2066" s="1"/>
  <c r="AD2066" s="1"/>
  <c r="AB2066"/>
  <c r="AC2066" s="1"/>
  <c r="X2066"/>
  <c r="Y2066"/>
  <c r="U2243"/>
  <c r="V2243" s="1"/>
  <c r="AD2243" s="1"/>
  <c r="U2276"/>
  <c r="V2276" s="1"/>
  <c r="U2335"/>
  <c r="V2335" s="1"/>
  <c r="AD2335" s="1"/>
  <c r="U2372"/>
  <c r="V2372"/>
  <c r="Z1722"/>
  <c r="AA1722" s="1"/>
  <c r="Z1726"/>
  <c r="AA1726" s="1"/>
  <c r="Z1730"/>
  <c r="Z1734"/>
  <c r="Z1738"/>
  <c r="AA1738" s="1"/>
  <c r="Z1742"/>
  <c r="AA1742" s="1"/>
  <c r="Z1746"/>
  <c r="Z1750"/>
  <c r="Z1754"/>
  <c r="AA1754" s="1"/>
  <c r="Z1758"/>
  <c r="AA1758" s="1"/>
  <c r="Z1762"/>
  <c r="AA1762" s="1"/>
  <c r="Z1766"/>
  <c r="Z1770"/>
  <c r="AA1770" s="1"/>
  <c r="Z1774"/>
  <c r="AA1774" s="1"/>
  <c r="Z1778"/>
  <c r="AA1778" s="1"/>
  <c r="Z1782"/>
  <c r="Z1786"/>
  <c r="AA1786" s="1"/>
  <c r="Z1790"/>
  <c r="AA1790" s="1"/>
  <c r="Z1794"/>
  <c r="AA1794" s="1"/>
  <c r="Z1798"/>
  <c r="Z1802"/>
  <c r="AA1802" s="1"/>
  <c r="Z1806"/>
  <c r="AA1806" s="1"/>
  <c r="Z1810"/>
  <c r="AA1810" s="1"/>
  <c r="Z1814"/>
  <c r="Z1818"/>
  <c r="AA1818" s="1"/>
  <c r="Z1822"/>
  <c r="AA1822" s="1"/>
  <c r="Z1826"/>
  <c r="Z1830"/>
  <c r="Z1834"/>
  <c r="AA1834" s="1"/>
  <c r="Z1838"/>
  <c r="Z1842"/>
  <c r="AA1842" s="1"/>
  <c r="Z1846"/>
  <c r="AA1846" s="1"/>
  <c r="Z1850"/>
  <c r="AA1850" s="1"/>
  <c r="Z1854"/>
  <c r="AA1854" s="1"/>
  <c r="Z1858"/>
  <c r="Z1862"/>
  <c r="Z1866"/>
  <c r="AA1866" s="1"/>
  <c r="Z1870"/>
  <c r="AA1870" s="1"/>
  <c r="Z1874"/>
  <c r="Z1878"/>
  <c r="Z1882"/>
  <c r="AA1882" s="1"/>
  <c r="Z1886"/>
  <c r="AA1886" s="1"/>
  <c r="Z1890"/>
  <c r="Z1894"/>
  <c r="Z1898"/>
  <c r="AA1898" s="1"/>
  <c r="Z1902"/>
  <c r="AA1902" s="1"/>
  <c r="Z1906"/>
  <c r="AA1906" s="1"/>
  <c r="Z1910"/>
  <c r="AA1910" s="1"/>
  <c r="Z1914"/>
  <c r="AA1914" s="1"/>
  <c r="Z1918"/>
  <c r="AA1918" s="1"/>
  <c r="Z1922"/>
  <c r="Z1926"/>
  <c r="Z1930"/>
  <c r="AA1930" s="1"/>
  <c r="Z1934"/>
  <c r="AA1934" s="1"/>
  <c r="Z1938"/>
  <c r="Z1942"/>
  <c r="AB1944"/>
  <c r="AC1944" s="1"/>
  <c r="Z1946"/>
  <c r="AA1946" s="1"/>
  <c r="X1948"/>
  <c r="AB1948"/>
  <c r="AC1948" s="1"/>
  <c r="Z1950"/>
  <c r="AA1950" s="1"/>
  <c r="X1952"/>
  <c r="AB1952"/>
  <c r="AC1952" s="1"/>
  <c r="S1955"/>
  <c r="T1955" s="1"/>
  <c r="AA1955"/>
  <c r="X1956"/>
  <c r="AB1956"/>
  <c r="AC1956" s="1"/>
  <c r="S1959"/>
  <c r="T1959" s="1"/>
  <c r="AA1959"/>
  <c r="X1960"/>
  <c r="AB1960"/>
  <c r="AC1960" s="1"/>
  <c r="S1963"/>
  <c r="T1963" s="1"/>
  <c r="AA1963"/>
  <c r="X1964"/>
  <c r="AB1964"/>
  <c r="AC1964" s="1"/>
  <c r="S1967"/>
  <c r="T1967" s="1"/>
  <c r="AA1967"/>
  <c r="X1968"/>
  <c r="AB1968"/>
  <c r="AC1968" s="1"/>
  <c r="O1969"/>
  <c r="U1969" s="1"/>
  <c r="V1969" s="1"/>
  <c r="AD1969" s="1"/>
  <c r="S1971"/>
  <c r="T1971" s="1"/>
  <c r="X1972"/>
  <c r="AB1972"/>
  <c r="AC1972" s="1"/>
  <c r="O1973"/>
  <c r="U1973" s="1"/>
  <c r="V1973" s="1"/>
  <c r="AD1973" s="1"/>
  <c r="S1975"/>
  <c r="T1975" s="1"/>
  <c r="X1976"/>
  <c r="AB1976"/>
  <c r="AC1976" s="1"/>
  <c r="O1977"/>
  <c r="U1977" s="1"/>
  <c r="V1977" s="1"/>
  <c r="AD1977" s="1"/>
  <c r="S1979"/>
  <c r="T1979" s="1"/>
  <c r="X1980"/>
  <c r="AB1980"/>
  <c r="AC1980" s="1"/>
  <c r="O1981"/>
  <c r="U1981" s="1"/>
  <c r="V1981" s="1"/>
  <c r="S1983"/>
  <c r="T1983" s="1"/>
  <c r="AA1983"/>
  <c r="X1984"/>
  <c r="AB1984"/>
  <c r="AC1984" s="1"/>
  <c r="O1985"/>
  <c r="U1985" s="1"/>
  <c r="V1985" s="1"/>
  <c r="AD1985" s="1"/>
  <c r="S1987"/>
  <c r="T1987" s="1"/>
  <c r="X1988"/>
  <c r="AB1988"/>
  <c r="AC1988" s="1"/>
  <c r="O1989"/>
  <c r="U1989" s="1"/>
  <c r="V1989" s="1"/>
  <c r="AD1989" s="1"/>
  <c r="S1991"/>
  <c r="T1991" s="1"/>
  <c r="X1992"/>
  <c r="AB1992"/>
  <c r="AC1992" s="1"/>
  <c r="AD1992" s="1"/>
  <c r="O1993"/>
  <c r="S1995"/>
  <c r="T1995" s="1"/>
  <c r="X1996"/>
  <c r="AB1996"/>
  <c r="AC1996" s="1"/>
  <c r="O1997"/>
  <c r="S1999"/>
  <c r="T1999" s="1"/>
  <c r="AA1999"/>
  <c r="X2000"/>
  <c r="AB2000"/>
  <c r="AC2000" s="1"/>
  <c r="O2001"/>
  <c r="S2003"/>
  <c r="T2003" s="1"/>
  <c r="AA2003"/>
  <c r="X2004"/>
  <c r="AB2004"/>
  <c r="AC2004" s="1"/>
  <c r="S2007"/>
  <c r="T2007" s="1"/>
  <c r="AD2007" s="1"/>
  <c r="AA2007"/>
  <c r="X2008"/>
  <c r="AB2008"/>
  <c r="AC2008" s="1"/>
  <c r="S2011"/>
  <c r="T2011" s="1"/>
  <c r="AD2011" s="1"/>
  <c r="AA2011"/>
  <c r="X2012"/>
  <c r="AB2012"/>
  <c r="AC2012" s="1"/>
  <c r="S2015"/>
  <c r="T2015" s="1"/>
  <c r="X2016"/>
  <c r="AB2016"/>
  <c r="AC2016" s="1"/>
  <c r="S2019"/>
  <c r="T2019" s="1"/>
  <c r="X2020"/>
  <c r="AB2020"/>
  <c r="AC2020" s="1"/>
  <c r="S2023"/>
  <c r="T2023" s="1"/>
  <c r="AD2023" s="1"/>
  <c r="AA2023"/>
  <c r="X2024"/>
  <c r="AB2024"/>
  <c r="AC2024" s="1"/>
  <c r="S2027"/>
  <c r="T2027" s="1"/>
  <c r="AD2027" s="1"/>
  <c r="AA2027"/>
  <c r="X2028"/>
  <c r="AB2028"/>
  <c r="AC2028" s="1"/>
  <c r="S2031"/>
  <c r="T2031" s="1"/>
  <c r="AD2031" s="1"/>
  <c r="AA2031"/>
  <c r="X2032"/>
  <c r="AB2032"/>
  <c r="AC2032" s="1"/>
  <c r="S2035"/>
  <c r="T2035" s="1"/>
  <c r="AD2035" s="1"/>
  <c r="AA2035"/>
  <c r="X2036"/>
  <c r="AB2036"/>
  <c r="AC2036" s="1"/>
  <c r="S2039"/>
  <c r="T2039" s="1"/>
  <c r="AD2039" s="1"/>
  <c r="AA2039"/>
  <c r="X2040"/>
  <c r="AB2040"/>
  <c r="AC2040" s="1"/>
  <c r="S2043"/>
  <c r="T2043" s="1"/>
  <c r="AD2043" s="1"/>
  <c r="AA2043"/>
  <c r="X2044"/>
  <c r="AB2044"/>
  <c r="AC2044" s="1"/>
  <c r="S2047"/>
  <c r="T2047" s="1"/>
  <c r="AD2047" s="1"/>
  <c r="AA2047"/>
  <c r="X2048"/>
  <c r="AB2048"/>
  <c r="AC2048" s="1"/>
  <c r="S2051"/>
  <c r="T2051" s="1"/>
  <c r="AD2051" s="1"/>
  <c r="AA2051"/>
  <c r="X2052"/>
  <c r="AB2052"/>
  <c r="AC2052" s="1"/>
  <c r="AA2054"/>
  <c r="AD2054" s="1"/>
  <c r="Y2058"/>
  <c r="AD2263"/>
  <c r="AD2279"/>
  <c r="AD2311"/>
  <c r="AD2327"/>
  <c r="AD2343"/>
  <c r="AD2359"/>
  <c r="AD2375"/>
  <c r="AD2391"/>
  <c r="AD2407"/>
  <c r="V2278"/>
  <c r="U2278"/>
  <c r="V2294"/>
  <c r="U2294"/>
  <c r="Z1675"/>
  <c r="AA1675" s="1"/>
  <c r="AD1675" s="1"/>
  <c r="Z1679"/>
  <c r="AA1679" s="1"/>
  <c r="AD1679" s="1"/>
  <c r="Z1683"/>
  <c r="AA1683" s="1"/>
  <c r="AD1683" s="1"/>
  <c r="Z1687"/>
  <c r="AA1687" s="1"/>
  <c r="AD1687" s="1"/>
  <c r="S1688"/>
  <c r="T1688" s="1"/>
  <c r="AD1688" s="1"/>
  <c r="AA1688"/>
  <c r="Z1691"/>
  <c r="AA1691" s="1"/>
  <c r="AD1691" s="1"/>
  <c r="S1692"/>
  <c r="T1692" s="1"/>
  <c r="AD1692" s="1"/>
  <c r="AA1692"/>
  <c r="Z1695"/>
  <c r="AA1695" s="1"/>
  <c r="AD1695" s="1"/>
  <c r="S1696"/>
  <c r="T1696" s="1"/>
  <c r="AD1696" s="1"/>
  <c r="AA1696"/>
  <c r="Z1699"/>
  <c r="AA1699" s="1"/>
  <c r="AD1699" s="1"/>
  <c r="S1700"/>
  <c r="T1700" s="1"/>
  <c r="AA1700"/>
  <c r="Z1703"/>
  <c r="AA1703" s="1"/>
  <c r="AD1703" s="1"/>
  <c r="S1704"/>
  <c r="T1704" s="1"/>
  <c r="AD1704" s="1"/>
  <c r="AA1704"/>
  <c r="X1705"/>
  <c r="AB1705"/>
  <c r="AC1705" s="1"/>
  <c r="Z1707"/>
  <c r="AA1707" s="1"/>
  <c r="AD1707" s="1"/>
  <c r="S1708"/>
  <c r="T1708" s="1"/>
  <c r="AA1708"/>
  <c r="X1709"/>
  <c r="AB1709"/>
  <c r="AC1709" s="1"/>
  <c r="Z1711"/>
  <c r="AA1711" s="1"/>
  <c r="AD1711" s="1"/>
  <c r="S1712"/>
  <c r="T1712" s="1"/>
  <c r="AD1712" s="1"/>
  <c r="AA1712"/>
  <c r="X1713"/>
  <c r="AB1713"/>
  <c r="AC1713" s="1"/>
  <c r="Z1715"/>
  <c r="AA1715" s="1"/>
  <c r="AD1715" s="1"/>
  <c r="S1716"/>
  <c r="T1716" s="1"/>
  <c r="AD1716" s="1"/>
  <c r="AA1716"/>
  <c r="X1717"/>
  <c r="AB1717"/>
  <c r="AC1717" s="1"/>
  <c r="Z1719"/>
  <c r="AA1719" s="1"/>
  <c r="AD1719" s="1"/>
  <c r="S1720"/>
  <c r="T1720" s="1"/>
  <c r="AD1720" s="1"/>
  <c r="AA1720"/>
  <c r="X1721"/>
  <c r="AB1721"/>
  <c r="AC1721" s="1"/>
  <c r="Y1722"/>
  <c r="Z1723"/>
  <c r="AA1723" s="1"/>
  <c r="AD1723" s="1"/>
  <c r="S1724"/>
  <c r="T1724" s="1"/>
  <c r="AD1724" s="1"/>
  <c r="AA1724"/>
  <c r="X1725"/>
  <c r="AB1725"/>
  <c r="AC1725" s="1"/>
  <c r="Y1726"/>
  <c r="Z1727"/>
  <c r="AA1727" s="1"/>
  <c r="AD1727" s="1"/>
  <c r="S1728"/>
  <c r="T1728" s="1"/>
  <c r="AD1728" s="1"/>
  <c r="AA1728"/>
  <c r="X1729"/>
  <c r="AB1729"/>
  <c r="AC1729" s="1"/>
  <c r="Y1730"/>
  <c r="Z1731"/>
  <c r="AA1731" s="1"/>
  <c r="AD1731" s="1"/>
  <c r="S1732"/>
  <c r="T1732" s="1"/>
  <c r="AD1732" s="1"/>
  <c r="AA1732"/>
  <c r="X1733"/>
  <c r="AB1733"/>
  <c r="AC1733" s="1"/>
  <c r="Y1734"/>
  <c r="Z1735"/>
  <c r="AA1735" s="1"/>
  <c r="S1736"/>
  <c r="T1736" s="1"/>
  <c r="AD1736" s="1"/>
  <c r="AA1736"/>
  <c r="X1737"/>
  <c r="AB1737"/>
  <c r="AC1737" s="1"/>
  <c r="Y1738"/>
  <c r="Z1739"/>
  <c r="AA1739" s="1"/>
  <c r="S1740"/>
  <c r="T1740" s="1"/>
  <c r="AD1740" s="1"/>
  <c r="AA1740"/>
  <c r="X1741"/>
  <c r="AB1741"/>
  <c r="AC1741" s="1"/>
  <c r="Y1742"/>
  <c r="Z1743"/>
  <c r="AA1743" s="1"/>
  <c r="AD1743" s="1"/>
  <c r="S1744"/>
  <c r="T1744" s="1"/>
  <c r="AD1744" s="1"/>
  <c r="AA1744"/>
  <c r="X1745"/>
  <c r="AB1745"/>
  <c r="AC1745" s="1"/>
  <c r="Y1746"/>
  <c r="Z1747"/>
  <c r="AA1747" s="1"/>
  <c r="AD1747" s="1"/>
  <c r="S1748"/>
  <c r="T1748" s="1"/>
  <c r="AD1748" s="1"/>
  <c r="AA1748"/>
  <c r="X1749"/>
  <c r="AB1749"/>
  <c r="AC1749" s="1"/>
  <c r="Y1750"/>
  <c r="Z1751"/>
  <c r="AA1751" s="1"/>
  <c r="S1752"/>
  <c r="T1752" s="1"/>
  <c r="AD1752" s="1"/>
  <c r="AA1752"/>
  <c r="X1753"/>
  <c r="AB1753"/>
  <c r="AC1753" s="1"/>
  <c r="Y1754"/>
  <c r="Z1755"/>
  <c r="AA1755" s="1"/>
  <c r="AD1755" s="1"/>
  <c r="AA1756"/>
  <c r="X1757"/>
  <c r="AB1757"/>
  <c r="AC1757" s="1"/>
  <c r="Y1758"/>
  <c r="Z1759"/>
  <c r="AA1759" s="1"/>
  <c r="AD1759" s="1"/>
  <c r="S1760"/>
  <c r="T1760" s="1"/>
  <c r="AD1760" s="1"/>
  <c r="AA1760"/>
  <c r="X1761"/>
  <c r="AB1761"/>
  <c r="AC1761" s="1"/>
  <c r="Y1762"/>
  <c r="Z1763"/>
  <c r="AA1763" s="1"/>
  <c r="AD1763" s="1"/>
  <c r="S1764"/>
  <c r="T1764" s="1"/>
  <c r="AA1764"/>
  <c r="X1765"/>
  <c r="AB1765"/>
  <c r="AC1765" s="1"/>
  <c r="Y1766"/>
  <c r="Z1767"/>
  <c r="AA1767" s="1"/>
  <c r="AD1767" s="1"/>
  <c r="S1768"/>
  <c r="T1768" s="1"/>
  <c r="AD1768" s="1"/>
  <c r="AA1768"/>
  <c r="X1769"/>
  <c r="AB1769"/>
  <c r="AC1769" s="1"/>
  <c r="Y1770"/>
  <c r="Z1771"/>
  <c r="AA1771" s="1"/>
  <c r="AD1771" s="1"/>
  <c r="S1772"/>
  <c r="T1772" s="1"/>
  <c r="AA1772"/>
  <c r="X1773"/>
  <c r="AB1773"/>
  <c r="AC1773" s="1"/>
  <c r="Y1774"/>
  <c r="Z1775"/>
  <c r="AA1775" s="1"/>
  <c r="AD1775" s="1"/>
  <c r="S1776"/>
  <c r="T1776" s="1"/>
  <c r="AD1776" s="1"/>
  <c r="AA1776"/>
  <c r="X1777"/>
  <c r="AB1777"/>
  <c r="AC1777" s="1"/>
  <c r="Y1778"/>
  <c r="Z1779"/>
  <c r="AA1779" s="1"/>
  <c r="AD1779" s="1"/>
  <c r="S1780"/>
  <c r="T1780" s="1"/>
  <c r="AA1780"/>
  <c r="X1781"/>
  <c r="AB1781"/>
  <c r="AC1781" s="1"/>
  <c r="Y1782"/>
  <c r="Z1783"/>
  <c r="AA1783" s="1"/>
  <c r="AD1783" s="1"/>
  <c r="S1784"/>
  <c r="T1784" s="1"/>
  <c r="AD1784" s="1"/>
  <c r="AA1784"/>
  <c r="X1785"/>
  <c r="AB1785"/>
  <c r="AC1785" s="1"/>
  <c r="Y1786"/>
  <c r="Z1787"/>
  <c r="AA1787" s="1"/>
  <c r="S1788"/>
  <c r="T1788" s="1"/>
  <c r="AA1788"/>
  <c r="X1789"/>
  <c r="AB1789"/>
  <c r="AC1789" s="1"/>
  <c r="Y1790"/>
  <c r="Z1791"/>
  <c r="AA1791" s="1"/>
  <c r="AD1791" s="1"/>
  <c r="S1792"/>
  <c r="T1792" s="1"/>
  <c r="AD1792" s="1"/>
  <c r="AA1792"/>
  <c r="X1793"/>
  <c r="AB1793"/>
  <c r="AC1793" s="1"/>
  <c r="Y1794"/>
  <c r="Z1795"/>
  <c r="AA1795" s="1"/>
  <c r="S1796"/>
  <c r="T1796" s="1"/>
  <c r="AA1796"/>
  <c r="X1797"/>
  <c r="AB1797"/>
  <c r="AC1797" s="1"/>
  <c r="Y1798"/>
  <c r="Z1799"/>
  <c r="AA1799" s="1"/>
  <c r="AD1799" s="1"/>
  <c r="S1800"/>
  <c r="T1800" s="1"/>
  <c r="AD1800" s="1"/>
  <c r="AA1800"/>
  <c r="X1801"/>
  <c r="AB1801"/>
  <c r="AC1801" s="1"/>
  <c r="Y1802"/>
  <c r="Z1803"/>
  <c r="AA1803" s="1"/>
  <c r="S1804"/>
  <c r="T1804" s="1"/>
  <c r="AA1804"/>
  <c r="X1805"/>
  <c r="AB1805"/>
  <c r="AC1805" s="1"/>
  <c r="Y1806"/>
  <c r="Z1807"/>
  <c r="AA1807" s="1"/>
  <c r="AD1807" s="1"/>
  <c r="S1808"/>
  <c r="T1808" s="1"/>
  <c r="AD1808" s="1"/>
  <c r="AA1808"/>
  <c r="X1809"/>
  <c r="AB1809"/>
  <c r="AC1809" s="1"/>
  <c r="Y1810"/>
  <c r="Z1811"/>
  <c r="AA1811" s="1"/>
  <c r="S1812"/>
  <c r="T1812" s="1"/>
  <c r="AA1812"/>
  <c r="X1813"/>
  <c r="AB1813"/>
  <c r="AC1813" s="1"/>
  <c r="Y1814"/>
  <c r="Z1815"/>
  <c r="AA1815" s="1"/>
  <c r="S1816"/>
  <c r="T1816" s="1"/>
  <c r="AD1816" s="1"/>
  <c r="AA1816"/>
  <c r="X1817"/>
  <c r="AB1817"/>
  <c r="AC1817" s="1"/>
  <c r="Y1818"/>
  <c r="Z1819"/>
  <c r="AA1819" s="1"/>
  <c r="S1820"/>
  <c r="T1820" s="1"/>
  <c r="AA1820"/>
  <c r="X1821"/>
  <c r="AB1821"/>
  <c r="AC1821" s="1"/>
  <c r="Y1822"/>
  <c r="Z1823"/>
  <c r="AA1823" s="1"/>
  <c r="S1824"/>
  <c r="T1824" s="1"/>
  <c r="AD1824" s="1"/>
  <c r="AA1824"/>
  <c r="X1825"/>
  <c r="AB1825"/>
  <c r="AC1825" s="1"/>
  <c r="Y1826"/>
  <c r="Z1827"/>
  <c r="AA1827" s="1"/>
  <c r="S1828"/>
  <c r="T1828" s="1"/>
  <c r="AA1828"/>
  <c r="X1829"/>
  <c r="AB1829"/>
  <c r="AC1829" s="1"/>
  <c r="Y1830"/>
  <c r="Z1831"/>
  <c r="AA1831" s="1"/>
  <c r="S1832"/>
  <c r="T1832" s="1"/>
  <c r="AA1832"/>
  <c r="X1833"/>
  <c r="AB1833"/>
  <c r="AC1833" s="1"/>
  <c r="Y1834"/>
  <c r="Z1835"/>
  <c r="AA1835" s="1"/>
  <c r="S1836"/>
  <c r="T1836" s="1"/>
  <c r="AA1836"/>
  <c r="X1837"/>
  <c r="AB1837"/>
  <c r="AC1837" s="1"/>
  <c r="Y1838"/>
  <c r="Z1839"/>
  <c r="AA1839" s="1"/>
  <c r="AD1839" s="1"/>
  <c r="S1840"/>
  <c r="T1840" s="1"/>
  <c r="AD1840" s="1"/>
  <c r="AA1840"/>
  <c r="X1841"/>
  <c r="AB1841"/>
  <c r="AC1841" s="1"/>
  <c r="Y1842"/>
  <c r="Z1843"/>
  <c r="AA1843" s="1"/>
  <c r="S1844"/>
  <c r="T1844" s="1"/>
  <c r="AA1844"/>
  <c r="X1845"/>
  <c r="AB1845"/>
  <c r="AC1845" s="1"/>
  <c r="Y1846"/>
  <c r="Z1847"/>
  <c r="AA1847" s="1"/>
  <c r="AD1847" s="1"/>
  <c r="S1848"/>
  <c r="T1848" s="1"/>
  <c r="AD1848" s="1"/>
  <c r="AA1848"/>
  <c r="X1849"/>
  <c r="AB1849"/>
  <c r="AC1849" s="1"/>
  <c r="Y1850"/>
  <c r="Z1851"/>
  <c r="AA1851" s="1"/>
  <c r="S1852"/>
  <c r="T1852" s="1"/>
  <c r="AA1852"/>
  <c r="X1853"/>
  <c r="AB1853"/>
  <c r="AC1853" s="1"/>
  <c r="Y1854"/>
  <c r="Z1855"/>
  <c r="AA1855" s="1"/>
  <c r="AD1855" s="1"/>
  <c r="S1856"/>
  <c r="T1856" s="1"/>
  <c r="AA1856"/>
  <c r="X1857"/>
  <c r="AB1857"/>
  <c r="AC1857" s="1"/>
  <c r="Y1858"/>
  <c r="Z1859"/>
  <c r="AA1859" s="1"/>
  <c r="S1860"/>
  <c r="T1860" s="1"/>
  <c r="AA1860"/>
  <c r="X1861"/>
  <c r="AB1861"/>
  <c r="AC1861" s="1"/>
  <c r="Y1862"/>
  <c r="Z1863"/>
  <c r="AA1863" s="1"/>
  <c r="AD1863" s="1"/>
  <c r="S1864"/>
  <c r="T1864" s="1"/>
  <c r="AD1864" s="1"/>
  <c r="AA1864"/>
  <c r="X1865"/>
  <c r="AB1865"/>
  <c r="AC1865" s="1"/>
  <c r="Y1866"/>
  <c r="Z1867"/>
  <c r="AA1867" s="1"/>
  <c r="S1868"/>
  <c r="T1868" s="1"/>
  <c r="AA1868"/>
  <c r="X1869"/>
  <c r="AB1869"/>
  <c r="AC1869" s="1"/>
  <c r="Y1870"/>
  <c r="Z1871"/>
  <c r="AA1871" s="1"/>
  <c r="AD1871" s="1"/>
  <c r="S1872"/>
  <c r="T1872" s="1"/>
  <c r="AD1872" s="1"/>
  <c r="AA1872"/>
  <c r="X1873"/>
  <c r="AB1873"/>
  <c r="AC1873" s="1"/>
  <c r="Y1874"/>
  <c r="Z1875"/>
  <c r="AA1875" s="1"/>
  <c r="S1876"/>
  <c r="T1876" s="1"/>
  <c r="AA1876"/>
  <c r="X1877"/>
  <c r="AB1877"/>
  <c r="AC1877" s="1"/>
  <c r="Y1878"/>
  <c r="Z1879"/>
  <c r="AA1879" s="1"/>
  <c r="AD1879" s="1"/>
  <c r="S1880"/>
  <c r="T1880" s="1"/>
  <c r="AD1880" s="1"/>
  <c r="AA1880"/>
  <c r="X1881"/>
  <c r="AB1881"/>
  <c r="AC1881" s="1"/>
  <c r="Y1882"/>
  <c r="Z1883"/>
  <c r="AA1883" s="1"/>
  <c r="S1884"/>
  <c r="T1884" s="1"/>
  <c r="AA1884"/>
  <c r="X1885"/>
  <c r="AB1885"/>
  <c r="AC1885" s="1"/>
  <c r="Y1886"/>
  <c r="Z1887"/>
  <c r="AA1887" s="1"/>
  <c r="AD1887" s="1"/>
  <c r="S1888"/>
  <c r="T1888" s="1"/>
  <c r="AD1888" s="1"/>
  <c r="AA1888"/>
  <c r="X1889"/>
  <c r="AB1889"/>
  <c r="AC1889" s="1"/>
  <c r="Y1890"/>
  <c r="Z1891"/>
  <c r="AA1891" s="1"/>
  <c r="S1892"/>
  <c r="T1892" s="1"/>
  <c r="AA1892"/>
  <c r="X1893"/>
  <c r="AB1893"/>
  <c r="AC1893" s="1"/>
  <c r="Y1894"/>
  <c r="Z1895"/>
  <c r="AA1895" s="1"/>
  <c r="AD1895" s="1"/>
  <c r="S1896"/>
  <c r="T1896" s="1"/>
  <c r="AD1896" s="1"/>
  <c r="AA1896"/>
  <c r="X1897"/>
  <c r="AB1897"/>
  <c r="AC1897" s="1"/>
  <c r="Y1898"/>
  <c r="Z1899"/>
  <c r="AA1899" s="1"/>
  <c r="S1900"/>
  <c r="T1900" s="1"/>
  <c r="AA1900"/>
  <c r="X1901"/>
  <c r="AB1901"/>
  <c r="AC1901" s="1"/>
  <c r="Y1902"/>
  <c r="Z1903"/>
  <c r="AA1903" s="1"/>
  <c r="AD1903" s="1"/>
  <c r="S1904"/>
  <c r="T1904" s="1"/>
  <c r="AD1904" s="1"/>
  <c r="AA1904"/>
  <c r="X1905"/>
  <c r="AB1905"/>
  <c r="AC1905" s="1"/>
  <c r="Y1906"/>
  <c r="Z1907"/>
  <c r="AA1907" s="1"/>
  <c r="AD1907" s="1"/>
  <c r="S1908"/>
  <c r="T1908" s="1"/>
  <c r="AA1908"/>
  <c r="X1909"/>
  <c r="AB1909"/>
  <c r="AC1909" s="1"/>
  <c r="Y1910"/>
  <c r="Z1911"/>
  <c r="AA1911" s="1"/>
  <c r="S1912"/>
  <c r="T1912" s="1"/>
  <c r="AD1912" s="1"/>
  <c r="AA1912"/>
  <c r="X1913"/>
  <c r="AB1913"/>
  <c r="AC1913" s="1"/>
  <c r="Y1914"/>
  <c r="S1916"/>
  <c r="T1916" s="1"/>
  <c r="AA1916"/>
  <c r="X1917"/>
  <c r="AD1917" s="1"/>
  <c r="Y1918"/>
  <c r="S1920"/>
  <c r="T1920" s="1"/>
  <c r="AA1920"/>
  <c r="Y1922"/>
  <c r="S1924"/>
  <c r="T1924" s="1"/>
  <c r="AD1924" s="1"/>
  <c r="AA1924"/>
  <c r="Y1926"/>
  <c r="S1928"/>
  <c r="T1928" s="1"/>
  <c r="AD1928" s="1"/>
  <c r="AA1928"/>
  <c r="Y1930"/>
  <c r="S1932"/>
  <c r="T1932" s="1"/>
  <c r="AA1932"/>
  <c r="Y1934"/>
  <c r="S1936"/>
  <c r="T1936" s="1"/>
  <c r="AA1936"/>
  <c r="Y1938"/>
  <c r="S1940"/>
  <c r="T1940" s="1"/>
  <c r="AD1940" s="1"/>
  <c r="AA1940"/>
  <c r="Y1942"/>
  <c r="S1944"/>
  <c r="T1944" s="1"/>
  <c r="AD1944" s="1"/>
  <c r="AA1944"/>
  <c r="Y1946"/>
  <c r="S1948"/>
  <c r="T1948" s="1"/>
  <c r="AA1948"/>
  <c r="Y1950"/>
  <c r="S1952"/>
  <c r="T1952" s="1"/>
  <c r="AA1952"/>
  <c r="S1956"/>
  <c r="T1956" s="1"/>
  <c r="AD1956" s="1"/>
  <c r="AA1956"/>
  <c r="S1960"/>
  <c r="T1960" s="1"/>
  <c r="AA1960"/>
  <c r="S1964"/>
  <c r="T1964" s="1"/>
  <c r="AD1964" s="1"/>
  <c r="AA1964"/>
  <c r="Z1967"/>
  <c r="S1968"/>
  <c r="T1968" s="1"/>
  <c r="AA1968"/>
  <c r="Z1971"/>
  <c r="AA1971" s="1"/>
  <c r="S1972"/>
  <c r="T1972" s="1"/>
  <c r="AA1972"/>
  <c r="Z1975"/>
  <c r="AA1975" s="1"/>
  <c r="S1976"/>
  <c r="T1976" s="1"/>
  <c r="AA1976"/>
  <c r="Z1979"/>
  <c r="AA1979" s="1"/>
  <c r="S1980"/>
  <c r="T1980" s="1"/>
  <c r="AD1980" s="1"/>
  <c r="AA1980"/>
  <c r="Z1983"/>
  <c r="S1984"/>
  <c r="T1984" s="1"/>
  <c r="AA1984"/>
  <c r="Z1987"/>
  <c r="AA1987" s="1"/>
  <c r="S1988"/>
  <c r="T1988" s="1"/>
  <c r="AA1988"/>
  <c r="Z1991"/>
  <c r="AA1991" s="1"/>
  <c r="V1995"/>
  <c r="Z1995"/>
  <c r="AA1995" s="1"/>
  <c r="S1996"/>
  <c r="T1996" s="1"/>
  <c r="AA1996"/>
  <c r="V1999"/>
  <c r="Z1999"/>
  <c r="S2000"/>
  <c r="T2000" s="1"/>
  <c r="AA2000"/>
  <c r="V2003"/>
  <c r="S2004"/>
  <c r="T2004" s="1"/>
  <c r="AA2004"/>
  <c r="S2008"/>
  <c r="T2008" s="1"/>
  <c r="AD2008" s="1"/>
  <c r="AA2008"/>
  <c r="S2012"/>
  <c r="T2012" s="1"/>
  <c r="AA2012"/>
  <c r="Z2015"/>
  <c r="AA2015" s="1"/>
  <c r="S2016"/>
  <c r="T2016" s="1"/>
  <c r="AD2016" s="1"/>
  <c r="AA2016"/>
  <c r="Z2019"/>
  <c r="AA2019" s="1"/>
  <c r="S2020"/>
  <c r="T2020" s="1"/>
  <c r="AD2020" s="1"/>
  <c r="AA2020"/>
  <c r="S2024"/>
  <c r="T2024" s="1"/>
  <c r="AA2024"/>
  <c r="S2028"/>
  <c r="T2028" s="1"/>
  <c r="AD2028" s="1"/>
  <c r="AA2028"/>
  <c r="S2032"/>
  <c r="T2032" s="1"/>
  <c r="AA2032"/>
  <c r="S2036"/>
  <c r="T2036" s="1"/>
  <c r="AD2036" s="1"/>
  <c r="AA2036"/>
  <c r="S2040"/>
  <c r="T2040" s="1"/>
  <c r="AA2040"/>
  <c r="S2044"/>
  <c r="T2044" s="1"/>
  <c r="AD2044" s="1"/>
  <c r="AA2044"/>
  <c r="S2048"/>
  <c r="T2048" s="1"/>
  <c r="AA2048"/>
  <c r="S2052"/>
  <c r="T2052" s="1"/>
  <c r="AD2052" s="1"/>
  <c r="AA2052"/>
  <c r="Z2054"/>
  <c r="AD2187"/>
  <c r="AD2207"/>
  <c r="U2069"/>
  <c r="V2069" s="1"/>
  <c r="U2218"/>
  <c r="V2218" s="1"/>
  <c r="U2295"/>
  <c r="V2295" s="1"/>
  <c r="AD2295" s="1"/>
  <c r="U2370"/>
  <c r="V2370" s="1"/>
  <c r="S1705"/>
  <c r="T1705" s="1"/>
  <c r="S1709"/>
  <c r="T1709" s="1"/>
  <c r="S1713"/>
  <c r="T1713" s="1"/>
  <c r="S1717"/>
  <c r="T1717" s="1"/>
  <c r="S1721"/>
  <c r="T1721" s="1"/>
  <c r="X1722"/>
  <c r="S1725"/>
  <c r="T1725" s="1"/>
  <c r="X1726"/>
  <c r="S1729"/>
  <c r="T1729" s="1"/>
  <c r="X1730"/>
  <c r="S1733"/>
  <c r="T1733" s="1"/>
  <c r="X1734"/>
  <c r="S1737"/>
  <c r="T1737" s="1"/>
  <c r="X1738"/>
  <c r="S1741"/>
  <c r="T1741" s="1"/>
  <c r="X1742"/>
  <c r="S1745"/>
  <c r="T1745" s="1"/>
  <c r="X1746"/>
  <c r="S1749"/>
  <c r="T1749" s="1"/>
  <c r="X1750"/>
  <c r="S1753"/>
  <c r="T1753" s="1"/>
  <c r="X1754"/>
  <c r="S1757"/>
  <c r="T1757" s="1"/>
  <c r="X1758"/>
  <c r="S1761"/>
  <c r="T1761" s="1"/>
  <c r="X1762"/>
  <c r="S1765"/>
  <c r="T1765" s="1"/>
  <c r="X1766"/>
  <c r="S1769"/>
  <c r="T1769" s="1"/>
  <c r="AD1769" s="1"/>
  <c r="X1770"/>
  <c r="S1773"/>
  <c r="T1773" s="1"/>
  <c r="X1774"/>
  <c r="S1777"/>
  <c r="T1777" s="1"/>
  <c r="X1778"/>
  <c r="S1781"/>
  <c r="T1781" s="1"/>
  <c r="X1782"/>
  <c r="S1785"/>
  <c r="T1785" s="1"/>
  <c r="AD1785" s="1"/>
  <c r="X1786"/>
  <c r="S1789"/>
  <c r="T1789" s="1"/>
  <c r="X1790"/>
  <c r="S1793"/>
  <c r="T1793" s="1"/>
  <c r="X1794"/>
  <c r="S1797"/>
  <c r="T1797" s="1"/>
  <c r="X1798"/>
  <c r="S1801"/>
  <c r="T1801" s="1"/>
  <c r="X1802"/>
  <c r="S1805"/>
  <c r="T1805" s="1"/>
  <c r="X1806"/>
  <c r="S1809"/>
  <c r="T1809" s="1"/>
  <c r="X1810"/>
  <c r="S1813"/>
  <c r="T1813" s="1"/>
  <c r="X1814"/>
  <c r="S1817"/>
  <c r="T1817" s="1"/>
  <c r="X1818"/>
  <c r="S1821"/>
  <c r="T1821" s="1"/>
  <c r="X1822"/>
  <c r="S1825"/>
  <c r="T1825" s="1"/>
  <c r="X1826"/>
  <c r="S1829"/>
  <c r="T1829" s="1"/>
  <c r="X1830"/>
  <c r="S1833"/>
  <c r="T1833" s="1"/>
  <c r="X1834"/>
  <c r="S1837"/>
  <c r="T1837" s="1"/>
  <c r="X1838"/>
  <c r="S1841"/>
  <c r="T1841" s="1"/>
  <c r="X1842"/>
  <c r="S1845"/>
  <c r="T1845" s="1"/>
  <c r="X1846"/>
  <c r="S1849"/>
  <c r="T1849" s="1"/>
  <c r="X1850"/>
  <c r="S1853"/>
  <c r="T1853" s="1"/>
  <c r="X1854"/>
  <c r="S1857"/>
  <c r="T1857" s="1"/>
  <c r="X1858"/>
  <c r="S1861"/>
  <c r="T1861" s="1"/>
  <c r="X1862"/>
  <c r="S1865"/>
  <c r="T1865" s="1"/>
  <c r="X1866"/>
  <c r="S1869"/>
  <c r="T1869" s="1"/>
  <c r="X1870"/>
  <c r="S1873"/>
  <c r="T1873" s="1"/>
  <c r="X1874"/>
  <c r="S1877"/>
  <c r="T1877" s="1"/>
  <c r="X1878"/>
  <c r="S1881"/>
  <c r="T1881" s="1"/>
  <c r="X1882"/>
  <c r="S1885"/>
  <c r="T1885" s="1"/>
  <c r="X1886"/>
  <c r="S1889"/>
  <c r="T1889" s="1"/>
  <c r="X1890"/>
  <c r="S1893"/>
  <c r="T1893" s="1"/>
  <c r="X1894"/>
  <c r="S1897"/>
  <c r="T1897" s="1"/>
  <c r="X1898"/>
  <c r="S1901"/>
  <c r="T1901" s="1"/>
  <c r="X1902"/>
  <c r="S1905"/>
  <c r="T1905" s="1"/>
  <c r="X1906"/>
  <c r="S1909"/>
  <c r="T1909" s="1"/>
  <c r="X1910"/>
  <c r="S1913"/>
  <c r="T1913" s="1"/>
  <c r="X1914"/>
  <c r="X1918"/>
  <c r="X1922"/>
  <c r="X1926"/>
  <c r="X1930"/>
  <c r="X1934"/>
  <c r="X1938"/>
  <c r="X1942"/>
  <c r="X1946"/>
  <c r="AD2203"/>
  <c r="AD2223"/>
  <c r="AD2235"/>
  <c r="AD2239"/>
  <c r="AD2251"/>
  <c r="AB2437"/>
  <c r="AC2437" s="1"/>
  <c r="X2437"/>
  <c r="Y2437"/>
  <c r="U2482"/>
  <c r="V2482"/>
  <c r="AD2482" s="1"/>
  <c r="U2486"/>
  <c r="V2486" s="1"/>
  <c r="AD2486" s="1"/>
  <c r="U2490"/>
  <c r="V2490"/>
  <c r="AD2490" s="1"/>
  <c r="U2542"/>
  <c r="V2542" s="1"/>
  <c r="AD2542" s="1"/>
  <c r="U2722"/>
  <c r="V2722"/>
  <c r="AD2722" s="1"/>
  <c r="Z2063"/>
  <c r="AA2063" s="1"/>
  <c r="Z2067"/>
  <c r="AA2067" s="1"/>
  <c r="Y2070"/>
  <c r="Z2071"/>
  <c r="AA2071" s="1"/>
  <c r="Y2074"/>
  <c r="Z2075"/>
  <c r="AA2075" s="1"/>
  <c r="Y2078"/>
  <c r="Z2079"/>
  <c r="AA2079" s="1"/>
  <c r="Y2082"/>
  <c r="Z2083"/>
  <c r="AA2083" s="1"/>
  <c r="Y2086"/>
  <c r="Z2087"/>
  <c r="AA2087" s="1"/>
  <c r="Y2090"/>
  <c r="Z2091"/>
  <c r="AA2091" s="1"/>
  <c r="Y2094"/>
  <c r="Z2095"/>
  <c r="AA2095" s="1"/>
  <c r="Y2098"/>
  <c r="Z2099"/>
  <c r="AA2099" s="1"/>
  <c r="Y2102"/>
  <c r="Z2103"/>
  <c r="AA2103" s="1"/>
  <c r="Y2106"/>
  <c r="Z2107"/>
  <c r="AA2107" s="1"/>
  <c r="Y2110"/>
  <c r="Z2111"/>
  <c r="AA2111" s="1"/>
  <c r="Y2114"/>
  <c r="Z2115"/>
  <c r="AA2115" s="1"/>
  <c r="Y2118"/>
  <c r="Z2119"/>
  <c r="AA2119" s="1"/>
  <c r="Y2122"/>
  <c r="Z2123"/>
  <c r="AA2123" s="1"/>
  <c r="Y2126"/>
  <c r="Z2127"/>
  <c r="AA2127" s="1"/>
  <c r="Y2130"/>
  <c r="Z2131"/>
  <c r="AA2131" s="1"/>
  <c r="Y2134"/>
  <c r="Z2135"/>
  <c r="AA2135" s="1"/>
  <c r="Y2138"/>
  <c r="Z2139"/>
  <c r="AA2139" s="1"/>
  <c r="Y2142"/>
  <c r="Z2143"/>
  <c r="AA2143" s="1"/>
  <c r="Y2146"/>
  <c r="Z2147"/>
  <c r="AA2147" s="1"/>
  <c r="Y2150"/>
  <c r="Z2151"/>
  <c r="AA2151" s="1"/>
  <c r="Y2154"/>
  <c r="Z2155"/>
  <c r="AA2155" s="1"/>
  <c r="Y2158"/>
  <c r="Z2159"/>
  <c r="AA2159" s="1"/>
  <c r="Y2162"/>
  <c r="Z2163"/>
  <c r="AA2163" s="1"/>
  <c r="Y2166"/>
  <c r="Z2167"/>
  <c r="AA2167" s="1"/>
  <c r="Y2170"/>
  <c r="Z2171"/>
  <c r="AA2171" s="1"/>
  <c r="Y2174"/>
  <c r="Z2175"/>
  <c r="AA2175" s="1"/>
  <c r="Y2178"/>
  <c r="Z2179"/>
  <c r="AA2179" s="1"/>
  <c r="Y2182"/>
  <c r="Z2183"/>
  <c r="AA2183" s="1"/>
  <c r="AB2185"/>
  <c r="AC2185" s="1"/>
  <c r="Y2186"/>
  <c r="Z2187"/>
  <c r="AA2187" s="1"/>
  <c r="AB2189"/>
  <c r="AC2189" s="1"/>
  <c r="Y2190"/>
  <c r="Z2191"/>
  <c r="AA2191" s="1"/>
  <c r="AB2193"/>
  <c r="AC2193" s="1"/>
  <c r="Y2194"/>
  <c r="Z2195"/>
  <c r="AA2195" s="1"/>
  <c r="AB2197"/>
  <c r="AC2197" s="1"/>
  <c r="Y2198"/>
  <c r="Z2199"/>
  <c r="AA2199" s="1"/>
  <c r="X2201"/>
  <c r="AB2201"/>
  <c r="AC2201" s="1"/>
  <c r="Y2202"/>
  <c r="Z2203"/>
  <c r="AA2203" s="1"/>
  <c r="S2204"/>
  <c r="T2204" s="1"/>
  <c r="X2205"/>
  <c r="AB2205"/>
  <c r="AC2205" s="1"/>
  <c r="Y2206"/>
  <c r="Z2207"/>
  <c r="AA2207" s="1"/>
  <c r="S2208"/>
  <c r="T2208" s="1"/>
  <c r="X2209"/>
  <c r="AB2209"/>
  <c r="AC2209" s="1"/>
  <c r="Y2210"/>
  <c r="Z2211"/>
  <c r="AA2211" s="1"/>
  <c r="S2212"/>
  <c r="T2212" s="1"/>
  <c r="X2213"/>
  <c r="AB2213"/>
  <c r="AC2213" s="1"/>
  <c r="Y2214"/>
  <c r="Z2215"/>
  <c r="AA2215" s="1"/>
  <c r="AD2215" s="1"/>
  <c r="S2216"/>
  <c r="T2216" s="1"/>
  <c r="X2217"/>
  <c r="AB2217"/>
  <c r="AC2217" s="1"/>
  <c r="Y2218"/>
  <c r="Z2219"/>
  <c r="AA2219" s="1"/>
  <c r="AD2219" s="1"/>
  <c r="S2220"/>
  <c r="T2220" s="1"/>
  <c r="AD2220" s="1"/>
  <c r="AA2220"/>
  <c r="X2221"/>
  <c r="AB2221"/>
  <c r="AC2221" s="1"/>
  <c r="Y2222"/>
  <c r="Z2223"/>
  <c r="AA2223" s="1"/>
  <c r="S2224"/>
  <c r="T2224" s="1"/>
  <c r="AD2224" s="1"/>
  <c r="AA2224"/>
  <c r="X2225"/>
  <c r="AB2225"/>
  <c r="AC2225" s="1"/>
  <c r="Y2226"/>
  <c r="Z2227"/>
  <c r="AA2227" s="1"/>
  <c r="AD2227" s="1"/>
  <c r="S2228"/>
  <c r="T2228" s="1"/>
  <c r="AD2228" s="1"/>
  <c r="AA2228"/>
  <c r="X2229"/>
  <c r="AB2229"/>
  <c r="AC2229" s="1"/>
  <c r="Y2230"/>
  <c r="Z2231"/>
  <c r="AA2231" s="1"/>
  <c r="AD2231" s="1"/>
  <c r="S2232"/>
  <c r="T2232" s="1"/>
  <c r="AD2232" s="1"/>
  <c r="AA2232"/>
  <c r="X2233"/>
  <c r="AB2233"/>
  <c r="AC2233" s="1"/>
  <c r="Y2234"/>
  <c r="Z2235"/>
  <c r="AA2235" s="1"/>
  <c r="S2236"/>
  <c r="T2236" s="1"/>
  <c r="AD2236" s="1"/>
  <c r="AA2236"/>
  <c r="X2237"/>
  <c r="AB2237"/>
  <c r="AC2237" s="1"/>
  <c r="Y2238"/>
  <c r="Z2239"/>
  <c r="AA2239" s="1"/>
  <c r="S2240"/>
  <c r="T2240" s="1"/>
  <c r="AD2240" s="1"/>
  <c r="AA2240"/>
  <c r="X2241"/>
  <c r="AB2241"/>
  <c r="AC2241" s="1"/>
  <c r="Y2242"/>
  <c r="Z2243"/>
  <c r="AA2243" s="1"/>
  <c r="S2244"/>
  <c r="T2244" s="1"/>
  <c r="AD2244" s="1"/>
  <c r="AA2244"/>
  <c r="X2245"/>
  <c r="AB2245"/>
  <c r="AC2245" s="1"/>
  <c r="Y2246"/>
  <c r="Z2247"/>
  <c r="AA2247" s="1"/>
  <c r="AD2247" s="1"/>
  <c r="S2248"/>
  <c r="T2248" s="1"/>
  <c r="AD2248" s="1"/>
  <c r="AA2248"/>
  <c r="X2249"/>
  <c r="AB2249"/>
  <c r="AC2249" s="1"/>
  <c r="Y2250"/>
  <c r="Z2251"/>
  <c r="AA2251" s="1"/>
  <c r="S2252"/>
  <c r="T2252" s="1"/>
  <c r="AD2252" s="1"/>
  <c r="AA2252"/>
  <c r="X2253"/>
  <c r="AB2253"/>
  <c r="AC2253" s="1"/>
  <c r="Y2254"/>
  <c r="S2256"/>
  <c r="T2256" s="1"/>
  <c r="AA2256"/>
  <c r="X2257"/>
  <c r="AB2257"/>
  <c r="AC2257" s="1"/>
  <c r="Y2258"/>
  <c r="S2260"/>
  <c r="T2260" s="1"/>
  <c r="AD2260" s="1"/>
  <c r="AA2260"/>
  <c r="X2261"/>
  <c r="AB2261"/>
  <c r="AC2261" s="1"/>
  <c r="Y2262"/>
  <c r="S2264"/>
  <c r="T2264" s="1"/>
  <c r="AD2264" s="1"/>
  <c r="AA2264"/>
  <c r="X2265"/>
  <c r="AB2265"/>
  <c r="AC2265" s="1"/>
  <c r="Y2266"/>
  <c r="S2268"/>
  <c r="T2268" s="1"/>
  <c r="AD2268" s="1"/>
  <c r="AA2268"/>
  <c r="X2269"/>
  <c r="AB2269"/>
  <c r="AC2269" s="1"/>
  <c r="Y2270"/>
  <c r="S2272"/>
  <c r="T2272" s="1"/>
  <c r="AA2272"/>
  <c r="X2273"/>
  <c r="AB2273"/>
  <c r="AC2273" s="1"/>
  <c r="Y2274"/>
  <c r="S2276"/>
  <c r="T2276" s="1"/>
  <c r="AA2276"/>
  <c r="X2277"/>
  <c r="AB2277"/>
  <c r="AC2277" s="1"/>
  <c r="Y2278"/>
  <c r="S2280"/>
  <c r="T2280" s="1"/>
  <c r="AD2280" s="1"/>
  <c r="AA2280"/>
  <c r="X2281"/>
  <c r="AB2281"/>
  <c r="AC2281" s="1"/>
  <c r="Y2282"/>
  <c r="S2284"/>
  <c r="T2284" s="1"/>
  <c r="AD2284" s="1"/>
  <c r="AA2284"/>
  <c r="X2285"/>
  <c r="AB2285"/>
  <c r="AC2285" s="1"/>
  <c r="Y2286"/>
  <c r="S2288"/>
  <c r="T2288" s="1"/>
  <c r="AA2288"/>
  <c r="X2289"/>
  <c r="AB2289"/>
  <c r="AC2289" s="1"/>
  <c r="Y2290"/>
  <c r="S2292"/>
  <c r="T2292" s="1"/>
  <c r="AD2292" s="1"/>
  <c r="AA2292"/>
  <c r="X2293"/>
  <c r="AB2293"/>
  <c r="AC2293" s="1"/>
  <c r="Y2294"/>
  <c r="S2296"/>
  <c r="T2296" s="1"/>
  <c r="AD2296" s="1"/>
  <c r="AA2296"/>
  <c r="X2297"/>
  <c r="AB2297"/>
  <c r="AC2297" s="1"/>
  <c r="Y2298"/>
  <c r="S2300"/>
  <c r="T2300" s="1"/>
  <c r="AD2300" s="1"/>
  <c r="AA2300"/>
  <c r="X2301"/>
  <c r="AB2301"/>
  <c r="AC2301" s="1"/>
  <c r="Y2302"/>
  <c r="S2304"/>
  <c r="T2304" s="1"/>
  <c r="AA2304"/>
  <c r="X2305"/>
  <c r="AB2305"/>
  <c r="AC2305" s="1"/>
  <c r="Y2306"/>
  <c r="S2308"/>
  <c r="T2308" s="1"/>
  <c r="AD2308" s="1"/>
  <c r="AA2308"/>
  <c r="X2309"/>
  <c r="AB2309"/>
  <c r="AC2309" s="1"/>
  <c r="Y2310"/>
  <c r="S2312"/>
  <c r="T2312" s="1"/>
  <c r="AD2312" s="1"/>
  <c r="AA2312"/>
  <c r="X2313"/>
  <c r="AB2313"/>
  <c r="AC2313" s="1"/>
  <c r="Y2314"/>
  <c r="S2316"/>
  <c r="T2316" s="1"/>
  <c r="AD2316" s="1"/>
  <c r="AA2316"/>
  <c r="X2317"/>
  <c r="AB2317"/>
  <c r="AC2317" s="1"/>
  <c r="Y2318"/>
  <c r="S2320"/>
  <c r="T2320" s="1"/>
  <c r="AA2320"/>
  <c r="X2321"/>
  <c r="AB2321"/>
  <c r="AC2321" s="1"/>
  <c r="Y2322"/>
  <c r="S2324"/>
  <c r="T2324" s="1"/>
  <c r="AD2324" s="1"/>
  <c r="AA2324"/>
  <c r="X2325"/>
  <c r="AB2325"/>
  <c r="AC2325" s="1"/>
  <c r="Y2326"/>
  <c r="S2328"/>
  <c r="T2328" s="1"/>
  <c r="AD2328" s="1"/>
  <c r="AA2328"/>
  <c r="X2329"/>
  <c r="AB2329"/>
  <c r="AC2329" s="1"/>
  <c r="Y2330"/>
  <c r="S2332"/>
  <c r="T2332" s="1"/>
  <c r="AD2332" s="1"/>
  <c r="AA2332"/>
  <c r="X2333"/>
  <c r="AB2333"/>
  <c r="AC2333" s="1"/>
  <c r="Y2334"/>
  <c r="S2336"/>
  <c r="T2336" s="1"/>
  <c r="AA2336"/>
  <c r="X2337"/>
  <c r="AB2337"/>
  <c r="AC2337" s="1"/>
  <c r="Y2338"/>
  <c r="S2340"/>
  <c r="T2340" s="1"/>
  <c r="AD2340" s="1"/>
  <c r="AA2340"/>
  <c r="X2341"/>
  <c r="AB2341"/>
  <c r="AC2341" s="1"/>
  <c r="Y2342"/>
  <c r="S2344"/>
  <c r="T2344" s="1"/>
  <c r="AD2344" s="1"/>
  <c r="AA2344"/>
  <c r="X2345"/>
  <c r="AB2345"/>
  <c r="AC2345" s="1"/>
  <c r="Y2346"/>
  <c r="S2348"/>
  <c r="T2348" s="1"/>
  <c r="AD2348" s="1"/>
  <c r="AA2348"/>
  <c r="X2349"/>
  <c r="AB2349"/>
  <c r="AC2349" s="1"/>
  <c r="Y2350"/>
  <c r="S2352"/>
  <c r="T2352" s="1"/>
  <c r="AA2352"/>
  <c r="X2353"/>
  <c r="AB2353"/>
  <c r="AC2353" s="1"/>
  <c r="Y2354"/>
  <c r="S2356"/>
  <c r="T2356" s="1"/>
  <c r="AD2356" s="1"/>
  <c r="AA2356"/>
  <c r="X2357"/>
  <c r="AB2357"/>
  <c r="AC2357" s="1"/>
  <c r="Y2358"/>
  <c r="S2360"/>
  <c r="T2360" s="1"/>
  <c r="AD2360" s="1"/>
  <c r="AA2360"/>
  <c r="X2361"/>
  <c r="AB2361"/>
  <c r="AC2361" s="1"/>
  <c r="Y2362"/>
  <c r="S2364"/>
  <c r="T2364" s="1"/>
  <c r="AA2364"/>
  <c r="X2365"/>
  <c r="AB2365"/>
  <c r="AC2365" s="1"/>
  <c r="Y2366"/>
  <c r="S2368"/>
  <c r="T2368" s="1"/>
  <c r="AA2368"/>
  <c r="X2369"/>
  <c r="AB2369"/>
  <c r="AC2369" s="1"/>
  <c r="Y2370"/>
  <c r="S2372"/>
  <c r="T2372" s="1"/>
  <c r="AD2372" s="1"/>
  <c r="AA2372"/>
  <c r="X2373"/>
  <c r="AB2373"/>
  <c r="AC2373" s="1"/>
  <c r="Y2374"/>
  <c r="S2376"/>
  <c r="T2376" s="1"/>
  <c r="AD2376" s="1"/>
  <c r="AA2376"/>
  <c r="X2377"/>
  <c r="AB2377"/>
  <c r="AC2377" s="1"/>
  <c r="Y2378"/>
  <c r="S2380"/>
  <c r="T2380" s="1"/>
  <c r="AD2380" s="1"/>
  <c r="AA2380"/>
  <c r="X2381"/>
  <c r="AB2381"/>
  <c r="AC2381" s="1"/>
  <c r="Y2382"/>
  <c r="S2384"/>
  <c r="T2384" s="1"/>
  <c r="AA2384"/>
  <c r="X2385"/>
  <c r="AB2385"/>
  <c r="AC2385" s="1"/>
  <c r="Y2386"/>
  <c r="S2388"/>
  <c r="T2388" s="1"/>
  <c r="AD2388" s="1"/>
  <c r="AA2388"/>
  <c r="X2389"/>
  <c r="AB2389"/>
  <c r="AC2389" s="1"/>
  <c r="Y2390"/>
  <c r="S2392"/>
  <c r="T2392" s="1"/>
  <c r="AD2392" s="1"/>
  <c r="AA2392"/>
  <c r="X2393"/>
  <c r="AB2393"/>
  <c r="AC2393" s="1"/>
  <c r="Y2394"/>
  <c r="S2396"/>
  <c r="T2396" s="1"/>
  <c r="AD2396" s="1"/>
  <c r="AA2396"/>
  <c r="X2397"/>
  <c r="AB2397"/>
  <c r="AC2397" s="1"/>
  <c r="Y2398"/>
  <c r="S2400"/>
  <c r="T2400" s="1"/>
  <c r="AA2400"/>
  <c r="X2401"/>
  <c r="AB2401"/>
  <c r="AC2401" s="1"/>
  <c r="Y2402"/>
  <c r="S2404"/>
  <c r="T2404" s="1"/>
  <c r="AD2404" s="1"/>
  <c r="AA2404"/>
  <c r="X2405"/>
  <c r="AB2405"/>
  <c r="AC2405" s="1"/>
  <c r="Y2406"/>
  <c r="S2408"/>
  <c r="T2408" s="1"/>
  <c r="AD2408" s="1"/>
  <c r="AA2408"/>
  <c r="X2409"/>
  <c r="AB2409"/>
  <c r="AC2409" s="1"/>
  <c r="Y2410"/>
  <c r="S2412"/>
  <c r="T2412" s="1"/>
  <c r="AA2412"/>
  <c r="X2413"/>
  <c r="AB2413"/>
  <c r="AC2413" s="1"/>
  <c r="Y2414"/>
  <c r="S2416"/>
  <c r="T2416" s="1"/>
  <c r="AA2416"/>
  <c r="X2417"/>
  <c r="AB2417"/>
  <c r="AC2417" s="1"/>
  <c r="Y2418"/>
  <c r="S2420"/>
  <c r="T2420" s="1"/>
  <c r="AD2420" s="1"/>
  <c r="AA2420"/>
  <c r="X2421"/>
  <c r="AB2421"/>
  <c r="AC2421" s="1"/>
  <c r="Y2422"/>
  <c r="S2433"/>
  <c r="T2433" s="1"/>
  <c r="Z2437"/>
  <c r="AA2437" s="1"/>
  <c r="AD2437" s="1"/>
  <c r="AA2497"/>
  <c r="AA2569"/>
  <c r="AD2602"/>
  <c r="AB2433"/>
  <c r="AC2433" s="1"/>
  <c r="X2433"/>
  <c r="Y2433"/>
  <c r="AA2436"/>
  <c r="S2436"/>
  <c r="T2436" s="1"/>
  <c r="AB2436"/>
  <c r="AC2436" s="1"/>
  <c r="X2436"/>
  <c r="U2671"/>
  <c r="V2671" s="1"/>
  <c r="U2675"/>
  <c r="V2675"/>
  <c r="U2723"/>
  <c r="V2723" s="1"/>
  <c r="U2727"/>
  <c r="V2727"/>
  <c r="Z2056"/>
  <c r="AA2056" s="1"/>
  <c r="AD2056" s="1"/>
  <c r="S2057"/>
  <c r="T2057" s="1"/>
  <c r="AD2057" s="1"/>
  <c r="AA2057"/>
  <c r="Z2060"/>
  <c r="AA2060" s="1"/>
  <c r="AD2060" s="1"/>
  <c r="S2061"/>
  <c r="T2061" s="1"/>
  <c r="AD2061" s="1"/>
  <c r="AA2061"/>
  <c r="Y2063"/>
  <c r="Z2064"/>
  <c r="AA2064" s="1"/>
  <c r="S2065"/>
  <c r="T2065" s="1"/>
  <c r="AD2065" s="1"/>
  <c r="AA2065"/>
  <c r="Y2067"/>
  <c r="Z2068"/>
  <c r="AA2068" s="1"/>
  <c r="S2069"/>
  <c r="T2069" s="1"/>
  <c r="AA2069"/>
  <c r="X2070"/>
  <c r="AB2070"/>
  <c r="AC2070" s="1"/>
  <c r="Y2071"/>
  <c r="Z2072"/>
  <c r="AA2072" s="1"/>
  <c r="S2073"/>
  <c r="T2073" s="1"/>
  <c r="AA2073"/>
  <c r="X2074"/>
  <c r="AB2074"/>
  <c r="AC2074" s="1"/>
  <c r="Y2075"/>
  <c r="Z2076"/>
  <c r="AA2076" s="1"/>
  <c r="S2077"/>
  <c r="T2077" s="1"/>
  <c r="AD2077" s="1"/>
  <c r="AA2077"/>
  <c r="X2078"/>
  <c r="AB2078"/>
  <c r="AC2078" s="1"/>
  <c r="Y2079"/>
  <c r="Z2080"/>
  <c r="AA2080" s="1"/>
  <c r="S2081"/>
  <c r="T2081" s="1"/>
  <c r="AA2081"/>
  <c r="X2082"/>
  <c r="AB2082"/>
  <c r="AC2082" s="1"/>
  <c r="Y2083"/>
  <c r="S2085"/>
  <c r="T2085" s="1"/>
  <c r="AD2085" s="1"/>
  <c r="AA2085"/>
  <c r="X2086"/>
  <c r="AB2086"/>
  <c r="AC2086" s="1"/>
  <c r="Y2087"/>
  <c r="S2089"/>
  <c r="T2089" s="1"/>
  <c r="AD2089" s="1"/>
  <c r="AA2089"/>
  <c r="X2090"/>
  <c r="AB2090"/>
  <c r="AC2090" s="1"/>
  <c r="Y2091"/>
  <c r="S2093"/>
  <c r="T2093" s="1"/>
  <c r="AA2093"/>
  <c r="X2094"/>
  <c r="AB2094"/>
  <c r="AC2094" s="1"/>
  <c r="Y2095"/>
  <c r="S2097"/>
  <c r="T2097" s="1"/>
  <c r="AA2097"/>
  <c r="X2098"/>
  <c r="AB2098"/>
  <c r="AC2098" s="1"/>
  <c r="Y2099"/>
  <c r="Z2100"/>
  <c r="AA2100" s="1"/>
  <c r="S2101"/>
  <c r="T2101" s="1"/>
  <c r="AD2101" s="1"/>
  <c r="AA2101"/>
  <c r="X2102"/>
  <c r="AB2102"/>
  <c r="AC2102" s="1"/>
  <c r="Y2103"/>
  <c r="Z2104"/>
  <c r="AA2104" s="1"/>
  <c r="S2105"/>
  <c r="T2105" s="1"/>
  <c r="AA2105"/>
  <c r="X2106"/>
  <c r="AB2106"/>
  <c r="AC2106" s="1"/>
  <c r="Y2107"/>
  <c r="Z2108"/>
  <c r="AA2108" s="1"/>
  <c r="S2109"/>
  <c r="T2109" s="1"/>
  <c r="AD2109" s="1"/>
  <c r="AA2109"/>
  <c r="X2110"/>
  <c r="AB2110"/>
  <c r="AC2110" s="1"/>
  <c r="Y2111"/>
  <c r="Z2112"/>
  <c r="AA2112" s="1"/>
  <c r="S2113"/>
  <c r="T2113" s="1"/>
  <c r="AA2113"/>
  <c r="X2114"/>
  <c r="AB2114"/>
  <c r="AC2114" s="1"/>
  <c r="Y2115"/>
  <c r="Z2116"/>
  <c r="AA2116" s="1"/>
  <c r="S2117"/>
  <c r="T2117" s="1"/>
  <c r="AD2117" s="1"/>
  <c r="AA2117"/>
  <c r="X2118"/>
  <c r="AB2118"/>
  <c r="AC2118" s="1"/>
  <c r="Y2119"/>
  <c r="Z2120"/>
  <c r="AA2120" s="1"/>
  <c r="S2121"/>
  <c r="T2121" s="1"/>
  <c r="AA2121"/>
  <c r="X2122"/>
  <c r="AB2122"/>
  <c r="AC2122" s="1"/>
  <c r="Y2123"/>
  <c r="Z2124"/>
  <c r="AA2124" s="1"/>
  <c r="S2125"/>
  <c r="T2125" s="1"/>
  <c r="AD2125" s="1"/>
  <c r="AA2125"/>
  <c r="X2126"/>
  <c r="AB2126"/>
  <c r="AC2126" s="1"/>
  <c r="Y2127"/>
  <c r="Z2128"/>
  <c r="AA2128" s="1"/>
  <c r="S2129"/>
  <c r="T2129" s="1"/>
  <c r="AA2129"/>
  <c r="X2130"/>
  <c r="AB2130"/>
  <c r="AC2130" s="1"/>
  <c r="Y2131"/>
  <c r="Z2132"/>
  <c r="AA2132" s="1"/>
  <c r="S2133"/>
  <c r="T2133" s="1"/>
  <c r="AD2133" s="1"/>
  <c r="AA2133"/>
  <c r="X2134"/>
  <c r="AB2134"/>
  <c r="AC2134" s="1"/>
  <c r="Y2135"/>
  <c r="Z2136"/>
  <c r="AA2136" s="1"/>
  <c r="S2137"/>
  <c r="T2137" s="1"/>
  <c r="AA2137"/>
  <c r="X2138"/>
  <c r="AB2138"/>
  <c r="AC2138" s="1"/>
  <c r="Y2139"/>
  <c r="Z2140"/>
  <c r="AA2140" s="1"/>
  <c r="S2141"/>
  <c r="T2141" s="1"/>
  <c r="AD2141" s="1"/>
  <c r="AA2141"/>
  <c r="X2142"/>
  <c r="AB2142"/>
  <c r="AC2142" s="1"/>
  <c r="Y2143"/>
  <c r="Z2144"/>
  <c r="AA2144" s="1"/>
  <c r="S2145"/>
  <c r="T2145" s="1"/>
  <c r="AA2145"/>
  <c r="X2146"/>
  <c r="AB2146"/>
  <c r="AC2146" s="1"/>
  <c r="Y2147"/>
  <c r="Z2148"/>
  <c r="AA2148" s="1"/>
  <c r="S2149"/>
  <c r="T2149" s="1"/>
  <c r="AD2149" s="1"/>
  <c r="AA2149"/>
  <c r="X2150"/>
  <c r="AB2150"/>
  <c r="AC2150" s="1"/>
  <c r="Y2151"/>
  <c r="Z2152"/>
  <c r="AA2152" s="1"/>
  <c r="S2153"/>
  <c r="T2153" s="1"/>
  <c r="AA2153"/>
  <c r="X2154"/>
  <c r="AB2154"/>
  <c r="AC2154" s="1"/>
  <c r="Y2155"/>
  <c r="Z2156"/>
  <c r="AA2156" s="1"/>
  <c r="AD2156" s="1"/>
  <c r="S2157"/>
  <c r="T2157" s="1"/>
  <c r="AD2157" s="1"/>
  <c r="AA2157"/>
  <c r="X2158"/>
  <c r="AB2158"/>
  <c r="AC2158" s="1"/>
  <c r="Y2159"/>
  <c r="Z2160"/>
  <c r="AA2160" s="1"/>
  <c r="S2161"/>
  <c r="T2161" s="1"/>
  <c r="AA2161"/>
  <c r="X2162"/>
  <c r="AB2162"/>
  <c r="AC2162" s="1"/>
  <c r="Y2163"/>
  <c r="Z2164"/>
  <c r="AA2164" s="1"/>
  <c r="S2165"/>
  <c r="T2165" s="1"/>
  <c r="AD2165" s="1"/>
  <c r="AA2165"/>
  <c r="X2166"/>
  <c r="AB2166"/>
  <c r="AC2166" s="1"/>
  <c r="Y2167"/>
  <c r="Z2168"/>
  <c r="AA2168" s="1"/>
  <c r="S2169"/>
  <c r="T2169" s="1"/>
  <c r="AA2169"/>
  <c r="X2170"/>
  <c r="AB2170"/>
  <c r="AC2170" s="1"/>
  <c r="Y2171"/>
  <c r="Z2172"/>
  <c r="AA2172" s="1"/>
  <c r="AD2172" s="1"/>
  <c r="S2173"/>
  <c r="T2173" s="1"/>
  <c r="AD2173" s="1"/>
  <c r="AA2173"/>
  <c r="X2174"/>
  <c r="AB2174"/>
  <c r="AC2174" s="1"/>
  <c r="Y2175"/>
  <c r="Z2176"/>
  <c r="AA2176" s="1"/>
  <c r="S2177"/>
  <c r="T2177" s="1"/>
  <c r="AA2177"/>
  <c r="X2178"/>
  <c r="AB2178"/>
  <c r="AC2178" s="1"/>
  <c r="Y2179"/>
  <c r="Z2180"/>
  <c r="AA2180" s="1"/>
  <c r="S2181"/>
  <c r="T2181" s="1"/>
  <c r="AD2181" s="1"/>
  <c r="AA2181"/>
  <c r="X2182"/>
  <c r="AB2182"/>
  <c r="AC2182" s="1"/>
  <c r="Y2183"/>
  <c r="Z2184"/>
  <c r="AA2184" s="1"/>
  <c r="S2185"/>
  <c r="T2185" s="1"/>
  <c r="AA2185"/>
  <c r="X2186"/>
  <c r="AB2186"/>
  <c r="AC2186" s="1"/>
  <c r="Y2187"/>
  <c r="Z2188"/>
  <c r="AA2188" s="1"/>
  <c r="S2189"/>
  <c r="T2189" s="1"/>
  <c r="AA2189"/>
  <c r="X2190"/>
  <c r="AB2190"/>
  <c r="AC2190" s="1"/>
  <c r="Y2191"/>
  <c r="Z2192"/>
  <c r="AA2192" s="1"/>
  <c r="S2193"/>
  <c r="T2193" s="1"/>
  <c r="AA2193"/>
  <c r="X2194"/>
  <c r="AB2194"/>
  <c r="AC2194" s="1"/>
  <c r="Y2195"/>
  <c r="Z2196"/>
  <c r="AA2196" s="1"/>
  <c r="S2197"/>
  <c r="T2197" s="1"/>
  <c r="AD2197" s="1"/>
  <c r="AA2197"/>
  <c r="X2198"/>
  <c r="AB2198"/>
  <c r="AC2198" s="1"/>
  <c r="Y2199"/>
  <c r="Z2200"/>
  <c r="AA2200" s="1"/>
  <c r="S2201"/>
  <c r="T2201" s="1"/>
  <c r="AA2201"/>
  <c r="X2202"/>
  <c r="AB2202"/>
  <c r="AC2202" s="1"/>
  <c r="Y2203"/>
  <c r="Z2204"/>
  <c r="AA2204" s="1"/>
  <c r="S2205"/>
  <c r="T2205" s="1"/>
  <c r="AA2205"/>
  <c r="X2206"/>
  <c r="AB2206"/>
  <c r="AC2206" s="1"/>
  <c r="Y2207"/>
  <c r="Z2208"/>
  <c r="AA2208" s="1"/>
  <c r="S2209"/>
  <c r="T2209" s="1"/>
  <c r="AA2209"/>
  <c r="X2210"/>
  <c r="AB2210"/>
  <c r="AC2210" s="1"/>
  <c r="Y2211"/>
  <c r="Z2212"/>
  <c r="AA2212" s="1"/>
  <c r="S2213"/>
  <c r="T2213" s="1"/>
  <c r="AA2213"/>
  <c r="X2214"/>
  <c r="AB2214"/>
  <c r="AC2214" s="1"/>
  <c r="Y2215"/>
  <c r="Z2216"/>
  <c r="AA2216" s="1"/>
  <c r="S2217"/>
  <c r="T2217" s="1"/>
  <c r="AA2217"/>
  <c r="X2218"/>
  <c r="AB2218"/>
  <c r="AC2218" s="1"/>
  <c r="Y2219"/>
  <c r="S2221"/>
  <c r="T2221" s="1"/>
  <c r="AD2221" s="1"/>
  <c r="AA2221"/>
  <c r="X2222"/>
  <c r="AB2222"/>
  <c r="AC2222" s="1"/>
  <c r="S2225"/>
  <c r="T2225" s="1"/>
  <c r="AD2225" s="1"/>
  <c r="AA2225"/>
  <c r="X2226"/>
  <c r="AB2226"/>
  <c r="AC2226" s="1"/>
  <c r="S2229"/>
  <c r="T2229" s="1"/>
  <c r="AD2229" s="1"/>
  <c r="AA2229"/>
  <c r="X2230"/>
  <c r="AB2230"/>
  <c r="AC2230" s="1"/>
  <c r="S2233"/>
  <c r="T2233" s="1"/>
  <c r="AD2233" s="1"/>
  <c r="AA2233"/>
  <c r="X2234"/>
  <c r="AB2234"/>
  <c r="AC2234" s="1"/>
  <c r="S2237"/>
  <c r="T2237" s="1"/>
  <c r="AD2237" s="1"/>
  <c r="AA2237"/>
  <c r="X2238"/>
  <c r="AB2238"/>
  <c r="AC2238" s="1"/>
  <c r="S2241"/>
  <c r="T2241" s="1"/>
  <c r="AD2241" s="1"/>
  <c r="AA2241"/>
  <c r="X2242"/>
  <c r="AB2242"/>
  <c r="AC2242" s="1"/>
  <c r="S2245"/>
  <c r="T2245" s="1"/>
  <c r="AD2245" s="1"/>
  <c r="AA2245"/>
  <c r="X2246"/>
  <c r="AB2246"/>
  <c r="AC2246" s="1"/>
  <c r="S2249"/>
  <c r="T2249" s="1"/>
  <c r="AD2249" s="1"/>
  <c r="AA2249"/>
  <c r="X2250"/>
  <c r="AB2250"/>
  <c r="AC2250" s="1"/>
  <c r="S2253"/>
  <c r="T2253" s="1"/>
  <c r="AD2253" s="1"/>
  <c r="AA2253"/>
  <c r="X2254"/>
  <c r="AB2254"/>
  <c r="AC2254" s="1"/>
  <c r="S2257"/>
  <c r="T2257" s="1"/>
  <c r="AD2257" s="1"/>
  <c r="AA2257"/>
  <c r="X2258"/>
  <c r="AB2258"/>
  <c r="AC2258" s="1"/>
  <c r="S2261"/>
  <c r="T2261" s="1"/>
  <c r="AD2261" s="1"/>
  <c r="AA2261"/>
  <c r="X2262"/>
  <c r="AB2262"/>
  <c r="AC2262" s="1"/>
  <c r="S2265"/>
  <c r="T2265" s="1"/>
  <c r="AD2265" s="1"/>
  <c r="AA2265"/>
  <c r="X2266"/>
  <c r="AB2266"/>
  <c r="AC2266" s="1"/>
  <c r="S2269"/>
  <c r="T2269" s="1"/>
  <c r="AD2269" s="1"/>
  <c r="AA2269"/>
  <c r="X2270"/>
  <c r="AB2270"/>
  <c r="AC2270" s="1"/>
  <c r="S2273"/>
  <c r="T2273" s="1"/>
  <c r="AD2273" s="1"/>
  <c r="AA2273"/>
  <c r="X2274"/>
  <c r="AB2274"/>
  <c r="AC2274" s="1"/>
  <c r="S2277"/>
  <c r="T2277" s="1"/>
  <c r="AA2277"/>
  <c r="X2278"/>
  <c r="AB2278"/>
  <c r="AC2278" s="1"/>
  <c r="S2281"/>
  <c r="T2281" s="1"/>
  <c r="AD2281" s="1"/>
  <c r="AA2281"/>
  <c r="X2282"/>
  <c r="AB2282"/>
  <c r="AC2282" s="1"/>
  <c r="S2285"/>
  <c r="T2285" s="1"/>
  <c r="AD2285" s="1"/>
  <c r="AA2285"/>
  <c r="X2286"/>
  <c r="AB2286"/>
  <c r="AC2286" s="1"/>
  <c r="S2289"/>
  <c r="T2289" s="1"/>
  <c r="AD2289" s="1"/>
  <c r="AA2289"/>
  <c r="X2290"/>
  <c r="AB2290"/>
  <c r="AC2290" s="1"/>
  <c r="S2293"/>
  <c r="T2293" s="1"/>
  <c r="AD2293" s="1"/>
  <c r="AA2293"/>
  <c r="X2294"/>
  <c r="AB2294"/>
  <c r="AC2294" s="1"/>
  <c r="S2297"/>
  <c r="T2297" s="1"/>
  <c r="AD2297" s="1"/>
  <c r="AA2297"/>
  <c r="X2298"/>
  <c r="AB2298"/>
  <c r="AC2298" s="1"/>
  <c r="S2301"/>
  <c r="T2301" s="1"/>
  <c r="AD2301" s="1"/>
  <c r="AA2301"/>
  <c r="X2302"/>
  <c r="AB2302"/>
  <c r="AC2302" s="1"/>
  <c r="S2305"/>
  <c r="T2305" s="1"/>
  <c r="AD2305" s="1"/>
  <c r="AA2305"/>
  <c r="X2306"/>
  <c r="AB2306"/>
  <c r="AC2306" s="1"/>
  <c r="S2309"/>
  <c r="T2309" s="1"/>
  <c r="AD2309" s="1"/>
  <c r="AA2309"/>
  <c r="X2310"/>
  <c r="AB2310"/>
  <c r="AC2310" s="1"/>
  <c r="S2313"/>
  <c r="T2313" s="1"/>
  <c r="AD2313" s="1"/>
  <c r="AA2313"/>
  <c r="X2314"/>
  <c r="AB2314"/>
  <c r="AC2314" s="1"/>
  <c r="S2317"/>
  <c r="T2317" s="1"/>
  <c r="AD2317" s="1"/>
  <c r="AA2317"/>
  <c r="X2318"/>
  <c r="AB2318"/>
  <c r="AC2318" s="1"/>
  <c r="S2321"/>
  <c r="T2321" s="1"/>
  <c r="AD2321" s="1"/>
  <c r="AA2321"/>
  <c r="X2322"/>
  <c r="AB2322"/>
  <c r="AC2322" s="1"/>
  <c r="S2325"/>
  <c r="T2325" s="1"/>
  <c r="AD2325" s="1"/>
  <c r="AA2325"/>
  <c r="X2326"/>
  <c r="AB2326"/>
  <c r="AC2326" s="1"/>
  <c r="S2329"/>
  <c r="T2329" s="1"/>
  <c r="AD2329" s="1"/>
  <c r="AA2329"/>
  <c r="X2330"/>
  <c r="AB2330"/>
  <c r="AC2330" s="1"/>
  <c r="S2333"/>
  <c r="T2333" s="1"/>
  <c r="AD2333" s="1"/>
  <c r="AA2333"/>
  <c r="X2334"/>
  <c r="AB2334"/>
  <c r="AC2334" s="1"/>
  <c r="S2337"/>
  <c r="T2337" s="1"/>
  <c r="AD2337" s="1"/>
  <c r="AA2337"/>
  <c r="X2338"/>
  <c r="AB2338"/>
  <c r="AC2338" s="1"/>
  <c r="S2341"/>
  <c r="T2341" s="1"/>
  <c r="AD2341" s="1"/>
  <c r="AA2341"/>
  <c r="X2342"/>
  <c r="AB2342"/>
  <c r="AC2342" s="1"/>
  <c r="S2345"/>
  <c r="T2345" s="1"/>
  <c r="AD2345" s="1"/>
  <c r="AA2345"/>
  <c r="X2346"/>
  <c r="AB2346"/>
  <c r="AC2346" s="1"/>
  <c r="S2349"/>
  <c r="T2349" s="1"/>
  <c r="AD2349" s="1"/>
  <c r="AA2349"/>
  <c r="X2350"/>
  <c r="AB2350"/>
  <c r="AC2350" s="1"/>
  <c r="S2353"/>
  <c r="T2353" s="1"/>
  <c r="AD2353" s="1"/>
  <c r="AA2353"/>
  <c r="X2354"/>
  <c r="AB2354"/>
  <c r="AC2354" s="1"/>
  <c r="S2357"/>
  <c r="T2357" s="1"/>
  <c r="AD2357" s="1"/>
  <c r="AA2357"/>
  <c r="X2358"/>
  <c r="AB2358"/>
  <c r="AC2358" s="1"/>
  <c r="S2361"/>
  <c r="T2361" s="1"/>
  <c r="AD2361" s="1"/>
  <c r="AA2361"/>
  <c r="X2362"/>
  <c r="AB2362"/>
  <c r="AC2362" s="1"/>
  <c r="S2365"/>
  <c r="T2365" s="1"/>
  <c r="AD2365" s="1"/>
  <c r="AA2365"/>
  <c r="X2366"/>
  <c r="AB2366"/>
  <c r="AC2366" s="1"/>
  <c r="S2369"/>
  <c r="T2369" s="1"/>
  <c r="AA2369"/>
  <c r="X2370"/>
  <c r="AB2370"/>
  <c r="AC2370" s="1"/>
  <c r="S2373"/>
  <c r="T2373" s="1"/>
  <c r="AA2373"/>
  <c r="X2374"/>
  <c r="AB2374"/>
  <c r="AC2374" s="1"/>
  <c r="S2377"/>
  <c r="T2377" s="1"/>
  <c r="AD2377" s="1"/>
  <c r="AA2377"/>
  <c r="X2378"/>
  <c r="AB2378"/>
  <c r="AC2378" s="1"/>
  <c r="S2381"/>
  <c r="T2381" s="1"/>
  <c r="AD2381" s="1"/>
  <c r="AA2381"/>
  <c r="X2382"/>
  <c r="AB2382"/>
  <c r="AC2382" s="1"/>
  <c r="S2385"/>
  <c r="T2385" s="1"/>
  <c r="AD2385" s="1"/>
  <c r="AA2385"/>
  <c r="X2386"/>
  <c r="AB2386"/>
  <c r="AC2386" s="1"/>
  <c r="S2389"/>
  <c r="T2389" s="1"/>
  <c r="AD2389" s="1"/>
  <c r="AA2389"/>
  <c r="X2390"/>
  <c r="AB2390"/>
  <c r="AC2390" s="1"/>
  <c r="S2393"/>
  <c r="T2393" s="1"/>
  <c r="AD2393" s="1"/>
  <c r="AA2393"/>
  <c r="X2394"/>
  <c r="AB2394"/>
  <c r="AC2394" s="1"/>
  <c r="S2397"/>
  <c r="T2397" s="1"/>
  <c r="AD2397" s="1"/>
  <c r="AA2397"/>
  <c r="X2398"/>
  <c r="AB2398"/>
  <c r="AC2398" s="1"/>
  <c r="S2401"/>
  <c r="T2401" s="1"/>
  <c r="AD2401" s="1"/>
  <c r="AA2401"/>
  <c r="X2402"/>
  <c r="AB2402"/>
  <c r="AC2402" s="1"/>
  <c r="S2405"/>
  <c r="T2405" s="1"/>
  <c r="AD2405" s="1"/>
  <c r="AA2405"/>
  <c r="X2406"/>
  <c r="AB2406"/>
  <c r="AC2406" s="1"/>
  <c r="S2409"/>
  <c r="T2409" s="1"/>
  <c r="AD2409" s="1"/>
  <c r="AA2409"/>
  <c r="X2410"/>
  <c r="AB2410"/>
  <c r="AC2410" s="1"/>
  <c r="S2413"/>
  <c r="T2413" s="1"/>
  <c r="X2414"/>
  <c r="AB2414"/>
  <c r="AC2414" s="1"/>
  <c r="O2415"/>
  <c r="U2415" s="1"/>
  <c r="V2415" s="1"/>
  <c r="AD2415" s="1"/>
  <c r="S2417"/>
  <c r="T2417" s="1"/>
  <c r="X2418"/>
  <c r="AD2418" s="1"/>
  <c r="AB2418"/>
  <c r="AC2418" s="1"/>
  <c r="O2419"/>
  <c r="U2419" s="1"/>
  <c r="V2419" s="1"/>
  <c r="AD2419" s="1"/>
  <c r="S2421"/>
  <c r="T2421" s="1"/>
  <c r="X2422"/>
  <c r="AB2422"/>
  <c r="AC2422" s="1"/>
  <c r="S2425"/>
  <c r="T2425" s="1"/>
  <c r="S2429"/>
  <c r="T2429" s="1"/>
  <c r="Z2433"/>
  <c r="AA2433" s="1"/>
  <c r="Y2436"/>
  <c r="AA2505"/>
  <c r="AA2573"/>
  <c r="AD2606"/>
  <c r="AD2734"/>
  <c r="AD2742"/>
  <c r="AB2425"/>
  <c r="AC2425" s="1"/>
  <c r="X2425"/>
  <c r="Y2425"/>
  <c r="AB2429"/>
  <c r="AC2429" s="1"/>
  <c r="X2429"/>
  <c r="Y2429"/>
  <c r="AA2432"/>
  <c r="S2432"/>
  <c r="T2432" s="1"/>
  <c r="AD2432" s="1"/>
  <c r="AB2432"/>
  <c r="AC2432" s="1"/>
  <c r="X2432"/>
  <c r="U2483"/>
  <c r="V2483"/>
  <c r="U2487"/>
  <c r="V2487" s="1"/>
  <c r="U2539"/>
  <c r="V2539"/>
  <c r="U2543"/>
  <c r="V2543" s="1"/>
  <c r="U2669"/>
  <c r="V2669"/>
  <c r="U2677"/>
  <c r="V2677" s="1"/>
  <c r="U2725"/>
  <c r="V2725"/>
  <c r="U2729"/>
  <c r="V2729" s="1"/>
  <c r="X2063"/>
  <c r="AD2063" s="1"/>
  <c r="X2067"/>
  <c r="AD2067" s="1"/>
  <c r="S2070"/>
  <c r="T2070" s="1"/>
  <c r="AA2070"/>
  <c r="X2071"/>
  <c r="O2072"/>
  <c r="U2072" s="1"/>
  <c r="V2072" s="1"/>
  <c r="AD2072" s="1"/>
  <c r="S2074"/>
  <c r="T2074" s="1"/>
  <c r="AD2074" s="1"/>
  <c r="AA2074"/>
  <c r="X2075"/>
  <c r="AD2075" s="1"/>
  <c r="O2076"/>
  <c r="U2076" s="1"/>
  <c r="V2076" s="1"/>
  <c r="AD2076" s="1"/>
  <c r="S2078"/>
  <c r="T2078" s="1"/>
  <c r="AA2078"/>
  <c r="X2079"/>
  <c r="AD2079" s="1"/>
  <c r="O2080"/>
  <c r="U2080" s="1"/>
  <c r="V2080" s="1"/>
  <c r="AD2080" s="1"/>
  <c r="S2082"/>
  <c r="T2082" s="1"/>
  <c r="AD2082" s="1"/>
  <c r="AA2082"/>
  <c r="X2083"/>
  <c r="AD2083" s="1"/>
  <c r="O2084"/>
  <c r="U2084" s="1"/>
  <c r="V2084" s="1"/>
  <c r="AD2084" s="1"/>
  <c r="S2086"/>
  <c r="T2086" s="1"/>
  <c r="AD2086" s="1"/>
  <c r="AA2086"/>
  <c r="X2087"/>
  <c r="AD2087" s="1"/>
  <c r="O2088"/>
  <c r="U2088" s="1"/>
  <c r="V2088" s="1"/>
  <c r="AD2088" s="1"/>
  <c r="S2090"/>
  <c r="T2090" s="1"/>
  <c r="AA2090"/>
  <c r="X2091"/>
  <c r="O2092"/>
  <c r="V2093"/>
  <c r="S2094"/>
  <c r="T2094" s="1"/>
  <c r="AA2094"/>
  <c r="X2095"/>
  <c r="AD2095" s="1"/>
  <c r="O2096"/>
  <c r="U2096" s="1"/>
  <c r="V2096" s="1"/>
  <c r="AD2096" s="1"/>
  <c r="S2098"/>
  <c r="T2098" s="1"/>
  <c r="AD2098" s="1"/>
  <c r="AA2098"/>
  <c r="X2099"/>
  <c r="AD2099" s="1"/>
  <c r="O2100"/>
  <c r="U2100" s="1"/>
  <c r="V2100" s="1"/>
  <c r="AD2100" s="1"/>
  <c r="S2102"/>
  <c r="T2102" s="1"/>
  <c r="AA2102"/>
  <c r="X2103"/>
  <c r="AD2103" s="1"/>
  <c r="O2104"/>
  <c r="U2104" s="1"/>
  <c r="V2104" s="1"/>
  <c r="AD2104" s="1"/>
  <c r="S2106"/>
  <c r="T2106" s="1"/>
  <c r="AD2106" s="1"/>
  <c r="AA2106"/>
  <c r="X2107"/>
  <c r="AD2107" s="1"/>
  <c r="O2108"/>
  <c r="U2108" s="1"/>
  <c r="V2108" s="1"/>
  <c r="S2110"/>
  <c r="T2110" s="1"/>
  <c r="AA2110"/>
  <c r="X2111"/>
  <c r="AD2111" s="1"/>
  <c r="O2112"/>
  <c r="U2112" s="1"/>
  <c r="V2112" s="1"/>
  <c r="AD2112" s="1"/>
  <c r="S2114"/>
  <c r="T2114" s="1"/>
  <c r="AD2114" s="1"/>
  <c r="AA2114"/>
  <c r="X2115"/>
  <c r="AD2115" s="1"/>
  <c r="O2116"/>
  <c r="U2116" s="1"/>
  <c r="V2116" s="1"/>
  <c r="AD2116" s="1"/>
  <c r="S2118"/>
  <c r="T2118" s="1"/>
  <c r="AA2118"/>
  <c r="X2119"/>
  <c r="AD2119" s="1"/>
  <c r="O2120"/>
  <c r="U2120" s="1"/>
  <c r="V2120" s="1"/>
  <c r="AD2120" s="1"/>
  <c r="S2122"/>
  <c r="T2122" s="1"/>
  <c r="AD2122" s="1"/>
  <c r="AA2122"/>
  <c r="X2123"/>
  <c r="AD2123" s="1"/>
  <c r="O2124"/>
  <c r="U2124" s="1"/>
  <c r="V2124" s="1"/>
  <c r="S2126"/>
  <c r="T2126" s="1"/>
  <c r="AA2126"/>
  <c r="X2127"/>
  <c r="AD2127" s="1"/>
  <c r="O2128"/>
  <c r="U2128" s="1"/>
  <c r="V2128" s="1"/>
  <c r="AD2128" s="1"/>
  <c r="S2130"/>
  <c r="T2130" s="1"/>
  <c r="AD2130" s="1"/>
  <c r="AA2130"/>
  <c r="X2131"/>
  <c r="AD2131" s="1"/>
  <c r="O2132"/>
  <c r="U2132" s="1"/>
  <c r="V2132" s="1"/>
  <c r="AD2132" s="1"/>
  <c r="S2134"/>
  <c r="T2134" s="1"/>
  <c r="AA2134"/>
  <c r="X2135"/>
  <c r="AD2135" s="1"/>
  <c r="O2136"/>
  <c r="U2136" s="1"/>
  <c r="V2136" s="1"/>
  <c r="AD2136" s="1"/>
  <c r="S2138"/>
  <c r="T2138" s="1"/>
  <c r="AD2138" s="1"/>
  <c r="AA2138"/>
  <c r="X2139"/>
  <c r="AD2139" s="1"/>
  <c r="O2140"/>
  <c r="U2140" s="1"/>
  <c r="V2140" s="1"/>
  <c r="S2142"/>
  <c r="T2142" s="1"/>
  <c r="AA2142"/>
  <c r="X2143"/>
  <c r="AD2143" s="1"/>
  <c r="O2144"/>
  <c r="U2144" s="1"/>
  <c r="V2144" s="1"/>
  <c r="AD2144" s="1"/>
  <c r="S2146"/>
  <c r="T2146" s="1"/>
  <c r="AD2146" s="1"/>
  <c r="AA2146"/>
  <c r="X2147"/>
  <c r="AD2147" s="1"/>
  <c r="O2148"/>
  <c r="U2148" s="1"/>
  <c r="V2148" s="1"/>
  <c r="AD2148" s="1"/>
  <c r="S2150"/>
  <c r="T2150" s="1"/>
  <c r="AA2150"/>
  <c r="X2151"/>
  <c r="AD2151" s="1"/>
  <c r="O2152"/>
  <c r="V2153"/>
  <c r="S2154"/>
  <c r="T2154" s="1"/>
  <c r="AA2154"/>
  <c r="X2155"/>
  <c r="AD2155" s="1"/>
  <c r="O2156"/>
  <c r="U2156" s="1"/>
  <c r="V2156" s="1"/>
  <c r="S2158"/>
  <c r="T2158" s="1"/>
  <c r="AA2158"/>
  <c r="X2159"/>
  <c r="AD2159" s="1"/>
  <c r="O2160"/>
  <c r="U2160" s="1"/>
  <c r="V2160" s="1"/>
  <c r="AD2160" s="1"/>
  <c r="S2162"/>
  <c r="T2162" s="1"/>
  <c r="AA2162"/>
  <c r="X2163"/>
  <c r="AD2163" s="1"/>
  <c r="O2164"/>
  <c r="U2164" s="1"/>
  <c r="V2164" s="1"/>
  <c r="AD2164" s="1"/>
  <c r="S2166"/>
  <c r="T2166" s="1"/>
  <c r="AA2166"/>
  <c r="X2167"/>
  <c r="AD2167" s="1"/>
  <c r="O2168"/>
  <c r="U2168" s="1"/>
  <c r="V2168" s="1"/>
  <c r="AD2168" s="1"/>
  <c r="S2170"/>
  <c r="T2170" s="1"/>
  <c r="AA2170"/>
  <c r="X2171"/>
  <c r="AD2171" s="1"/>
  <c r="O2172"/>
  <c r="U2172" s="1"/>
  <c r="V2172" s="1"/>
  <c r="S2174"/>
  <c r="T2174" s="1"/>
  <c r="AA2174"/>
  <c r="X2175"/>
  <c r="AD2175" s="1"/>
  <c r="O2176"/>
  <c r="U2176" s="1"/>
  <c r="V2176" s="1"/>
  <c r="AD2176" s="1"/>
  <c r="S2178"/>
  <c r="T2178" s="1"/>
  <c r="AA2178"/>
  <c r="X2179"/>
  <c r="AD2179" s="1"/>
  <c r="O2180"/>
  <c r="U2180" s="1"/>
  <c r="V2180" s="1"/>
  <c r="AD2180" s="1"/>
  <c r="S2182"/>
  <c r="T2182" s="1"/>
  <c r="AA2182"/>
  <c r="X2183"/>
  <c r="AD2183" s="1"/>
  <c r="O2184"/>
  <c r="U2184" s="1"/>
  <c r="V2184" s="1"/>
  <c r="AD2184" s="1"/>
  <c r="S2186"/>
  <c r="T2186" s="1"/>
  <c r="AA2186"/>
  <c r="X2187"/>
  <c r="O2188"/>
  <c r="U2188" s="1"/>
  <c r="V2188" s="1"/>
  <c r="AD2188" s="1"/>
  <c r="S2190"/>
  <c r="T2190" s="1"/>
  <c r="AA2190"/>
  <c r="X2191"/>
  <c r="AD2191" s="1"/>
  <c r="O2192"/>
  <c r="U2192" s="1"/>
  <c r="V2192" s="1"/>
  <c r="AD2192" s="1"/>
  <c r="S2194"/>
  <c r="T2194" s="1"/>
  <c r="AA2194"/>
  <c r="X2195"/>
  <c r="AD2195" s="1"/>
  <c r="O2196"/>
  <c r="U2196" s="1"/>
  <c r="V2196" s="1"/>
  <c r="AD2196" s="1"/>
  <c r="S2198"/>
  <c r="T2198" s="1"/>
  <c r="AA2198"/>
  <c r="X2199"/>
  <c r="AD2199" s="1"/>
  <c r="O2200"/>
  <c r="V2201"/>
  <c r="S2202"/>
  <c r="T2202" s="1"/>
  <c r="AD2202" s="1"/>
  <c r="AA2202"/>
  <c r="X2203"/>
  <c r="S2206"/>
  <c r="T2206" s="1"/>
  <c r="AA2206"/>
  <c r="X2207"/>
  <c r="S2210"/>
  <c r="T2210" s="1"/>
  <c r="AD2210" s="1"/>
  <c r="AA2210"/>
  <c r="X2211"/>
  <c r="AD2211" s="1"/>
  <c r="S2214"/>
  <c r="T2214" s="1"/>
  <c r="AA2214"/>
  <c r="S2218"/>
  <c r="T2218" s="1"/>
  <c r="AA2218"/>
  <c r="S2222"/>
  <c r="T2222" s="1"/>
  <c r="AD2222" s="1"/>
  <c r="AA2222"/>
  <c r="S2226"/>
  <c r="T2226" s="1"/>
  <c r="AA2226"/>
  <c r="S2230"/>
  <c r="T2230" s="1"/>
  <c r="AD2230" s="1"/>
  <c r="AA2230"/>
  <c r="S2234"/>
  <c r="T2234" s="1"/>
  <c r="AA2234"/>
  <c r="S2238"/>
  <c r="T2238" s="1"/>
  <c r="AD2238" s="1"/>
  <c r="AA2238"/>
  <c r="S2242"/>
  <c r="T2242" s="1"/>
  <c r="AA2242"/>
  <c r="S2246"/>
  <c r="T2246" s="1"/>
  <c r="AD2246" s="1"/>
  <c r="AA2246"/>
  <c r="S2250"/>
  <c r="T2250" s="1"/>
  <c r="AA2250"/>
  <c r="S2254"/>
  <c r="T2254" s="1"/>
  <c r="AD2254" s="1"/>
  <c r="AA2254"/>
  <c r="S2258"/>
  <c r="T2258" s="1"/>
  <c r="AA2258"/>
  <c r="S2262"/>
  <c r="T2262" s="1"/>
  <c r="AD2262" s="1"/>
  <c r="AA2262"/>
  <c r="S2266"/>
  <c r="T2266" s="1"/>
  <c r="AA2266"/>
  <c r="S2270"/>
  <c r="T2270" s="1"/>
  <c r="AD2270" s="1"/>
  <c r="AA2270"/>
  <c r="S2274"/>
  <c r="T2274" s="1"/>
  <c r="AA2274"/>
  <c r="V2277"/>
  <c r="S2278"/>
  <c r="T2278" s="1"/>
  <c r="AD2278" s="1"/>
  <c r="AA2278"/>
  <c r="S2282"/>
  <c r="T2282" s="1"/>
  <c r="AD2282" s="1"/>
  <c r="AA2282"/>
  <c r="S2286"/>
  <c r="T2286" s="1"/>
  <c r="AD2286" s="1"/>
  <c r="AA2286"/>
  <c r="S2290"/>
  <c r="T2290" s="1"/>
  <c r="AD2290" s="1"/>
  <c r="AA2290"/>
  <c r="S2294"/>
  <c r="T2294" s="1"/>
  <c r="AD2294" s="1"/>
  <c r="AA2294"/>
  <c r="S2298"/>
  <c r="T2298" s="1"/>
  <c r="AD2298" s="1"/>
  <c r="AA2298"/>
  <c r="S2302"/>
  <c r="T2302" s="1"/>
  <c r="AD2302" s="1"/>
  <c r="AA2302"/>
  <c r="S2306"/>
  <c r="T2306" s="1"/>
  <c r="AD2306" s="1"/>
  <c r="AA2306"/>
  <c r="S2310"/>
  <c r="T2310" s="1"/>
  <c r="AD2310" s="1"/>
  <c r="AA2310"/>
  <c r="S2314"/>
  <c r="T2314" s="1"/>
  <c r="AD2314" s="1"/>
  <c r="AA2314"/>
  <c r="S2318"/>
  <c r="T2318" s="1"/>
  <c r="AD2318" s="1"/>
  <c r="AA2318"/>
  <c r="S2322"/>
  <c r="T2322" s="1"/>
  <c r="AD2322" s="1"/>
  <c r="AA2322"/>
  <c r="S2326"/>
  <c r="T2326" s="1"/>
  <c r="AD2326" s="1"/>
  <c r="AA2326"/>
  <c r="S2330"/>
  <c r="T2330" s="1"/>
  <c r="AD2330" s="1"/>
  <c r="AA2330"/>
  <c r="S2334"/>
  <c r="T2334" s="1"/>
  <c r="AA2334"/>
  <c r="S2338"/>
  <c r="T2338" s="1"/>
  <c r="AD2338" s="1"/>
  <c r="AA2338"/>
  <c r="S2342"/>
  <c r="T2342" s="1"/>
  <c r="AD2342" s="1"/>
  <c r="AA2342"/>
  <c r="S2346"/>
  <c r="T2346" s="1"/>
  <c r="AD2346" s="1"/>
  <c r="AA2346"/>
  <c r="S2350"/>
  <c r="T2350" s="1"/>
  <c r="AD2350" s="1"/>
  <c r="AA2350"/>
  <c r="S2354"/>
  <c r="T2354" s="1"/>
  <c r="AD2354" s="1"/>
  <c r="AA2354"/>
  <c r="S2358"/>
  <c r="T2358" s="1"/>
  <c r="AD2358" s="1"/>
  <c r="AA2358"/>
  <c r="S2362"/>
  <c r="T2362" s="1"/>
  <c r="AD2362" s="1"/>
  <c r="AA2362"/>
  <c r="S2366"/>
  <c r="T2366" s="1"/>
  <c r="AD2366" s="1"/>
  <c r="AA2366"/>
  <c r="V2369"/>
  <c r="S2370"/>
  <c r="T2370" s="1"/>
  <c r="AA2370"/>
  <c r="V2373"/>
  <c r="S2374"/>
  <c r="T2374" s="1"/>
  <c r="AD2374" s="1"/>
  <c r="AA2374"/>
  <c r="S2378"/>
  <c r="T2378" s="1"/>
  <c r="AD2378" s="1"/>
  <c r="AA2378"/>
  <c r="S2382"/>
  <c r="T2382" s="1"/>
  <c r="AD2382" s="1"/>
  <c r="AA2382"/>
  <c r="S2386"/>
  <c r="T2386" s="1"/>
  <c r="AD2386" s="1"/>
  <c r="AA2386"/>
  <c r="S2390"/>
  <c r="T2390" s="1"/>
  <c r="AD2390" s="1"/>
  <c r="AA2390"/>
  <c r="S2394"/>
  <c r="T2394" s="1"/>
  <c r="AD2394" s="1"/>
  <c r="AA2394"/>
  <c r="S2398"/>
  <c r="T2398" s="1"/>
  <c r="AD2398" s="1"/>
  <c r="AA2398"/>
  <c r="S2402"/>
  <c r="T2402" s="1"/>
  <c r="AD2402" s="1"/>
  <c r="AA2402"/>
  <c r="S2406"/>
  <c r="T2406" s="1"/>
  <c r="AD2406" s="1"/>
  <c r="AA2406"/>
  <c r="S2410"/>
  <c r="T2410" s="1"/>
  <c r="AD2410" s="1"/>
  <c r="AA2410"/>
  <c r="Z2413"/>
  <c r="AA2413" s="1"/>
  <c r="S2414"/>
  <c r="T2414" s="1"/>
  <c r="AD2414" s="1"/>
  <c r="AA2414"/>
  <c r="Z2417"/>
  <c r="AA2417" s="1"/>
  <c r="Z2421"/>
  <c r="AA2421" s="1"/>
  <c r="Z2425"/>
  <c r="AA2425" s="1"/>
  <c r="Z2429"/>
  <c r="AA2429" s="1"/>
  <c r="Y2432"/>
  <c r="AA2481"/>
  <c r="AA2489"/>
  <c r="AA2509"/>
  <c r="AD2514"/>
  <c r="AA2521"/>
  <c r="AD2522"/>
  <c r="AA2525"/>
  <c r="AD2530"/>
  <c r="AA2537"/>
  <c r="AD2538"/>
  <c r="AA2545"/>
  <c r="AD2546"/>
  <c r="AA2577"/>
  <c r="AD2578"/>
  <c r="AD2594"/>
  <c r="AA2613"/>
  <c r="AD2618"/>
  <c r="AD2626"/>
  <c r="AA2629"/>
  <c r="AD2634"/>
  <c r="AD2642"/>
  <c r="AA2645"/>
  <c r="AD2650"/>
  <c r="V2672"/>
  <c r="AA2713"/>
  <c r="AA2721"/>
  <c r="V2728"/>
  <c r="AA2424"/>
  <c r="S2424"/>
  <c r="T2424" s="1"/>
  <c r="AB2424"/>
  <c r="AC2424" s="1"/>
  <c r="X2424"/>
  <c r="U2426"/>
  <c r="V2426" s="1"/>
  <c r="AD2426" s="1"/>
  <c r="AA2428"/>
  <c r="S2428"/>
  <c r="T2428" s="1"/>
  <c r="AB2428"/>
  <c r="AC2428" s="1"/>
  <c r="X2428"/>
  <c r="U2485"/>
  <c r="V2485" s="1"/>
  <c r="U2489"/>
  <c r="V2489" s="1"/>
  <c r="U2541"/>
  <c r="V2541" s="1"/>
  <c r="U2670"/>
  <c r="V2670" s="1"/>
  <c r="AD2670" s="1"/>
  <c r="U2674"/>
  <c r="V2674" s="1"/>
  <c r="AD2674" s="1"/>
  <c r="U2678"/>
  <c r="V2678" s="1"/>
  <c r="AD2678" s="1"/>
  <c r="U2721"/>
  <c r="V2721" s="1"/>
  <c r="U2726"/>
  <c r="V2726" s="1"/>
  <c r="AD2726" s="1"/>
  <c r="U2423"/>
  <c r="V2423" s="1"/>
  <c r="Y2424"/>
  <c r="U2425"/>
  <c r="V2425" s="1"/>
  <c r="U2427"/>
  <c r="V2427" s="1"/>
  <c r="Y2428"/>
  <c r="U2429"/>
  <c r="V2429" s="1"/>
  <c r="T2434"/>
  <c r="AD2434" s="1"/>
  <c r="AA2453"/>
  <c r="AA2469"/>
  <c r="V2484"/>
  <c r="V2540"/>
  <c r="AA2549"/>
  <c r="AD2566"/>
  <c r="AA2581"/>
  <c r="AA2597"/>
  <c r="U2803"/>
  <c r="V2803" s="1"/>
  <c r="U2809"/>
  <c r="V2809" s="1"/>
  <c r="U2847"/>
  <c r="V2847" s="1"/>
  <c r="U2851"/>
  <c r="V2851" s="1"/>
  <c r="Z2441"/>
  <c r="AA2441" s="1"/>
  <c r="Z2445"/>
  <c r="AA2445" s="1"/>
  <c r="Z2449"/>
  <c r="AA2449" s="1"/>
  <c r="Z2453"/>
  <c r="Z2457"/>
  <c r="AA2457" s="1"/>
  <c r="Z2461"/>
  <c r="AA2461" s="1"/>
  <c r="Z2465"/>
  <c r="AA2465" s="1"/>
  <c r="Z2469"/>
  <c r="Z2473"/>
  <c r="AA2473" s="1"/>
  <c r="Z2477"/>
  <c r="AA2477" s="1"/>
  <c r="Z2481"/>
  <c r="U2484"/>
  <c r="Z2485"/>
  <c r="AA2485" s="1"/>
  <c r="U2488"/>
  <c r="V2488" s="1"/>
  <c r="Z2489"/>
  <c r="Y2492"/>
  <c r="Z2493"/>
  <c r="AA2493" s="1"/>
  <c r="Y2496"/>
  <c r="Z2497"/>
  <c r="Y2500"/>
  <c r="Z2501"/>
  <c r="AA2501" s="1"/>
  <c r="Z2505"/>
  <c r="Y2508"/>
  <c r="Z2509"/>
  <c r="Z2513"/>
  <c r="AA2513" s="1"/>
  <c r="Z2517"/>
  <c r="AA2517" s="1"/>
  <c r="Z2521"/>
  <c r="Z2525"/>
  <c r="Z2529"/>
  <c r="AA2529" s="1"/>
  <c r="Z2533"/>
  <c r="AA2533" s="1"/>
  <c r="Z2537"/>
  <c r="U2540"/>
  <c r="Z2541"/>
  <c r="AA2541" s="1"/>
  <c r="Z2545"/>
  <c r="Y2548"/>
  <c r="Z2549"/>
  <c r="Y2552"/>
  <c r="Z2553"/>
  <c r="AA2553" s="1"/>
  <c r="Y2556"/>
  <c r="Z2557"/>
  <c r="AA2557" s="1"/>
  <c r="Y2560"/>
  <c r="Z2561"/>
  <c r="AA2561" s="1"/>
  <c r="Y2564"/>
  <c r="Z2565"/>
  <c r="AA2565" s="1"/>
  <c r="Y2568"/>
  <c r="Z2569"/>
  <c r="Y2572"/>
  <c r="Z2573"/>
  <c r="Y2576"/>
  <c r="Z2577"/>
  <c r="Y2580"/>
  <c r="Z2581"/>
  <c r="Y2584"/>
  <c r="Z2585"/>
  <c r="AA2585" s="1"/>
  <c r="Y2588"/>
  <c r="Z2589"/>
  <c r="AA2589" s="1"/>
  <c r="Y2592"/>
  <c r="Z2593"/>
  <c r="AA2593" s="1"/>
  <c r="Y2596"/>
  <c r="Z2597"/>
  <c r="Y2600"/>
  <c r="Z2601"/>
  <c r="AA2601" s="1"/>
  <c r="Y2604"/>
  <c r="Z2605"/>
  <c r="AA2605" s="1"/>
  <c r="Z2609"/>
  <c r="AA2609" s="1"/>
  <c r="Y2612"/>
  <c r="Z2613"/>
  <c r="Z2617"/>
  <c r="AA2617" s="1"/>
  <c r="Z2621"/>
  <c r="AA2621" s="1"/>
  <c r="Z2625"/>
  <c r="AA2625" s="1"/>
  <c r="Z2629"/>
  <c r="Z2633"/>
  <c r="AA2633" s="1"/>
  <c r="Z2637"/>
  <c r="AA2637" s="1"/>
  <c r="Z2641"/>
  <c r="AA2641" s="1"/>
  <c r="Z2645"/>
  <c r="Z2649"/>
  <c r="AA2649" s="1"/>
  <c r="Z2653"/>
  <c r="AA2653" s="1"/>
  <c r="Z2657"/>
  <c r="AA2657" s="1"/>
  <c r="Z2661"/>
  <c r="AA2661" s="1"/>
  <c r="Z2665"/>
  <c r="AA2665" s="1"/>
  <c r="U2668"/>
  <c r="V2668" s="1"/>
  <c r="Z2669"/>
  <c r="AA2669" s="1"/>
  <c r="U2672"/>
  <c r="Z2673"/>
  <c r="AA2673" s="1"/>
  <c r="U2676"/>
  <c r="V2676" s="1"/>
  <c r="Z2677"/>
  <c r="AA2677" s="1"/>
  <c r="Z2681"/>
  <c r="AA2681" s="1"/>
  <c r="Z2685"/>
  <c r="AA2685" s="1"/>
  <c r="Z2689"/>
  <c r="AA2689" s="1"/>
  <c r="Z2693"/>
  <c r="AA2693" s="1"/>
  <c r="Z2697"/>
  <c r="AA2697" s="1"/>
  <c r="Y2700"/>
  <c r="Z2701"/>
  <c r="AA2701" s="1"/>
  <c r="Z2705"/>
  <c r="AA2705" s="1"/>
  <c r="Z2709"/>
  <c r="AA2709" s="1"/>
  <c r="Z2713"/>
  <c r="Z2717"/>
  <c r="AA2717" s="1"/>
  <c r="U2720"/>
  <c r="V2720" s="1"/>
  <c r="Z2721"/>
  <c r="U2724"/>
  <c r="V2724" s="1"/>
  <c r="Z2725"/>
  <c r="AA2725" s="1"/>
  <c r="U2728"/>
  <c r="Z2729"/>
  <c r="AA2729" s="1"/>
  <c r="Z2733"/>
  <c r="AA2733" s="1"/>
  <c r="Z2737"/>
  <c r="AA2737" s="1"/>
  <c r="Z2741"/>
  <c r="AA2741" s="1"/>
  <c r="Z2745"/>
  <c r="AA2745" s="1"/>
  <c r="Z2749"/>
  <c r="AA2749" s="1"/>
  <c r="AD2752"/>
  <c r="AD2756"/>
  <c r="AA2825"/>
  <c r="AB2750"/>
  <c r="AC2750" s="1"/>
  <c r="X2750"/>
  <c r="AA2750"/>
  <c r="AD2750" s="1"/>
  <c r="U2783"/>
  <c r="V2783" s="1"/>
  <c r="AD2783" s="1"/>
  <c r="U2791"/>
  <c r="V2791"/>
  <c r="AD2791" s="1"/>
  <c r="U2799"/>
  <c r="V2799" s="1"/>
  <c r="AD2799" s="1"/>
  <c r="U2804"/>
  <c r="V2804" s="1"/>
  <c r="AD2804" s="1"/>
  <c r="U2807"/>
  <c r="V2807" s="1"/>
  <c r="U2813"/>
  <c r="V2813"/>
  <c r="U2817"/>
  <c r="V2817" s="1"/>
  <c r="U2821"/>
  <c r="V2821"/>
  <c r="U2825"/>
  <c r="V2825" s="1"/>
  <c r="U2829"/>
  <c r="V2829"/>
  <c r="U2833"/>
  <c r="V2833" s="1"/>
  <c r="U2848"/>
  <c r="V2848" s="1"/>
  <c r="AD2848" s="1"/>
  <c r="S2423"/>
  <c r="T2423" s="1"/>
  <c r="AA2423"/>
  <c r="Z2426"/>
  <c r="AA2426" s="1"/>
  <c r="S2427"/>
  <c r="T2427" s="1"/>
  <c r="AA2427"/>
  <c r="S2431"/>
  <c r="T2431" s="1"/>
  <c r="AD2431" s="1"/>
  <c r="AA2431"/>
  <c r="S2435"/>
  <c r="T2435" s="1"/>
  <c r="AD2435" s="1"/>
  <c r="AA2435"/>
  <c r="Z2438"/>
  <c r="AA2438" s="1"/>
  <c r="AD2438" s="1"/>
  <c r="S2439"/>
  <c r="T2439" s="1"/>
  <c r="AA2439"/>
  <c r="X2440"/>
  <c r="AB2440"/>
  <c r="AC2440" s="1"/>
  <c r="Y2441"/>
  <c r="Z2442"/>
  <c r="AA2442" s="1"/>
  <c r="AD2442" s="1"/>
  <c r="S2443"/>
  <c r="T2443" s="1"/>
  <c r="AD2443" s="1"/>
  <c r="AA2443"/>
  <c r="X2444"/>
  <c r="AB2444"/>
  <c r="AC2444" s="1"/>
  <c r="Y2445"/>
  <c r="Z2446"/>
  <c r="AA2446" s="1"/>
  <c r="AD2446" s="1"/>
  <c r="S2447"/>
  <c r="T2447" s="1"/>
  <c r="AA2447"/>
  <c r="X2448"/>
  <c r="AB2448"/>
  <c r="AC2448" s="1"/>
  <c r="Y2449"/>
  <c r="Z2450"/>
  <c r="AA2450" s="1"/>
  <c r="AD2450" s="1"/>
  <c r="S2451"/>
  <c r="T2451" s="1"/>
  <c r="AD2451" s="1"/>
  <c r="AA2451"/>
  <c r="X2452"/>
  <c r="AB2452"/>
  <c r="AC2452" s="1"/>
  <c r="Y2453"/>
  <c r="Z2454"/>
  <c r="AA2454" s="1"/>
  <c r="AD2454" s="1"/>
  <c r="S2455"/>
  <c r="T2455" s="1"/>
  <c r="AA2455"/>
  <c r="X2456"/>
  <c r="AB2456"/>
  <c r="AC2456" s="1"/>
  <c r="Y2457"/>
  <c r="Z2458"/>
  <c r="AA2458" s="1"/>
  <c r="AD2458" s="1"/>
  <c r="S2459"/>
  <c r="T2459" s="1"/>
  <c r="AD2459" s="1"/>
  <c r="AA2459"/>
  <c r="X2460"/>
  <c r="AB2460"/>
  <c r="AC2460" s="1"/>
  <c r="Y2461"/>
  <c r="Z2462"/>
  <c r="AA2462" s="1"/>
  <c r="AD2462" s="1"/>
  <c r="S2463"/>
  <c r="T2463" s="1"/>
  <c r="AA2463"/>
  <c r="X2464"/>
  <c r="AB2464"/>
  <c r="AC2464" s="1"/>
  <c r="Y2465"/>
  <c r="Z2466"/>
  <c r="AA2466" s="1"/>
  <c r="AD2466" s="1"/>
  <c r="S2467"/>
  <c r="T2467" s="1"/>
  <c r="AD2467" s="1"/>
  <c r="AA2467"/>
  <c r="X2468"/>
  <c r="AB2468"/>
  <c r="AC2468" s="1"/>
  <c r="Y2469"/>
  <c r="Z2470"/>
  <c r="AA2470" s="1"/>
  <c r="AD2470" s="1"/>
  <c r="S2471"/>
  <c r="T2471" s="1"/>
  <c r="AA2471"/>
  <c r="X2472"/>
  <c r="AB2472"/>
  <c r="AC2472" s="1"/>
  <c r="Y2473"/>
  <c r="S2475"/>
  <c r="T2475" s="1"/>
  <c r="AD2475" s="1"/>
  <c r="AA2475"/>
  <c r="X2476"/>
  <c r="AB2476"/>
  <c r="AC2476" s="1"/>
  <c r="Y2477"/>
  <c r="Z2478"/>
  <c r="AA2478" s="1"/>
  <c r="AD2478" s="1"/>
  <c r="S2479"/>
  <c r="T2479" s="1"/>
  <c r="AD2479" s="1"/>
  <c r="AA2479"/>
  <c r="X2480"/>
  <c r="AB2480"/>
  <c r="AC2480" s="1"/>
  <c r="Y2481"/>
  <c r="Z2482"/>
  <c r="AA2482" s="1"/>
  <c r="S2483"/>
  <c r="T2483" s="1"/>
  <c r="AD2483" s="1"/>
  <c r="AA2483"/>
  <c r="X2484"/>
  <c r="AB2484"/>
  <c r="AC2484" s="1"/>
  <c r="Y2485"/>
  <c r="Z2486"/>
  <c r="AA2486" s="1"/>
  <c r="S2487"/>
  <c r="T2487" s="1"/>
  <c r="AA2487"/>
  <c r="X2488"/>
  <c r="AB2488"/>
  <c r="AC2488" s="1"/>
  <c r="Y2489"/>
  <c r="Z2490"/>
  <c r="AA2490" s="1"/>
  <c r="S2491"/>
  <c r="T2491" s="1"/>
  <c r="AD2491" s="1"/>
  <c r="AA2491"/>
  <c r="X2492"/>
  <c r="AB2492"/>
  <c r="AC2492" s="1"/>
  <c r="Y2493"/>
  <c r="Z2494"/>
  <c r="AA2494" s="1"/>
  <c r="AD2494" s="1"/>
  <c r="S2495"/>
  <c r="T2495" s="1"/>
  <c r="AD2495" s="1"/>
  <c r="AA2495"/>
  <c r="X2496"/>
  <c r="AB2496"/>
  <c r="AC2496" s="1"/>
  <c r="Y2497"/>
  <c r="Z2498"/>
  <c r="AA2498" s="1"/>
  <c r="AD2498" s="1"/>
  <c r="S2499"/>
  <c r="T2499" s="1"/>
  <c r="AD2499" s="1"/>
  <c r="AA2499"/>
  <c r="X2500"/>
  <c r="AB2500"/>
  <c r="AC2500" s="1"/>
  <c r="Y2501"/>
  <c r="Z2502"/>
  <c r="AA2502" s="1"/>
  <c r="AD2502" s="1"/>
  <c r="S2503"/>
  <c r="T2503" s="1"/>
  <c r="AD2503" s="1"/>
  <c r="AA2503"/>
  <c r="X2504"/>
  <c r="AB2504"/>
  <c r="AC2504" s="1"/>
  <c r="Y2505"/>
  <c r="Z2506"/>
  <c r="AA2506" s="1"/>
  <c r="AD2506" s="1"/>
  <c r="S2507"/>
  <c r="T2507" s="1"/>
  <c r="AD2507" s="1"/>
  <c r="AA2507"/>
  <c r="X2508"/>
  <c r="AB2508"/>
  <c r="AC2508" s="1"/>
  <c r="Y2509"/>
  <c r="Z2510"/>
  <c r="AA2510" s="1"/>
  <c r="AD2510" s="1"/>
  <c r="S2511"/>
  <c r="T2511" s="1"/>
  <c r="AD2511" s="1"/>
  <c r="AA2511"/>
  <c r="X2512"/>
  <c r="AB2512"/>
  <c r="AC2512" s="1"/>
  <c r="Y2513"/>
  <c r="Z2514"/>
  <c r="AA2514" s="1"/>
  <c r="S2515"/>
  <c r="T2515" s="1"/>
  <c r="AD2515" s="1"/>
  <c r="AA2515"/>
  <c r="X2516"/>
  <c r="AB2516"/>
  <c r="AC2516" s="1"/>
  <c r="Y2517"/>
  <c r="Z2518"/>
  <c r="AA2518" s="1"/>
  <c r="AD2518" s="1"/>
  <c r="S2519"/>
  <c r="T2519" s="1"/>
  <c r="AD2519" s="1"/>
  <c r="AA2519"/>
  <c r="X2520"/>
  <c r="AB2520"/>
  <c r="AC2520" s="1"/>
  <c r="Y2521"/>
  <c r="Z2522"/>
  <c r="AA2522" s="1"/>
  <c r="S2523"/>
  <c r="T2523" s="1"/>
  <c r="AD2523" s="1"/>
  <c r="AA2523"/>
  <c r="X2524"/>
  <c r="AB2524"/>
  <c r="AC2524" s="1"/>
  <c r="Y2525"/>
  <c r="Z2526"/>
  <c r="AA2526" s="1"/>
  <c r="AD2526" s="1"/>
  <c r="S2527"/>
  <c r="T2527" s="1"/>
  <c r="AD2527" s="1"/>
  <c r="AA2527"/>
  <c r="X2528"/>
  <c r="AB2528"/>
  <c r="AC2528" s="1"/>
  <c r="Y2529"/>
  <c r="Z2530"/>
  <c r="AA2530" s="1"/>
  <c r="S2531"/>
  <c r="T2531" s="1"/>
  <c r="AD2531" s="1"/>
  <c r="AA2531"/>
  <c r="X2532"/>
  <c r="AB2532"/>
  <c r="AC2532" s="1"/>
  <c r="Y2533"/>
  <c r="Z2534"/>
  <c r="AA2534" s="1"/>
  <c r="AD2534" s="1"/>
  <c r="S2535"/>
  <c r="T2535" s="1"/>
  <c r="AD2535" s="1"/>
  <c r="AA2535"/>
  <c r="X2536"/>
  <c r="AB2536"/>
  <c r="AC2536" s="1"/>
  <c r="Y2537"/>
  <c r="Z2538"/>
  <c r="AA2538" s="1"/>
  <c r="S2539"/>
  <c r="T2539" s="1"/>
  <c r="AA2539"/>
  <c r="X2540"/>
  <c r="AB2540"/>
  <c r="AC2540" s="1"/>
  <c r="Y2541"/>
  <c r="Z2542"/>
  <c r="AA2542" s="1"/>
  <c r="S2543"/>
  <c r="T2543" s="1"/>
  <c r="AA2543"/>
  <c r="X2544"/>
  <c r="AB2544"/>
  <c r="AC2544" s="1"/>
  <c r="Y2545"/>
  <c r="Z2546"/>
  <c r="AA2546" s="1"/>
  <c r="S2547"/>
  <c r="T2547" s="1"/>
  <c r="AD2547" s="1"/>
  <c r="AA2547"/>
  <c r="X2548"/>
  <c r="AB2548"/>
  <c r="AC2548" s="1"/>
  <c r="Y2549"/>
  <c r="Z2550"/>
  <c r="AA2550" s="1"/>
  <c r="AD2550" s="1"/>
  <c r="S2551"/>
  <c r="T2551" s="1"/>
  <c r="AD2551" s="1"/>
  <c r="AA2551"/>
  <c r="X2552"/>
  <c r="AB2552"/>
  <c r="AC2552" s="1"/>
  <c r="Y2553"/>
  <c r="Z2554"/>
  <c r="AA2554" s="1"/>
  <c r="AD2554" s="1"/>
  <c r="S2555"/>
  <c r="T2555" s="1"/>
  <c r="AD2555" s="1"/>
  <c r="AA2555"/>
  <c r="X2556"/>
  <c r="AB2556"/>
  <c r="AC2556" s="1"/>
  <c r="Y2557"/>
  <c r="Z2558"/>
  <c r="AA2558" s="1"/>
  <c r="AD2558" s="1"/>
  <c r="S2559"/>
  <c r="T2559" s="1"/>
  <c r="AD2559" s="1"/>
  <c r="AA2559"/>
  <c r="X2560"/>
  <c r="AB2560"/>
  <c r="AC2560" s="1"/>
  <c r="Y2561"/>
  <c r="Z2562"/>
  <c r="AA2562" s="1"/>
  <c r="AD2562" s="1"/>
  <c r="S2563"/>
  <c r="T2563" s="1"/>
  <c r="AD2563" s="1"/>
  <c r="AA2563"/>
  <c r="X2564"/>
  <c r="AB2564"/>
  <c r="AC2564" s="1"/>
  <c r="Y2565"/>
  <c r="Z2566"/>
  <c r="AA2566" s="1"/>
  <c r="S2567"/>
  <c r="T2567" s="1"/>
  <c r="AD2567" s="1"/>
  <c r="AA2567"/>
  <c r="X2568"/>
  <c r="AB2568"/>
  <c r="AC2568" s="1"/>
  <c r="Y2569"/>
  <c r="Z2570"/>
  <c r="AA2570" s="1"/>
  <c r="AD2570" s="1"/>
  <c r="S2571"/>
  <c r="T2571" s="1"/>
  <c r="AD2571" s="1"/>
  <c r="AA2571"/>
  <c r="X2572"/>
  <c r="AB2572"/>
  <c r="AC2572" s="1"/>
  <c r="Y2573"/>
  <c r="Z2574"/>
  <c r="AA2574" s="1"/>
  <c r="AD2574" s="1"/>
  <c r="S2575"/>
  <c r="T2575" s="1"/>
  <c r="AD2575" s="1"/>
  <c r="AA2575"/>
  <c r="X2576"/>
  <c r="AB2576"/>
  <c r="AC2576" s="1"/>
  <c r="Y2577"/>
  <c r="Z2578"/>
  <c r="AA2578" s="1"/>
  <c r="S2579"/>
  <c r="T2579" s="1"/>
  <c r="AD2579" s="1"/>
  <c r="AA2579"/>
  <c r="X2580"/>
  <c r="AB2580"/>
  <c r="AC2580" s="1"/>
  <c r="Y2581"/>
  <c r="Z2582"/>
  <c r="AA2582" s="1"/>
  <c r="AD2582" s="1"/>
  <c r="S2583"/>
  <c r="T2583" s="1"/>
  <c r="AD2583" s="1"/>
  <c r="AA2583"/>
  <c r="X2584"/>
  <c r="AB2584"/>
  <c r="AC2584" s="1"/>
  <c r="Y2585"/>
  <c r="Z2586"/>
  <c r="AA2586" s="1"/>
  <c r="S2587"/>
  <c r="T2587" s="1"/>
  <c r="AD2587" s="1"/>
  <c r="AA2587"/>
  <c r="X2588"/>
  <c r="AB2588"/>
  <c r="AC2588" s="1"/>
  <c r="Y2589"/>
  <c r="Z2590"/>
  <c r="AA2590" s="1"/>
  <c r="S2591"/>
  <c r="T2591" s="1"/>
  <c r="AD2591" s="1"/>
  <c r="AA2591"/>
  <c r="X2592"/>
  <c r="AB2592"/>
  <c r="AC2592" s="1"/>
  <c r="Y2593"/>
  <c r="Z2594"/>
  <c r="AA2594" s="1"/>
  <c r="S2595"/>
  <c r="T2595" s="1"/>
  <c r="AD2595" s="1"/>
  <c r="AA2595"/>
  <c r="X2596"/>
  <c r="AB2596"/>
  <c r="AC2596" s="1"/>
  <c r="Y2597"/>
  <c r="Z2598"/>
  <c r="AA2598" s="1"/>
  <c r="AD2598" s="1"/>
  <c r="S2599"/>
  <c r="T2599" s="1"/>
  <c r="AD2599" s="1"/>
  <c r="AA2599"/>
  <c r="X2600"/>
  <c r="AB2600"/>
  <c r="AC2600" s="1"/>
  <c r="Y2601"/>
  <c r="Z2602"/>
  <c r="AA2602" s="1"/>
  <c r="S2603"/>
  <c r="T2603" s="1"/>
  <c r="AD2603" s="1"/>
  <c r="AA2603"/>
  <c r="X2604"/>
  <c r="AB2604"/>
  <c r="AC2604" s="1"/>
  <c r="Y2605"/>
  <c r="Z2606"/>
  <c r="AA2606" s="1"/>
  <c r="S2607"/>
  <c r="T2607" s="1"/>
  <c r="AD2607" s="1"/>
  <c r="AA2607"/>
  <c r="X2608"/>
  <c r="AB2608"/>
  <c r="AC2608" s="1"/>
  <c r="Y2609"/>
  <c r="Z2610"/>
  <c r="AA2610" s="1"/>
  <c r="AD2610" s="1"/>
  <c r="S2611"/>
  <c r="T2611" s="1"/>
  <c r="AD2611" s="1"/>
  <c r="AA2611"/>
  <c r="X2612"/>
  <c r="AB2612"/>
  <c r="AC2612" s="1"/>
  <c r="Y2613"/>
  <c r="Z2614"/>
  <c r="AA2614" s="1"/>
  <c r="AD2614" s="1"/>
  <c r="S2615"/>
  <c r="T2615" s="1"/>
  <c r="AD2615" s="1"/>
  <c r="AA2615"/>
  <c r="X2616"/>
  <c r="AB2616"/>
  <c r="AC2616" s="1"/>
  <c r="Y2617"/>
  <c r="Z2618"/>
  <c r="AA2618" s="1"/>
  <c r="S2619"/>
  <c r="T2619" s="1"/>
  <c r="AD2619" s="1"/>
  <c r="AA2619"/>
  <c r="X2620"/>
  <c r="AB2620"/>
  <c r="AC2620" s="1"/>
  <c r="Y2621"/>
  <c r="Z2622"/>
  <c r="AA2622" s="1"/>
  <c r="AD2622" s="1"/>
  <c r="S2623"/>
  <c r="T2623" s="1"/>
  <c r="AD2623" s="1"/>
  <c r="AA2623"/>
  <c r="X2624"/>
  <c r="AB2624"/>
  <c r="AC2624" s="1"/>
  <c r="Y2625"/>
  <c r="Z2626"/>
  <c r="AA2626" s="1"/>
  <c r="S2627"/>
  <c r="T2627" s="1"/>
  <c r="AD2627" s="1"/>
  <c r="AA2627"/>
  <c r="X2628"/>
  <c r="AB2628"/>
  <c r="AC2628" s="1"/>
  <c r="Y2629"/>
  <c r="Z2630"/>
  <c r="AA2630" s="1"/>
  <c r="AD2630" s="1"/>
  <c r="S2631"/>
  <c r="T2631" s="1"/>
  <c r="AD2631" s="1"/>
  <c r="AA2631"/>
  <c r="X2632"/>
  <c r="AB2632"/>
  <c r="AC2632" s="1"/>
  <c r="Y2633"/>
  <c r="Z2634"/>
  <c r="AA2634" s="1"/>
  <c r="S2635"/>
  <c r="T2635" s="1"/>
  <c r="AD2635" s="1"/>
  <c r="AA2635"/>
  <c r="X2636"/>
  <c r="AB2636"/>
  <c r="AC2636" s="1"/>
  <c r="Y2637"/>
  <c r="Z2638"/>
  <c r="AA2638" s="1"/>
  <c r="AD2638" s="1"/>
  <c r="S2639"/>
  <c r="T2639" s="1"/>
  <c r="AD2639" s="1"/>
  <c r="AA2639"/>
  <c r="X2640"/>
  <c r="AB2640"/>
  <c r="AC2640" s="1"/>
  <c r="Y2641"/>
  <c r="Z2642"/>
  <c r="AA2642" s="1"/>
  <c r="S2643"/>
  <c r="T2643" s="1"/>
  <c r="AD2643" s="1"/>
  <c r="AA2643"/>
  <c r="X2644"/>
  <c r="AB2644"/>
  <c r="AC2644" s="1"/>
  <c r="Y2645"/>
  <c r="Z2646"/>
  <c r="AA2646" s="1"/>
  <c r="AD2646" s="1"/>
  <c r="S2647"/>
  <c r="T2647" s="1"/>
  <c r="AD2647" s="1"/>
  <c r="AA2647"/>
  <c r="X2648"/>
  <c r="AB2648"/>
  <c r="AC2648" s="1"/>
  <c r="Y2649"/>
  <c r="Z2650"/>
  <c r="AA2650" s="1"/>
  <c r="S2651"/>
  <c r="T2651" s="1"/>
  <c r="AD2651" s="1"/>
  <c r="AA2651"/>
  <c r="X2652"/>
  <c r="AB2652"/>
  <c r="AC2652" s="1"/>
  <c r="Y2653"/>
  <c r="Z2654"/>
  <c r="AA2654" s="1"/>
  <c r="AD2654" s="1"/>
  <c r="S2655"/>
  <c r="T2655" s="1"/>
  <c r="AD2655" s="1"/>
  <c r="AA2655"/>
  <c r="X2656"/>
  <c r="AB2656"/>
  <c r="AC2656" s="1"/>
  <c r="Y2657"/>
  <c r="S2659"/>
  <c r="T2659" s="1"/>
  <c r="AA2659"/>
  <c r="X2660"/>
  <c r="AB2660"/>
  <c r="AC2660" s="1"/>
  <c r="Y2661"/>
  <c r="Z2662"/>
  <c r="AA2662" s="1"/>
  <c r="AD2662" s="1"/>
  <c r="S2663"/>
  <c r="T2663" s="1"/>
  <c r="AD2663" s="1"/>
  <c r="AA2663"/>
  <c r="X2664"/>
  <c r="AB2664"/>
  <c r="AC2664" s="1"/>
  <c r="Y2665"/>
  <c r="Z2666"/>
  <c r="AA2666" s="1"/>
  <c r="AD2666" s="1"/>
  <c r="S2667"/>
  <c r="T2667" s="1"/>
  <c r="AA2667"/>
  <c r="X2668"/>
  <c r="AB2668"/>
  <c r="AC2668" s="1"/>
  <c r="Y2669"/>
  <c r="Z2670"/>
  <c r="AA2670" s="1"/>
  <c r="S2671"/>
  <c r="T2671" s="1"/>
  <c r="AA2671"/>
  <c r="X2672"/>
  <c r="AB2672"/>
  <c r="AC2672" s="1"/>
  <c r="Y2673"/>
  <c r="Z2674"/>
  <c r="AA2674" s="1"/>
  <c r="S2675"/>
  <c r="T2675" s="1"/>
  <c r="AA2675"/>
  <c r="X2676"/>
  <c r="AB2676"/>
  <c r="AC2676" s="1"/>
  <c r="Y2677"/>
  <c r="Z2678"/>
  <c r="AA2678" s="1"/>
  <c r="S2679"/>
  <c r="T2679" s="1"/>
  <c r="AD2679" s="1"/>
  <c r="AA2679"/>
  <c r="X2680"/>
  <c r="AB2680"/>
  <c r="AC2680" s="1"/>
  <c r="Y2681"/>
  <c r="Z2682"/>
  <c r="AA2682" s="1"/>
  <c r="AD2682" s="1"/>
  <c r="S2683"/>
  <c r="T2683" s="1"/>
  <c r="AA2683"/>
  <c r="X2684"/>
  <c r="AB2684"/>
  <c r="AC2684" s="1"/>
  <c r="Y2685"/>
  <c r="Z2686"/>
  <c r="AA2686" s="1"/>
  <c r="AD2686" s="1"/>
  <c r="S2687"/>
  <c r="T2687" s="1"/>
  <c r="AD2687" s="1"/>
  <c r="AA2687"/>
  <c r="X2688"/>
  <c r="AB2688"/>
  <c r="AC2688" s="1"/>
  <c r="Y2689"/>
  <c r="Z2690"/>
  <c r="AA2690" s="1"/>
  <c r="AD2690" s="1"/>
  <c r="S2691"/>
  <c r="T2691" s="1"/>
  <c r="AA2691"/>
  <c r="X2692"/>
  <c r="AB2692"/>
  <c r="AC2692" s="1"/>
  <c r="Y2693"/>
  <c r="Z2694"/>
  <c r="AA2694" s="1"/>
  <c r="AD2694" s="1"/>
  <c r="S2695"/>
  <c r="T2695" s="1"/>
  <c r="AD2695" s="1"/>
  <c r="AA2695"/>
  <c r="X2696"/>
  <c r="AB2696"/>
  <c r="AC2696" s="1"/>
  <c r="Y2697"/>
  <c r="Z2698"/>
  <c r="AA2698" s="1"/>
  <c r="AD2698" s="1"/>
  <c r="S2699"/>
  <c r="T2699" s="1"/>
  <c r="AA2699"/>
  <c r="X2700"/>
  <c r="AB2700"/>
  <c r="AC2700" s="1"/>
  <c r="Y2701"/>
  <c r="Z2702"/>
  <c r="AA2702" s="1"/>
  <c r="AD2702" s="1"/>
  <c r="S2703"/>
  <c r="T2703" s="1"/>
  <c r="AD2703" s="1"/>
  <c r="AA2703"/>
  <c r="X2704"/>
  <c r="AB2704"/>
  <c r="AC2704" s="1"/>
  <c r="Y2705"/>
  <c r="Z2706"/>
  <c r="AA2706" s="1"/>
  <c r="AD2706" s="1"/>
  <c r="S2707"/>
  <c r="T2707" s="1"/>
  <c r="AA2707"/>
  <c r="X2708"/>
  <c r="AB2708"/>
  <c r="AC2708" s="1"/>
  <c r="Y2709"/>
  <c r="Z2710"/>
  <c r="AA2710" s="1"/>
  <c r="AD2710" s="1"/>
  <c r="S2711"/>
  <c r="T2711" s="1"/>
  <c r="AD2711" s="1"/>
  <c r="AA2711"/>
  <c r="X2712"/>
  <c r="AB2712"/>
  <c r="AC2712" s="1"/>
  <c r="Y2713"/>
  <c r="Z2714"/>
  <c r="AA2714" s="1"/>
  <c r="AD2714" s="1"/>
  <c r="S2715"/>
  <c r="T2715" s="1"/>
  <c r="AA2715"/>
  <c r="X2716"/>
  <c r="AB2716"/>
  <c r="AC2716" s="1"/>
  <c r="Y2717"/>
  <c r="Z2718"/>
  <c r="AA2718" s="1"/>
  <c r="AD2718" s="1"/>
  <c r="S2719"/>
  <c r="T2719" s="1"/>
  <c r="AD2719" s="1"/>
  <c r="AA2719"/>
  <c r="X2720"/>
  <c r="AB2720"/>
  <c r="AC2720" s="1"/>
  <c r="Y2721"/>
  <c r="S2723"/>
  <c r="T2723" s="1"/>
  <c r="AA2723"/>
  <c r="X2724"/>
  <c r="AB2724"/>
  <c r="AC2724" s="1"/>
  <c r="Y2725"/>
  <c r="Z2726"/>
  <c r="AA2726" s="1"/>
  <c r="S2727"/>
  <c r="T2727" s="1"/>
  <c r="AD2727" s="1"/>
  <c r="AA2727"/>
  <c r="X2728"/>
  <c r="AB2728"/>
  <c r="AC2728" s="1"/>
  <c r="Y2729"/>
  <c r="Z2730"/>
  <c r="AA2730" s="1"/>
  <c r="AD2730" s="1"/>
  <c r="S2731"/>
  <c r="T2731" s="1"/>
  <c r="AD2731" s="1"/>
  <c r="AA2731"/>
  <c r="X2732"/>
  <c r="AB2732"/>
  <c r="AC2732" s="1"/>
  <c r="Y2733"/>
  <c r="Z2734"/>
  <c r="AA2734" s="1"/>
  <c r="S2735"/>
  <c r="T2735" s="1"/>
  <c r="AD2735" s="1"/>
  <c r="AA2735"/>
  <c r="X2736"/>
  <c r="AB2736"/>
  <c r="AC2736" s="1"/>
  <c r="Y2737"/>
  <c r="Z2738"/>
  <c r="AA2738" s="1"/>
  <c r="AD2738" s="1"/>
  <c r="S2739"/>
  <c r="T2739" s="1"/>
  <c r="AD2739" s="1"/>
  <c r="AA2739"/>
  <c r="X2740"/>
  <c r="AB2740"/>
  <c r="AC2740" s="1"/>
  <c r="Y2741"/>
  <c r="Z2742"/>
  <c r="AA2742" s="1"/>
  <c r="S2743"/>
  <c r="T2743" s="1"/>
  <c r="AD2743" s="1"/>
  <c r="AA2743"/>
  <c r="X2744"/>
  <c r="AB2744"/>
  <c r="AC2744" s="1"/>
  <c r="Y2745"/>
  <c r="Z2746"/>
  <c r="AA2746" s="1"/>
  <c r="AD2746" s="1"/>
  <c r="S2747"/>
  <c r="T2747" s="1"/>
  <c r="AD2747" s="1"/>
  <c r="AA2747"/>
  <c r="X2748"/>
  <c r="AB2748"/>
  <c r="AC2748" s="1"/>
  <c r="Y2749"/>
  <c r="S2751"/>
  <c r="T2751" s="1"/>
  <c r="AA2753"/>
  <c r="S2755"/>
  <c r="T2755" s="1"/>
  <c r="S2759"/>
  <c r="T2759" s="1"/>
  <c r="AA2761"/>
  <c r="AA2785"/>
  <c r="AD2836"/>
  <c r="AD2884"/>
  <c r="AA2893"/>
  <c r="Y2751"/>
  <c r="AB2751"/>
  <c r="AC2751" s="1"/>
  <c r="X2751"/>
  <c r="Y2755"/>
  <c r="AB2755"/>
  <c r="AC2755" s="1"/>
  <c r="X2755"/>
  <c r="Y2759"/>
  <c r="AB2759"/>
  <c r="AC2759" s="1"/>
  <c r="X2759"/>
  <c r="U2808"/>
  <c r="V2808" s="1"/>
  <c r="AD2808" s="1"/>
  <c r="U2811"/>
  <c r="V2811" s="1"/>
  <c r="U2815"/>
  <c r="V2815"/>
  <c r="U2819"/>
  <c r="V2819" s="1"/>
  <c r="U2823"/>
  <c r="V2823"/>
  <c r="U2827"/>
  <c r="V2827" s="1"/>
  <c r="U2831"/>
  <c r="V2831"/>
  <c r="S2440"/>
  <c r="T2440" s="1"/>
  <c r="AD2440" s="1"/>
  <c r="AA2440"/>
  <c r="X2441"/>
  <c r="AB2441"/>
  <c r="AC2441" s="1"/>
  <c r="S2444"/>
  <c r="T2444" s="1"/>
  <c r="AA2444"/>
  <c r="X2445"/>
  <c r="AB2445"/>
  <c r="AC2445" s="1"/>
  <c r="S2448"/>
  <c r="T2448" s="1"/>
  <c r="AD2448" s="1"/>
  <c r="AA2448"/>
  <c r="X2449"/>
  <c r="AB2449"/>
  <c r="AC2449" s="1"/>
  <c r="S2452"/>
  <c r="T2452" s="1"/>
  <c r="AA2452"/>
  <c r="X2453"/>
  <c r="AB2453"/>
  <c r="AC2453" s="1"/>
  <c r="S2456"/>
  <c r="T2456" s="1"/>
  <c r="AD2456" s="1"/>
  <c r="AA2456"/>
  <c r="X2457"/>
  <c r="AB2457"/>
  <c r="AC2457" s="1"/>
  <c r="S2460"/>
  <c r="T2460" s="1"/>
  <c r="AA2460"/>
  <c r="X2461"/>
  <c r="AB2461"/>
  <c r="AC2461" s="1"/>
  <c r="S2464"/>
  <c r="T2464" s="1"/>
  <c r="AD2464" s="1"/>
  <c r="AA2464"/>
  <c r="X2465"/>
  <c r="AB2465"/>
  <c r="AC2465" s="1"/>
  <c r="S2468"/>
  <c r="T2468" s="1"/>
  <c r="AA2468"/>
  <c r="X2469"/>
  <c r="AB2469"/>
  <c r="AC2469" s="1"/>
  <c r="S2472"/>
  <c r="T2472" s="1"/>
  <c r="AD2472" s="1"/>
  <c r="AA2472"/>
  <c r="X2473"/>
  <c r="AB2473"/>
  <c r="AC2473" s="1"/>
  <c r="S2476"/>
  <c r="T2476" s="1"/>
  <c r="AD2476" s="1"/>
  <c r="AA2476"/>
  <c r="X2477"/>
  <c r="AB2477"/>
  <c r="AC2477" s="1"/>
  <c r="S2480"/>
  <c r="T2480" s="1"/>
  <c r="AA2480"/>
  <c r="X2481"/>
  <c r="AB2481"/>
  <c r="AC2481" s="1"/>
  <c r="S2484"/>
  <c r="T2484" s="1"/>
  <c r="AA2484"/>
  <c r="X2485"/>
  <c r="AB2485"/>
  <c r="AC2485" s="1"/>
  <c r="S2488"/>
  <c r="T2488" s="1"/>
  <c r="AA2488"/>
  <c r="X2489"/>
  <c r="AB2489"/>
  <c r="AC2489" s="1"/>
  <c r="S2492"/>
  <c r="T2492" s="1"/>
  <c r="AD2492" s="1"/>
  <c r="AA2492"/>
  <c r="X2493"/>
  <c r="AB2493"/>
  <c r="AC2493" s="1"/>
  <c r="S2496"/>
  <c r="T2496" s="1"/>
  <c r="AA2496"/>
  <c r="X2497"/>
  <c r="AB2497"/>
  <c r="AC2497" s="1"/>
  <c r="S2500"/>
  <c r="T2500" s="1"/>
  <c r="AD2500" s="1"/>
  <c r="AA2500"/>
  <c r="X2501"/>
  <c r="AB2501"/>
  <c r="AC2501" s="1"/>
  <c r="S2504"/>
  <c r="T2504" s="1"/>
  <c r="AA2504"/>
  <c r="X2505"/>
  <c r="AB2505"/>
  <c r="AC2505" s="1"/>
  <c r="S2508"/>
  <c r="T2508" s="1"/>
  <c r="AD2508" s="1"/>
  <c r="AA2508"/>
  <c r="X2509"/>
  <c r="AB2509"/>
  <c r="AC2509" s="1"/>
  <c r="S2512"/>
  <c r="T2512" s="1"/>
  <c r="AA2512"/>
  <c r="X2513"/>
  <c r="AB2513"/>
  <c r="AC2513" s="1"/>
  <c r="S2516"/>
  <c r="T2516" s="1"/>
  <c r="AD2516" s="1"/>
  <c r="AA2516"/>
  <c r="X2517"/>
  <c r="AB2517"/>
  <c r="AC2517" s="1"/>
  <c r="S2520"/>
  <c r="T2520" s="1"/>
  <c r="AA2520"/>
  <c r="X2521"/>
  <c r="AB2521"/>
  <c r="AC2521" s="1"/>
  <c r="S2524"/>
  <c r="T2524" s="1"/>
  <c r="AD2524" s="1"/>
  <c r="AA2524"/>
  <c r="X2525"/>
  <c r="AB2525"/>
  <c r="AC2525" s="1"/>
  <c r="S2528"/>
  <c r="T2528" s="1"/>
  <c r="AA2528"/>
  <c r="X2529"/>
  <c r="AB2529"/>
  <c r="AC2529" s="1"/>
  <c r="S2532"/>
  <c r="T2532" s="1"/>
  <c r="AD2532" s="1"/>
  <c r="AA2532"/>
  <c r="X2533"/>
  <c r="AB2533"/>
  <c r="AC2533" s="1"/>
  <c r="S2536"/>
  <c r="T2536" s="1"/>
  <c r="AA2536"/>
  <c r="X2537"/>
  <c r="AB2537"/>
  <c r="AC2537" s="1"/>
  <c r="S2540"/>
  <c r="T2540" s="1"/>
  <c r="AA2540"/>
  <c r="X2541"/>
  <c r="AB2541"/>
  <c r="AC2541" s="1"/>
  <c r="S2544"/>
  <c r="T2544" s="1"/>
  <c r="AA2544"/>
  <c r="X2545"/>
  <c r="AB2545"/>
  <c r="AC2545" s="1"/>
  <c r="S2548"/>
  <c r="T2548" s="1"/>
  <c r="AD2548" s="1"/>
  <c r="AA2548"/>
  <c r="X2549"/>
  <c r="AB2549"/>
  <c r="AC2549" s="1"/>
  <c r="S2552"/>
  <c r="T2552" s="1"/>
  <c r="AA2552"/>
  <c r="X2553"/>
  <c r="AB2553"/>
  <c r="AC2553" s="1"/>
  <c r="S2556"/>
  <c r="T2556" s="1"/>
  <c r="AD2556" s="1"/>
  <c r="AA2556"/>
  <c r="X2557"/>
  <c r="AB2557"/>
  <c r="AC2557" s="1"/>
  <c r="S2560"/>
  <c r="T2560" s="1"/>
  <c r="AA2560"/>
  <c r="X2561"/>
  <c r="AB2561"/>
  <c r="AC2561" s="1"/>
  <c r="S2564"/>
  <c r="T2564" s="1"/>
  <c r="AD2564" s="1"/>
  <c r="AA2564"/>
  <c r="X2565"/>
  <c r="AB2565"/>
  <c r="AC2565" s="1"/>
  <c r="S2568"/>
  <c r="T2568" s="1"/>
  <c r="AA2568"/>
  <c r="X2569"/>
  <c r="AB2569"/>
  <c r="AC2569" s="1"/>
  <c r="S2572"/>
  <c r="T2572" s="1"/>
  <c r="AD2572" s="1"/>
  <c r="AA2572"/>
  <c r="X2573"/>
  <c r="AB2573"/>
  <c r="AC2573" s="1"/>
  <c r="S2576"/>
  <c r="T2576" s="1"/>
  <c r="AA2576"/>
  <c r="X2577"/>
  <c r="AB2577"/>
  <c r="AC2577" s="1"/>
  <c r="S2580"/>
  <c r="T2580" s="1"/>
  <c r="AD2580" s="1"/>
  <c r="AA2580"/>
  <c r="X2581"/>
  <c r="AB2581"/>
  <c r="AC2581" s="1"/>
  <c r="S2584"/>
  <c r="T2584" s="1"/>
  <c r="AA2584"/>
  <c r="X2585"/>
  <c r="AB2585"/>
  <c r="AC2585" s="1"/>
  <c r="O2586"/>
  <c r="U2586" s="1"/>
  <c r="V2586" s="1"/>
  <c r="AD2586" s="1"/>
  <c r="S2588"/>
  <c r="T2588" s="1"/>
  <c r="AA2588"/>
  <c r="X2589"/>
  <c r="AB2589"/>
  <c r="AC2589" s="1"/>
  <c r="O2590"/>
  <c r="U2590" s="1"/>
  <c r="V2590" s="1"/>
  <c r="AD2590" s="1"/>
  <c r="S2592"/>
  <c r="T2592" s="1"/>
  <c r="AA2592"/>
  <c r="X2593"/>
  <c r="AB2593"/>
  <c r="AC2593" s="1"/>
  <c r="S2596"/>
  <c r="T2596" s="1"/>
  <c r="AA2596"/>
  <c r="X2597"/>
  <c r="AB2597"/>
  <c r="AC2597" s="1"/>
  <c r="S2600"/>
  <c r="T2600" s="1"/>
  <c r="AA2600"/>
  <c r="X2601"/>
  <c r="AB2601"/>
  <c r="AC2601" s="1"/>
  <c r="S2604"/>
  <c r="T2604" s="1"/>
  <c r="AA2604"/>
  <c r="X2605"/>
  <c r="AB2605"/>
  <c r="AC2605" s="1"/>
  <c r="S2608"/>
  <c r="T2608" s="1"/>
  <c r="AA2608"/>
  <c r="X2609"/>
  <c r="AB2609"/>
  <c r="AC2609" s="1"/>
  <c r="S2612"/>
  <c r="T2612" s="1"/>
  <c r="AA2612"/>
  <c r="X2613"/>
  <c r="AB2613"/>
  <c r="AC2613" s="1"/>
  <c r="S2616"/>
  <c r="T2616" s="1"/>
  <c r="AA2616"/>
  <c r="X2617"/>
  <c r="AB2617"/>
  <c r="AC2617" s="1"/>
  <c r="S2620"/>
  <c r="T2620" s="1"/>
  <c r="AA2620"/>
  <c r="X2621"/>
  <c r="AB2621"/>
  <c r="AC2621" s="1"/>
  <c r="S2624"/>
  <c r="T2624" s="1"/>
  <c r="AA2624"/>
  <c r="X2625"/>
  <c r="AB2625"/>
  <c r="AC2625" s="1"/>
  <c r="S2628"/>
  <c r="T2628" s="1"/>
  <c r="AA2628"/>
  <c r="X2629"/>
  <c r="AB2629"/>
  <c r="AC2629" s="1"/>
  <c r="S2632"/>
  <c r="T2632" s="1"/>
  <c r="AA2632"/>
  <c r="X2633"/>
  <c r="AB2633"/>
  <c r="AC2633" s="1"/>
  <c r="S2636"/>
  <c r="T2636" s="1"/>
  <c r="AA2636"/>
  <c r="X2637"/>
  <c r="AB2637"/>
  <c r="AC2637" s="1"/>
  <c r="S2640"/>
  <c r="T2640" s="1"/>
  <c r="AA2640"/>
  <c r="X2641"/>
  <c r="AB2641"/>
  <c r="AC2641" s="1"/>
  <c r="S2644"/>
  <c r="T2644" s="1"/>
  <c r="AA2644"/>
  <c r="X2645"/>
  <c r="AB2645"/>
  <c r="AC2645" s="1"/>
  <c r="S2648"/>
  <c r="T2648" s="1"/>
  <c r="AA2648"/>
  <c r="X2649"/>
  <c r="AB2649"/>
  <c r="AC2649" s="1"/>
  <c r="S2652"/>
  <c r="T2652" s="1"/>
  <c r="AA2652"/>
  <c r="X2653"/>
  <c r="AB2653"/>
  <c r="AC2653" s="1"/>
  <c r="S2656"/>
  <c r="T2656" s="1"/>
  <c r="AA2656"/>
  <c r="X2657"/>
  <c r="AB2657"/>
  <c r="AC2657" s="1"/>
  <c r="S2660"/>
  <c r="T2660" s="1"/>
  <c r="AA2660"/>
  <c r="X2661"/>
  <c r="AB2661"/>
  <c r="AC2661" s="1"/>
  <c r="S2664"/>
  <c r="T2664" s="1"/>
  <c r="AA2664"/>
  <c r="X2665"/>
  <c r="AB2665"/>
  <c r="AC2665" s="1"/>
  <c r="S2668"/>
  <c r="T2668" s="1"/>
  <c r="AA2668"/>
  <c r="X2669"/>
  <c r="AB2669"/>
  <c r="AC2669" s="1"/>
  <c r="S2672"/>
  <c r="T2672" s="1"/>
  <c r="AA2672"/>
  <c r="X2673"/>
  <c r="AB2673"/>
  <c r="AC2673" s="1"/>
  <c r="S2676"/>
  <c r="T2676" s="1"/>
  <c r="AA2676"/>
  <c r="X2677"/>
  <c r="AB2677"/>
  <c r="AC2677" s="1"/>
  <c r="S2680"/>
  <c r="T2680" s="1"/>
  <c r="AA2680"/>
  <c r="X2681"/>
  <c r="AB2681"/>
  <c r="AC2681" s="1"/>
  <c r="S2684"/>
  <c r="T2684" s="1"/>
  <c r="AA2684"/>
  <c r="X2685"/>
  <c r="AB2685"/>
  <c r="AC2685" s="1"/>
  <c r="S2688"/>
  <c r="T2688" s="1"/>
  <c r="AA2688"/>
  <c r="X2689"/>
  <c r="AB2689"/>
  <c r="AC2689" s="1"/>
  <c r="S2692"/>
  <c r="T2692" s="1"/>
  <c r="AA2692"/>
  <c r="X2693"/>
  <c r="AB2693"/>
  <c r="AC2693" s="1"/>
  <c r="S2696"/>
  <c r="T2696" s="1"/>
  <c r="AA2696"/>
  <c r="X2697"/>
  <c r="AB2697"/>
  <c r="AC2697" s="1"/>
  <c r="S2700"/>
  <c r="T2700" s="1"/>
  <c r="AA2700"/>
  <c r="X2701"/>
  <c r="AB2701"/>
  <c r="AC2701" s="1"/>
  <c r="S2704"/>
  <c r="T2704" s="1"/>
  <c r="AA2704"/>
  <c r="X2705"/>
  <c r="AB2705"/>
  <c r="AC2705" s="1"/>
  <c r="S2708"/>
  <c r="T2708" s="1"/>
  <c r="AA2708"/>
  <c r="X2709"/>
  <c r="AB2709"/>
  <c r="AC2709" s="1"/>
  <c r="S2712"/>
  <c r="T2712" s="1"/>
  <c r="AA2712"/>
  <c r="X2713"/>
  <c r="AB2713"/>
  <c r="AC2713" s="1"/>
  <c r="S2716"/>
  <c r="T2716" s="1"/>
  <c r="AA2716"/>
  <c r="X2717"/>
  <c r="AB2717"/>
  <c r="AC2717" s="1"/>
  <c r="S2720"/>
  <c r="T2720" s="1"/>
  <c r="AA2720"/>
  <c r="X2721"/>
  <c r="AB2721"/>
  <c r="AC2721" s="1"/>
  <c r="S2724"/>
  <c r="T2724" s="1"/>
  <c r="AA2724"/>
  <c r="X2725"/>
  <c r="AB2725"/>
  <c r="AC2725" s="1"/>
  <c r="S2728"/>
  <c r="T2728" s="1"/>
  <c r="AA2728"/>
  <c r="X2729"/>
  <c r="AB2729"/>
  <c r="AC2729" s="1"/>
  <c r="S2732"/>
  <c r="T2732" s="1"/>
  <c r="AA2732"/>
  <c r="X2733"/>
  <c r="AB2733"/>
  <c r="AC2733" s="1"/>
  <c r="S2736"/>
  <c r="T2736" s="1"/>
  <c r="AA2736"/>
  <c r="X2737"/>
  <c r="AB2737"/>
  <c r="AC2737" s="1"/>
  <c r="S2740"/>
  <c r="T2740" s="1"/>
  <c r="AA2740"/>
  <c r="X2741"/>
  <c r="AB2741"/>
  <c r="AC2741" s="1"/>
  <c r="S2744"/>
  <c r="T2744" s="1"/>
  <c r="AA2744"/>
  <c r="X2745"/>
  <c r="AB2745"/>
  <c r="AC2745" s="1"/>
  <c r="S2748"/>
  <c r="T2748" s="1"/>
  <c r="AA2748"/>
  <c r="X2749"/>
  <c r="AB2749"/>
  <c r="AC2749" s="1"/>
  <c r="Z2751"/>
  <c r="AA2751" s="1"/>
  <c r="Z2755"/>
  <c r="AA2755" s="1"/>
  <c r="Z2759"/>
  <c r="AA2759" s="1"/>
  <c r="T2764"/>
  <c r="AD2764" s="1"/>
  <c r="AA2845"/>
  <c r="AA2849"/>
  <c r="AA2861"/>
  <c r="AA2865"/>
  <c r="AA2877"/>
  <c r="AD2888"/>
  <c r="AD2892"/>
  <c r="AA2901"/>
  <c r="AD2908"/>
  <c r="AB2754"/>
  <c r="AC2754" s="1"/>
  <c r="X2754"/>
  <c r="AA2754"/>
  <c r="S2754"/>
  <c r="T2754" s="1"/>
  <c r="AB2758"/>
  <c r="AC2758" s="1"/>
  <c r="X2758"/>
  <c r="AA2758"/>
  <c r="S2758"/>
  <c r="T2758" s="1"/>
  <c r="AB2762"/>
  <c r="AC2762" s="1"/>
  <c r="X2762"/>
  <c r="Y2762"/>
  <c r="AA2762"/>
  <c r="S2762"/>
  <c r="T2762" s="1"/>
  <c r="U2779"/>
  <c r="V2779"/>
  <c r="AD2779" s="1"/>
  <c r="U2795"/>
  <c r="V2795" s="1"/>
  <c r="AD2795" s="1"/>
  <c r="U2805"/>
  <c r="V2805"/>
  <c r="V2812"/>
  <c r="AD2812" s="1"/>
  <c r="U2812"/>
  <c r="U2816"/>
  <c r="V2816" s="1"/>
  <c r="AD2816" s="1"/>
  <c r="V2820"/>
  <c r="AD2820" s="1"/>
  <c r="U2820"/>
  <c r="U2824"/>
  <c r="V2824" s="1"/>
  <c r="AD2824" s="1"/>
  <c r="V2828"/>
  <c r="AD2828" s="1"/>
  <c r="U2828"/>
  <c r="U2832"/>
  <c r="V2832" s="1"/>
  <c r="AD2832" s="1"/>
  <c r="U2849"/>
  <c r="V2849" s="1"/>
  <c r="S2441"/>
  <c r="T2441" s="1"/>
  <c r="S2445"/>
  <c r="T2445" s="1"/>
  <c r="S2449"/>
  <c r="T2449" s="1"/>
  <c r="S2453"/>
  <c r="T2453" s="1"/>
  <c r="S2457"/>
  <c r="T2457" s="1"/>
  <c r="S2461"/>
  <c r="T2461" s="1"/>
  <c r="S2465"/>
  <c r="T2465" s="1"/>
  <c r="S2469"/>
  <c r="T2469" s="1"/>
  <c r="S2473"/>
  <c r="T2473" s="1"/>
  <c r="S2477"/>
  <c r="T2477" s="1"/>
  <c r="S2481"/>
  <c r="T2481" s="1"/>
  <c r="S2485"/>
  <c r="T2485" s="1"/>
  <c r="S2489"/>
  <c r="T2489" s="1"/>
  <c r="S2493"/>
  <c r="T2493" s="1"/>
  <c r="S2497"/>
  <c r="T2497" s="1"/>
  <c r="S2501"/>
  <c r="T2501" s="1"/>
  <c r="S2505"/>
  <c r="T2505" s="1"/>
  <c r="S2509"/>
  <c r="T2509" s="1"/>
  <c r="AD2509" s="1"/>
  <c r="S2513"/>
  <c r="T2513" s="1"/>
  <c r="S2517"/>
  <c r="T2517" s="1"/>
  <c r="S2521"/>
  <c r="T2521" s="1"/>
  <c r="S2525"/>
  <c r="T2525" s="1"/>
  <c r="AD2525" s="1"/>
  <c r="S2529"/>
  <c r="T2529" s="1"/>
  <c r="S2533"/>
  <c r="T2533" s="1"/>
  <c r="S2537"/>
  <c r="T2537" s="1"/>
  <c r="S2541"/>
  <c r="T2541" s="1"/>
  <c r="S2545"/>
  <c r="T2545" s="1"/>
  <c r="S2549"/>
  <c r="T2549" s="1"/>
  <c r="S2553"/>
  <c r="T2553" s="1"/>
  <c r="S2557"/>
  <c r="T2557" s="1"/>
  <c r="S2561"/>
  <c r="T2561" s="1"/>
  <c r="S2565"/>
  <c r="T2565" s="1"/>
  <c r="S2569"/>
  <c r="T2569" s="1"/>
  <c r="S2573"/>
  <c r="T2573" s="1"/>
  <c r="AD2573" s="1"/>
  <c r="S2577"/>
  <c r="T2577" s="1"/>
  <c r="S2581"/>
  <c r="T2581" s="1"/>
  <c r="S2585"/>
  <c r="T2585" s="1"/>
  <c r="S2589"/>
  <c r="T2589" s="1"/>
  <c r="S2593"/>
  <c r="T2593" s="1"/>
  <c r="S2597"/>
  <c r="T2597" s="1"/>
  <c r="S2601"/>
  <c r="T2601" s="1"/>
  <c r="S2605"/>
  <c r="T2605" s="1"/>
  <c r="S2609"/>
  <c r="T2609" s="1"/>
  <c r="S2613"/>
  <c r="T2613" s="1"/>
  <c r="S2617"/>
  <c r="T2617" s="1"/>
  <c r="S2621"/>
  <c r="T2621" s="1"/>
  <c r="S2625"/>
  <c r="T2625" s="1"/>
  <c r="S2629"/>
  <c r="T2629" s="1"/>
  <c r="S2633"/>
  <c r="T2633" s="1"/>
  <c r="S2637"/>
  <c r="T2637" s="1"/>
  <c r="S2641"/>
  <c r="T2641" s="1"/>
  <c r="S2645"/>
  <c r="T2645" s="1"/>
  <c r="S2649"/>
  <c r="T2649" s="1"/>
  <c r="S2653"/>
  <c r="T2653" s="1"/>
  <c r="S2657"/>
  <c r="T2657" s="1"/>
  <c r="S2661"/>
  <c r="T2661" s="1"/>
  <c r="S2665"/>
  <c r="T2665" s="1"/>
  <c r="S2669"/>
  <c r="T2669" s="1"/>
  <c r="S2673"/>
  <c r="T2673" s="1"/>
  <c r="S2677"/>
  <c r="T2677" s="1"/>
  <c r="S2681"/>
  <c r="T2681" s="1"/>
  <c r="S2685"/>
  <c r="T2685" s="1"/>
  <c r="S2689"/>
  <c r="T2689" s="1"/>
  <c r="S2693"/>
  <c r="T2693" s="1"/>
  <c r="S2697"/>
  <c r="T2697" s="1"/>
  <c r="S2701"/>
  <c r="T2701" s="1"/>
  <c r="S2705"/>
  <c r="T2705" s="1"/>
  <c r="S2709"/>
  <c r="T2709" s="1"/>
  <c r="S2713"/>
  <c r="T2713" s="1"/>
  <c r="S2717"/>
  <c r="T2717" s="1"/>
  <c r="S2721"/>
  <c r="T2721" s="1"/>
  <c r="S2725"/>
  <c r="T2725" s="1"/>
  <c r="S2729"/>
  <c r="T2729" s="1"/>
  <c r="S2733"/>
  <c r="T2733" s="1"/>
  <c r="S2737"/>
  <c r="T2737" s="1"/>
  <c r="S2741"/>
  <c r="T2741" s="1"/>
  <c r="S2745"/>
  <c r="T2745" s="1"/>
  <c r="S2749"/>
  <c r="T2749" s="1"/>
  <c r="Y2754"/>
  <c r="Y2758"/>
  <c r="AA2773"/>
  <c r="AA2781"/>
  <c r="AA2809"/>
  <c r="AD2844"/>
  <c r="AD2852"/>
  <c r="AD2856"/>
  <c r="AD2860"/>
  <c r="AD2864"/>
  <c r="AD2868"/>
  <c r="AD2872"/>
  <c r="AD2876"/>
  <c r="AA2881"/>
  <c r="AD2896"/>
  <c r="AD2900"/>
  <c r="AD2904"/>
  <c r="AA2911"/>
  <c r="U3047"/>
  <c r="V3047"/>
  <c r="Y2752"/>
  <c r="Z2753"/>
  <c r="Y2756"/>
  <c r="Z2757"/>
  <c r="AA2757" s="1"/>
  <c r="Y2760"/>
  <c r="Z2761"/>
  <c r="X2763"/>
  <c r="AD2763" s="1"/>
  <c r="AB2763"/>
  <c r="AC2763" s="1"/>
  <c r="Y2764"/>
  <c r="Z2765"/>
  <c r="AA2765" s="1"/>
  <c r="S2766"/>
  <c r="T2766" s="1"/>
  <c r="X2767"/>
  <c r="AD2767" s="1"/>
  <c r="AB2767"/>
  <c r="AC2767" s="1"/>
  <c r="O2768"/>
  <c r="U2768" s="1"/>
  <c r="V2768" s="1"/>
  <c r="AD2768" s="1"/>
  <c r="Y2768"/>
  <c r="Z2769"/>
  <c r="AA2769" s="1"/>
  <c r="S2770"/>
  <c r="T2770" s="1"/>
  <c r="X2771"/>
  <c r="AD2771" s="1"/>
  <c r="AB2771"/>
  <c r="AC2771" s="1"/>
  <c r="O2772"/>
  <c r="U2772" s="1"/>
  <c r="V2772" s="1"/>
  <c r="AD2772" s="1"/>
  <c r="Y2772"/>
  <c r="Z2773"/>
  <c r="S2774"/>
  <c r="T2774" s="1"/>
  <c r="AD2774" s="1"/>
  <c r="AA2774"/>
  <c r="X2775"/>
  <c r="AD2775" s="1"/>
  <c r="AB2775"/>
  <c r="AC2775" s="1"/>
  <c r="O2776"/>
  <c r="U2776" s="1"/>
  <c r="V2776" s="1"/>
  <c r="AD2776" s="1"/>
  <c r="Y2776"/>
  <c r="V2777"/>
  <c r="Z2777"/>
  <c r="AA2777" s="1"/>
  <c r="S2778"/>
  <c r="T2778" s="1"/>
  <c r="AD2778" s="1"/>
  <c r="AA2778"/>
  <c r="X2779"/>
  <c r="AB2779"/>
  <c r="AC2779" s="1"/>
  <c r="O2780"/>
  <c r="Y2780"/>
  <c r="V2781"/>
  <c r="Z2781"/>
  <c r="S2782"/>
  <c r="T2782" s="1"/>
  <c r="X2783"/>
  <c r="AB2783"/>
  <c r="AC2783" s="1"/>
  <c r="O2784"/>
  <c r="Y2784"/>
  <c r="V2785"/>
  <c r="Z2785"/>
  <c r="S2786"/>
  <c r="T2786" s="1"/>
  <c r="X2787"/>
  <c r="AD2787" s="1"/>
  <c r="AB2787"/>
  <c r="AC2787" s="1"/>
  <c r="O2788"/>
  <c r="Y2788"/>
  <c r="V2789"/>
  <c r="Z2789"/>
  <c r="AA2789" s="1"/>
  <c r="S2790"/>
  <c r="T2790" s="1"/>
  <c r="AD2790" s="1"/>
  <c r="AA2790"/>
  <c r="X2791"/>
  <c r="AB2791"/>
  <c r="AC2791" s="1"/>
  <c r="O2792"/>
  <c r="Y2792"/>
  <c r="V2793"/>
  <c r="Z2793"/>
  <c r="AA2793" s="1"/>
  <c r="S2794"/>
  <c r="T2794" s="1"/>
  <c r="AD2794" s="1"/>
  <c r="AA2794"/>
  <c r="X2795"/>
  <c r="AB2795"/>
  <c r="AC2795" s="1"/>
  <c r="O2796"/>
  <c r="Y2796"/>
  <c r="V2797"/>
  <c r="Z2797"/>
  <c r="AA2797" s="1"/>
  <c r="S2798"/>
  <c r="T2798" s="1"/>
  <c r="X2799"/>
  <c r="AB2799"/>
  <c r="AC2799" s="1"/>
  <c r="O2800"/>
  <c r="Y2800"/>
  <c r="V2801"/>
  <c r="Z2801"/>
  <c r="AA2801" s="1"/>
  <c r="S2802"/>
  <c r="T2802" s="1"/>
  <c r="AD2802" s="1"/>
  <c r="AA2802"/>
  <c r="X2803"/>
  <c r="AB2803"/>
  <c r="AC2803" s="1"/>
  <c r="Y2804"/>
  <c r="Z2805"/>
  <c r="AA2805" s="1"/>
  <c r="S2806"/>
  <c r="T2806" s="1"/>
  <c r="X2807"/>
  <c r="AB2807"/>
  <c r="AC2807" s="1"/>
  <c r="Y2808"/>
  <c r="Z2809"/>
  <c r="S2810"/>
  <c r="T2810" s="1"/>
  <c r="AA2810"/>
  <c r="X2811"/>
  <c r="AB2811"/>
  <c r="AC2811" s="1"/>
  <c r="Y2812"/>
  <c r="Z2813"/>
  <c r="AA2813" s="1"/>
  <c r="S2814"/>
  <c r="T2814" s="1"/>
  <c r="X2815"/>
  <c r="AB2815"/>
  <c r="AC2815" s="1"/>
  <c r="Y2816"/>
  <c r="Z2817"/>
  <c r="AA2817" s="1"/>
  <c r="S2818"/>
  <c r="T2818" s="1"/>
  <c r="AD2818" s="1"/>
  <c r="AA2818"/>
  <c r="X2819"/>
  <c r="AB2819"/>
  <c r="AC2819" s="1"/>
  <c r="Y2820"/>
  <c r="Z2821"/>
  <c r="AA2821" s="1"/>
  <c r="S2822"/>
  <c r="T2822" s="1"/>
  <c r="X2823"/>
  <c r="AB2823"/>
  <c r="AC2823" s="1"/>
  <c r="Y2824"/>
  <c r="Z2825"/>
  <c r="S2826"/>
  <c r="T2826" s="1"/>
  <c r="AA2826"/>
  <c r="X2827"/>
  <c r="AB2827"/>
  <c r="AC2827" s="1"/>
  <c r="Y2828"/>
  <c r="Z2829"/>
  <c r="AA2829" s="1"/>
  <c r="S2830"/>
  <c r="T2830" s="1"/>
  <c r="X2831"/>
  <c r="AB2831"/>
  <c r="AC2831" s="1"/>
  <c r="Y2832"/>
  <c r="Z2833"/>
  <c r="AA2833" s="1"/>
  <c r="S2834"/>
  <c r="T2834" s="1"/>
  <c r="X2835"/>
  <c r="AB2835"/>
  <c r="AC2835" s="1"/>
  <c r="Y2836"/>
  <c r="Z2837"/>
  <c r="AA2837" s="1"/>
  <c r="S2838"/>
  <c r="T2838" s="1"/>
  <c r="X2839"/>
  <c r="AB2839"/>
  <c r="AC2839" s="1"/>
  <c r="Y2840"/>
  <c r="Z2841"/>
  <c r="AA2841" s="1"/>
  <c r="S2842"/>
  <c r="T2842" s="1"/>
  <c r="AD2842" s="1"/>
  <c r="AA2842"/>
  <c r="X2843"/>
  <c r="AB2843"/>
  <c r="AC2843" s="1"/>
  <c r="Y2844"/>
  <c r="Z2845"/>
  <c r="S2846"/>
  <c r="T2846" s="1"/>
  <c r="X2847"/>
  <c r="AB2847"/>
  <c r="AC2847" s="1"/>
  <c r="Y2848"/>
  <c r="Z2849"/>
  <c r="S2850"/>
  <c r="T2850" s="1"/>
  <c r="AA2850"/>
  <c r="X2851"/>
  <c r="AB2851"/>
  <c r="AC2851" s="1"/>
  <c r="Y2852"/>
  <c r="Z2853"/>
  <c r="AA2853" s="1"/>
  <c r="S2854"/>
  <c r="T2854" s="1"/>
  <c r="X2855"/>
  <c r="AB2855"/>
  <c r="AC2855" s="1"/>
  <c r="Y2856"/>
  <c r="Z2857"/>
  <c r="AA2857" s="1"/>
  <c r="S2858"/>
  <c r="T2858" s="1"/>
  <c r="X2859"/>
  <c r="AB2859"/>
  <c r="AC2859" s="1"/>
  <c r="Y2860"/>
  <c r="Z2861"/>
  <c r="S2862"/>
  <c r="T2862" s="1"/>
  <c r="X2863"/>
  <c r="AB2863"/>
  <c r="AC2863" s="1"/>
  <c r="Y2864"/>
  <c r="Z2865"/>
  <c r="S2866"/>
  <c r="T2866" s="1"/>
  <c r="AD2866" s="1"/>
  <c r="AA2866"/>
  <c r="X2867"/>
  <c r="AB2867"/>
  <c r="AC2867" s="1"/>
  <c r="Y2868"/>
  <c r="Z2869"/>
  <c r="AA2869" s="1"/>
  <c r="S2870"/>
  <c r="T2870" s="1"/>
  <c r="X2871"/>
  <c r="AB2871"/>
  <c r="AC2871" s="1"/>
  <c r="Y2872"/>
  <c r="Z2873"/>
  <c r="AA2873" s="1"/>
  <c r="S2874"/>
  <c r="T2874" s="1"/>
  <c r="X2875"/>
  <c r="AB2875"/>
  <c r="AC2875" s="1"/>
  <c r="Y2876"/>
  <c r="Z2877"/>
  <c r="S2878"/>
  <c r="T2878" s="1"/>
  <c r="X2879"/>
  <c r="AB2879"/>
  <c r="AC2879" s="1"/>
  <c r="Y2880"/>
  <c r="Z2881"/>
  <c r="S2882"/>
  <c r="T2882" s="1"/>
  <c r="AD2882" s="1"/>
  <c r="AA2882"/>
  <c r="X2883"/>
  <c r="AB2883"/>
  <c r="AC2883" s="1"/>
  <c r="Y2884"/>
  <c r="Z2885"/>
  <c r="AA2885" s="1"/>
  <c r="S2886"/>
  <c r="T2886" s="1"/>
  <c r="X2887"/>
  <c r="AB2887"/>
  <c r="AC2887" s="1"/>
  <c r="Y2888"/>
  <c r="Z2889"/>
  <c r="AA2889" s="1"/>
  <c r="S2890"/>
  <c r="T2890" s="1"/>
  <c r="X2891"/>
  <c r="AB2891"/>
  <c r="AC2891" s="1"/>
  <c r="Y2892"/>
  <c r="Z2893"/>
  <c r="S2894"/>
  <c r="T2894" s="1"/>
  <c r="X2895"/>
  <c r="AB2895"/>
  <c r="AC2895" s="1"/>
  <c r="Y2896"/>
  <c r="Z2897"/>
  <c r="AA2897" s="1"/>
  <c r="S2898"/>
  <c r="T2898" s="1"/>
  <c r="AD2898" s="1"/>
  <c r="AA2898"/>
  <c r="X2899"/>
  <c r="AB2899"/>
  <c r="AC2899" s="1"/>
  <c r="Y2900"/>
  <c r="Z2901"/>
  <c r="S2902"/>
  <c r="T2902" s="1"/>
  <c r="X2903"/>
  <c r="AB2903"/>
  <c r="AC2903" s="1"/>
  <c r="Z2905"/>
  <c r="AA2905" s="1"/>
  <c r="S2906"/>
  <c r="T2906" s="1"/>
  <c r="X2907"/>
  <c r="AB2907"/>
  <c r="AC2907" s="1"/>
  <c r="S2911"/>
  <c r="T2911" s="1"/>
  <c r="S2915"/>
  <c r="T2915" s="1"/>
  <c r="AA2943"/>
  <c r="AB2911"/>
  <c r="AC2911" s="1"/>
  <c r="X2911"/>
  <c r="Y2911"/>
  <c r="AB2915"/>
  <c r="AC2915" s="1"/>
  <c r="X2915"/>
  <c r="Y2915"/>
  <c r="Z2766"/>
  <c r="AA2766" s="1"/>
  <c r="Z2770"/>
  <c r="AA2770" s="1"/>
  <c r="Z2774"/>
  <c r="Z2778"/>
  <c r="Z2782"/>
  <c r="AA2782" s="1"/>
  <c r="Z2786"/>
  <c r="AA2786" s="1"/>
  <c r="Z2790"/>
  <c r="Z2794"/>
  <c r="Z2798"/>
  <c r="AA2798" s="1"/>
  <c r="V2802"/>
  <c r="Z2802"/>
  <c r="S2803"/>
  <c r="T2803" s="1"/>
  <c r="V2806"/>
  <c r="Z2806"/>
  <c r="AA2806" s="1"/>
  <c r="S2807"/>
  <c r="T2807" s="1"/>
  <c r="AA2807"/>
  <c r="V2810"/>
  <c r="Z2810"/>
  <c r="S2811"/>
  <c r="T2811" s="1"/>
  <c r="V2814"/>
  <c r="Z2814"/>
  <c r="AA2814" s="1"/>
  <c r="S2815"/>
  <c r="T2815" s="1"/>
  <c r="AA2815"/>
  <c r="V2818"/>
  <c r="Z2818"/>
  <c r="S2819"/>
  <c r="T2819" s="1"/>
  <c r="AA2819"/>
  <c r="V2822"/>
  <c r="Z2822"/>
  <c r="AA2822" s="1"/>
  <c r="S2823"/>
  <c r="T2823" s="1"/>
  <c r="AA2823"/>
  <c r="V2826"/>
  <c r="Z2826"/>
  <c r="S2827"/>
  <c r="T2827" s="1"/>
  <c r="V2830"/>
  <c r="Z2830"/>
  <c r="AA2830" s="1"/>
  <c r="S2831"/>
  <c r="T2831" s="1"/>
  <c r="AA2831"/>
  <c r="Z2834"/>
  <c r="AA2834" s="1"/>
  <c r="S2835"/>
  <c r="T2835" s="1"/>
  <c r="Z2838"/>
  <c r="AA2838" s="1"/>
  <c r="S2839"/>
  <c r="T2839" s="1"/>
  <c r="Z2842"/>
  <c r="S2843"/>
  <c r="T2843" s="1"/>
  <c r="Z2846"/>
  <c r="AA2846" s="1"/>
  <c r="S2847"/>
  <c r="T2847" s="1"/>
  <c r="AA2847"/>
  <c r="V2850"/>
  <c r="Z2850"/>
  <c r="S2851"/>
  <c r="T2851" s="1"/>
  <c r="AA2851"/>
  <c r="Z2854"/>
  <c r="AA2854" s="1"/>
  <c r="S2855"/>
  <c r="T2855" s="1"/>
  <c r="Z2858"/>
  <c r="AA2858" s="1"/>
  <c r="S2859"/>
  <c r="T2859" s="1"/>
  <c r="Z2862"/>
  <c r="AA2862" s="1"/>
  <c r="S2863"/>
  <c r="T2863" s="1"/>
  <c r="Z2866"/>
  <c r="S2867"/>
  <c r="T2867" s="1"/>
  <c r="AA2867"/>
  <c r="Z2870"/>
  <c r="AA2870" s="1"/>
  <c r="S2871"/>
  <c r="T2871" s="1"/>
  <c r="Z2874"/>
  <c r="AA2874" s="1"/>
  <c r="S2875"/>
  <c r="T2875" s="1"/>
  <c r="Z2878"/>
  <c r="AA2878" s="1"/>
  <c r="S2879"/>
  <c r="T2879" s="1"/>
  <c r="AD2879" s="1"/>
  <c r="AA2879"/>
  <c r="Z2882"/>
  <c r="S2883"/>
  <c r="T2883" s="1"/>
  <c r="AA2883"/>
  <c r="Z2886"/>
  <c r="AA2886" s="1"/>
  <c r="S2887"/>
  <c r="T2887" s="1"/>
  <c r="Z2890"/>
  <c r="AA2890" s="1"/>
  <c r="S2891"/>
  <c r="T2891" s="1"/>
  <c r="Z2894"/>
  <c r="AA2894" s="1"/>
  <c r="S2895"/>
  <c r="T2895" s="1"/>
  <c r="AD2895" s="1"/>
  <c r="AA2895"/>
  <c r="Z2898"/>
  <c r="S2899"/>
  <c r="T2899" s="1"/>
  <c r="AA2899"/>
  <c r="Z2902"/>
  <c r="AA2902" s="1"/>
  <c r="S2903"/>
  <c r="T2903" s="1"/>
  <c r="Z2906"/>
  <c r="AA2906" s="1"/>
  <c r="S2907"/>
  <c r="T2907" s="1"/>
  <c r="Z2911"/>
  <c r="Z2915"/>
  <c r="AA2915" s="1"/>
  <c r="AA2910"/>
  <c r="S2910"/>
  <c r="T2910" s="1"/>
  <c r="AB2910"/>
  <c r="AC2910" s="1"/>
  <c r="X2910"/>
  <c r="AA2914"/>
  <c r="S2914"/>
  <c r="T2914" s="1"/>
  <c r="AB2914"/>
  <c r="AC2914" s="1"/>
  <c r="X2914"/>
  <c r="U2927"/>
  <c r="V2927"/>
  <c r="Z2763"/>
  <c r="AA2763" s="1"/>
  <c r="Y2766"/>
  <c r="Z2767"/>
  <c r="AA2767" s="1"/>
  <c r="Y2770"/>
  <c r="Z2771"/>
  <c r="AA2771" s="1"/>
  <c r="Y2774"/>
  <c r="Z2775"/>
  <c r="AA2775" s="1"/>
  <c r="Y2778"/>
  <c r="Z2779"/>
  <c r="AA2779" s="1"/>
  <c r="Y2782"/>
  <c r="Z2783"/>
  <c r="AA2783" s="1"/>
  <c r="Y2786"/>
  <c r="Z2787"/>
  <c r="AA2787" s="1"/>
  <c r="Y2790"/>
  <c r="Z2791"/>
  <c r="AA2791" s="1"/>
  <c r="Y2794"/>
  <c r="Z2795"/>
  <c r="AA2795" s="1"/>
  <c r="Y2798"/>
  <c r="Z2799"/>
  <c r="AA2799" s="1"/>
  <c r="Y2802"/>
  <c r="Z2803"/>
  <c r="AA2803" s="1"/>
  <c r="Y2806"/>
  <c r="Z2807"/>
  <c r="Y2810"/>
  <c r="Z2811"/>
  <c r="AA2811" s="1"/>
  <c r="Z2815"/>
  <c r="Z2819"/>
  <c r="Z2823"/>
  <c r="Z2827"/>
  <c r="AA2827" s="1"/>
  <c r="Z2831"/>
  <c r="Z2835"/>
  <c r="AA2835" s="1"/>
  <c r="Z2839"/>
  <c r="AA2839" s="1"/>
  <c r="Z2843"/>
  <c r="AA2843" s="1"/>
  <c r="Z2847"/>
  <c r="Z2851"/>
  <c r="Z2855"/>
  <c r="AA2855" s="1"/>
  <c r="Z2859"/>
  <c r="AA2859" s="1"/>
  <c r="Z2863"/>
  <c r="AA2863" s="1"/>
  <c r="Z2867"/>
  <c r="Z2871"/>
  <c r="AA2871" s="1"/>
  <c r="Y2874"/>
  <c r="Z2875"/>
  <c r="AA2875" s="1"/>
  <c r="Y2878"/>
  <c r="Z2879"/>
  <c r="Y2882"/>
  <c r="Z2883"/>
  <c r="Y2886"/>
  <c r="Z2887"/>
  <c r="AA2887" s="1"/>
  <c r="Z2891"/>
  <c r="AA2891" s="1"/>
  <c r="Y2894"/>
  <c r="Z2895"/>
  <c r="Z2899"/>
  <c r="Z2903"/>
  <c r="AA2903" s="1"/>
  <c r="Z2907"/>
  <c r="AA2907" s="1"/>
  <c r="Y2910"/>
  <c r="U2911"/>
  <c r="V2911" s="1"/>
  <c r="Y2914"/>
  <c r="U2915"/>
  <c r="V2915" s="1"/>
  <c r="U2923"/>
  <c r="V2923" s="1"/>
  <c r="S2753"/>
  <c r="T2753" s="1"/>
  <c r="S2757"/>
  <c r="T2757" s="1"/>
  <c r="S2761"/>
  <c r="T2761" s="1"/>
  <c r="S2765"/>
  <c r="T2765" s="1"/>
  <c r="X2766"/>
  <c r="S2769"/>
  <c r="T2769" s="1"/>
  <c r="X2770"/>
  <c r="S2773"/>
  <c r="T2773" s="1"/>
  <c r="X2774"/>
  <c r="S2777"/>
  <c r="T2777" s="1"/>
  <c r="X2778"/>
  <c r="S2781"/>
  <c r="T2781" s="1"/>
  <c r="X2782"/>
  <c r="S2785"/>
  <c r="T2785" s="1"/>
  <c r="AD2785" s="1"/>
  <c r="X2786"/>
  <c r="S2789"/>
  <c r="T2789" s="1"/>
  <c r="X2790"/>
  <c r="S2793"/>
  <c r="T2793" s="1"/>
  <c r="X2794"/>
  <c r="S2797"/>
  <c r="T2797" s="1"/>
  <c r="X2798"/>
  <c r="S2801"/>
  <c r="T2801" s="1"/>
  <c r="X2802"/>
  <c r="S2805"/>
  <c r="T2805" s="1"/>
  <c r="X2806"/>
  <c r="S2809"/>
  <c r="T2809" s="1"/>
  <c r="X2810"/>
  <c r="S2813"/>
  <c r="T2813" s="1"/>
  <c r="X2814"/>
  <c r="S2817"/>
  <c r="T2817" s="1"/>
  <c r="X2818"/>
  <c r="S2821"/>
  <c r="T2821" s="1"/>
  <c r="X2822"/>
  <c r="S2825"/>
  <c r="T2825" s="1"/>
  <c r="X2826"/>
  <c r="S2829"/>
  <c r="T2829" s="1"/>
  <c r="X2830"/>
  <c r="S2833"/>
  <c r="T2833" s="1"/>
  <c r="X2834"/>
  <c r="S2837"/>
  <c r="T2837" s="1"/>
  <c r="X2838"/>
  <c r="S2841"/>
  <c r="T2841" s="1"/>
  <c r="X2842"/>
  <c r="S2845"/>
  <c r="T2845" s="1"/>
  <c r="X2846"/>
  <c r="S2849"/>
  <c r="T2849" s="1"/>
  <c r="X2850"/>
  <c r="S2853"/>
  <c r="T2853" s="1"/>
  <c r="X2854"/>
  <c r="S2857"/>
  <c r="T2857" s="1"/>
  <c r="X2858"/>
  <c r="S2861"/>
  <c r="T2861" s="1"/>
  <c r="X2862"/>
  <c r="S2865"/>
  <c r="T2865" s="1"/>
  <c r="AD2865" s="1"/>
  <c r="X2866"/>
  <c r="S2869"/>
  <c r="T2869" s="1"/>
  <c r="X2870"/>
  <c r="S2873"/>
  <c r="T2873" s="1"/>
  <c r="X2874"/>
  <c r="S2877"/>
  <c r="T2877" s="1"/>
  <c r="X2878"/>
  <c r="S2881"/>
  <c r="T2881" s="1"/>
  <c r="AD2881" s="1"/>
  <c r="X2882"/>
  <c r="S2885"/>
  <c r="T2885" s="1"/>
  <c r="X2886"/>
  <c r="S2889"/>
  <c r="T2889" s="1"/>
  <c r="X2890"/>
  <c r="S2893"/>
  <c r="T2893" s="1"/>
  <c r="X2894"/>
  <c r="S2897"/>
  <c r="T2897" s="1"/>
  <c r="X2898"/>
  <c r="S2901"/>
  <c r="T2901" s="1"/>
  <c r="X2902"/>
  <c r="S2905"/>
  <c r="T2905" s="1"/>
  <c r="X2906"/>
  <c r="T2916"/>
  <c r="AA2935"/>
  <c r="AA2967"/>
  <c r="U3125"/>
  <c r="V3125" s="1"/>
  <c r="AD3125" s="1"/>
  <c r="U3166"/>
  <c r="V3166"/>
  <c r="V3168"/>
  <c r="U3168"/>
  <c r="U3170"/>
  <c r="V3170"/>
  <c r="V3172"/>
  <c r="U3172"/>
  <c r="U3180"/>
  <c r="V3180" s="1"/>
  <c r="V3212"/>
  <c r="AD3212" s="1"/>
  <c r="U3212"/>
  <c r="Y2918"/>
  <c r="Z2919"/>
  <c r="AA2919" s="1"/>
  <c r="U2922"/>
  <c r="V2922" s="1"/>
  <c r="Y2922"/>
  <c r="Z2923"/>
  <c r="AA2923" s="1"/>
  <c r="U2926"/>
  <c r="V2926" s="1"/>
  <c r="Y2926"/>
  <c r="Z2927"/>
  <c r="AA2927" s="1"/>
  <c r="U2930"/>
  <c r="V2930" s="1"/>
  <c r="Y2930"/>
  <c r="Z2931"/>
  <c r="AA2931" s="1"/>
  <c r="Y2934"/>
  <c r="Z2935"/>
  <c r="Y2938"/>
  <c r="Z2939"/>
  <c r="AA2939" s="1"/>
  <c r="Y2942"/>
  <c r="Z2943"/>
  <c r="Y2946"/>
  <c r="Z2947"/>
  <c r="AA2947" s="1"/>
  <c r="Y2950"/>
  <c r="Z2951"/>
  <c r="AA2951" s="1"/>
  <c r="Y2954"/>
  <c r="Z2955"/>
  <c r="AA2955" s="1"/>
  <c r="Y2958"/>
  <c r="Z2959"/>
  <c r="AA2959" s="1"/>
  <c r="Y2962"/>
  <c r="Z2963"/>
  <c r="AA2963" s="1"/>
  <c r="Y2966"/>
  <c r="Z2967"/>
  <c r="Y2970"/>
  <c r="Z2971"/>
  <c r="AA2971" s="1"/>
  <c r="Y2974"/>
  <c r="Z2975"/>
  <c r="AA2975" s="1"/>
  <c r="Y2978"/>
  <c r="Z2979"/>
  <c r="AA2979" s="1"/>
  <c r="AD2979" s="1"/>
  <c r="Y2982"/>
  <c r="Z2983"/>
  <c r="AA2983" s="1"/>
  <c r="Y2986"/>
  <c r="Z2987"/>
  <c r="AA2987" s="1"/>
  <c r="Y2990"/>
  <c r="Z2991"/>
  <c r="AA2991" s="1"/>
  <c r="Y2994"/>
  <c r="Z2995"/>
  <c r="AA2995" s="1"/>
  <c r="AD2995" s="1"/>
  <c r="Y2998"/>
  <c r="Z2999"/>
  <c r="AA2999" s="1"/>
  <c r="Y3002"/>
  <c r="Z3003"/>
  <c r="AA3003" s="1"/>
  <c r="Y3006"/>
  <c r="Z3007"/>
  <c r="AA3007" s="1"/>
  <c r="Y3010"/>
  <c r="Z3011"/>
  <c r="AA3011" s="1"/>
  <c r="AD3011" s="1"/>
  <c r="Y3014"/>
  <c r="Z3015"/>
  <c r="AA3015" s="1"/>
  <c r="Y3018"/>
  <c r="Z3019"/>
  <c r="AA3019" s="1"/>
  <c r="Y3022"/>
  <c r="Z3023"/>
  <c r="AA3023" s="1"/>
  <c r="Y3026"/>
  <c r="Z3027"/>
  <c r="AA3027" s="1"/>
  <c r="AD3027" s="1"/>
  <c r="Y3030"/>
  <c r="Z3031"/>
  <c r="AA3031" s="1"/>
  <c r="Y3034"/>
  <c r="Z3035"/>
  <c r="AA3035" s="1"/>
  <c r="Y3038"/>
  <c r="Z3039"/>
  <c r="AA3039" s="1"/>
  <c r="Y3042"/>
  <c r="Z3043"/>
  <c r="AA3043" s="1"/>
  <c r="AD3043" s="1"/>
  <c r="Y3046"/>
  <c r="Z3047"/>
  <c r="AA3047" s="1"/>
  <c r="Y3050"/>
  <c r="Z3051"/>
  <c r="AA3051" s="1"/>
  <c r="Y3054"/>
  <c r="Z3055"/>
  <c r="AA3055" s="1"/>
  <c r="Y3058"/>
  <c r="Z3059"/>
  <c r="AA3059" s="1"/>
  <c r="Y3062"/>
  <c r="Z3063"/>
  <c r="AA3063" s="1"/>
  <c r="Y3066"/>
  <c r="V3067"/>
  <c r="AD3067" s="1"/>
  <c r="Z3067"/>
  <c r="AA3067" s="1"/>
  <c r="Y3070"/>
  <c r="V3071"/>
  <c r="AD3071" s="1"/>
  <c r="Z3071"/>
  <c r="AA3071" s="1"/>
  <c r="S3072"/>
  <c r="T3072" s="1"/>
  <c r="AA3072"/>
  <c r="AD3105"/>
  <c r="AD3225"/>
  <c r="V3080"/>
  <c r="U3080"/>
  <c r="U3106"/>
  <c r="V3106"/>
  <c r="U3198"/>
  <c r="V3198" s="1"/>
  <c r="S2909"/>
  <c r="T2909" s="1"/>
  <c r="AA2909"/>
  <c r="Z2912"/>
  <c r="AA2912" s="1"/>
  <c r="AD2912" s="1"/>
  <c r="S2913"/>
  <c r="T2913" s="1"/>
  <c r="AD2913" s="1"/>
  <c r="AA2913"/>
  <c r="Z2916"/>
  <c r="AA2916" s="1"/>
  <c r="S2917"/>
  <c r="T2917" s="1"/>
  <c r="AD2917" s="1"/>
  <c r="AA2917"/>
  <c r="X2918"/>
  <c r="AB2918"/>
  <c r="AC2918" s="1"/>
  <c r="Y2919"/>
  <c r="Z2920"/>
  <c r="AA2920" s="1"/>
  <c r="S2921"/>
  <c r="T2921" s="1"/>
  <c r="AA2921"/>
  <c r="X2922"/>
  <c r="AB2922"/>
  <c r="AC2922" s="1"/>
  <c r="Y2923"/>
  <c r="Z2924"/>
  <c r="AA2924" s="1"/>
  <c r="S2925"/>
  <c r="T2925" s="1"/>
  <c r="AA2925"/>
  <c r="X2926"/>
  <c r="AB2926"/>
  <c r="AC2926" s="1"/>
  <c r="Y2927"/>
  <c r="Z2928"/>
  <c r="AA2928" s="1"/>
  <c r="S2929"/>
  <c r="T2929" s="1"/>
  <c r="AA2929"/>
  <c r="X2930"/>
  <c r="AB2930"/>
  <c r="AC2930" s="1"/>
  <c r="Y2931"/>
  <c r="Z2932"/>
  <c r="AA2932" s="1"/>
  <c r="S2933"/>
  <c r="T2933" s="1"/>
  <c r="AD2933" s="1"/>
  <c r="AA2933"/>
  <c r="X2934"/>
  <c r="AB2934"/>
  <c r="AC2934" s="1"/>
  <c r="Y2935"/>
  <c r="Z2936"/>
  <c r="AA2936" s="1"/>
  <c r="S2937"/>
  <c r="T2937" s="1"/>
  <c r="AA2937"/>
  <c r="X2938"/>
  <c r="AB2938"/>
  <c r="AC2938" s="1"/>
  <c r="Y2939"/>
  <c r="Z2940"/>
  <c r="AA2940" s="1"/>
  <c r="S2941"/>
  <c r="T2941" s="1"/>
  <c r="AD2941" s="1"/>
  <c r="AA2941"/>
  <c r="X2942"/>
  <c r="AB2942"/>
  <c r="AC2942" s="1"/>
  <c r="Y2943"/>
  <c r="Z2944"/>
  <c r="AA2944" s="1"/>
  <c r="S2945"/>
  <c r="T2945" s="1"/>
  <c r="AA2945"/>
  <c r="X2946"/>
  <c r="AB2946"/>
  <c r="AC2946" s="1"/>
  <c r="Y2947"/>
  <c r="Z2948"/>
  <c r="AA2948" s="1"/>
  <c r="S2949"/>
  <c r="T2949" s="1"/>
  <c r="AD2949" s="1"/>
  <c r="AA2949"/>
  <c r="X2950"/>
  <c r="AB2950"/>
  <c r="AC2950" s="1"/>
  <c r="Y2951"/>
  <c r="Z2952"/>
  <c r="AA2952" s="1"/>
  <c r="S2953"/>
  <c r="T2953" s="1"/>
  <c r="AA2953"/>
  <c r="X2954"/>
  <c r="AB2954"/>
  <c r="AC2954" s="1"/>
  <c r="Y2955"/>
  <c r="Z2956"/>
  <c r="AA2956" s="1"/>
  <c r="S2957"/>
  <c r="T2957" s="1"/>
  <c r="AD2957" s="1"/>
  <c r="AA2957"/>
  <c r="X2958"/>
  <c r="AB2958"/>
  <c r="AC2958" s="1"/>
  <c r="Y2959"/>
  <c r="Z2960"/>
  <c r="AA2960" s="1"/>
  <c r="S2961"/>
  <c r="T2961" s="1"/>
  <c r="AA2961"/>
  <c r="X2962"/>
  <c r="AB2962"/>
  <c r="AC2962" s="1"/>
  <c r="Y2963"/>
  <c r="Z2964"/>
  <c r="AA2964" s="1"/>
  <c r="S2965"/>
  <c r="T2965" s="1"/>
  <c r="AD2965" s="1"/>
  <c r="AA2965"/>
  <c r="X2966"/>
  <c r="AB2966"/>
  <c r="AC2966" s="1"/>
  <c r="Y2967"/>
  <c r="Z2968"/>
  <c r="AA2968" s="1"/>
  <c r="S2969"/>
  <c r="T2969" s="1"/>
  <c r="AA2969"/>
  <c r="X2970"/>
  <c r="AB2970"/>
  <c r="AC2970" s="1"/>
  <c r="Y2971"/>
  <c r="Z2972"/>
  <c r="AA2972" s="1"/>
  <c r="S2973"/>
  <c r="T2973" s="1"/>
  <c r="AD2973" s="1"/>
  <c r="AA2973"/>
  <c r="X2974"/>
  <c r="AB2974"/>
  <c r="AC2974" s="1"/>
  <c r="Y2975"/>
  <c r="Z2976"/>
  <c r="AA2976" s="1"/>
  <c r="S2977"/>
  <c r="T2977" s="1"/>
  <c r="AA2977"/>
  <c r="X2978"/>
  <c r="AB2978"/>
  <c r="AC2978" s="1"/>
  <c r="Y2979"/>
  <c r="Z2980"/>
  <c r="AA2980" s="1"/>
  <c r="S2981"/>
  <c r="T2981" s="1"/>
  <c r="AD2981" s="1"/>
  <c r="AA2981"/>
  <c r="X2982"/>
  <c r="AB2982"/>
  <c r="AC2982" s="1"/>
  <c r="Y2983"/>
  <c r="Z2984"/>
  <c r="AA2984" s="1"/>
  <c r="S2985"/>
  <c r="T2985" s="1"/>
  <c r="AA2985"/>
  <c r="X2986"/>
  <c r="AB2986"/>
  <c r="AC2986" s="1"/>
  <c r="Y2987"/>
  <c r="Z2988"/>
  <c r="AA2988" s="1"/>
  <c r="S2989"/>
  <c r="T2989" s="1"/>
  <c r="AD2989" s="1"/>
  <c r="AA2989"/>
  <c r="X2990"/>
  <c r="AB2990"/>
  <c r="AC2990" s="1"/>
  <c r="Y2991"/>
  <c r="Z2992"/>
  <c r="AA2992" s="1"/>
  <c r="S2993"/>
  <c r="T2993" s="1"/>
  <c r="AA2993"/>
  <c r="X2994"/>
  <c r="AB2994"/>
  <c r="AC2994" s="1"/>
  <c r="Y2995"/>
  <c r="Z2996"/>
  <c r="AA2996" s="1"/>
  <c r="S2997"/>
  <c r="T2997" s="1"/>
  <c r="AD2997" s="1"/>
  <c r="AA2997"/>
  <c r="X2998"/>
  <c r="AB2998"/>
  <c r="AC2998" s="1"/>
  <c r="Y2999"/>
  <c r="Z3000"/>
  <c r="AA3000" s="1"/>
  <c r="S3001"/>
  <c r="T3001" s="1"/>
  <c r="AA3001"/>
  <c r="X3002"/>
  <c r="AB3002"/>
  <c r="AC3002" s="1"/>
  <c r="Y3003"/>
  <c r="Z3004"/>
  <c r="AA3004" s="1"/>
  <c r="S3005"/>
  <c r="T3005" s="1"/>
  <c r="AD3005" s="1"/>
  <c r="AA3005"/>
  <c r="X3006"/>
  <c r="AB3006"/>
  <c r="AC3006" s="1"/>
  <c r="Y3007"/>
  <c r="Z3008"/>
  <c r="AA3008" s="1"/>
  <c r="S3009"/>
  <c r="T3009" s="1"/>
  <c r="AA3009"/>
  <c r="X3010"/>
  <c r="AB3010"/>
  <c r="AC3010" s="1"/>
  <c r="Y3011"/>
  <c r="Z3012"/>
  <c r="AA3012" s="1"/>
  <c r="S3013"/>
  <c r="T3013" s="1"/>
  <c r="AD3013" s="1"/>
  <c r="AA3013"/>
  <c r="X3014"/>
  <c r="AB3014"/>
  <c r="AC3014" s="1"/>
  <c r="Y3015"/>
  <c r="Z3016"/>
  <c r="AA3016" s="1"/>
  <c r="S3017"/>
  <c r="T3017" s="1"/>
  <c r="AA3017"/>
  <c r="X3018"/>
  <c r="AB3018"/>
  <c r="AC3018" s="1"/>
  <c r="Y3019"/>
  <c r="Z3020"/>
  <c r="AA3020" s="1"/>
  <c r="S3021"/>
  <c r="T3021" s="1"/>
  <c r="AD3021" s="1"/>
  <c r="AA3021"/>
  <c r="X3022"/>
  <c r="AB3022"/>
  <c r="AC3022" s="1"/>
  <c r="Y3023"/>
  <c r="Z3024"/>
  <c r="AA3024" s="1"/>
  <c r="S3025"/>
  <c r="T3025" s="1"/>
  <c r="AA3025"/>
  <c r="X3026"/>
  <c r="AB3026"/>
  <c r="AC3026" s="1"/>
  <c r="Y3027"/>
  <c r="Z3028"/>
  <c r="AA3028" s="1"/>
  <c r="S3029"/>
  <c r="T3029" s="1"/>
  <c r="AD3029" s="1"/>
  <c r="AA3029"/>
  <c r="X3030"/>
  <c r="AB3030"/>
  <c r="AC3030" s="1"/>
  <c r="Y3031"/>
  <c r="Z3032"/>
  <c r="AA3032" s="1"/>
  <c r="S3033"/>
  <c r="T3033" s="1"/>
  <c r="AA3033"/>
  <c r="X3034"/>
  <c r="AB3034"/>
  <c r="AC3034" s="1"/>
  <c r="Y3035"/>
  <c r="Z3036"/>
  <c r="AA3036" s="1"/>
  <c r="S3037"/>
  <c r="T3037" s="1"/>
  <c r="AD3037" s="1"/>
  <c r="AA3037"/>
  <c r="X3038"/>
  <c r="AB3038"/>
  <c r="AC3038" s="1"/>
  <c r="Y3039"/>
  <c r="Z3040"/>
  <c r="AA3040" s="1"/>
  <c r="S3041"/>
  <c r="T3041" s="1"/>
  <c r="AA3041"/>
  <c r="X3042"/>
  <c r="AB3042"/>
  <c r="AC3042" s="1"/>
  <c r="Y3043"/>
  <c r="Z3044"/>
  <c r="AA3044" s="1"/>
  <c r="S3045"/>
  <c r="T3045" s="1"/>
  <c r="AD3045" s="1"/>
  <c r="AA3045"/>
  <c r="X3046"/>
  <c r="AB3046"/>
  <c r="AC3046" s="1"/>
  <c r="Y3047"/>
  <c r="Z3048"/>
  <c r="AA3048" s="1"/>
  <c r="S3049"/>
  <c r="T3049" s="1"/>
  <c r="AA3049"/>
  <c r="X3050"/>
  <c r="AB3050"/>
  <c r="AC3050" s="1"/>
  <c r="Y3051"/>
  <c r="Z3052"/>
  <c r="AA3052" s="1"/>
  <c r="AA3053"/>
  <c r="AD3053" s="1"/>
  <c r="X3054"/>
  <c r="AB3054"/>
  <c r="AC3054" s="1"/>
  <c r="Y3055"/>
  <c r="Z3056"/>
  <c r="AA3056" s="1"/>
  <c r="X3058"/>
  <c r="AB3058"/>
  <c r="AC3058" s="1"/>
  <c r="Y3059"/>
  <c r="Z3060"/>
  <c r="AA3060" s="1"/>
  <c r="X3062"/>
  <c r="AB3062"/>
  <c r="AC3062" s="1"/>
  <c r="Y3063"/>
  <c r="Z3064"/>
  <c r="AA3064" s="1"/>
  <c r="X3066"/>
  <c r="AB3066"/>
  <c r="AC3066" s="1"/>
  <c r="Y3067"/>
  <c r="Z3068"/>
  <c r="AA3068" s="1"/>
  <c r="X3070"/>
  <c r="AB3070"/>
  <c r="AC3070" s="1"/>
  <c r="Y3071"/>
  <c r="Z3072"/>
  <c r="V3076"/>
  <c r="U3076"/>
  <c r="U3105"/>
  <c r="V3105"/>
  <c r="U3222"/>
  <c r="V3222" s="1"/>
  <c r="S2918"/>
  <c r="T2918" s="1"/>
  <c r="AA2918"/>
  <c r="X2919"/>
  <c r="AB2919"/>
  <c r="AC2919" s="1"/>
  <c r="O2920"/>
  <c r="S2922"/>
  <c r="T2922" s="1"/>
  <c r="AA2922"/>
  <c r="X2923"/>
  <c r="AB2923"/>
  <c r="AC2923" s="1"/>
  <c r="O2924"/>
  <c r="V2925"/>
  <c r="S2926"/>
  <c r="T2926" s="1"/>
  <c r="AA2926"/>
  <c r="X2927"/>
  <c r="AB2927"/>
  <c r="AC2927" s="1"/>
  <c r="O2928"/>
  <c r="V2929"/>
  <c r="S2930"/>
  <c r="T2930" s="1"/>
  <c r="AA2930"/>
  <c r="X2931"/>
  <c r="AB2931"/>
  <c r="AC2931" s="1"/>
  <c r="O2932"/>
  <c r="U2932" s="1"/>
  <c r="V2932" s="1"/>
  <c r="S2934"/>
  <c r="T2934" s="1"/>
  <c r="AD2934" s="1"/>
  <c r="AA2934"/>
  <c r="X2935"/>
  <c r="AB2935"/>
  <c r="AC2935" s="1"/>
  <c r="O2936"/>
  <c r="U2936" s="1"/>
  <c r="V2936" s="1"/>
  <c r="AD2936" s="1"/>
  <c r="S2938"/>
  <c r="T2938" s="1"/>
  <c r="AD2938" s="1"/>
  <c r="AA2938"/>
  <c r="X2939"/>
  <c r="AD2939" s="1"/>
  <c r="AB2939"/>
  <c r="AC2939" s="1"/>
  <c r="O2940"/>
  <c r="U2940" s="1"/>
  <c r="V2940" s="1"/>
  <c r="AD2940" s="1"/>
  <c r="S2942"/>
  <c r="T2942" s="1"/>
  <c r="AA2942"/>
  <c r="X2943"/>
  <c r="AB2943"/>
  <c r="AC2943" s="1"/>
  <c r="O2944"/>
  <c r="U2944" s="1"/>
  <c r="V2944" s="1"/>
  <c r="AD2944" s="1"/>
  <c r="S2946"/>
  <c r="T2946" s="1"/>
  <c r="AA2946"/>
  <c r="X2947"/>
  <c r="AB2947"/>
  <c r="AC2947" s="1"/>
  <c r="O2948"/>
  <c r="U2948" s="1"/>
  <c r="V2948" s="1"/>
  <c r="AD2948" s="1"/>
  <c r="S2950"/>
  <c r="T2950" s="1"/>
  <c r="AD2950" s="1"/>
  <c r="AA2950"/>
  <c r="X2951"/>
  <c r="AB2951"/>
  <c r="AC2951" s="1"/>
  <c r="O2952"/>
  <c r="U2952" s="1"/>
  <c r="V2952" s="1"/>
  <c r="AD2952" s="1"/>
  <c r="S2954"/>
  <c r="T2954" s="1"/>
  <c r="AD2954" s="1"/>
  <c r="AA2954"/>
  <c r="X2955"/>
  <c r="AD2955" s="1"/>
  <c r="AB2955"/>
  <c r="AC2955" s="1"/>
  <c r="O2956"/>
  <c r="U2956" s="1"/>
  <c r="V2956" s="1"/>
  <c r="S2958"/>
  <c r="T2958" s="1"/>
  <c r="AA2958"/>
  <c r="X2959"/>
  <c r="AD2959" s="1"/>
  <c r="O2960"/>
  <c r="U2960" s="1"/>
  <c r="V2960" s="1"/>
  <c r="AD2960" s="1"/>
  <c r="S2962"/>
  <c r="T2962" s="1"/>
  <c r="AA2962"/>
  <c r="X2963"/>
  <c r="AD2963" s="1"/>
  <c r="AB2963"/>
  <c r="AC2963" s="1"/>
  <c r="O2964"/>
  <c r="U2964" s="1"/>
  <c r="V2964" s="1"/>
  <c r="AD2964" s="1"/>
  <c r="S2966"/>
  <c r="T2966" s="1"/>
  <c r="AA2966"/>
  <c r="X2967"/>
  <c r="AD2967" s="1"/>
  <c r="AB2967"/>
  <c r="AC2967" s="1"/>
  <c r="O2968"/>
  <c r="U2968" s="1"/>
  <c r="V2968" s="1"/>
  <c r="AD2968" s="1"/>
  <c r="S2970"/>
  <c r="T2970" s="1"/>
  <c r="AD2970" s="1"/>
  <c r="AA2970"/>
  <c r="X2971"/>
  <c r="AD2971" s="1"/>
  <c r="O2972"/>
  <c r="U2972" s="1"/>
  <c r="V2972" s="1"/>
  <c r="S2974"/>
  <c r="T2974" s="1"/>
  <c r="AD2974" s="1"/>
  <c r="AA2974"/>
  <c r="X2975"/>
  <c r="AD2975" s="1"/>
  <c r="O2976"/>
  <c r="U2976" s="1"/>
  <c r="V2976" s="1"/>
  <c r="AD2976" s="1"/>
  <c r="S2978"/>
  <c r="T2978" s="1"/>
  <c r="AD2978" s="1"/>
  <c r="AA2978"/>
  <c r="X2979"/>
  <c r="O2980"/>
  <c r="U2980" s="1"/>
  <c r="V2980" s="1"/>
  <c r="AD2980" s="1"/>
  <c r="S2982"/>
  <c r="T2982" s="1"/>
  <c r="AD2982" s="1"/>
  <c r="AA2982"/>
  <c r="X2983"/>
  <c r="AD2983" s="1"/>
  <c r="O2984"/>
  <c r="U2984" s="1"/>
  <c r="V2984" s="1"/>
  <c r="AD2984" s="1"/>
  <c r="S2986"/>
  <c r="T2986" s="1"/>
  <c r="AD2986" s="1"/>
  <c r="AA2986"/>
  <c r="X2987"/>
  <c r="AD2987" s="1"/>
  <c r="O2988"/>
  <c r="U2988" s="1"/>
  <c r="V2988" s="1"/>
  <c r="S2990"/>
  <c r="T2990" s="1"/>
  <c r="AD2990" s="1"/>
  <c r="AA2990"/>
  <c r="X2991"/>
  <c r="AD2991" s="1"/>
  <c r="O2992"/>
  <c r="U2992" s="1"/>
  <c r="V2992" s="1"/>
  <c r="AD2992" s="1"/>
  <c r="S2994"/>
  <c r="T2994" s="1"/>
  <c r="AD2994" s="1"/>
  <c r="AA2994"/>
  <c r="X2995"/>
  <c r="O2996"/>
  <c r="U2996" s="1"/>
  <c r="V2996" s="1"/>
  <c r="AD2996" s="1"/>
  <c r="S2998"/>
  <c r="T2998" s="1"/>
  <c r="AD2998" s="1"/>
  <c r="AA2998"/>
  <c r="X2999"/>
  <c r="AD2999" s="1"/>
  <c r="O3000"/>
  <c r="U3000" s="1"/>
  <c r="V3000" s="1"/>
  <c r="AD3000" s="1"/>
  <c r="S3002"/>
  <c r="T3002" s="1"/>
  <c r="AD3002" s="1"/>
  <c r="AA3002"/>
  <c r="X3003"/>
  <c r="AD3003" s="1"/>
  <c r="O3004"/>
  <c r="U3004" s="1"/>
  <c r="V3004" s="1"/>
  <c r="S3006"/>
  <c r="T3006" s="1"/>
  <c r="AD3006" s="1"/>
  <c r="AA3006"/>
  <c r="X3007"/>
  <c r="AD3007" s="1"/>
  <c r="O3008"/>
  <c r="U3008" s="1"/>
  <c r="V3008" s="1"/>
  <c r="AD3008" s="1"/>
  <c r="S3010"/>
  <c r="T3010" s="1"/>
  <c r="AD3010" s="1"/>
  <c r="AA3010"/>
  <c r="X3011"/>
  <c r="O3012"/>
  <c r="U3012" s="1"/>
  <c r="V3012" s="1"/>
  <c r="AD3012" s="1"/>
  <c r="S3014"/>
  <c r="T3014" s="1"/>
  <c r="AD3014" s="1"/>
  <c r="AA3014"/>
  <c r="X3015"/>
  <c r="AD3015" s="1"/>
  <c r="O3016"/>
  <c r="U3016" s="1"/>
  <c r="V3016" s="1"/>
  <c r="AD3016" s="1"/>
  <c r="S3018"/>
  <c r="T3018" s="1"/>
  <c r="AD3018" s="1"/>
  <c r="AA3018"/>
  <c r="X3019"/>
  <c r="AD3019" s="1"/>
  <c r="O3020"/>
  <c r="U3020" s="1"/>
  <c r="V3020" s="1"/>
  <c r="S3022"/>
  <c r="T3022" s="1"/>
  <c r="AD3022" s="1"/>
  <c r="AA3022"/>
  <c r="X3023"/>
  <c r="AD3023" s="1"/>
  <c r="O3024"/>
  <c r="U3024" s="1"/>
  <c r="V3024" s="1"/>
  <c r="AD3024" s="1"/>
  <c r="S3026"/>
  <c r="T3026" s="1"/>
  <c r="AD3026" s="1"/>
  <c r="AA3026"/>
  <c r="X3027"/>
  <c r="O3028"/>
  <c r="U3028" s="1"/>
  <c r="V3028" s="1"/>
  <c r="AD3028" s="1"/>
  <c r="S3030"/>
  <c r="T3030" s="1"/>
  <c r="AD3030" s="1"/>
  <c r="AA3030"/>
  <c r="X3031"/>
  <c r="AD3031" s="1"/>
  <c r="O3032"/>
  <c r="U3032" s="1"/>
  <c r="V3032" s="1"/>
  <c r="AD3032" s="1"/>
  <c r="S3034"/>
  <c r="T3034" s="1"/>
  <c r="AD3034" s="1"/>
  <c r="AA3034"/>
  <c r="X3035"/>
  <c r="AD3035" s="1"/>
  <c r="O3036"/>
  <c r="U3036" s="1"/>
  <c r="V3036" s="1"/>
  <c r="S3038"/>
  <c r="T3038" s="1"/>
  <c r="AD3038" s="1"/>
  <c r="AA3038"/>
  <c r="X3039"/>
  <c r="AD3039" s="1"/>
  <c r="O3040"/>
  <c r="U3040" s="1"/>
  <c r="V3040" s="1"/>
  <c r="AD3040" s="1"/>
  <c r="S3042"/>
  <c r="T3042" s="1"/>
  <c r="AD3042" s="1"/>
  <c r="AA3042"/>
  <c r="X3043"/>
  <c r="O3044"/>
  <c r="U3044" s="1"/>
  <c r="V3044" s="1"/>
  <c r="AD3044" s="1"/>
  <c r="S3046"/>
  <c r="T3046" s="1"/>
  <c r="AD3046" s="1"/>
  <c r="AA3046"/>
  <c r="X3047"/>
  <c r="AD3047" s="1"/>
  <c r="O3048"/>
  <c r="V3049"/>
  <c r="S3050"/>
  <c r="T3050" s="1"/>
  <c r="AD3050" s="1"/>
  <c r="AA3050"/>
  <c r="X3051"/>
  <c r="AD3051" s="1"/>
  <c r="O3052"/>
  <c r="S3054"/>
  <c r="T3054" s="1"/>
  <c r="AD3054" s="1"/>
  <c r="AA3054"/>
  <c r="X3055"/>
  <c r="AD3055" s="1"/>
  <c r="O3056"/>
  <c r="V3057"/>
  <c r="AD3057" s="1"/>
  <c r="S3058"/>
  <c r="T3058" s="1"/>
  <c r="AD3058" s="1"/>
  <c r="AA3058"/>
  <c r="X3059"/>
  <c r="AD3059" s="1"/>
  <c r="O3060"/>
  <c r="V3061"/>
  <c r="AD3061" s="1"/>
  <c r="S3062"/>
  <c r="T3062" s="1"/>
  <c r="AA3062"/>
  <c r="X3063"/>
  <c r="AD3063" s="1"/>
  <c r="O3064"/>
  <c r="V3065"/>
  <c r="AD3065" s="1"/>
  <c r="S3066"/>
  <c r="T3066" s="1"/>
  <c r="AD3066" s="1"/>
  <c r="AA3066"/>
  <c r="X3067"/>
  <c r="O3068"/>
  <c r="V3069"/>
  <c r="AD3069" s="1"/>
  <c r="S3070"/>
  <c r="T3070" s="1"/>
  <c r="AD3070" s="1"/>
  <c r="AA3070"/>
  <c r="X3071"/>
  <c r="Y3072"/>
  <c r="U3075"/>
  <c r="V3075" s="1"/>
  <c r="AD3109"/>
  <c r="AA3145"/>
  <c r="AD3145" s="1"/>
  <c r="U3077"/>
  <c r="V3077"/>
  <c r="AD3077" s="1"/>
  <c r="U3078"/>
  <c r="V3078" s="1"/>
  <c r="U3108"/>
  <c r="V3108" s="1"/>
  <c r="V3164"/>
  <c r="U3164"/>
  <c r="U3196"/>
  <c r="V3196" s="1"/>
  <c r="S2919"/>
  <c r="T2919" s="1"/>
  <c r="S2923"/>
  <c r="T2923" s="1"/>
  <c r="S2927"/>
  <c r="T2927" s="1"/>
  <c r="S2931"/>
  <c r="T2931" s="1"/>
  <c r="S2935"/>
  <c r="T2935" s="1"/>
  <c r="AD2935" s="1"/>
  <c r="S2943"/>
  <c r="T2943" s="1"/>
  <c r="S2947"/>
  <c r="T2947" s="1"/>
  <c r="S2951"/>
  <c r="T2951" s="1"/>
  <c r="AA3153"/>
  <c r="AA3161"/>
  <c r="AB3227"/>
  <c r="AC3227" s="1"/>
  <c r="X3227"/>
  <c r="AA3227"/>
  <c r="S3227"/>
  <c r="T3227" s="1"/>
  <c r="AD3227" s="1"/>
  <c r="AB3231"/>
  <c r="AC3231" s="1"/>
  <c r="X3231"/>
  <c r="AA3231"/>
  <c r="S3231"/>
  <c r="T3231" s="1"/>
  <c r="AD3231" s="1"/>
  <c r="V3233"/>
  <c r="U3233"/>
  <c r="AB3235"/>
  <c r="AC3235" s="1"/>
  <c r="X3235"/>
  <c r="AA3235"/>
  <c r="S3235"/>
  <c r="T3235" s="1"/>
  <c r="AB3239"/>
  <c r="AC3239" s="1"/>
  <c r="X3239"/>
  <c r="Y3239"/>
  <c r="AA3239"/>
  <c r="S3239"/>
  <c r="T3239" s="1"/>
  <c r="AB3243"/>
  <c r="AC3243" s="1"/>
  <c r="X3243"/>
  <c r="Y3243"/>
  <c r="AA3243"/>
  <c r="S3243"/>
  <c r="T3243" s="1"/>
  <c r="AD3243" s="1"/>
  <c r="U3364"/>
  <c r="V3364" s="1"/>
  <c r="AD3364" s="1"/>
  <c r="Z3073"/>
  <c r="AA3073" s="1"/>
  <c r="S3074"/>
  <c r="T3074" s="1"/>
  <c r="AD3074" s="1"/>
  <c r="AA3074"/>
  <c r="X3075"/>
  <c r="AB3075"/>
  <c r="AC3075" s="1"/>
  <c r="Y3076"/>
  <c r="Z3077"/>
  <c r="AA3077" s="1"/>
  <c r="S3078"/>
  <c r="T3078" s="1"/>
  <c r="X3079"/>
  <c r="AB3079"/>
  <c r="AC3079" s="1"/>
  <c r="Y3080"/>
  <c r="Z3081"/>
  <c r="AA3081" s="1"/>
  <c r="S3082"/>
  <c r="T3082" s="1"/>
  <c r="AD3082" s="1"/>
  <c r="AA3082"/>
  <c r="X3083"/>
  <c r="AB3083"/>
  <c r="AC3083" s="1"/>
  <c r="Y3084"/>
  <c r="Z3085"/>
  <c r="AA3085" s="1"/>
  <c r="S3086"/>
  <c r="T3086" s="1"/>
  <c r="X3087"/>
  <c r="AB3087"/>
  <c r="AC3087" s="1"/>
  <c r="Y3088"/>
  <c r="Z3089"/>
  <c r="AA3089" s="1"/>
  <c r="S3090"/>
  <c r="T3090" s="1"/>
  <c r="AD3090" s="1"/>
  <c r="AA3090"/>
  <c r="X3091"/>
  <c r="AB3091"/>
  <c r="AC3091" s="1"/>
  <c r="Y3092"/>
  <c r="Z3093"/>
  <c r="AA3093" s="1"/>
  <c r="S3094"/>
  <c r="T3094" s="1"/>
  <c r="X3095"/>
  <c r="AB3095"/>
  <c r="AC3095" s="1"/>
  <c r="Y3096"/>
  <c r="Z3097"/>
  <c r="AA3097" s="1"/>
  <c r="AD3097" s="1"/>
  <c r="S3098"/>
  <c r="T3098" s="1"/>
  <c r="AD3098" s="1"/>
  <c r="AA3098"/>
  <c r="X3099"/>
  <c r="AB3099"/>
  <c r="AC3099" s="1"/>
  <c r="Y3100"/>
  <c r="Z3101"/>
  <c r="AA3101" s="1"/>
  <c r="AD3101" s="1"/>
  <c r="S3102"/>
  <c r="T3102" s="1"/>
  <c r="X3103"/>
  <c r="AB3103"/>
  <c r="AC3103" s="1"/>
  <c r="Y3104"/>
  <c r="Z3105"/>
  <c r="AA3105" s="1"/>
  <c r="S3106"/>
  <c r="T3106" s="1"/>
  <c r="AD3106" s="1"/>
  <c r="AA3106"/>
  <c r="X3107"/>
  <c r="AB3107"/>
  <c r="AC3107" s="1"/>
  <c r="Y3108"/>
  <c r="Z3109"/>
  <c r="AA3109" s="1"/>
  <c r="S3110"/>
  <c r="T3110" s="1"/>
  <c r="X3111"/>
  <c r="AB3111"/>
  <c r="AC3111" s="1"/>
  <c r="Y3112"/>
  <c r="Z3113"/>
  <c r="AA3113" s="1"/>
  <c r="AD3113" s="1"/>
  <c r="S3114"/>
  <c r="T3114" s="1"/>
  <c r="AD3114" s="1"/>
  <c r="AA3114"/>
  <c r="X3115"/>
  <c r="AB3115"/>
  <c r="AC3115" s="1"/>
  <c r="Y3116"/>
  <c r="Z3117"/>
  <c r="AA3117" s="1"/>
  <c r="AD3117" s="1"/>
  <c r="S3118"/>
  <c r="T3118" s="1"/>
  <c r="X3119"/>
  <c r="AB3119"/>
  <c r="AC3119" s="1"/>
  <c r="Y3120"/>
  <c r="Z3121"/>
  <c r="AA3121" s="1"/>
  <c r="AD3121" s="1"/>
  <c r="S3122"/>
  <c r="T3122" s="1"/>
  <c r="AD3122" s="1"/>
  <c r="AA3122"/>
  <c r="X3123"/>
  <c r="AB3123"/>
  <c r="AC3123" s="1"/>
  <c r="Y3124"/>
  <c r="Z3125"/>
  <c r="AA3125" s="1"/>
  <c r="S3126"/>
  <c r="T3126" s="1"/>
  <c r="AD3126" s="1"/>
  <c r="AA3126"/>
  <c r="X3127"/>
  <c r="AB3127"/>
  <c r="AC3127" s="1"/>
  <c r="Y3128"/>
  <c r="Z3129"/>
  <c r="AA3129" s="1"/>
  <c r="AD3129" s="1"/>
  <c r="S3130"/>
  <c r="T3130" s="1"/>
  <c r="X3131"/>
  <c r="AB3131"/>
  <c r="AC3131" s="1"/>
  <c r="Y3132"/>
  <c r="Z3133"/>
  <c r="AA3133" s="1"/>
  <c r="AD3133" s="1"/>
  <c r="S3134"/>
  <c r="T3134" s="1"/>
  <c r="X3135"/>
  <c r="AB3135"/>
  <c r="AC3135" s="1"/>
  <c r="Y3136"/>
  <c r="Z3137"/>
  <c r="AA3137" s="1"/>
  <c r="AD3137" s="1"/>
  <c r="S3138"/>
  <c r="T3138" s="1"/>
  <c r="X3139"/>
  <c r="AB3139"/>
  <c r="AC3139" s="1"/>
  <c r="Y3140"/>
  <c r="Z3141"/>
  <c r="AA3141" s="1"/>
  <c r="AD3141" s="1"/>
  <c r="S3142"/>
  <c r="T3142" s="1"/>
  <c r="X3143"/>
  <c r="AB3143"/>
  <c r="AC3143" s="1"/>
  <c r="Y3144"/>
  <c r="Z3145"/>
  <c r="S3146"/>
  <c r="T3146" s="1"/>
  <c r="X3147"/>
  <c r="AB3147"/>
  <c r="AC3147" s="1"/>
  <c r="Y3148"/>
  <c r="Z3149"/>
  <c r="AA3149" s="1"/>
  <c r="S3150"/>
  <c r="T3150" s="1"/>
  <c r="X3151"/>
  <c r="AB3151"/>
  <c r="AC3151" s="1"/>
  <c r="Y3152"/>
  <c r="Z3153"/>
  <c r="S3154"/>
  <c r="T3154" s="1"/>
  <c r="X3155"/>
  <c r="AB3155"/>
  <c r="AC3155" s="1"/>
  <c r="Y3156"/>
  <c r="Z3157"/>
  <c r="AA3157" s="1"/>
  <c r="S3158"/>
  <c r="T3158" s="1"/>
  <c r="X3159"/>
  <c r="AB3159"/>
  <c r="AC3159" s="1"/>
  <c r="Y3160"/>
  <c r="Z3161"/>
  <c r="S3162"/>
  <c r="T3162" s="1"/>
  <c r="AD3162" s="1"/>
  <c r="AA3162"/>
  <c r="X3163"/>
  <c r="AB3163"/>
  <c r="AC3163" s="1"/>
  <c r="Y3164"/>
  <c r="Z3165"/>
  <c r="AA3165" s="1"/>
  <c r="S3166"/>
  <c r="T3166" s="1"/>
  <c r="X3167"/>
  <c r="AB3167"/>
  <c r="AC3167" s="1"/>
  <c r="Y3168"/>
  <c r="Z3169"/>
  <c r="AA3169" s="1"/>
  <c r="S3170"/>
  <c r="T3170" s="1"/>
  <c r="AD3170" s="1"/>
  <c r="AA3170"/>
  <c r="X3171"/>
  <c r="AB3171"/>
  <c r="AC3171" s="1"/>
  <c r="Y3172"/>
  <c r="Z3173"/>
  <c r="AA3173" s="1"/>
  <c r="S3174"/>
  <c r="T3174" s="1"/>
  <c r="X3175"/>
  <c r="AB3175"/>
  <c r="AC3175" s="1"/>
  <c r="Y3176"/>
  <c r="Z3177"/>
  <c r="AA3177" s="1"/>
  <c r="S3178"/>
  <c r="T3178" s="1"/>
  <c r="X3179"/>
  <c r="AB3179"/>
  <c r="AC3179" s="1"/>
  <c r="Y3180"/>
  <c r="Z3181"/>
  <c r="AA3181" s="1"/>
  <c r="S3182"/>
  <c r="T3182" s="1"/>
  <c r="X3183"/>
  <c r="AB3183"/>
  <c r="AC3183" s="1"/>
  <c r="Y3184"/>
  <c r="Z3185"/>
  <c r="AA3185" s="1"/>
  <c r="S3186"/>
  <c r="T3186" s="1"/>
  <c r="AD3186" s="1"/>
  <c r="AA3186"/>
  <c r="X3187"/>
  <c r="AB3187"/>
  <c r="AC3187" s="1"/>
  <c r="Y3188"/>
  <c r="S3190"/>
  <c r="T3190" s="1"/>
  <c r="X3191"/>
  <c r="AB3191"/>
  <c r="AC3191" s="1"/>
  <c r="Y3192"/>
  <c r="S3194"/>
  <c r="T3194" s="1"/>
  <c r="X3195"/>
  <c r="AB3195"/>
  <c r="AC3195" s="1"/>
  <c r="Y3196"/>
  <c r="S3198"/>
  <c r="T3198" s="1"/>
  <c r="X3199"/>
  <c r="AB3199"/>
  <c r="AC3199" s="1"/>
  <c r="Y3200"/>
  <c r="S3202"/>
  <c r="T3202" s="1"/>
  <c r="AD3202" s="1"/>
  <c r="AA3202"/>
  <c r="X3203"/>
  <c r="AB3203"/>
  <c r="AC3203" s="1"/>
  <c r="Y3204"/>
  <c r="S3206"/>
  <c r="T3206" s="1"/>
  <c r="X3207"/>
  <c r="AB3207"/>
  <c r="AC3207" s="1"/>
  <c r="Y3208"/>
  <c r="S3210"/>
  <c r="T3210" s="1"/>
  <c r="X3211"/>
  <c r="AB3211"/>
  <c r="AC3211" s="1"/>
  <c r="Y3212"/>
  <c r="S3214"/>
  <c r="T3214" s="1"/>
  <c r="X3215"/>
  <c r="AB3215"/>
  <c r="AC3215" s="1"/>
  <c r="Y3216"/>
  <c r="S3218"/>
  <c r="T3218" s="1"/>
  <c r="AD3218" s="1"/>
  <c r="AA3218"/>
  <c r="X3219"/>
  <c r="AB3219"/>
  <c r="AC3219" s="1"/>
  <c r="Y3220"/>
  <c r="S3222"/>
  <c r="T3222" s="1"/>
  <c r="X3223"/>
  <c r="AB3223"/>
  <c r="AC3223" s="1"/>
  <c r="Y3224"/>
  <c r="Z3225"/>
  <c r="AA3225" s="1"/>
  <c r="Y3227"/>
  <c r="U3228"/>
  <c r="V3228" s="1"/>
  <c r="Y3231"/>
  <c r="U3232"/>
  <c r="V3232" s="1"/>
  <c r="Y3235"/>
  <c r="U3236"/>
  <c r="V3236" s="1"/>
  <c r="U3276"/>
  <c r="V3276" s="1"/>
  <c r="AD3276" s="1"/>
  <c r="U3284"/>
  <c r="V3284"/>
  <c r="AD3284" s="1"/>
  <c r="U3332"/>
  <c r="V3332" s="1"/>
  <c r="AD3332" s="1"/>
  <c r="U3340"/>
  <c r="V3340"/>
  <c r="AD3340" s="1"/>
  <c r="Y3073"/>
  <c r="Z3074"/>
  <c r="S3075"/>
  <c r="T3075" s="1"/>
  <c r="AA3075"/>
  <c r="X3076"/>
  <c r="AB3076"/>
  <c r="AC3076" s="1"/>
  <c r="Y3077"/>
  <c r="Z3078"/>
  <c r="AA3078" s="1"/>
  <c r="S3079"/>
  <c r="T3079" s="1"/>
  <c r="AA3079"/>
  <c r="X3080"/>
  <c r="AB3080"/>
  <c r="AC3080" s="1"/>
  <c r="Y3081"/>
  <c r="Z3082"/>
  <c r="S3083"/>
  <c r="T3083" s="1"/>
  <c r="AA3083"/>
  <c r="X3084"/>
  <c r="AB3084"/>
  <c r="AC3084" s="1"/>
  <c r="Y3085"/>
  <c r="Z3086"/>
  <c r="AA3086" s="1"/>
  <c r="S3087"/>
  <c r="T3087" s="1"/>
  <c r="AA3087"/>
  <c r="X3088"/>
  <c r="AB3088"/>
  <c r="AC3088" s="1"/>
  <c r="Y3089"/>
  <c r="Z3090"/>
  <c r="S3091"/>
  <c r="T3091" s="1"/>
  <c r="AA3091"/>
  <c r="X3092"/>
  <c r="AB3092"/>
  <c r="AC3092" s="1"/>
  <c r="Y3093"/>
  <c r="Z3094"/>
  <c r="AA3094" s="1"/>
  <c r="S3095"/>
  <c r="T3095" s="1"/>
  <c r="AA3095"/>
  <c r="X3096"/>
  <c r="AB3096"/>
  <c r="AC3096" s="1"/>
  <c r="Y3097"/>
  <c r="Z3098"/>
  <c r="S3099"/>
  <c r="T3099" s="1"/>
  <c r="AA3099"/>
  <c r="X3100"/>
  <c r="AB3100"/>
  <c r="AC3100" s="1"/>
  <c r="Y3101"/>
  <c r="Z3102"/>
  <c r="AA3102" s="1"/>
  <c r="S3103"/>
  <c r="T3103" s="1"/>
  <c r="AA3103"/>
  <c r="X3104"/>
  <c r="AB3104"/>
  <c r="AC3104" s="1"/>
  <c r="Y3105"/>
  <c r="Z3106"/>
  <c r="S3107"/>
  <c r="T3107" s="1"/>
  <c r="AA3107"/>
  <c r="X3108"/>
  <c r="AB3108"/>
  <c r="AC3108" s="1"/>
  <c r="Y3109"/>
  <c r="Z3110"/>
  <c r="AA3110" s="1"/>
  <c r="S3111"/>
  <c r="T3111" s="1"/>
  <c r="AA3111"/>
  <c r="X3112"/>
  <c r="AB3112"/>
  <c r="AC3112" s="1"/>
  <c r="Y3113"/>
  <c r="Z3114"/>
  <c r="S3115"/>
  <c r="T3115" s="1"/>
  <c r="AA3115"/>
  <c r="X3116"/>
  <c r="AB3116"/>
  <c r="AC3116" s="1"/>
  <c r="Y3117"/>
  <c r="Z3118"/>
  <c r="AA3118" s="1"/>
  <c r="S3119"/>
  <c r="T3119" s="1"/>
  <c r="AA3119"/>
  <c r="X3120"/>
  <c r="AB3120"/>
  <c r="AC3120" s="1"/>
  <c r="Y3121"/>
  <c r="Z3122"/>
  <c r="S3123"/>
  <c r="T3123" s="1"/>
  <c r="AA3123"/>
  <c r="X3124"/>
  <c r="AB3124"/>
  <c r="AC3124" s="1"/>
  <c r="Y3125"/>
  <c r="S3127"/>
  <c r="T3127" s="1"/>
  <c r="AA3127"/>
  <c r="X3128"/>
  <c r="AB3128"/>
  <c r="AC3128" s="1"/>
  <c r="Y3129"/>
  <c r="Z3130"/>
  <c r="AA3130" s="1"/>
  <c r="S3131"/>
  <c r="T3131" s="1"/>
  <c r="X3132"/>
  <c r="AB3132"/>
  <c r="AC3132" s="1"/>
  <c r="Y3133"/>
  <c r="Z3134"/>
  <c r="AA3134" s="1"/>
  <c r="S3135"/>
  <c r="T3135" s="1"/>
  <c r="X3136"/>
  <c r="AB3136"/>
  <c r="AC3136" s="1"/>
  <c r="Y3137"/>
  <c r="Z3138"/>
  <c r="AA3138" s="1"/>
  <c r="S3139"/>
  <c r="T3139" s="1"/>
  <c r="X3140"/>
  <c r="AB3140"/>
  <c r="AC3140" s="1"/>
  <c r="Y3141"/>
  <c r="Z3142"/>
  <c r="AA3142" s="1"/>
  <c r="S3143"/>
  <c r="T3143" s="1"/>
  <c r="AD3143" s="1"/>
  <c r="AA3143"/>
  <c r="X3144"/>
  <c r="AB3144"/>
  <c r="AC3144" s="1"/>
  <c r="Y3145"/>
  <c r="Z3146"/>
  <c r="AA3146" s="1"/>
  <c r="S3147"/>
  <c r="T3147" s="1"/>
  <c r="X3148"/>
  <c r="AB3148"/>
  <c r="AC3148" s="1"/>
  <c r="Y3149"/>
  <c r="Z3150"/>
  <c r="AA3150" s="1"/>
  <c r="S3151"/>
  <c r="T3151" s="1"/>
  <c r="AD3151" s="1"/>
  <c r="AA3151"/>
  <c r="X3152"/>
  <c r="AB3152"/>
  <c r="AC3152" s="1"/>
  <c r="Y3153"/>
  <c r="Z3154"/>
  <c r="AA3154" s="1"/>
  <c r="S3155"/>
  <c r="T3155" s="1"/>
  <c r="X3156"/>
  <c r="AB3156"/>
  <c r="AC3156" s="1"/>
  <c r="Y3157"/>
  <c r="Z3158"/>
  <c r="AA3158" s="1"/>
  <c r="S3159"/>
  <c r="T3159" s="1"/>
  <c r="AD3159" s="1"/>
  <c r="AA3159"/>
  <c r="X3160"/>
  <c r="AB3160"/>
  <c r="AC3160" s="1"/>
  <c r="O3161"/>
  <c r="U3161" s="1"/>
  <c r="V3161" s="1"/>
  <c r="AD3161" s="1"/>
  <c r="Y3161"/>
  <c r="Z3162"/>
  <c r="S3163"/>
  <c r="T3163" s="1"/>
  <c r="X3164"/>
  <c r="AB3164"/>
  <c r="AC3164" s="1"/>
  <c r="Y3165"/>
  <c r="Z3166"/>
  <c r="AA3166" s="1"/>
  <c r="S3167"/>
  <c r="T3167" s="1"/>
  <c r="X3168"/>
  <c r="AB3168"/>
  <c r="AC3168" s="1"/>
  <c r="O3169"/>
  <c r="Y3169"/>
  <c r="Z3170"/>
  <c r="S3171"/>
  <c r="T3171" s="1"/>
  <c r="AD3171" s="1"/>
  <c r="AA3171"/>
  <c r="X3172"/>
  <c r="AB3172"/>
  <c r="AC3172" s="1"/>
  <c r="O3173"/>
  <c r="U3173" s="1"/>
  <c r="V3173" s="1"/>
  <c r="AD3173" s="1"/>
  <c r="Y3173"/>
  <c r="Z3174"/>
  <c r="AA3174" s="1"/>
  <c r="S3175"/>
  <c r="T3175" s="1"/>
  <c r="AA3175"/>
  <c r="X3176"/>
  <c r="AB3176"/>
  <c r="AC3176" s="1"/>
  <c r="O3177"/>
  <c r="U3177" s="1"/>
  <c r="V3177" s="1"/>
  <c r="AD3177" s="1"/>
  <c r="Y3177"/>
  <c r="Z3178"/>
  <c r="AA3178" s="1"/>
  <c r="S3179"/>
  <c r="T3179" s="1"/>
  <c r="X3180"/>
  <c r="AB3180"/>
  <c r="AC3180" s="1"/>
  <c r="O3181"/>
  <c r="Y3181"/>
  <c r="Z3182"/>
  <c r="AA3182" s="1"/>
  <c r="S3183"/>
  <c r="T3183" s="1"/>
  <c r="X3184"/>
  <c r="AB3184"/>
  <c r="AC3184" s="1"/>
  <c r="O3185"/>
  <c r="U3185" s="1"/>
  <c r="V3185" s="1"/>
  <c r="AD3185" s="1"/>
  <c r="Z3186"/>
  <c r="S3187"/>
  <c r="T3187" s="1"/>
  <c r="AA3187"/>
  <c r="X3188"/>
  <c r="AB3188"/>
  <c r="AC3188" s="1"/>
  <c r="O3189"/>
  <c r="U3189" s="1"/>
  <c r="V3189" s="1"/>
  <c r="AD3189" s="1"/>
  <c r="Z3190"/>
  <c r="AA3190" s="1"/>
  <c r="S3191"/>
  <c r="T3191" s="1"/>
  <c r="X3192"/>
  <c r="AB3192"/>
  <c r="AC3192" s="1"/>
  <c r="O3193"/>
  <c r="U3193" s="1"/>
  <c r="V3193" s="1"/>
  <c r="AD3193" s="1"/>
  <c r="Z3194"/>
  <c r="AA3194" s="1"/>
  <c r="S3195"/>
  <c r="T3195" s="1"/>
  <c r="X3196"/>
  <c r="AB3196"/>
  <c r="AC3196" s="1"/>
  <c r="O3197"/>
  <c r="U3197" s="1"/>
  <c r="V3197" s="1"/>
  <c r="AD3197" s="1"/>
  <c r="Z3198"/>
  <c r="AA3198" s="1"/>
  <c r="S3199"/>
  <c r="T3199" s="1"/>
  <c r="X3200"/>
  <c r="AB3200"/>
  <c r="AC3200" s="1"/>
  <c r="AD3200" s="1"/>
  <c r="O3201"/>
  <c r="U3201" s="1"/>
  <c r="V3201" s="1"/>
  <c r="AD3201" s="1"/>
  <c r="Z3202"/>
  <c r="S3203"/>
  <c r="T3203" s="1"/>
  <c r="X3204"/>
  <c r="AD3204" s="1"/>
  <c r="AB3204"/>
  <c r="AC3204" s="1"/>
  <c r="O3205"/>
  <c r="U3205" s="1"/>
  <c r="V3205" s="1"/>
  <c r="AD3205" s="1"/>
  <c r="Z3206"/>
  <c r="AA3206" s="1"/>
  <c r="S3207"/>
  <c r="T3207" s="1"/>
  <c r="X3208"/>
  <c r="AD3208" s="1"/>
  <c r="AB3208"/>
  <c r="AC3208" s="1"/>
  <c r="O3209"/>
  <c r="U3209" s="1"/>
  <c r="V3209" s="1"/>
  <c r="AD3209" s="1"/>
  <c r="Z3210"/>
  <c r="AA3210" s="1"/>
  <c r="S3211"/>
  <c r="T3211" s="1"/>
  <c r="AA3211"/>
  <c r="X3212"/>
  <c r="AB3212"/>
  <c r="AC3212" s="1"/>
  <c r="O3213"/>
  <c r="Z3214"/>
  <c r="AA3214" s="1"/>
  <c r="S3215"/>
  <c r="T3215" s="1"/>
  <c r="X3216"/>
  <c r="AB3216"/>
  <c r="AC3216" s="1"/>
  <c r="O3217"/>
  <c r="U3217" s="1"/>
  <c r="V3217" s="1"/>
  <c r="AD3217" s="1"/>
  <c r="Z3218"/>
  <c r="S3219"/>
  <c r="T3219" s="1"/>
  <c r="AA3219"/>
  <c r="X3220"/>
  <c r="AB3220"/>
  <c r="AC3220" s="1"/>
  <c r="O3221"/>
  <c r="Z3222"/>
  <c r="AA3222" s="1"/>
  <c r="S3223"/>
  <c r="T3223" s="1"/>
  <c r="X3224"/>
  <c r="AB3224"/>
  <c r="AC3224" s="1"/>
  <c r="Y3225"/>
  <c r="AD3229"/>
  <c r="AD3233"/>
  <c r="AA3242"/>
  <c r="AD3248"/>
  <c r="AD3253"/>
  <c r="AA3262"/>
  <c r="AA3270"/>
  <c r="AD3280"/>
  <c r="AD3293"/>
  <c r="AA3294"/>
  <c r="AA3302"/>
  <c r="AD3312"/>
  <c r="AD3317"/>
  <c r="AA3326"/>
  <c r="AA3334"/>
  <c r="AD3344"/>
  <c r="V3379"/>
  <c r="U3379"/>
  <c r="X3073"/>
  <c r="AD3073" s="1"/>
  <c r="S3076"/>
  <c r="T3076" s="1"/>
  <c r="AD3076" s="1"/>
  <c r="AA3076"/>
  <c r="X3077"/>
  <c r="V3079"/>
  <c r="S3080"/>
  <c r="T3080" s="1"/>
  <c r="AD3080" s="1"/>
  <c r="AA3080"/>
  <c r="X3081"/>
  <c r="AD3081" s="1"/>
  <c r="S3084"/>
  <c r="T3084" s="1"/>
  <c r="AA3084"/>
  <c r="X3085"/>
  <c r="AD3085" s="1"/>
  <c r="S3088"/>
  <c r="T3088" s="1"/>
  <c r="AA3088"/>
  <c r="X3089"/>
  <c r="AD3089" s="1"/>
  <c r="S3092"/>
  <c r="T3092" s="1"/>
  <c r="AD3092" s="1"/>
  <c r="AA3092"/>
  <c r="X3093"/>
  <c r="AD3093" s="1"/>
  <c r="S3096"/>
  <c r="T3096" s="1"/>
  <c r="AD3096" s="1"/>
  <c r="AA3096"/>
  <c r="S3100"/>
  <c r="T3100" s="1"/>
  <c r="AA3100"/>
  <c r="S3104"/>
  <c r="T3104" s="1"/>
  <c r="AD3104" s="1"/>
  <c r="AA3104"/>
  <c r="V3107"/>
  <c r="S3108"/>
  <c r="T3108" s="1"/>
  <c r="AA3108"/>
  <c r="S3112"/>
  <c r="T3112" s="1"/>
  <c r="AA3112"/>
  <c r="S3116"/>
  <c r="T3116" s="1"/>
  <c r="AA3116"/>
  <c r="S3120"/>
  <c r="T3120" s="1"/>
  <c r="AA3120"/>
  <c r="S3124"/>
  <c r="T3124" s="1"/>
  <c r="AA3124"/>
  <c r="V3127"/>
  <c r="Z3127"/>
  <c r="S3128"/>
  <c r="T3128" s="1"/>
  <c r="AA3128"/>
  <c r="Z3131"/>
  <c r="AA3131" s="1"/>
  <c r="S3132"/>
  <c r="T3132" s="1"/>
  <c r="AA3132"/>
  <c r="Y3134"/>
  <c r="Z3135"/>
  <c r="AA3135" s="1"/>
  <c r="S3136"/>
  <c r="T3136" s="1"/>
  <c r="AA3136"/>
  <c r="Z3139"/>
  <c r="AA3139" s="1"/>
  <c r="S3140"/>
  <c r="T3140" s="1"/>
  <c r="AA3140"/>
  <c r="Z3143"/>
  <c r="S3144"/>
  <c r="T3144" s="1"/>
  <c r="AD3144" s="1"/>
  <c r="AA3144"/>
  <c r="AB3145"/>
  <c r="AC3145" s="1"/>
  <c r="Y3146"/>
  <c r="Z3147"/>
  <c r="AA3147" s="1"/>
  <c r="S3148"/>
  <c r="T3148" s="1"/>
  <c r="AA3148"/>
  <c r="X3149"/>
  <c r="AD3149" s="1"/>
  <c r="AB3149"/>
  <c r="AC3149" s="1"/>
  <c r="Y3150"/>
  <c r="Z3151"/>
  <c r="S3152"/>
  <c r="T3152" s="1"/>
  <c r="AA3152"/>
  <c r="X3153"/>
  <c r="AB3153"/>
  <c r="AC3153" s="1"/>
  <c r="Y3154"/>
  <c r="Z3155"/>
  <c r="AA3155" s="1"/>
  <c r="S3156"/>
  <c r="T3156" s="1"/>
  <c r="AA3156"/>
  <c r="X3157"/>
  <c r="AB3157"/>
  <c r="AC3157" s="1"/>
  <c r="Y3158"/>
  <c r="Z3159"/>
  <c r="S3160"/>
  <c r="T3160" s="1"/>
  <c r="AA3160"/>
  <c r="AB3161"/>
  <c r="AC3161" s="1"/>
  <c r="Y3162"/>
  <c r="V3163"/>
  <c r="Z3163"/>
  <c r="AA3163" s="1"/>
  <c r="S3164"/>
  <c r="T3164" s="1"/>
  <c r="AD3164" s="1"/>
  <c r="AA3164"/>
  <c r="X3165"/>
  <c r="AD3165" s="1"/>
  <c r="AB3165"/>
  <c r="AC3165" s="1"/>
  <c r="Y3166"/>
  <c r="V3167"/>
  <c r="Z3167"/>
  <c r="AA3167" s="1"/>
  <c r="S3168"/>
  <c r="T3168" s="1"/>
  <c r="AD3168" s="1"/>
  <c r="AA3168"/>
  <c r="Y3170"/>
  <c r="Z3171"/>
  <c r="S3172"/>
  <c r="T3172" s="1"/>
  <c r="AD3172" s="1"/>
  <c r="AA3172"/>
  <c r="Y3174"/>
  <c r="Z3175"/>
  <c r="S3176"/>
  <c r="T3176" s="1"/>
  <c r="AD3176" s="1"/>
  <c r="AA3176"/>
  <c r="Y3178"/>
  <c r="Z3179"/>
  <c r="AA3179" s="1"/>
  <c r="S3180"/>
  <c r="T3180" s="1"/>
  <c r="AA3180"/>
  <c r="Z3183"/>
  <c r="AA3183" s="1"/>
  <c r="S3184"/>
  <c r="T3184" s="1"/>
  <c r="AA3184"/>
  <c r="Z3187"/>
  <c r="S3188"/>
  <c r="T3188" s="1"/>
  <c r="AA3188"/>
  <c r="Z3191"/>
  <c r="AA3191" s="1"/>
  <c r="S3192"/>
  <c r="T3192" s="1"/>
  <c r="AA3192"/>
  <c r="V3195"/>
  <c r="Z3195"/>
  <c r="AA3195" s="1"/>
  <c r="S3196"/>
  <c r="T3196" s="1"/>
  <c r="AA3196"/>
  <c r="Z3199"/>
  <c r="AA3199" s="1"/>
  <c r="Z3203"/>
  <c r="AA3203" s="1"/>
  <c r="Z3207"/>
  <c r="AA3207" s="1"/>
  <c r="Z3211"/>
  <c r="AA3212"/>
  <c r="Z3215"/>
  <c r="AA3215" s="1"/>
  <c r="AA3216"/>
  <c r="AD3216" s="1"/>
  <c r="V3219"/>
  <c r="Z3219"/>
  <c r="S3220"/>
  <c r="T3220" s="1"/>
  <c r="AD3220" s="1"/>
  <c r="AA3220"/>
  <c r="Z3223"/>
  <c r="AA3223" s="1"/>
  <c r="S3224"/>
  <c r="T3224" s="1"/>
  <c r="AA3224"/>
  <c r="S3228"/>
  <c r="T3228" s="1"/>
  <c r="S3232"/>
  <c r="T3232" s="1"/>
  <c r="S3236"/>
  <c r="T3236" s="1"/>
  <c r="Y3228"/>
  <c r="AB3228"/>
  <c r="AC3228" s="1"/>
  <c r="X3228"/>
  <c r="Y3232"/>
  <c r="AB3232"/>
  <c r="AC3232" s="1"/>
  <c r="X3232"/>
  <c r="Y3236"/>
  <c r="AB3236"/>
  <c r="AC3236" s="1"/>
  <c r="X3236"/>
  <c r="U3360"/>
  <c r="V3360"/>
  <c r="AD3360" s="1"/>
  <c r="V3383"/>
  <c r="U3383"/>
  <c r="S3153"/>
  <c r="T3153" s="1"/>
  <c r="S3157"/>
  <c r="T3157" s="1"/>
  <c r="X3202"/>
  <c r="X3206"/>
  <c r="X3210"/>
  <c r="X3214"/>
  <c r="X3218"/>
  <c r="Z3228"/>
  <c r="AA3228" s="1"/>
  <c r="Z3232"/>
  <c r="AA3232" s="1"/>
  <c r="Z3236"/>
  <c r="AA3236" s="1"/>
  <c r="T3241"/>
  <c r="AD3241" s="1"/>
  <c r="T3245"/>
  <c r="AD3245" s="1"/>
  <c r="AA3250"/>
  <c r="AD3260"/>
  <c r="AD3265"/>
  <c r="AA3282"/>
  <c r="AA3314"/>
  <c r="AA3338"/>
  <c r="AA3350"/>
  <c r="AD3368"/>
  <c r="V3380"/>
  <c r="Y3377"/>
  <c r="AB3377"/>
  <c r="AC3377" s="1"/>
  <c r="X3377"/>
  <c r="Y3381"/>
  <c r="AB3381"/>
  <c r="AC3381" s="1"/>
  <c r="X3381"/>
  <c r="Y3385"/>
  <c r="AB3385"/>
  <c r="AC3385" s="1"/>
  <c r="X3385"/>
  <c r="Y3389"/>
  <c r="AB3389"/>
  <c r="AC3389" s="1"/>
  <c r="X3389"/>
  <c r="Y3393"/>
  <c r="AB3393"/>
  <c r="AC3393" s="1"/>
  <c r="X3393"/>
  <c r="Y3397"/>
  <c r="AB3397"/>
  <c r="AC3397" s="1"/>
  <c r="X3397"/>
  <c r="Y3401"/>
  <c r="Z3401"/>
  <c r="AB3401"/>
  <c r="AC3401" s="1"/>
  <c r="X3401"/>
  <c r="U3405"/>
  <c r="V3405" s="1"/>
  <c r="AD3405" s="1"/>
  <c r="U3409"/>
  <c r="V3409"/>
  <c r="Z3226"/>
  <c r="AA3226" s="1"/>
  <c r="Y3229"/>
  <c r="Z3230"/>
  <c r="AA3230" s="1"/>
  <c r="Y3233"/>
  <c r="Z3234"/>
  <c r="AA3234" s="1"/>
  <c r="Y3237"/>
  <c r="Z3238"/>
  <c r="AA3238" s="1"/>
  <c r="X3240"/>
  <c r="AB3240"/>
  <c r="AC3240" s="1"/>
  <c r="Y3241"/>
  <c r="Z3242"/>
  <c r="X3244"/>
  <c r="AD3244" s="1"/>
  <c r="AB3244"/>
  <c r="AC3244" s="1"/>
  <c r="Y3245"/>
  <c r="Z3246"/>
  <c r="AA3246" s="1"/>
  <c r="S3247"/>
  <c r="T3247" s="1"/>
  <c r="X3248"/>
  <c r="AB3248"/>
  <c r="AC3248" s="1"/>
  <c r="O3249"/>
  <c r="U3249" s="1"/>
  <c r="V3249" s="1"/>
  <c r="AD3249" s="1"/>
  <c r="Y3249"/>
  <c r="Z3250"/>
  <c r="S3251"/>
  <c r="T3251" s="1"/>
  <c r="X3252"/>
  <c r="AD3252" s="1"/>
  <c r="AB3252"/>
  <c r="AC3252" s="1"/>
  <c r="O3253"/>
  <c r="U3253" s="1"/>
  <c r="V3253" s="1"/>
  <c r="Y3253"/>
  <c r="Z3254"/>
  <c r="AA3254" s="1"/>
  <c r="S3255"/>
  <c r="T3255" s="1"/>
  <c r="X3256"/>
  <c r="AD3256" s="1"/>
  <c r="AB3256"/>
  <c r="AC3256" s="1"/>
  <c r="O3257"/>
  <c r="U3257" s="1"/>
  <c r="V3257" s="1"/>
  <c r="AD3257" s="1"/>
  <c r="Y3257"/>
  <c r="Z3258"/>
  <c r="AA3258" s="1"/>
  <c r="S3259"/>
  <c r="T3259" s="1"/>
  <c r="AD3259" s="1"/>
  <c r="AA3259"/>
  <c r="X3260"/>
  <c r="AB3260"/>
  <c r="AC3260" s="1"/>
  <c r="O3261"/>
  <c r="U3261" s="1"/>
  <c r="V3261" s="1"/>
  <c r="AD3261" s="1"/>
  <c r="Y3261"/>
  <c r="Z3262"/>
  <c r="S3263"/>
  <c r="T3263" s="1"/>
  <c r="X3264"/>
  <c r="AD3264" s="1"/>
  <c r="AB3264"/>
  <c r="AC3264" s="1"/>
  <c r="O3265"/>
  <c r="U3265" s="1"/>
  <c r="V3265" s="1"/>
  <c r="Y3265"/>
  <c r="Z3266"/>
  <c r="AA3266" s="1"/>
  <c r="S3267"/>
  <c r="T3267" s="1"/>
  <c r="X3268"/>
  <c r="AD3268" s="1"/>
  <c r="AB3268"/>
  <c r="AC3268" s="1"/>
  <c r="O3269"/>
  <c r="Y3269"/>
  <c r="V3270"/>
  <c r="Z3270"/>
  <c r="S3271"/>
  <c r="T3271" s="1"/>
  <c r="X3272"/>
  <c r="AD3272" s="1"/>
  <c r="AB3272"/>
  <c r="AC3272" s="1"/>
  <c r="O3273"/>
  <c r="U3273" s="1"/>
  <c r="V3273" s="1"/>
  <c r="AD3273" s="1"/>
  <c r="Y3273"/>
  <c r="Z3274"/>
  <c r="AA3274" s="1"/>
  <c r="S3275"/>
  <c r="T3275" s="1"/>
  <c r="X3276"/>
  <c r="AB3276"/>
  <c r="AC3276" s="1"/>
  <c r="O3277"/>
  <c r="U3277" s="1"/>
  <c r="V3277" s="1"/>
  <c r="AD3277" s="1"/>
  <c r="Y3277"/>
  <c r="Z3278"/>
  <c r="AA3278" s="1"/>
  <c r="S3279"/>
  <c r="T3279" s="1"/>
  <c r="X3280"/>
  <c r="AB3280"/>
  <c r="AC3280" s="1"/>
  <c r="O3281"/>
  <c r="U3281" s="1"/>
  <c r="V3281" s="1"/>
  <c r="AD3281" s="1"/>
  <c r="Y3281"/>
  <c r="Z3282"/>
  <c r="S3283"/>
  <c r="T3283" s="1"/>
  <c r="AA3283"/>
  <c r="X3284"/>
  <c r="AB3284"/>
  <c r="AC3284" s="1"/>
  <c r="O3285"/>
  <c r="Y3285"/>
  <c r="Z3286"/>
  <c r="AA3286" s="1"/>
  <c r="S3287"/>
  <c r="T3287" s="1"/>
  <c r="X3288"/>
  <c r="AD3288" s="1"/>
  <c r="AB3288"/>
  <c r="AC3288" s="1"/>
  <c r="O3289"/>
  <c r="U3289" s="1"/>
  <c r="V3289" s="1"/>
  <c r="AD3289" s="1"/>
  <c r="Y3289"/>
  <c r="Z3290"/>
  <c r="AA3290" s="1"/>
  <c r="S3291"/>
  <c r="T3291" s="1"/>
  <c r="X3292"/>
  <c r="AB3292"/>
  <c r="AC3292" s="1"/>
  <c r="AD3292" s="1"/>
  <c r="O3293"/>
  <c r="U3293" s="1"/>
  <c r="V3293" s="1"/>
  <c r="Y3293"/>
  <c r="Z3294"/>
  <c r="S3295"/>
  <c r="T3295" s="1"/>
  <c r="X3296"/>
  <c r="AD3296" s="1"/>
  <c r="AB3296"/>
  <c r="AC3296" s="1"/>
  <c r="O3297"/>
  <c r="U3297" s="1"/>
  <c r="V3297" s="1"/>
  <c r="AD3297" s="1"/>
  <c r="Y3297"/>
  <c r="Z3298"/>
  <c r="AA3298" s="1"/>
  <c r="S3299"/>
  <c r="T3299" s="1"/>
  <c r="AA3299"/>
  <c r="X3300"/>
  <c r="AD3300" s="1"/>
  <c r="AB3300"/>
  <c r="AC3300" s="1"/>
  <c r="O3301"/>
  <c r="U3301" s="1"/>
  <c r="V3301" s="1"/>
  <c r="AD3301" s="1"/>
  <c r="Y3301"/>
  <c r="Z3302"/>
  <c r="S3303"/>
  <c r="T3303" s="1"/>
  <c r="X3304"/>
  <c r="AD3304" s="1"/>
  <c r="AB3304"/>
  <c r="AC3304" s="1"/>
  <c r="O3305"/>
  <c r="U3305" s="1"/>
  <c r="V3305" s="1"/>
  <c r="AD3305" s="1"/>
  <c r="Y3305"/>
  <c r="Z3306"/>
  <c r="AA3306" s="1"/>
  <c r="S3307"/>
  <c r="T3307" s="1"/>
  <c r="X3308"/>
  <c r="AD3308" s="1"/>
  <c r="AB3308"/>
  <c r="AC3308" s="1"/>
  <c r="O3309"/>
  <c r="U3309" s="1"/>
  <c r="V3309" s="1"/>
  <c r="AD3309" s="1"/>
  <c r="Y3309"/>
  <c r="Z3310"/>
  <c r="AA3310" s="1"/>
  <c r="S3311"/>
  <c r="T3311" s="1"/>
  <c r="X3312"/>
  <c r="AB3312"/>
  <c r="AC3312" s="1"/>
  <c r="O3313"/>
  <c r="U3313" s="1"/>
  <c r="V3313" s="1"/>
  <c r="AD3313" s="1"/>
  <c r="Y3313"/>
  <c r="Z3314"/>
  <c r="S3315"/>
  <c r="T3315" s="1"/>
  <c r="AA3315"/>
  <c r="X3316"/>
  <c r="AD3316" s="1"/>
  <c r="AB3316"/>
  <c r="AC3316" s="1"/>
  <c r="O3317"/>
  <c r="U3317" s="1"/>
  <c r="V3317" s="1"/>
  <c r="Y3317"/>
  <c r="Z3318"/>
  <c r="AA3318" s="1"/>
  <c r="S3319"/>
  <c r="T3319" s="1"/>
  <c r="X3320"/>
  <c r="AD3320" s="1"/>
  <c r="AB3320"/>
  <c r="AC3320" s="1"/>
  <c r="O3321"/>
  <c r="U3321" s="1"/>
  <c r="V3321" s="1"/>
  <c r="AD3321" s="1"/>
  <c r="Y3321"/>
  <c r="Z3322"/>
  <c r="AA3322" s="1"/>
  <c r="S3323"/>
  <c r="T3323" s="1"/>
  <c r="X3324"/>
  <c r="AB3324"/>
  <c r="AC3324" s="1"/>
  <c r="AD3324" s="1"/>
  <c r="O3325"/>
  <c r="U3325" s="1"/>
  <c r="V3325" s="1"/>
  <c r="AD3325" s="1"/>
  <c r="Y3325"/>
  <c r="Z3326"/>
  <c r="S3327"/>
  <c r="T3327" s="1"/>
  <c r="X3328"/>
  <c r="AD3328" s="1"/>
  <c r="AB3328"/>
  <c r="AC3328" s="1"/>
  <c r="O3329"/>
  <c r="U3329" s="1"/>
  <c r="V3329" s="1"/>
  <c r="AD3329" s="1"/>
  <c r="Y3329"/>
  <c r="V3330"/>
  <c r="Z3330"/>
  <c r="AA3330" s="1"/>
  <c r="S3331"/>
  <c r="T3331" s="1"/>
  <c r="X3332"/>
  <c r="AB3332"/>
  <c r="AC3332" s="1"/>
  <c r="O3333"/>
  <c r="Y3333"/>
  <c r="V3334"/>
  <c r="Z3334"/>
  <c r="S3335"/>
  <c r="T3335" s="1"/>
  <c r="AD3335" s="1"/>
  <c r="AA3335"/>
  <c r="X3336"/>
  <c r="AB3336"/>
  <c r="AC3336" s="1"/>
  <c r="O3337"/>
  <c r="Y3337"/>
  <c r="V3338"/>
  <c r="Z3338"/>
  <c r="S3339"/>
  <c r="T3339" s="1"/>
  <c r="AD3339" s="1"/>
  <c r="AA3339"/>
  <c r="X3340"/>
  <c r="AB3340"/>
  <c r="AC3340" s="1"/>
  <c r="O3341"/>
  <c r="U3341" s="1"/>
  <c r="V3341" s="1"/>
  <c r="AD3341" s="1"/>
  <c r="Y3341"/>
  <c r="Z3342"/>
  <c r="AA3342" s="1"/>
  <c r="S3343"/>
  <c r="T3343" s="1"/>
  <c r="X3344"/>
  <c r="AB3344"/>
  <c r="AC3344" s="1"/>
  <c r="O3345"/>
  <c r="U3345" s="1"/>
  <c r="V3345" s="1"/>
  <c r="AD3345" s="1"/>
  <c r="Z3346"/>
  <c r="AA3346" s="1"/>
  <c r="S3347"/>
  <c r="T3347" s="1"/>
  <c r="X3348"/>
  <c r="AB3348"/>
  <c r="AC3348" s="1"/>
  <c r="O3349"/>
  <c r="U3349" s="1"/>
  <c r="V3349" s="1"/>
  <c r="AD3349" s="1"/>
  <c r="Z3350"/>
  <c r="S3351"/>
  <c r="T3351" s="1"/>
  <c r="AA3351"/>
  <c r="X3352"/>
  <c r="AD3352" s="1"/>
  <c r="AB3352"/>
  <c r="AC3352" s="1"/>
  <c r="O3353"/>
  <c r="U3353" s="1"/>
  <c r="V3353" s="1"/>
  <c r="AD3353" s="1"/>
  <c r="Z3354"/>
  <c r="AA3354" s="1"/>
  <c r="S3355"/>
  <c r="T3355" s="1"/>
  <c r="X3356"/>
  <c r="AD3356" s="1"/>
  <c r="AB3356"/>
  <c r="AC3356" s="1"/>
  <c r="O3357"/>
  <c r="U3357" s="1"/>
  <c r="V3357" s="1"/>
  <c r="AD3357" s="1"/>
  <c r="Z3358"/>
  <c r="AA3358" s="1"/>
  <c r="S3359"/>
  <c r="T3359" s="1"/>
  <c r="X3360"/>
  <c r="AB3360"/>
  <c r="AC3360" s="1"/>
  <c r="O3361"/>
  <c r="Z3362"/>
  <c r="AA3362" s="1"/>
  <c r="S3363"/>
  <c r="T3363" s="1"/>
  <c r="X3364"/>
  <c r="AB3364"/>
  <c r="AC3364" s="1"/>
  <c r="O3365"/>
  <c r="U3365" s="1"/>
  <c r="V3365" s="1"/>
  <c r="AD3365" s="1"/>
  <c r="Z3366"/>
  <c r="AA3366" s="1"/>
  <c r="S3367"/>
  <c r="T3367" s="1"/>
  <c r="AA3367"/>
  <c r="X3368"/>
  <c r="AB3368"/>
  <c r="AC3368" s="1"/>
  <c r="O3369"/>
  <c r="U3369" s="1"/>
  <c r="V3369" s="1"/>
  <c r="AD3369" s="1"/>
  <c r="AA3371"/>
  <c r="S3373"/>
  <c r="T3373" s="1"/>
  <c r="Z3377"/>
  <c r="U3380"/>
  <c r="Z3381"/>
  <c r="AA3381" s="1"/>
  <c r="Z3385"/>
  <c r="AA3385" s="1"/>
  <c r="Z3389"/>
  <c r="Z3393"/>
  <c r="Z3397"/>
  <c r="AA3397" s="1"/>
  <c r="AA3401"/>
  <c r="T3402"/>
  <c r="AD3402" s="1"/>
  <c r="T3406"/>
  <c r="AA3411"/>
  <c r="Y3373"/>
  <c r="AB3373"/>
  <c r="AC3373" s="1"/>
  <c r="X3373"/>
  <c r="AB3376"/>
  <c r="AC3376" s="1"/>
  <c r="X3376"/>
  <c r="AA3376"/>
  <c r="S3376"/>
  <c r="T3376" s="1"/>
  <c r="AB3380"/>
  <c r="AC3380" s="1"/>
  <c r="X3380"/>
  <c r="AA3380"/>
  <c r="S3380"/>
  <c r="T3380" s="1"/>
  <c r="V3382"/>
  <c r="U3382"/>
  <c r="AB3384"/>
  <c r="AC3384" s="1"/>
  <c r="X3384"/>
  <c r="AA3384"/>
  <c r="S3384"/>
  <c r="T3384" s="1"/>
  <c r="AB3388"/>
  <c r="AC3388" s="1"/>
  <c r="X3388"/>
  <c r="AA3388"/>
  <c r="S3388"/>
  <c r="T3388" s="1"/>
  <c r="AB3392"/>
  <c r="AC3392" s="1"/>
  <c r="X3392"/>
  <c r="AA3392"/>
  <c r="S3392"/>
  <c r="T3392" s="1"/>
  <c r="AB3396"/>
  <c r="AC3396" s="1"/>
  <c r="X3396"/>
  <c r="AA3396"/>
  <c r="S3396"/>
  <c r="T3396" s="1"/>
  <c r="AB3400"/>
  <c r="AC3400" s="1"/>
  <c r="X3400"/>
  <c r="AA3400"/>
  <c r="S3400"/>
  <c r="T3400" s="1"/>
  <c r="AB3404"/>
  <c r="AC3404" s="1"/>
  <c r="X3404"/>
  <c r="Y3404"/>
  <c r="AA3404"/>
  <c r="S3404"/>
  <c r="T3404" s="1"/>
  <c r="AB3408"/>
  <c r="AC3408" s="1"/>
  <c r="X3408"/>
  <c r="Y3408"/>
  <c r="S3408"/>
  <c r="T3408" s="1"/>
  <c r="Z3247"/>
  <c r="AA3247" s="1"/>
  <c r="Z3251"/>
  <c r="AA3251" s="1"/>
  <c r="Z3255"/>
  <c r="AA3255" s="1"/>
  <c r="Z3259"/>
  <c r="Z3263"/>
  <c r="AA3263" s="1"/>
  <c r="Z3267"/>
  <c r="AA3267" s="1"/>
  <c r="Z3271"/>
  <c r="AA3271" s="1"/>
  <c r="Z3275"/>
  <c r="AA3275" s="1"/>
  <c r="Z3279"/>
  <c r="AA3279" s="1"/>
  <c r="Z3283"/>
  <c r="Z3287"/>
  <c r="AA3287" s="1"/>
  <c r="Z3291"/>
  <c r="AA3291" s="1"/>
  <c r="Z3295"/>
  <c r="AA3295" s="1"/>
  <c r="Z3299"/>
  <c r="Z3303"/>
  <c r="AA3303" s="1"/>
  <c r="Z3307"/>
  <c r="AA3307" s="1"/>
  <c r="Z3311"/>
  <c r="AA3311" s="1"/>
  <c r="Z3315"/>
  <c r="Z3319"/>
  <c r="AA3319" s="1"/>
  <c r="Z3323"/>
  <c r="AA3323" s="1"/>
  <c r="Z3327"/>
  <c r="AA3327" s="1"/>
  <c r="Z3331"/>
  <c r="AA3331" s="1"/>
  <c r="Z3335"/>
  <c r="Z3339"/>
  <c r="Z3343"/>
  <c r="AA3343" s="1"/>
  <c r="Z3347"/>
  <c r="AA3347" s="1"/>
  <c r="Z3351"/>
  <c r="Z3355"/>
  <c r="AA3355" s="1"/>
  <c r="Z3359"/>
  <c r="AA3359" s="1"/>
  <c r="Z3363"/>
  <c r="AA3363" s="1"/>
  <c r="Z3367"/>
  <c r="Z3373"/>
  <c r="AA3373" s="1"/>
  <c r="Y3376"/>
  <c r="Y3380"/>
  <c r="Y3384"/>
  <c r="Y3388"/>
  <c r="Y3392"/>
  <c r="Y3396"/>
  <c r="Y3400"/>
  <c r="AA3439"/>
  <c r="AA3471"/>
  <c r="AB3372"/>
  <c r="AC3372" s="1"/>
  <c r="X3372"/>
  <c r="AA3372"/>
  <c r="S3372"/>
  <c r="T3372" s="1"/>
  <c r="Z3240"/>
  <c r="AA3240" s="1"/>
  <c r="AD3240" s="1"/>
  <c r="Z3244"/>
  <c r="AA3244" s="1"/>
  <c r="Y3247"/>
  <c r="Z3248"/>
  <c r="AA3248" s="1"/>
  <c r="Y3251"/>
  <c r="Z3252"/>
  <c r="AA3252" s="1"/>
  <c r="Y3255"/>
  <c r="Z3256"/>
  <c r="AA3256" s="1"/>
  <c r="Y3259"/>
  <c r="Z3260"/>
  <c r="AA3260" s="1"/>
  <c r="Y3263"/>
  <c r="Z3264"/>
  <c r="AA3264" s="1"/>
  <c r="Y3267"/>
  <c r="Z3268"/>
  <c r="AA3268" s="1"/>
  <c r="Y3271"/>
  <c r="Z3272"/>
  <c r="AA3272" s="1"/>
  <c r="Y3275"/>
  <c r="Z3276"/>
  <c r="AA3276" s="1"/>
  <c r="Y3279"/>
  <c r="Z3280"/>
  <c r="AA3280" s="1"/>
  <c r="Y3283"/>
  <c r="Z3284"/>
  <c r="AA3284" s="1"/>
  <c r="Y3287"/>
  <c r="Z3288"/>
  <c r="AA3288" s="1"/>
  <c r="Y3291"/>
  <c r="Z3292"/>
  <c r="AA3292" s="1"/>
  <c r="Y3295"/>
  <c r="Z3296"/>
  <c r="AA3296" s="1"/>
  <c r="Y3299"/>
  <c r="Z3300"/>
  <c r="AA3300" s="1"/>
  <c r="Y3303"/>
  <c r="Z3304"/>
  <c r="AA3304" s="1"/>
  <c r="Y3307"/>
  <c r="Z3308"/>
  <c r="AA3308" s="1"/>
  <c r="Y3311"/>
  <c r="Z3312"/>
  <c r="AA3312" s="1"/>
  <c r="Y3315"/>
  <c r="Z3316"/>
  <c r="AA3316" s="1"/>
  <c r="Y3319"/>
  <c r="Z3320"/>
  <c r="AA3320" s="1"/>
  <c r="Y3323"/>
  <c r="Z3324"/>
  <c r="AA3324" s="1"/>
  <c r="Y3327"/>
  <c r="Z3328"/>
  <c r="AA3328" s="1"/>
  <c r="Y3331"/>
  <c r="Z3332"/>
  <c r="AA3332" s="1"/>
  <c r="Y3335"/>
  <c r="Z3336"/>
  <c r="AA3336" s="1"/>
  <c r="AD3336" s="1"/>
  <c r="Y3339"/>
  <c r="Z3340"/>
  <c r="AA3340" s="1"/>
  <c r="Y3343"/>
  <c r="Z3344"/>
  <c r="AA3344" s="1"/>
  <c r="Y3347"/>
  <c r="Z3348"/>
  <c r="AA3348" s="1"/>
  <c r="AD3348" s="1"/>
  <c r="Y3351"/>
  <c r="Z3352"/>
  <c r="AA3352" s="1"/>
  <c r="Y3355"/>
  <c r="Z3356"/>
  <c r="AA3356" s="1"/>
  <c r="Y3359"/>
  <c r="Z3360"/>
  <c r="AA3360" s="1"/>
  <c r="Y3363"/>
  <c r="Z3364"/>
  <c r="AA3364" s="1"/>
  <c r="Y3367"/>
  <c r="Z3368"/>
  <c r="AA3368" s="1"/>
  <c r="Y3372"/>
  <c r="U3373"/>
  <c r="V3373" s="1"/>
  <c r="T3378"/>
  <c r="AD3378" s="1"/>
  <c r="V3381"/>
  <c r="T3382"/>
  <c r="AD3382" s="1"/>
  <c r="T3386"/>
  <c r="AD3386" s="1"/>
  <c r="T3390"/>
  <c r="AD3390" s="1"/>
  <c r="T3394"/>
  <c r="AD3394" s="1"/>
  <c r="T3398"/>
  <c r="AD3398" s="1"/>
  <c r="U3404"/>
  <c r="V3404" s="1"/>
  <c r="Z3404"/>
  <c r="U3408"/>
  <c r="V3408" s="1"/>
  <c r="Z3408"/>
  <c r="AA3408" s="1"/>
  <c r="V3406"/>
  <c r="U3406"/>
  <c r="S3226"/>
  <c r="T3226" s="1"/>
  <c r="S3230"/>
  <c r="T3230" s="1"/>
  <c r="S3234"/>
  <c r="T3234" s="1"/>
  <c r="S3238"/>
  <c r="T3238" s="1"/>
  <c r="S3242"/>
  <c r="T3242" s="1"/>
  <c r="AD3242" s="1"/>
  <c r="S3246"/>
  <c r="T3246" s="1"/>
  <c r="X3247"/>
  <c r="S3250"/>
  <c r="T3250" s="1"/>
  <c r="X3251"/>
  <c r="S3254"/>
  <c r="T3254" s="1"/>
  <c r="X3255"/>
  <c r="S3258"/>
  <c r="T3258" s="1"/>
  <c r="X3259"/>
  <c r="S3262"/>
  <c r="T3262" s="1"/>
  <c r="AD3262" s="1"/>
  <c r="X3263"/>
  <c r="S3266"/>
  <c r="T3266" s="1"/>
  <c r="X3267"/>
  <c r="S3270"/>
  <c r="T3270" s="1"/>
  <c r="AD3270" s="1"/>
  <c r="X3271"/>
  <c r="S3274"/>
  <c r="T3274" s="1"/>
  <c r="X3275"/>
  <c r="S3278"/>
  <c r="T3278" s="1"/>
  <c r="X3279"/>
  <c r="S3282"/>
  <c r="T3282" s="1"/>
  <c r="X3283"/>
  <c r="S3286"/>
  <c r="T3286" s="1"/>
  <c r="X3287"/>
  <c r="S3290"/>
  <c r="T3290" s="1"/>
  <c r="X3291"/>
  <c r="S3294"/>
  <c r="T3294" s="1"/>
  <c r="AD3294" s="1"/>
  <c r="X3295"/>
  <c r="S3298"/>
  <c r="T3298" s="1"/>
  <c r="X3299"/>
  <c r="S3302"/>
  <c r="T3302" s="1"/>
  <c r="AD3302" s="1"/>
  <c r="X3303"/>
  <c r="S3306"/>
  <c r="T3306" s="1"/>
  <c r="X3307"/>
  <c r="S3310"/>
  <c r="T3310" s="1"/>
  <c r="X3311"/>
  <c r="S3314"/>
  <c r="T3314" s="1"/>
  <c r="X3315"/>
  <c r="S3318"/>
  <c r="T3318" s="1"/>
  <c r="X3319"/>
  <c r="S3322"/>
  <c r="T3322" s="1"/>
  <c r="X3323"/>
  <c r="S3326"/>
  <c r="T3326" s="1"/>
  <c r="AD3326" s="1"/>
  <c r="X3327"/>
  <c r="S3330"/>
  <c r="T3330" s="1"/>
  <c r="X3331"/>
  <c r="S3334"/>
  <c r="T3334" s="1"/>
  <c r="AD3334" s="1"/>
  <c r="X3335"/>
  <c r="S3338"/>
  <c r="T3338" s="1"/>
  <c r="AD3338" s="1"/>
  <c r="X3339"/>
  <c r="S3342"/>
  <c r="T3342" s="1"/>
  <c r="X3343"/>
  <c r="S3346"/>
  <c r="T3346" s="1"/>
  <c r="X3347"/>
  <c r="S3350"/>
  <c r="T3350" s="1"/>
  <c r="AD3350" s="1"/>
  <c r="X3351"/>
  <c r="S3354"/>
  <c r="T3354" s="1"/>
  <c r="X3355"/>
  <c r="S3358"/>
  <c r="T3358" s="1"/>
  <c r="X3359"/>
  <c r="S3362"/>
  <c r="T3362" s="1"/>
  <c r="X3363"/>
  <c r="S3366"/>
  <c r="T3366" s="1"/>
  <c r="X3367"/>
  <c r="S3377"/>
  <c r="T3377" s="1"/>
  <c r="AA3377"/>
  <c r="S3381"/>
  <c r="T3381" s="1"/>
  <c r="AA3383"/>
  <c r="S3385"/>
  <c r="T3385" s="1"/>
  <c r="S3389"/>
  <c r="T3389" s="1"/>
  <c r="AD3389" s="1"/>
  <c r="AA3389"/>
  <c r="S3393"/>
  <c r="T3393" s="1"/>
  <c r="AA3393"/>
  <c r="S3397"/>
  <c r="T3397" s="1"/>
  <c r="AA3399"/>
  <c r="S3401"/>
  <c r="T3401" s="1"/>
  <c r="AD3401" s="1"/>
  <c r="V3403"/>
  <c r="V3407"/>
  <c r="AA3427"/>
  <c r="AD3450"/>
  <c r="AA3459"/>
  <c r="AA3487"/>
  <c r="Y3513"/>
  <c r="AB3513"/>
  <c r="AC3513" s="1"/>
  <c r="X3513"/>
  <c r="Y3517"/>
  <c r="AB3517"/>
  <c r="AC3517" s="1"/>
  <c r="X3517"/>
  <c r="Y3521"/>
  <c r="AB3521"/>
  <c r="AC3521" s="1"/>
  <c r="X3521"/>
  <c r="Y3525"/>
  <c r="AB3525"/>
  <c r="AC3525" s="1"/>
  <c r="X3525"/>
  <c r="AD3525" s="1"/>
  <c r="U3541"/>
  <c r="V3541"/>
  <c r="U3549"/>
  <c r="V3549" s="1"/>
  <c r="AD3549" s="1"/>
  <c r="U3557"/>
  <c r="V3557"/>
  <c r="U3569"/>
  <c r="V3569" s="1"/>
  <c r="AD3569" s="1"/>
  <c r="Z3371"/>
  <c r="Z3375"/>
  <c r="AA3375" s="1"/>
  <c r="Y3378"/>
  <c r="Z3379"/>
  <c r="AA3379" s="1"/>
  <c r="Y3382"/>
  <c r="Z3383"/>
  <c r="Y3386"/>
  <c r="Z3387"/>
  <c r="AA3387" s="1"/>
  <c r="Y3390"/>
  <c r="Z3391"/>
  <c r="AA3391" s="1"/>
  <c r="Y3394"/>
  <c r="Z3395"/>
  <c r="AA3395" s="1"/>
  <c r="Y3398"/>
  <c r="Z3399"/>
  <c r="Y3402"/>
  <c r="Z3403"/>
  <c r="AA3403" s="1"/>
  <c r="X3405"/>
  <c r="AB3405"/>
  <c r="AC3405" s="1"/>
  <c r="Y3406"/>
  <c r="Z3407"/>
  <c r="AA3407" s="1"/>
  <c r="X3409"/>
  <c r="AB3409"/>
  <c r="AC3409" s="1"/>
  <c r="O3410"/>
  <c r="Y3410"/>
  <c r="V3411"/>
  <c r="Z3411"/>
  <c r="S3412"/>
  <c r="T3412" s="1"/>
  <c r="AD3412" s="1"/>
  <c r="AA3412"/>
  <c r="X3413"/>
  <c r="AD3413" s="1"/>
  <c r="AB3413"/>
  <c r="AC3413" s="1"/>
  <c r="O3414"/>
  <c r="Z3415"/>
  <c r="AA3415" s="1"/>
  <c r="S3416"/>
  <c r="T3416" s="1"/>
  <c r="X3417"/>
  <c r="AD3417" s="1"/>
  <c r="AB3417"/>
  <c r="AC3417" s="1"/>
  <c r="O3418"/>
  <c r="U3418" s="1"/>
  <c r="V3418" s="1"/>
  <c r="AD3418" s="1"/>
  <c r="Y3418"/>
  <c r="Z3419"/>
  <c r="AA3419" s="1"/>
  <c r="S3420"/>
  <c r="T3420" s="1"/>
  <c r="X3421"/>
  <c r="AD3421" s="1"/>
  <c r="AB3421"/>
  <c r="AC3421" s="1"/>
  <c r="O3422"/>
  <c r="U3422" s="1"/>
  <c r="V3422" s="1"/>
  <c r="AD3422" s="1"/>
  <c r="Y3422"/>
  <c r="Z3423"/>
  <c r="AA3423" s="1"/>
  <c r="S3424"/>
  <c r="T3424" s="1"/>
  <c r="AD3424" s="1"/>
  <c r="AA3424"/>
  <c r="X3425"/>
  <c r="AD3425" s="1"/>
  <c r="AB3425"/>
  <c r="AC3425" s="1"/>
  <c r="O3426"/>
  <c r="U3426" s="1"/>
  <c r="V3426" s="1"/>
  <c r="AD3426" s="1"/>
  <c r="Y3426"/>
  <c r="Z3427"/>
  <c r="S3428"/>
  <c r="T3428" s="1"/>
  <c r="AA3428"/>
  <c r="X3429"/>
  <c r="AD3429" s="1"/>
  <c r="AB3429"/>
  <c r="AC3429" s="1"/>
  <c r="O3430"/>
  <c r="U3430" s="1"/>
  <c r="V3430" s="1"/>
  <c r="AD3430" s="1"/>
  <c r="Y3430"/>
  <c r="Z3431"/>
  <c r="AA3431" s="1"/>
  <c r="S3432"/>
  <c r="T3432" s="1"/>
  <c r="X3433"/>
  <c r="AD3433" s="1"/>
  <c r="AB3433"/>
  <c r="AC3433" s="1"/>
  <c r="O3434"/>
  <c r="U3434" s="1"/>
  <c r="V3434" s="1"/>
  <c r="AD3434" s="1"/>
  <c r="Y3434"/>
  <c r="Z3435"/>
  <c r="AA3435" s="1"/>
  <c r="S3436"/>
  <c r="T3436" s="1"/>
  <c r="X3437"/>
  <c r="AB3437"/>
  <c r="AC3437" s="1"/>
  <c r="AD3437" s="1"/>
  <c r="O3438"/>
  <c r="U3438" s="1"/>
  <c r="V3438" s="1"/>
  <c r="AD3438" s="1"/>
  <c r="Y3438"/>
  <c r="Z3439"/>
  <c r="S3440"/>
  <c r="T3440" s="1"/>
  <c r="AD3440" s="1"/>
  <c r="AA3440"/>
  <c r="X3441"/>
  <c r="AB3441"/>
  <c r="AC3441" s="1"/>
  <c r="O3442"/>
  <c r="U3442" s="1"/>
  <c r="V3442" s="1"/>
  <c r="AD3442" s="1"/>
  <c r="Y3442"/>
  <c r="Z3443"/>
  <c r="AA3443" s="1"/>
  <c r="S3444"/>
  <c r="T3444" s="1"/>
  <c r="AA3444"/>
  <c r="X3445"/>
  <c r="AD3445" s="1"/>
  <c r="AB3445"/>
  <c r="AC3445" s="1"/>
  <c r="O3446"/>
  <c r="U3446" s="1"/>
  <c r="V3446" s="1"/>
  <c r="AD3446" s="1"/>
  <c r="Y3446"/>
  <c r="Z3447"/>
  <c r="AA3447" s="1"/>
  <c r="S3448"/>
  <c r="T3448" s="1"/>
  <c r="X3449"/>
  <c r="AD3449" s="1"/>
  <c r="AB3449"/>
  <c r="AC3449" s="1"/>
  <c r="O3450"/>
  <c r="U3450" s="1"/>
  <c r="V3450" s="1"/>
  <c r="Y3450"/>
  <c r="Z3451"/>
  <c r="AA3451" s="1"/>
  <c r="S3452"/>
  <c r="T3452" s="1"/>
  <c r="X3453"/>
  <c r="AD3453" s="1"/>
  <c r="AB3453"/>
  <c r="AC3453" s="1"/>
  <c r="O3454"/>
  <c r="U3454" s="1"/>
  <c r="V3454" s="1"/>
  <c r="AD3454" s="1"/>
  <c r="Y3454"/>
  <c r="Z3455"/>
  <c r="AA3455" s="1"/>
  <c r="S3456"/>
  <c r="T3456" s="1"/>
  <c r="AD3456" s="1"/>
  <c r="AA3456"/>
  <c r="X3457"/>
  <c r="AD3457" s="1"/>
  <c r="AB3457"/>
  <c r="AC3457" s="1"/>
  <c r="O3458"/>
  <c r="U3458" s="1"/>
  <c r="V3458" s="1"/>
  <c r="AD3458" s="1"/>
  <c r="Y3458"/>
  <c r="Z3459"/>
  <c r="S3460"/>
  <c r="T3460" s="1"/>
  <c r="AA3460"/>
  <c r="X3461"/>
  <c r="AD3461" s="1"/>
  <c r="AB3461"/>
  <c r="AC3461" s="1"/>
  <c r="O3462"/>
  <c r="U3462" s="1"/>
  <c r="V3462" s="1"/>
  <c r="AD3462" s="1"/>
  <c r="Y3462"/>
  <c r="Z3463"/>
  <c r="AA3463" s="1"/>
  <c r="S3464"/>
  <c r="T3464" s="1"/>
  <c r="X3465"/>
  <c r="AD3465" s="1"/>
  <c r="AB3465"/>
  <c r="AC3465" s="1"/>
  <c r="O3466"/>
  <c r="U3466" s="1"/>
  <c r="V3466" s="1"/>
  <c r="AD3466" s="1"/>
  <c r="Y3466"/>
  <c r="Z3467"/>
  <c r="AA3467" s="1"/>
  <c r="S3468"/>
  <c r="T3468" s="1"/>
  <c r="X3469"/>
  <c r="AB3469"/>
  <c r="AC3469" s="1"/>
  <c r="AD3469" s="1"/>
  <c r="O3470"/>
  <c r="U3470" s="1"/>
  <c r="V3470" s="1"/>
  <c r="AD3470" s="1"/>
  <c r="Y3470"/>
  <c r="Z3471"/>
  <c r="S3472"/>
  <c r="T3472" s="1"/>
  <c r="AD3472" s="1"/>
  <c r="AA3472"/>
  <c r="X3473"/>
  <c r="AB3473"/>
  <c r="AC3473" s="1"/>
  <c r="O3474"/>
  <c r="U3474" s="1"/>
  <c r="V3474" s="1"/>
  <c r="AD3474" s="1"/>
  <c r="Y3474"/>
  <c r="Z3475"/>
  <c r="AA3475" s="1"/>
  <c r="S3476"/>
  <c r="T3476" s="1"/>
  <c r="AA3476"/>
  <c r="X3477"/>
  <c r="AD3477" s="1"/>
  <c r="AB3477"/>
  <c r="AC3477" s="1"/>
  <c r="O3478"/>
  <c r="U3478" s="1"/>
  <c r="V3478" s="1"/>
  <c r="AD3478" s="1"/>
  <c r="Y3478"/>
  <c r="Z3479"/>
  <c r="AA3479" s="1"/>
  <c r="S3480"/>
  <c r="T3480" s="1"/>
  <c r="X3481"/>
  <c r="AD3481" s="1"/>
  <c r="AB3481"/>
  <c r="AC3481" s="1"/>
  <c r="O3482"/>
  <c r="U3482" s="1"/>
  <c r="V3482" s="1"/>
  <c r="AD3482" s="1"/>
  <c r="Y3482"/>
  <c r="Z3483"/>
  <c r="AA3483" s="1"/>
  <c r="S3484"/>
  <c r="T3484" s="1"/>
  <c r="X3485"/>
  <c r="AB3485"/>
  <c r="AC3485" s="1"/>
  <c r="AD3485" s="1"/>
  <c r="O3486"/>
  <c r="U3486" s="1"/>
  <c r="V3486" s="1"/>
  <c r="AD3486" s="1"/>
  <c r="Y3486"/>
  <c r="Z3487"/>
  <c r="S3488"/>
  <c r="T3488" s="1"/>
  <c r="AD3488" s="1"/>
  <c r="AA3488"/>
  <c r="X3489"/>
  <c r="AD3489" s="1"/>
  <c r="AB3489"/>
  <c r="AC3489" s="1"/>
  <c r="O3490"/>
  <c r="U3490" s="1"/>
  <c r="V3490" s="1"/>
  <c r="AD3490" s="1"/>
  <c r="Y3490"/>
  <c r="Z3491"/>
  <c r="AA3491" s="1"/>
  <c r="S3492"/>
  <c r="T3492" s="1"/>
  <c r="AA3492"/>
  <c r="X3493"/>
  <c r="AD3493" s="1"/>
  <c r="AB3493"/>
  <c r="AC3493" s="1"/>
  <c r="O3494"/>
  <c r="U3494" s="1"/>
  <c r="V3494" s="1"/>
  <c r="AD3494" s="1"/>
  <c r="Y3494"/>
  <c r="Z3495"/>
  <c r="AA3495" s="1"/>
  <c r="S3496"/>
  <c r="T3496" s="1"/>
  <c r="X3497"/>
  <c r="AD3497" s="1"/>
  <c r="AB3497"/>
  <c r="AC3497" s="1"/>
  <c r="O3498"/>
  <c r="U3498" s="1"/>
  <c r="V3498" s="1"/>
  <c r="AD3498" s="1"/>
  <c r="Y3498"/>
  <c r="Z3499"/>
  <c r="AA3499" s="1"/>
  <c r="S3500"/>
  <c r="T3500" s="1"/>
  <c r="X3501"/>
  <c r="AD3501" s="1"/>
  <c r="AB3501"/>
  <c r="AC3501" s="1"/>
  <c r="O3502"/>
  <c r="U3502" s="1"/>
  <c r="V3502" s="1"/>
  <c r="AD3502" s="1"/>
  <c r="Y3502"/>
  <c r="S3504"/>
  <c r="T3504" s="1"/>
  <c r="AA3504"/>
  <c r="X3505"/>
  <c r="AD3505" s="1"/>
  <c r="AB3505"/>
  <c r="AC3505" s="1"/>
  <c r="O3506"/>
  <c r="U3506" s="1"/>
  <c r="V3506" s="1"/>
  <c r="AD3506" s="1"/>
  <c r="Y3506"/>
  <c r="S3508"/>
  <c r="T3508" s="1"/>
  <c r="X3509"/>
  <c r="AB3509"/>
  <c r="AC3509" s="1"/>
  <c r="AD3509" s="1"/>
  <c r="O3510"/>
  <c r="U3510" s="1"/>
  <c r="V3510" s="1"/>
  <c r="AD3510" s="1"/>
  <c r="AA3510"/>
  <c r="Z3513"/>
  <c r="Z3517"/>
  <c r="Z3521"/>
  <c r="AA3521" s="1"/>
  <c r="AD3521" s="1"/>
  <c r="Z3525"/>
  <c r="AA3525" s="1"/>
  <c r="AA3543"/>
  <c r="AA3575"/>
  <c r="AD3592"/>
  <c r="AD3593"/>
  <c r="AB3512"/>
  <c r="AC3512" s="1"/>
  <c r="X3512"/>
  <c r="AA3512"/>
  <c r="S3512"/>
  <c r="T3512" s="1"/>
  <c r="AB3516"/>
  <c r="AC3516" s="1"/>
  <c r="X3516"/>
  <c r="AA3516"/>
  <c r="S3516"/>
  <c r="T3516" s="1"/>
  <c r="AB3520"/>
  <c r="AC3520" s="1"/>
  <c r="X3520"/>
  <c r="AA3520"/>
  <c r="S3520"/>
  <c r="T3520" s="1"/>
  <c r="AB3524"/>
  <c r="AC3524" s="1"/>
  <c r="X3524"/>
  <c r="AA3524"/>
  <c r="S3524"/>
  <c r="T3524" s="1"/>
  <c r="Z3412"/>
  <c r="Z3416"/>
  <c r="AA3416" s="1"/>
  <c r="Z3420"/>
  <c r="AA3420" s="1"/>
  <c r="Z3424"/>
  <c r="Z3428"/>
  <c r="Z3432"/>
  <c r="AA3432" s="1"/>
  <c r="Z3436"/>
  <c r="AA3436" s="1"/>
  <c r="Z3440"/>
  <c r="Z3444"/>
  <c r="Z3448"/>
  <c r="AA3448" s="1"/>
  <c r="Z3452"/>
  <c r="AA3452" s="1"/>
  <c r="Z3456"/>
  <c r="Z3460"/>
  <c r="Z3464"/>
  <c r="AA3464" s="1"/>
  <c r="Z3468"/>
  <c r="AA3468" s="1"/>
  <c r="Z3472"/>
  <c r="Z3476"/>
  <c r="Z3480"/>
  <c r="AA3480" s="1"/>
  <c r="Z3484"/>
  <c r="AA3484" s="1"/>
  <c r="Z3488"/>
  <c r="Z3492"/>
  <c r="Z3496"/>
  <c r="AA3496" s="1"/>
  <c r="Z3500"/>
  <c r="AA3500" s="1"/>
  <c r="Z3504"/>
  <c r="Z3508"/>
  <c r="AA3508" s="1"/>
  <c r="Y3512"/>
  <c r="Y3516"/>
  <c r="Y3520"/>
  <c r="Y3524"/>
  <c r="AD3530"/>
  <c r="AD3534"/>
  <c r="AB3528"/>
  <c r="AC3528" s="1"/>
  <c r="X3528"/>
  <c r="Y3528"/>
  <c r="S3528"/>
  <c r="T3528" s="1"/>
  <c r="AB3532"/>
  <c r="AC3532" s="1"/>
  <c r="X3532"/>
  <c r="Y3532"/>
  <c r="S3532"/>
  <c r="T3532" s="1"/>
  <c r="AB3536"/>
  <c r="AC3536" s="1"/>
  <c r="X3536"/>
  <c r="Y3536"/>
  <c r="S3536"/>
  <c r="T3536" s="1"/>
  <c r="U3545"/>
  <c r="V3545" s="1"/>
  <c r="AD3545" s="1"/>
  <c r="U3553"/>
  <c r="V3553"/>
  <c r="AD3553" s="1"/>
  <c r="V3597"/>
  <c r="U3597"/>
  <c r="Z3405"/>
  <c r="AA3405" s="1"/>
  <c r="Z3409"/>
  <c r="AA3409" s="1"/>
  <c r="AD3409" s="1"/>
  <c r="Y3412"/>
  <c r="Z3413"/>
  <c r="AA3413" s="1"/>
  <c r="Y3416"/>
  <c r="Z3417"/>
  <c r="AA3417" s="1"/>
  <c r="Y3420"/>
  <c r="Z3421"/>
  <c r="AA3421" s="1"/>
  <c r="Y3424"/>
  <c r="Z3425"/>
  <c r="AA3425" s="1"/>
  <c r="Y3428"/>
  <c r="Z3429"/>
  <c r="AA3429" s="1"/>
  <c r="Y3432"/>
  <c r="Z3433"/>
  <c r="AA3433" s="1"/>
  <c r="Y3436"/>
  <c r="Z3437"/>
  <c r="AA3437" s="1"/>
  <c r="Y3440"/>
  <c r="Z3441"/>
  <c r="AA3441" s="1"/>
  <c r="AD3441" s="1"/>
  <c r="Y3444"/>
  <c r="Z3445"/>
  <c r="AA3445" s="1"/>
  <c r="Y3448"/>
  <c r="Z3449"/>
  <c r="AA3449" s="1"/>
  <c r="Y3452"/>
  <c r="Z3453"/>
  <c r="AA3453" s="1"/>
  <c r="Y3456"/>
  <c r="Z3457"/>
  <c r="AA3457" s="1"/>
  <c r="Y3460"/>
  <c r="Z3461"/>
  <c r="AA3461" s="1"/>
  <c r="Y3464"/>
  <c r="Z3465"/>
  <c r="AA3465" s="1"/>
  <c r="Y3468"/>
  <c r="Z3469"/>
  <c r="AA3469" s="1"/>
  <c r="Y3472"/>
  <c r="Z3473"/>
  <c r="AA3473" s="1"/>
  <c r="AD3473" s="1"/>
  <c r="Y3476"/>
  <c r="Z3477"/>
  <c r="AA3477" s="1"/>
  <c r="Y3480"/>
  <c r="Z3481"/>
  <c r="AA3481" s="1"/>
  <c r="Y3484"/>
  <c r="Z3485"/>
  <c r="AA3485" s="1"/>
  <c r="Y3488"/>
  <c r="Z3489"/>
  <c r="AA3489" s="1"/>
  <c r="Y3492"/>
  <c r="Z3493"/>
  <c r="AA3493" s="1"/>
  <c r="Y3496"/>
  <c r="Z3497"/>
  <c r="AA3497" s="1"/>
  <c r="Y3500"/>
  <c r="Z3501"/>
  <c r="AA3501" s="1"/>
  <c r="Y3504"/>
  <c r="Z3505"/>
  <c r="AA3505" s="1"/>
  <c r="Y3508"/>
  <c r="Z3509"/>
  <c r="AA3509" s="1"/>
  <c r="T3514"/>
  <c r="AD3514" s="1"/>
  <c r="T3518"/>
  <c r="AD3518" s="1"/>
  <c r="T3522"/>
  <c r="AD3522" s="1"/>
  <c r="AD3526"/>
  <c r="AA3567"/>
  <c r="AD3585"/>
  <c r="S3371"/>
  <c r="T3371" s="1"/>
  <c r="AD3371" s="1"/>
  <c r="S3375"/>
  <c r="T3375" s="1"/>
  <c r="S3379"/>
  <c r="T3379" s="1"/>
  <c r="S3383"/>
  <c r="T3383" s="1"/>
  <c r="S3387"/>
  <c r="T3387" s="1"/>
  <c r="S3391"/>
  <c r="T3391" s="1"/>
  <c r="S3395"/>
  <c r="T3395" s="1"/>
  <c r="S3399"/>
  <c r="T3399" s="1"/>
  <c r="S3403"/>
  <c r="T3403" s="1"/>
  <c r="S3407"/>
  <c r="T3407" s="1"/>
  <c r="S3411"/>
  <c r="T3411" s="1"/>
  <c r="AD3411" s="1"/>
  <c r="X3412"/>
  <c r="S3415"/>
  <c r="T3415" s="1"/>
  <c r="X3416"/>
  <c r="S3419"/>
  <c r="T3419" s="1"/>
  <c r="X3420"/>
  <c r="S3423"/>
  <c r="T3423" s="1"/>
  <c r="X3424"/>
  <c r="S3427"/>
  <c r="T3427" s="1"/>
  <c r="X3428"/>
  <c r="S3431"/>
  <c r="T3431" s="1"/>
  <c r="X3432"/>
  <c r="S3435"/>
  <c r="T3435" s="1"/>
  <c r="X3436"/>
  <c r="S3439"/>
  <c r="T3439" s="1"/>
  <c r="AD3439" s="1"/>
  <c r="X3440"/>
  <c r="S3443"/>
  <c r="T3443" s="1"/>
  <c r="X3444"/>
  <c r="S3447"/>
  <c r="T3447" s="1"/>
  <c r="X3448"/>
  <c r="S3451"/>
  <c r="T3451" s="1"/>
  <c r="X3452"/>
  <c r="S3455"/>
  <c r="T3455" s="1"/>
  <c r="X3456"/>
  <c r="S3459"/>
  <c r="T3459" s="1"/>
  <c r="X3460"/>
  <c r="S3463"/>
  <c r="T3463" s="1"/>
  <c r="X3464"/>
  <c r="S3467"/>
  <c r="T3467" s="1"/>
  <c r="X3468"/>
  <c r="S3471"/>
  <c r="T3471" s="1"/>
  <c r="AD3471" s="1"/>
  <c r="X3472"/>
  <c r="S3475"/>
  <c r="T3475" s="1"/>
  <c r="X3476"/>
  <c r="S3479"/>
  <c r="T3479" s="1"/>
  <c r="X3480"/>
  <c r="S3483"/>
  <c r="T3483" s="1"/>
  <c r="X3484"/>
  <c r="S3487"/>
  <c r="T3487" s="1"/>
  <c r="AD3487" s="1"/>
  <c r="X3488"/>
  <c r="S3491"/>
  <c r="T3491" s="1"/>
  <c r="X3492"/>
  <c r="S3495"/>
  <c r="T3495" s="1"/>
  <c r="X3496"/>
  <c r="S3499"/>
  <c r="T3499" s="1"/>
  <c r="X3500"/>
  <c r="X3504"/>
  <c r="X3508"/>
  <c r="AB3510"/>
  <c r="AC3510" s="1"/>
  <c r="S3513"/>
  <c r="T3513" s="1"/>
  <c r="AD3513" s="1"/>
  <c r="AA3513"/>
  <c r="S3517"/>
  <c r="T3517" s="1"/>
  <c r="AA3517"/>
  <c r="U3528"/>
  <c r="V3528" s="1"/>
  <c r="Z3528"/>
  <c r="AA3528" s="1"/>
  <c r="U3532"/>
  <c r="V3532" s="1"/>
  <c r="Z3532"/>
  <c r="AA3532" s="1"/>
  <c r="U3536"/>
  <c r="V3536" s="1"/>
  <c r="Z3536"/>
  <c r="AA3536" s="1"/>
  <c r="AD3581"/>
  <c r="AB3583"/>
  <c r="AC3583" s="1"/>
  <c r="X3583"/>
  <c r="V3588"/>
  <c r="AD3588" s="1"/>
  <c r="U3588"/>
  <c r="U3635"/>
  <c r="V3635"/>
  <c r="Z3511"/>
  <c r="AA3511" s="1"/>
  <c r="Y3514"/>
  <c r="Z3515"/>
  <c r="AA3515" s="1"/>
  <c r="Y3518"/>
  <c r="Z3519"/>
  <c r="AA3519" s="1"/>
  <c r="Y3522"/>
  <c r="Z3523"/>
  <c r="AA3523" s="1"/>
  <c r="Y3526"/>
  <c r="Z3527"/>
  <c r="AA3527" s="1"/>
  <c r="X3529"/>
  <c r="AD3529" s="1"/>
  <c r="AB3529"/>
  <c r="AC3529" s="1"/>
  <c r="Y3530"/>
  <c r="Z3531"/>
  <c r="AA3531" s="1"/>
  <c r="X3533"/>
  <c r="AD3533" s="1"/>
  <c r="AB3533"/>
  <c r="AC3533" s="1"/>
  <c r="Y3534"/>
  <c r="Z3535"/>
  <c r="AA3535" s="1"/>
  <c r="X3537"/>
  <c r="AD3537" s="1"/>
  <c r="AB3537"/>
  <c r="AC3537" s="1"/>
  <c r="V3539"/>
  <c r="Z3539"/>
  <c r="AA3539" s="1"/>
  <c r="S3540"/>
  <c r="T3540" s="1"/>
  <c r="X3541"/>
  <c r="AD3541" s="1"/>
  <c r="AB3541"/>
  <c r="AC3541" s="1"/>
  <c r="O3542"/>
  <c r="Y3542"/>
  <c r="V3543"/>
  <c r="Z3543"/>
  <c r="S3544"/>
  <c r="T3544" s="1"/>
  <c r="X3545"/>
  <c r="AB3545"/>
  <c r="AC3545" s="1"/>
  <c r="O3546"/>
  <c r="Y3546"/>
  <c r="V3547"/>
  <c r="Z3547"/>
  <c r="AA3547" s="1"/>
  <c r="S3548"/>
  <c r="T3548" s="1"/>
  <c r="X3549"/>
  <c r="AB3549"/>
  <c r="AC3549" s="1"/>
  <c r="O3550"/>
  <c r="Y3550"/>
  <c r="V3551"/>
  <c r="Z3551"/>
  <c r="AA3551" s="1"/>
  <c r="S3552"/>
  <c r="T3552" s="1"/>
  <c r="X3553"/>
  <c r="AB3553"/>
  <c r="AC3553" s="1"/>
  <c r="O3554"/>
  <c r="U3554" s="1"/>
  <c r="V3554" s="1"/>
  <c r="AD3554" s="1"/>
  <c r="Y3554"/>
  <c r="V3555"/>
  <c r="Z3555"/>
  <c r="AA3555" s="1"/>
  <c r="S3556"/>
  <c r="T3556" s="1"/>
  <c r="X3557"/>
  <c r="AB3557"/>
  <c r="AC3557" s="1"/>
  <c r="O3558"/>
  <c r="Y3558"/>
  <c r="V3559"/>
  <c r="Z3559"/>
  <c r="AA3559" s="1"/>
  <c r="S3560"/>
  <c r="T3560" s="1"/>
  <c r="X3561"/>
  <c r="AD3561" s="1"/>
  <c r="AB3561"/>
  <c r="AC3561" s="1"/>
  <c r="O3562"/>
  <c r="U3562" s="1"/>
  <c r="V3562" s="1"/>
  <c r="AD3562" s="1"/>
  <c r="Z3563"/>
  <c r="AA3563" s="1"/>
  <c r="S3564"/>
  <c r="T3564" s="1"/>
  <c r="AA3564"/>
  <c r="X3565"/>
  <c r="AD3565" s="1"/>
  <c r="AB3565"/>
  <c r="AC3565" s="1"/>
  <c r="O3566"/>
  <c r="Z3567"/>
  <c r="S3568"/>
  <c r="T3568" s="1"/>
  <c r="X3569"/>
  <c r="AB3569"/>
  <c r="AC3569" s="1"/>
  <c r="O3570"/>
  <c r="V3571"/>
  <c r="Z3571"/>
  <c r="AA3571" s="1"/>
  <c r="S3572"/>
  <c r="T3572" s="1"/>
  <c r="X3573"/>
  <c r="AB3573"/>
  <c r="AC3573" s="1"/>
  <c r="O3574"/>
  <c r="Z3575"/>
  <c r="S3576"/>
  <c r="T3576" s="1"/>
  <c r="AA3576"/>
  <c r="X3577"/>
  <c r="AD3577" s="1"/>
  <c r="AB3577"/>
  <c r="AC3577" s="1"/>
  <c r="O3578"/>
  <c r="U3578" s="1"/>
  <c r="V3578" s="1"/>
  <c r="AD3578" s="1"/>
  <c r="Z3579"/>
  <c r="AA3579" s="1"/>
  <c r="S3580"/>
  <c r="T3580" s="1"/>
  <c r="X3580"/>
  <c r="U3587"/>
  <c r="V3587" s="1"/>
  <c r="T3589"/>
  <c r="AD3589" s="1"/>
  <c r="S3591"/>
  <c r="T3591" s="1"/>
  <c r="T3597"/>
  <c r="V3613"/>
  <c r="AD3624"/>
  <c r="AD3640"/>
  <c r="AD3644"/>
  <c r="AD3648"/>
  <c r="AD3652"/>
  <c r="AD3656"/>
  <c r="AD3661"/>
  <c r="S3582"/>
  <c r="T3582" s="1"/>
  <c r="AB3586"/>
  <c r="AC3586" s="1"/>
  <c r="X3586"/>
  <c r="AA3586"/>
  <c r="S3586"/>
  <c r="T3586" s="1"/>
  <c r="AD3586" s="1"/>
  <c r="Y3591"/>
  <c r="AB3591"/>
  <c r="AC3591" s="1"/>
  <c r="X3591"/>
  <c r="AB3594"/>
  <c r="AC3594" s="1"/>
  <c r="X3594"/>
  <c r="AA3594"/>
  <c r="S3594"/>
  <c r="T3594" s="1"/>
  <c r="AB3606"/>
  <c r="AC3606" s="1"/>
  <c r="X3606"/>
  <c r="Y3606"/>
  <c r="S3606"/>
  <c r="T3606" s="1"/>
  <c r="AB3614"/>
  <c r="AC3614" s="1"/>
  <c r="X3614"/>
  <c r="Y3614"/>
  <c r="S3614"/>
  <c r="T3614" s="1"/>
  <c r="V3636"/>
  <c r="U3636"/>
  <c r="Z3540"/>
  <c r="AA3540" s="1"/>
  <c r="Z3544"/>
  <c r="AA3544" s="1"/>
  <c r="Z3548"/>
  <c r="AA3548" s="1"/>
  <c r="Z3552"/>
  <c r="AA3552" s="1"/>
  <c r="Z3556"/>
  <c r="AA3556" s="1"/>
  <c r="Z3560"/>
  <c r="AA3560" s="1"/>
  <c r="Z3564"/>
  <c r="Z3568"/>
  <c r="AA3568" s="1"/>
  <c r="Z3572"/>
  <c r="AA3572" s="1"/>
  <c r="Z3576"/>
  <c r="AB3580"/>
  <c r="AC3580" s="1"/>
  <c r="AB3582"/>
  <c r="AC3582" s="1"/>
  <c r="V3583"/>
  <c r="Y3586"/>
  <c r="Z3591"/>
  <c r="AA3591" s="1"/>
  <c r="Y3594"/>
  <c r="AD3613"/>
  <c r="U3631"/>
  <c r="V3631"/>
  <c r="Z3529"/>
  <c r="AA3529" s="1"/>
  <c r="Z3533"/>
  <c r="AA3533" s="1"/>
  <c r="Z3537"/>
  <c r="AA3537" s="1"/>
  <c r="Y3540"/>
  <c r="Z3541"/>
  <c r="AA3541" s="1"/>
  <c r="Y3544"/>
  <c r="Z3545"/>
  <c r="AA3545" s="1"/>
  <c r="Y3548"/>
  <c r="Z3549"/>
  <c r="AA3549" s="1"/>
  <c r="Y3552"/>
  <c r="Z3553"/>
  <c r="AA3553" s="1"/>
  <c r="Y3556"/>
  <c r="Z3557"/>
  <c r="AA3557" s="1"/>
  <c r="Y3560"/>
  <c r="Z3561"/>
  <c r="AA3561" s="1"/>
  <c r="Y3564"/>
  <c r="Z3565"/>
  <c r="AA3565" s="1"/>
  <c r="Y3568"/>
  <c r="Z3569"/>
  <c r="AA3569" s="1"/>
  <c r="Y3572"/>
  <c r="Z3573"/>
  <c r="AA3573" s="1"/>
  <c r="AD3573" s="1"/>
  <c r="Y3576"/>
  <c r="Z3577"/>
  <c r="AA3577" s="1"/>
  <c r="X3579"/>
  <c r="AB3579"/>
  <c r="AC3579" s="1"/>
  <c r="U3580"/>
  <c r="V3580" s="1"/>
  <c r="Z3582"/>
  <c r="AA3582" s="1"/>
  <c r="U3591"/>
  <c r="V3591" s="1"/>
  <c r="U3606"/>
  <c r="V3606" s="1"/>
  <c r="Z3606"/>
  <c r="AA3606" s="1"/>
  <c r="U3614"/>
  <c r="V3614" s="1"/>
  <c r="Z3614"/>
  <c r="AA3614" s="1"/>
  <c r="AD3619"/>
  <c r="AD3621"/>
  <c r="AD3625"/>
  <c r="AD3627"/>
  <c r="Y3587"/>
  <c r="AB3587"/>
  <c r="AC3587" s="1"/>
  <c r="X3587"/>
  <c r="AB3590"/>
  <c r="AC3590" s="1"/>
  <c r="X3590"/>
  <c r="AA3590"/>
  <c r="S3590"/>
  <c r="T3590" s="1"/>
  <c r="AD3590" s="1"/>
  <c r="Y3595"/>
  <c r="AB3595"/>
  <c r="AC3595" s="1"/>
  <c r="X3595"/>
  <c r="AD3595" s="1"/>
  <c r="AB3598"/>
  <c r="AC3598" s="1"/>
  <c r="X3598"/>
  <c r="AA3598"/>
  <c r="S3598"/>
  <c r="T3598" s="1"/>
  <c r="AB3602"/>
  <c r="AC3602" s="1"/>
  <c r="X3602"/>
  <c r="Y3602"/>
  <c r="AA3602"/>
  <c r="S3602"/>
  <c r="T3602" s="1"/>
  <c r="AD3602" s="1"/>
  <c r="AB3610"/>
  <c r="AC3610" s="1"/>
  <c r="X3610"/>
  <c r="Y3610"/>
  <c r="AA3610"/>
  <c r="S3610"/>
  <c r="T3610" s="1"/>
  <c r="U3637"/>
  <c r="V3637" s="1"/>
  <c r="S3511"/>
  <c r="T3511" s="1"/>
  <c r="S3515"/>
  <c r="T3515" s="1"/>
  <c r="S3519"/>
  <c r="T3519" s="1"/>
  <c r="S3523"/>
  <c r="T3523" s="1"/>
  <c r="S3527"/>
  <c r="T3527" s="1"/>
  <c r="S3531"/>
  <c r="T3531" s="1"/>
  <c r="S3535"/>
  <c r="T3535" s="1"/>
  <c r="S3539"/>
  <c r="T3539" s="1"/>
  <c r="X3540"/>
  <c r="S3543"/>
  <c r="T3543" s="1"/>
  <c r="X3544"/>
  <c r="S3547"/>
  <c r="T3547" s="1"/>
  <c r="X3548"/>
  <c r="S3551"/>
  <c r="T3551" s="1"/>
  <c r="X3552"/>
  <c r="S3555"/>
  <c r="T3555" s="1"/>
  <c r="X3556"/>
  <c r="S3559"/>
  <c r="T3559" s="1"/>
  <c r="X3560"/>
  <c r="S3563"/>
  <c r="T3563" s="1"/>
  <c r="X3564"/>
  <c r="S3567"/>
  <c r="T3567" s="1"/>
  <c r="X3568"/>
  <c r="S3571"/>
  <c r="T3571" s="1"/>
  <c r="X3572"/>
  <c r="S3575"/>
  <c r="T3575" s="1"/>
  <c r="AD3575" s="1"/>
  <c r="X3576"/>
  <c r="S3579"/>
  <c r="T3579" s="1"/>
  <c r="Z3580"/>
  <c r="AA3580" s="1"/>
  <c r="Y3582"/>
  <c r="S3583"/>
  <c r="T3583" s="1"/>
  <c r="Y3583"/>
  <c r="T3584"/>
  <c r="AD3584" s="1"/>
  <c r="Z3587"/>
  <c r="AA3587" s="1"/>
  <c r="Y3590"/>
  <c r="Z3595"/>
  <c r="AA3595" s="1"/>
  <c r="Y3598"/>
  <c r="T3600"/>
  <c r="AD3600" s="1"/>
  <c r="AD3601"/>
  <c r="T3608"/>
  <c r="AD3608" s="1"/>
  <c r="AD3609"/>
  <c r="T3616"/>
  <c r="AD3616" s="1"/>
  <c r="AD3617"/>
  <c r="AD3636"/>
  <c r="AA3649"/>
  <c r="U3711"/>
  <c r="V3711"/>
  <c r="Y3584"/>
  <c r="Y3588"/>
  <c r="Y3592"/>
  <c r="Y3596"/>
  <c r="X3599"/>
  <c r="AD3599" s="1"/>
  <c r="AB3599"/>
  <c r="AC3599" s="1"/>
  <c r="Y3600"/>
  <c r="X3603"/>
  <c r="AD3603" s="1"/>
  <c r="AB3603"/>
  <c r="AC3603" s="1"/>
  <c r="Y3604"/>
  <c r="X3607"/>
  <c r="AD3607" s="1"/>
  <c r="AB3607"/>
  <c r="AC3607" s="1"/>
  <c r="Y3608"/>
  <c r="X3611"/>
  <c r="AD3611" s="1"/>
  <c r="AB3611"/>
  <c r="AC3611" s="1"/>
  <c r="Y3612"/>
  <c r="X3615"/>
  <c r="AB3615"/>
  <c r="AC3615" s="1"/>
  <c r="Y3616"/>
  <c r="S3618"/>
  <c r="T3618" s="1"/>
  <c r="AD3618" s="1"/>
  <c r="AA3618"/>
  <c r="X3619"/>
  <c r="AB3619"/>
  <c r="AC3619" s="1"/>
  <c r="O3620"/>
  <c r="U3620" s="1"/>
  <c r="V3620" s="1"/>
  <c r="AD3620" s="1"/>
  <c r="Y3620"/>
  <c r="S3622"/>
  <c r="T3622" s="1"/>
  <c r="X3623"/>
  <c r="AD3623" s="1"/>
  <c r="AB3623"/>
  <c r="AC3623" s="1"/>
  <c r="O3624"/>
  <c r="U3624" s="1"/>
  <c r="V3624" s="1"/>
  <c r="Y3624"/>
  <c r="S3626"/>
  <c r="T3626" s="1"/>
  <c r="X3627"/>
  <c r="AB3627"/>
  <c r="AC3627" s="1"/>
  <c r="O3628"/>
  <c r="U3628" s="1"/>
  <c r="V3628" s="1"/>
  <c r="AD3628" s="1"/>
  <c r="Y3628"/>
  <c r="Z3629"/>
  <c r="AA3629" s="1"/>
  <c r="S3630"/>
  <c r="T3630" s="1"/>
  <c r="AA3630"/>
  <c r="X3631"/>
  <c r="AB3631"/>
  <c r="AC3631" s="1"/>
  <c r="O3632"/>
  <c r="U3632" s="1"/>
  <c r="V3632" s="1"/>
  <c r="AD3632" s="1"/>
  <c r="Y3632"/>
  <c r="V3633"/>
  <c r="Z3633"/>
  <c r="AA3633" s="1"/>
  <c r="S3634"/>
  <c r="T3634" s="1"/>
  <c r="X3635"/>
  <c r="AB3635"/>
  <c r="AC3635" s="1"/>
  <c r="Y3636"/>
  <c r="Z3637"/>
  <c r="AA3637" s="1"/>
  <c r="S3638"/>
  <c r="T3638" s="1"/>
  <c r="X3639"/>
  <c r="AB3639"/>
  <c r="AC3639" s="1"/>
  <c r="Y3640"/>
  <c r="Z3641"/>
  <c r="AA3641" s="1"/>
  <c r="S3642"/>
  <c r="T3642" s="1"/>
  <c r="AA3642"/>
  <c r="X3643"/>
  <c r="AB3643"/>
  <c r="AC3643" s="1"/>
  <c r="Y3644"/>
  <c r="Z3645"/>
  <c r="AA3645" s="1"/>
  <c r="S3646"/>
  <c r="T3646" s="1"/>
  <c r="X3647"/>
  <c r="AB3647"/>
  <c r="AC3647" s="1"/>
  <c r="Y3648"/>
  <c r="Z3649"/>
  <c r="S3650"/>
  <c r="T3650" s="1"/>
  <c r="X3651"/>
  <c r="AB3651"/>
  <c r="AC3651" s="1"/>
  <c r="Y3652"/>
  <c r="Z3653"/>
  <c r="AA3653" s="1"/>
  <c r="S3654"/>
  <c r="T3654" s="1"/>
  <c r="X3655"/>
  <c r="AB3655"/>
  <c r="AC3655" s="1"/>
  <c r="Y3656"/>
  <c r="Z3657"/>
  <c r="AA3657" s="1"/>
  <c r="S3658"/>
  <c r="T3658" s="1"/>
  <c r="AA3658"/>
  <c r="X3659"/>
  <c r="AB3659"/>
  <c r="AC3659" s="1"/>
  <c r="O3660"/>
  <c r="U3660" s="1"/>
  <c r="V3660" s="1"/>
  <c r="AD3660" s="1"/>
  <c r="Y3660"/>
  <c r="S3662"/>
  <c r="T3662" s="1"/>
  <c r="U3663"/>
  <c r="V3663" s="1"/>
  <c r="AD3672"/>
  <c r="AA3699"/>
  <c r="U3671"/>
  <c r="V3671"/>
  <c r="U3744"/>
  <c r="V3744" s="1"/>
  <c r="AD3744" s="1"/>
  <c r="Z3618"/>
  <c r="Z3622"/>
  <c r="AA3622" s="1"/>
  <c r="Z3626"/>
  <c r="AA3626" s="1"/>
  <c r="Z3630"/>
  <c r="V3634"/>
  <c r="Z3634"/>
  <c r="AA3634" s="1"/>
  <c r="S3635"/>
  <c r="T3635" s="1"/>
  <c r="Z3638"/>
  <c r="AA3638" s="1"/>
  <c r="S3639"/>
  <c r="T3639" s="1"/>
  <c r="Z3642"/>
  <c r="S3643"/>
  <c r="T3643" s="1"/>
  <c r="AA3643"/>
  <c r="Z3646"/>
  <c r="AA3646" s="1"/>
  <c r="S3647"/>
  <c r="T3647" s="1"/>
  <c r="Z3650"/>
  <c r="AA3650" s="1"/>
  <c r="S3651"/>
  <c r="T3651" s="1"/>
  <c r="Z3654"/>
  <c r="AA3654" s="1"/>
  <c r="S3655"/>
  <c r="T3655" s="1"/>
  <c r="Z3658"/>
  <c r="S3659"/>
  <c r="T3659" s="1"/>
  <c r="AA3659"/>
  <c r="Z3662"/>
  <c r="AA3662" s="1"/>
  <c r="AD3688"/>
  <c r="AD3708"/>
  <c r="AA3715"/>
  <c r="AD3724"/>
  <c r="AD3740"/>
  <c r="AA3747"/>
  <c r="U3672"/>
  <c r="V3672"/>
  <c r="U3703"/>
  <c r="V3703" s="1"/>
  <c r="U3747"/>
  <c r="V3747"/>
  <c r="Z3599"/>
  <c r="AA3599" s="1"/>
  <c r="Z3603"/>
  <c r="AA3603" s="1"/>
  <c r="Z3607"/>
  <c r="AA3607" s="1"/>
  <c r="Z3611"/>
  <c r="AA3611" s="1"/>
  <c r="Z3615"/>
  <c r="AA3615" s="1"/>
  <c r="AD3615" s="1"/>
  <c r="Y3618"/>
  <c r="Z3619"/>
  <c r="AA3619" s="1"/>
  <c r="Y3622"/>
  <c r="Z3623"/>
  <c r="AA3623" s="1"/>
  <c r="Y3626"/>
  <c r="Z3627"/>
  <c r="AA3627" s="1"/>
  <c r="Y3630"/>
  <c r="Z3631"/>
  <c r="AA3631" s="1"/>
  <c r="AD3631" s="1"/>
  <c r="Y3634"/>
  <c r="Z3635"/>
  <c r="AA3635" s="1"/>
  <c r="Y3638"/>
  <c r="Z3639"/>
  <c r="AA3639" s="1"/>
  <c r="Y3642"/>
  <c r="Z3643"/>
  <c r="Y3646"/>
  <c r="Z3647"/>
  <c r="AA3647" s="1"/>
  <c r="Y3650"/>
  <c r="Z3651"/>
  <c r="AA3651" s="1"/>
  <c r="Y3654"/>
  <c r="Z3655"/>
  <c r="AA3655" s="1"/>
  <c r="Y3658"/>
  <c r="Z3659"/>
  <c r="Y3662"/>
  <c r="AD3664"/>
  <c r="AA3667"/>
  <c r="AD3676"/>
  <c r="AB3663"/>
  <c r="AC3663" s="1"/>
  <c r="X3663"/>
  <c r="AD3663" s="1"/>
  <c r="Y3663"/>
  <c r="U3691"/>
  <c r="V3691"/>
  <c r="U3716"/>
  <c r="V3716" s="1"/>
  <c r="AD3716" s="1"/>
  <c r="X3618"/>
  <c r="X3622"/>
  <c r="X3626"/>
  <c r="S3629"/>
  <c r="T3629" s="1"/>
  <c r="X3630"/>
  <c r="S3633"/>
  <c r="T3633" s="1"/>
  <c r="X3634"/>
  <c r="S3637"/>
  <c r="T3637" s="1"/>
  <c r="X3638"/>
  <c r="S3641"/>
  <c r="T3641" s="1"/>
  <c r="X3642"/>
  <c r="S3645"/>
  <c r="T3645" s="1"/>
  <c r="X3646"/>
  <c r="S3649"/>
  <c r="T3649" s="1"/>
  <c r="AD3649" s="1"/>
  <c r="X3650"/>
  <c r="S3653"/>
  <c r="T3653" s="1"/>
  <c r="X3654"/>
  <c r="S3657"/>
  <c r="T3657" s="1"/>
  <c r="X3658"/>
  <c r="X3662"/>
  <c r="Z3663"/>
  <c r="AA3663" s="1"/>
  <c r="AA3679"/>
  <c r="AD3680"/>
  <c r="AA3711"/>
  <c r="AD3712"/>
  <c r="AA3727"/>
  <c r="AD3728"/>
  <c r="AA3743"/>
  <c r="Z3667"/>
  <c r="U3670"/>
  <c r="V3670" s="1"/>
  <c r="Z3671"/>
  <c r="AA3671" s="1"/>
  <c r="Z3675"/>
  <c r="AA3675" s="1"/>
  <c r="Z3679"/>
  <c r="Z3683"/>
  <c r="AA3683" s="1"/>
  <c r="Z3687"/>
  <c r="AA3687" s="1"/>
  <c r="Z3691"/>
  <c r="AA3691" s="1"/>
  <c r="Z3695"/>
  <c r="AA3695" s="1"/>
  <c r="Z3699"/>
  <c r="Z3703"/>
  <c r="AA3703" s="1"/>
  <c r="Z3707"/>
  <c r="AA3707" s="1"/>
  <c r="Z3711"/>
  <c r="Z3715"/>
  <c r="Z3719"/>
  <c r="AA3719" s="1"/>
  <c r="Z3723"/>
  <c r="AA3723" s="1"/>
  <c r="U3726"/>
  <c r="V3726" s="1"/>
  <c r="Z3727"/>
  <c r="Z3731"/>
  <c r="AA3731" s="1"/>
  <c r="Z3735"/>
  <c r="AA3735" s="1"/>
  <c r="Z3739"/>
  <c r="AA3739" s="1"/>
  <c r="Z3743"/>
  <c r="AB3745"/>
  <c r="AC3745" s="1"/>
  <c r="U3746"/>
  <c r="V3746" s="1"/>
  <c r="Z3747"/>
  <c r="Z3664"/>
  <c r="AA3664" s="1"/>
  <c r="S3665"/>
  <c r="T3665" s="1"/>
  <c r="AD3665" s="1"/>
  <c r="AA3665"/>
  <c r="X3666"/>
  <c r="AB3666"/>
  <c r="AC3666" s="1"/>
  <c r="Y3667"/>
  <c r="Z3668"/>
  <c r="AA3668" s="1"/>
  <c r="AD3668" s="1"/>
  <c r="S3669"/>
  <c r="T3669" s="1"/>
  <c r="X3670"/>
  <c r="AB3670"/>
  <c r="AC3670" s="1"/>
  <c r="Y3671"/>
  <c r="Z3672"/>
  <c r="AA3672" s="1"/>
  <c r="S3673"/>
  <c r="T3673" s="1"/>
  <c r="X3674"/>
  <c r="AB3674"/>
  <c r="AC3674" s="1"/>
  <c r="Y3675"/>
  <c r="Z3676"/>
  <c r="AA3676" s="1"/>
  <c r="S3677"/>
  <c r="T3677" s="1"/>
  <c r="AD3677" s="1"/>
  <c r="AA3677"/>
  <c r="X3678"/>
  <c r="AB3678"/>
  <c r="AC3678" s="1"/>
  <c r="Y3679"/>
  <c r="Z3680"/>
  <c r="AA3680" s="1"/>
  <c r="S3681"/>
  <c r="T3681" s="1"/>
  <c r="AD3681" s="1"/>
  <c r="AA3681"/>
  <c r="X3682"/>
  <c r="AB3682"/>
  <c r="AC3682" s="1"/>
  <c r="Y3683"/>
  <c r="Z3684"/>
  <c r="AA3684" s="1"/>
  <c r="AD3684" s="1"/>
  <c r="S3685"/>
  <c r="T3685" s="1"/>
  <c r="AD3685" s="1"/>
  <c r="AA3685"/>
  <c r="X3686"/>
  <c r="AB3686"/>
  <c r="AC3686" s="1"/>
  <c r="Y3687"/>
  <c r="Z3688"/>
  <c r="AA3688" s="1"/>
  <c r="S3689"/>
  <c r="T3689" s="1"/>
  <c r="AD3689" s="1"/>
  <c r="AA3689"/>
  <c r="X3690"/>
  <c r="AB3690"/>
  <c r="AC3690" s="1"/>
  <c r="Y3691"/>
  <c r="Z3692"/>
  <c r="AA3692" s="1"/>
  <c r="AD3692" s="1"/>
  <c r="S3693"/>
  <c r="T3693" s="1"/>
  <c r="AD3693" s="1"/>
  <c r="AA3693"/>
  <c r="X3694"/>
  <c r="AB3694"/>
  <c r="AC3694" s="1"/>
  <c r="Y3695"/>
  <c r="Z3696"/>
  <c r="AA3696" s="1"/>
  <c r="AD3696" s="1"/>
  <c r="S3697"/>
  <c r="T3697" s="1"/>
  <c r="AD3697" s="1"/>
  <c r="AA3697"/>
  <c r="X3698"/>
  <c r="AB3698"/>
  <c r="AC3698" s="1"/>
  <c r="Y3699"/>
  <c r="Z3700"/>
  <c r="AA3700" s="1"/>
  <c r="AD3700" s="1"/>
  <c r="S3701"/>
  <c r="T3701" s="1"/>
  <c r="AD3701" s="1"/>
  <c r="AA3701"/>
  <c r="X3702"/>
  <c r="AB3702"/>
  <c r="AC3702" s="1"/>
  <c r="Y3703"/>
  <c r="Z3704"/>
  <c r="AA3704" s="1"/>
  <c r="AD3704" s="1"/>
  <c r="S3705"/>
  <c r="T3705" s="1"/>
  <c r="AD3705" s="1"/>
  <c r="AA3705"/>
  <c r="X3706"/>
  <c r="AB3706"/>
  <c r="AC3706" s="1"/>
  <c r="Y3707"/>
  <c r="Z3708"/>
  <c r="AA3708" s="1"/>
  <c r="S3709"/>
  <c r="T3709" s="1"/>
  <c r="X3710"/>
  <c r="AB3710"/>
  <c r="AC3710" s="1"/>
  <c r="Y3711"/>
  <c r="Z3712"/>
  <c r="AA3712" s="1"/>
  <c r="S3713"/>
  <c r="T3713" s="1"/>
  <c r="X3714"/>
  <c r="AB3714"/>
  <c r="AC3714" s="1"/>
  <c r="Y3715"/>
  <c r="Z3716"/>
  <c r="AA3716" s="1"/>
  <c r="S3717"/>
  <c r="T3717" s="1"/>
  <c r="X3718"/>
  <c r="AB3718"/>
  <c r="AC3718" s="1"/>
  <c r="Y3719"/>
  <c r="Z3720"/>
  <c r="AA3720" s="1"/>
  <c r="AD3720" s="1"/>
  <c r="S3721"/>
  <c r="T3721" s="1"/>
  <c r="X3722"/>
  <c r="AB3722"/>
  <c r="AC3722" s="1"/>
  <c r="Y3723"/>
  <c r="Z3724"/>
  <c r="AA3724" s="1"/>
  <c r="S3725"/>
  <c r="T3725" s="1"/>
  <c r="X3726"/>
  <c r="AB3726"/>
  <c r="AC3726" s="1"/>
  <c r="Y3727"/>
  <c r="Z3728"/>
  <c r="AA3728" s="1"/>
  <c r="S3729"/>
  <c r="T3729" s="1"/>
  <c r="X3730"/>
  <c r="AB3730"/>
  <c r="AC3730" s="1"/>
  <c r="Y3731"/>
  <c r="Z3732"/>
  <c r="AA3732" s="1"/>
  <c r="AD3732" s="1"/>
  <c r="S3733"/>
  <c r="T3733" s="1"/>
  <c r="X3734"/>
  <c r="AB3734"/>
  <c r="AC3734" s="1"/>
  <c r="Y3735"/>
  <c r="Z3736"/>
  <c r="AA3736" s="1"/>
  <c r="AD3736" s="1"/>
  <c r="S3737"/>
  <c r="T3737" s="1"/>
  <c r="X3738"/>
  <c r="AB3738"/>
  <c r="AC3738" s="1"/>
  <c r="Y3739"/>
  <c r="Z3740"/>
  <c r="AA3740" s="1"/>
  <c r="S3741"/>
  <c r="T3741" s="1"/>
  <c r="X3742"/>
  <c r="AB3742"/>
  <c r="AC3742" s="1"/>
  <c r="Y3743"/>
  <c r="Z3744"/>
  <c r="AA3744" s="1"/>
  <c r="S3745"/>
  <c r="T3745" s="1"/>
  <c r="AD3745" s="1"/>
  <c r="AA3745"/>
  <c r="X3746"/>
  <c r="AB3746"/>
  <c r="AC3746" s="1"/>
  <c r="Y3747"/>
  <c r="Y3664"/>
  <c r="S3666"/>
  <c r="T3666" s="1"/>
  <c r="AD3666" s="1"/>
  <c r="AA3666"/>
  <c r="X3667"/>
  <c r="AB3667"/>
  <c r="AC3667" s="1"/>
  <c r="Y3668"/>
  <c r="Z3669"/>
  <c r="AA3669" s="1"/>
  <c r="S3670"/>
  <c r="T3670" s="1"/>
  <c r="AA3670"/>
  <c r="X3671"/>
  <c r="AB3671"/>
  <c r="AC3671" s="1"/>
  <c r="Y3672"/>
  <c r="Z3673"/>
  <c r="AA3673" s="1"/>
  <c r="S3674"/>
  <c r="T3674" s="1"/>
  <c r="AD3674" s="1"/>
  <c r="AA3674"/>
  <c r="X3675"/>
  <c r="AB3675"/>
  <c r="AC3675" s="1"/>
  <c r="Y3676"/>
  <c r="S3678"/>
  <c r="T3678" s="1"/>
  <c r="AA3678"/>
  <c r="X3679"/>
  <c r="AB3679"/>
  <c r="AC3679" s="1"/>
  <c r="Y3680"/>
  <c r="S3682"/>
  <c r="T3682" s="1"/>
  <c r="AD3682" s="1"/>
  <c r="AA3682"/>
  <c r="X3683"/>
  <c r="AB3683"/>
  <c r="AC3683" s="1"/>
  <c r="Y3684"/>
  <c r="S3686"/>
  <c r="T3686" s="1"/>
  <c r="AA3686"/>
  <c r="X3687"/>
  <c r="AB3687"/>
  <c r="AC3687" s="1"/>
  <c r="Y3688"/>
  <c r="S3690"/>
  <c r="T3690" s="1"/>
  <c r="AD3690" s="1"/>
  <c r="AA3690"/>
  <c r="X3691"/>
  <c r="AB3691"/>
  <c r="AC3691" s="1"/>
  <c r="Y3692"/>
  <c r="S3694"/>
  <c r="T3694" s="1"/>
  <c r="AA3694"/>
  <c r="X3695"/>
  <c r="AB3695"/>
  <c r="AC3695" s="1"/>
  <c r="Y3696"/>
  <c r="S3698"/>
  <c r="T3698" s="1"/>
  <c r="AD3698" s="1"/>
  <c r="AA3698"/>
  <c r="X3699"/>
  <c r="AB3699"/>
  <c r="AC3699" s="1"/>
  <c r="Y3700"/>
  <c r="S3702"/>
  <c r="T3702" s="1"/>
  <c r="AA3702"/>
  <c r="X3703"/>
  <c r="AB3703"/>
  <c r="AC3703" s="1"/>
  <c r="S3706"/>
  <c r="T3706" s="1"/>
  <c r="AD3706" s="1"/>
  <c r="AA3706"/>
  <c r="X3707"/>
  <c r="AB3707"/>
  <c r="AC3707" s="1"/>
  <c r="Y3708"/>
  <c r="Z3709"/>
  <c r="AA3709" s="1"/>
  <c r="S3710"/>
  <c r="T3710" s="1"/>
  <c r="AA3710"/>
  <c r="X3711"/>
  <c r="AB3711"/>
  <c r="AC3711" s="1"/>
  <c r="Y3712"/>
  <c r="Z3713"/>
  <c r="AA3713" s="1"/>
  <c r="S3714"/>
  <c r="T3714" s="1"/>
  <c r="AD3714" s="1"/>
  <c r="AA3714"/>
  <c r="X3715"/>
  <c r="AB3715"/>
  <c r="AC3715" s="1"/>
  <c r="Y3716"/>
  <c r="Z3717"/>
  <c r="AA3717" s="1"/>
  <c r="S3718"/>
  <c r="T3718" s="1"/>
  <c r="AA3718"/>
  <c r="X3719"/>
  <c r="AB3719"/>
  <c r="AC3719" s="1"/>
  <c r="Y3720"/>
  <c r="Z3721"/>
  <c r="AA3721" s="1"/>
  <c r="S3722"/>
  <c r="T3722" s="1"/>
  <c r="AD3722" s="1"/>
  <c r="AA3722"/>
  <c r="X3723"/>
  <c r="AB3723"/>
  <c r="AC3723" s="1"/>
  <c r="Y3724"/>
  <c r="Z3725"/>
  <c r="AA3725" s="1"/>
  <c r="S3726"/>
  <c r="T3726" s="1"/>
  <c r="AA3726"/>
  <c r="X3727"/>
  <c r="AB3727"/>
  <c r="AC3727" s="1"/>
  <c r="Y3728"/>
  <c r="Z3729"/>
  <c r="AA3729" s="1"/>
  <c r="S3730"/>
  <c r="T3730" s="1"/>
  <c r="AD3730" s="1"/>
  <c r="AA3730"/>
  <c r="X3731"/>
  <c r="AB3731"/>
  <c r="AC3731" s="1"/>
  <c r="Y3732"/>
  <c r="Z3733"/>
  <c r="AA3733" s="1"/>
  <c r="S3734"/>
  <c r="T3734" s="1"/>
  <c r="AA3734"/>
  <c r="X3735"/>
  <c r="AB3735"/>
  <c r="AC3735" s="1"/>
  <c r="Y3736"/>
  <c r="Z3737"/>
  <c r="AA3737" s="1"/>
  <c r="S3738"/>
  <c r="T3738" s="1"/>
  <c r="AD3738" s="1"/>
  <c r="AA3738"/>
  <c r="X3739"/>
  <c r="AB3739"/>
  <c r="AC3739" s="1"/>
  <c r="Y3740"/>
  <c r="Z3741"/>
  <c r="AA3741" s="1"/>
  <c r="S3742"/>
  <c r="T3742" s="1"/>
  <c r="AA3742"/>
  <c r="X3743"/>
  <c r="AB3743"/>
  <c r="AC3743" s="1"/>
  <c r="Z3745"/>
  <c r="S3746"/>
  <c r="T3746" s="1"/>
  <c r="AA3746"/>
  <c r="X3747"/>
  <c r="AB3747"/>
  <c r="AC3747" s="1"/>
  <c r="S3667"/>
  <c r="T3667" s="1"/>
  <c r="AD3667" s="1"/>
  <c r="S3671"/>
  <c r="T3671" s="1"/>
  <c r="S3675"/>
  <c r="T3675" s="1"/>
  <c r="S3679"/>
  <c r="T3679" s="1"/>
  <c r="S3683"/>
  <c r="T3683" s="1"/>
  <c r="S3687"/>
  <c r="T3687" s="1"/>
  <c r="S3691"/>
  <c r="T3691" s="1"/>
  <c r="S3695"/>
  <c r="T3695" s="1"/>
  <c r="S3699"/>
  <c r="T3699" s="1"/>
  <c r="AD3699" s="1"/>
  <c r="S3703"/>
  <c r="T3703" s="1"/>
  <c r="S3707"/>
  <c r="T3707" s="1"/>
  <c r="S3711"/>
  <c r="T3711" s="1"/>
  <c r="S3715"/>
  <c r="T3715" s="1"/>
  <c r="AD3715" s="1"/>
  <c r="S3719"/>
  <c r="T3719" s="1"/>
  <c r="S3723"/>
  <c r="T3723" s="1"/>
  <c r="S3727"/>
  <c r="T3727" s="1"/>
  <c r="S3731"/>
  <c r="T3731" s="1"/>
  <c r="S3735"/>
  <c r="T3735" s="1"/>
  <c r="S3739"/>
  <c r="T3739" s="1"/>
  <c r="S3743"/>
  <c r="T3743" s="1"/>
  <c r="S3747"/>
  <c r="T3747" s="1"/>
  <c r="AD3747" s="1"/>
  <c r="AD2003" l="1"/>
  <c r="AD3036"/>
  <c r="AD3020"/>
  <c r="AD3004"/>
  <c r="AD2988"/>
  <c r="AD2972"/>
  <c r="AD2956"/>
  <c r="AD2932"/>
  <c r="AD2810"/>
  <c r="AD2539"/>
  <c r="AD1826"/>
  <c r="AD1670"/>
  <c r="AD1520"/>
  <c r="AD1512"/>
  <c r="AD1504"/>
  <c r="AD3127"/>
  <c r="AD2373"/>
  <c r="AD2277"/>
  <c r="AD2140"/>
  <c r="AD2124"/>
  <c r="AD2108"/>
  <c r="AD1874"/>
  <c r="AD1350"/>
  <c r="AD3557"/>
  <c r="AD2850"/>
  <c r="AD2826"/>
  <c r="AD1505"/>
  <c r="AD708"/>
  <c r="AD173"/>
  <c r="AD157"/>
  <c r="AD130"/>
  <c r="AD114"/>
  <c r="AD98"/>
  <c r="AD82"/>
  <c r="AD66"/>
  <c r="AD1316"/>
  <c r="AD1220"/>
  <c r="AD1320"/>
  <c r="AD1216"/>
  <c r="AD1208"/>
  <c r="AD1248"/>
  <c r="AD1240"/>
  <c r="M147"/>
  <c r="V3361"/>
  <c r="AD3361" s="1"/>
  <c r="U3361"/>
  <c r="U3285"/>
  <c r="V3285" s="1"/>
  <c r="AD3285" s="1"/>
  <c r="U3221"/>
  <c r="V3221" s="1"/>
  <c r="AD3221" s="1"/>
  <c r="U3213"/>
  <c r="V3213"/>
  <c r="AD3213" s="1"/>
  <c r="U3068"/>
  <c r="V3068" s="1"/>
  <c r="AD3068" s="1"/>
  <c r="U3048"/>
  <c r="V3048"/>
  <c r="AD3048" s="1"/>
  <c r="U2924"/>
  <c r="V2924" s="1"/>
  <c r="AD2924" s="1"/>
  <c r="U2001"/>
  <c r="V2001"/>
  <c r="AD2001" s="1"/>
  <c r="U1671"/>
  <c r="V1671" s="1"/>
  <c r="AD1671" s="1"/>
  <c r="U1495"/>
  <c r="V1495"/>
  <c r="AD1495" s="1"/>
  <c r="AD3743"/>
  <c r="AD3727"/>
  <c r="AD3711"/>
  <c r="AD3695"/>
  <c r="AD3679"/>
  <c r="AD3742"/>
  <c r="AD3734"/>
  <c r="AD3726"/>
  <c r="AD3718"/>
  <c r="AD3710"/>
  <c r="AD3694"/>
  <c r="AD3678"/>
  <c r="AD3659"/>
  <c r="AD3643"/>
  <c r="AD3658"/>
  <c r="AD3650"/>
  <c r="AD3642"/>
  <c r="AD3634"/>
  <c r="AD3630"/>
  <c r="AD3579"/>
  <c r="AD3571"/>
  <c r="AD3563"/>
  <c r="AD3555"/>
  <c r="AD3547"/>
  <c r="AD3539"/>
  <c r="AD3523"/>
  <c r="AD3598"/>
  <c r="AD3594"/>
  <c r="AD3587"/>
  <c r="AD3576"/>
  <c r="AD3517"/>
  <c r="AD3399"/>
  <c r="AD3383"/>
  <c r="AD3532"/>
  <c r="AD3504"/>
  <c r="AD3492"/>
  <c r="AD3476"/>
  <c r="AD3460"/>
  <c r="AD3444"/>
  <c r="AD3428"/>
  <c r="AD3393"/>
  <c r="AD3377"/>
  <c r="AD3226"/>
  <c r="AD3372"/>
  <c r="AD3408"/>
  <c r="AD3380"/>
  <c r="AD3376"/>
  <c r="AD3406"/>
  <c r="AD3367"/>
  <c r="AD3359"/>
  <c r="AD3351"/>
  <c r="AD3343"/>
  <c r="AD3315"/>
  <c r="AD3299"/>
  <c r="AD3283"/>
  <c r="AD3263"/>
  <c r="AD3247"/>
  <c r="AD3153"/>
  <c r="AD3224"/>
  <c r="AD3184"/>
  <c r="AD3160"/>
  <c r="AD3152"/>
  <c r="AD3128"/>
  <c r="AD3124"/>
  <c r="AD3116"/>
  <c r="AD3108"/>
  <c r="AD3084"/>
  <c r="AD3219"/>
  <c r="AD3211"/>
  <c r="AD3203"/>
  <c r="AD3195"/>
  <c r="AD3187"/>
  <c r="AD3175"/>
  <c r="AD3163"/>
  <c r="AD3123"/>
  <c r="AD3115"/>
  <c r="AD3107"/>
  <c r="AD3099"/>
  <c r="AD3091"/>
  <c r="AD3083"/>
  <c r="AD3075"/>
  <c r="AD3214"/>
  <c r="AD3198"/>
  <c r="AD3239"/>
  <c r="AD2947"/>
  <c r="AD2927"/>
  <c r="AD3062"/>
  <c r="AD2966"/>
  <c r="AD2946"/>
  <c r="AD2930"/>
  <c r="AD2922"/>
  <c r="AD3049"/>
  <c r="AD3041"/>
  <c r="AD3033"/>
  <c r="AD3025"/>
  <c r="AD3017"/>
  <c r="AD3009"/>
  <c r="AD3001"/>
  <c r="AD2993"/>
  <c r="AD2985"/>
  <c r="AD2977"/>
  <c r="AD2969"/>
  <c r="AD2961"/>
  <c r="AD2953"/>
  <c r="AD2945"/>
  <c r="AD2937"/>
  <c r="AD2929"/>
  <c r="AD2921"/>
  <c r="AD2909"/>
  <c r="AD3072"/>
  <c r="AD2753"/>
  <c r="AD2914"/>
  <c r="AD2910"/>
  <c r="AD2899"/>
  <c r="AD2883"/>
  <c r="AD2867"/>
  <c r="AD2851"/>
  <c r="AD2847"/>
  <c r="AD2831"/>
  <c r="AD2827"/>
  <c r="AD2823"/>
  <c r="AD2819"/>
  <c r="AD2815"/>
  <c r="AD2811"/>
  <c r="AD2807"/>
  <c r="AD2803"/>
  <c r="AD2911"/>
  <c r="AD2906"/>
  <c r="AD2745"/>
  <c r="AD2729"/>
  <c r="AD2713"/>
  <c r="AD2697"/>
  <c r="AD2681"/>
  <c r="AD2665"/>
  <c r="AD2649"/>
  <c r="AD2633"/>
  <c r="AD2617"/>
  <c r="AD2601"/>
  <c r="AD2585"/>
  <c r="AD2569"/>
  <c r="AD2553"/>
  <c r="AD2537"/>
  <c r="AD2521"/>
  <c r="AD2505"/>
  <c r="AD2489"/>
  <c r="AD2473"/>
  <c r="AD2457"/>
  <c r="AD2441"/>
  <c r="AD2748"/>
  <c r="AD2744"/>
  <c r="AD2740"/>
  <c r="AD2736"/>
  <c r="AD2732"/>
  <c r="AD2728"/>
  <c r="AD2724"/>
  <c r="AD2720"/>
  <c r="AD2716"/>
  <c r="AD2712"/>
  <c r="AD2708"/>
  <c r="AD2704"/>
  <c r="AD2700"/>
  <c r="AD2696"/>
  <c r="AD2692"/>
  <c r="AD2688"/>
  <c r="AD2684"/>
  <c r="AD2680"/>
  <c r="AD2676"/>
  <c r="AD2672"/>
  <c r="AD2668"/>
  <c r="AD2664"/>
  <c r="AD2660"/>
  <c r="AD2656"/>
  <c r="AD2652"/>
  <c r="AD2648"/>
  <c r="AD2644"/>
  <c r="AD2640"/>
  <c r="AD2636"/>
  <c r="AD2632"/>
  <c r="AD2628"/>
  <c r="AD2624"/>
  <c r="AD2620"/>
  <c r="AD2616"/>
  <c r="AD2612"/>
  <c r="AD2608"/>
  <c r="AD2604"/>
  <c r="AD2600"/>
  <c r="AD2596"/>
  <c r="AD2592"/>
  <c r="AD2759"/>
  <c r="AD2751"/>
  <c r="AD2715"/>
  <c r="AD2707"/>
  <c r="AD2699"/>
  <c r="AD2691"/>
  <c r="AD2683"/>
  <c r="AD2675"/>
  <c r="AD2667"/>
  <c r="AD2659"/>
  <c r="AD2471"/>
  <c r="AD2463"/>
  <c r="AD2455"/>
  <c r="AD2447"/>
  <c r="AD2439"/>
  <c r="AD2424"/>
  <c r="AD2274"/>
  <c r="AD2266"/>
  <c r="AD2258"/>
  <c r="AD2250"/>
  <c r="AD2242"/>
  <c r="AD2234"/>
  <c r="AD2226"/>
  <c r="AD2218"/>
  <c r="AD2206"/>
  <c r="AD2198"/>
  <c r="AD2194"/>
  <c r="AD2190"/>
  <c r="AD2186"/>
  <c r="AD2182"/>
  <c r="AD2178"/>
  <c r="AD2174"/>
  <c r="AD2170"/>
  <c r="AD2166"/>
  <c r="AD2162"/>
  <c r="AD2158"/>
  <c r="AD2154"/>
  <c r="AD2429"/>
  <c r="AD2217"/>
  <c r="AD2209"/>
  <c r="AD2201"/>
  <c r="AD2193"/>
  <c r="AD2185"/>
  <c r="AD2177"/>
  <c r="AD2169"/>
  <c r="AD2161"/>
  <c r="AD2153"/>
  <c r="AD2145"/>
  <c r="AD2137"/>
  <c r="AD2129"/>
  <c r="AD2121"/>
  <c r="AD2113"/>
  <c r="AD2105"/>
  <c r="AD2097"/>
  <c r="AD2081"/>
  <c r="AD2073"/>
  <c r="AD2416"/>
  <c r="AD2400"/>
  <c r="AD2384"/>
  <c r="AD2368"/>
  <c r="AD2352"/>
  <c r="AD2336"/>
  <c r="AD2320"/>
  <c r="AD2304"/>
  <c r="AD2288"/>
  <c r="AD2272"/>
  <c r="AD2256"/>
  <c r="AD1717"/>
  <c r="AD2000"/>
  <c r="AD1996"/>
  <c r="AD1984"/>
  <c r="AD1968"/>
  <c r="AD1948"/>
  <c r="AD1932"/>
  <c r="AD1908"/>
  <c r="AD1900"/>
  <c r="AD1892"/>
  <c r="AD1884"/>
  <c r="AD1876"/>
  <c r="AD1868"/>
  <c r="AD1860"/>
  <c r="AD1852"/>
  <c r="AD1844"/>
  <c r="AD1836"/>
  <c r="AD1828"/>
  <c r="AD1820"/>
  <c r="AD1812"/>
  <c r="AD1804"/>
  <c r="AD1796"/>
  <c r="AD1788"/>
  <c r="AD1780"/>
  <c r="AD1772"/>
  <c r="AD1764"/>
  <c r="AD1708"/>
  <c r="AD1700"/>
  <c r="AD1999"/>
  <c r="AD1983"/>
  <c r="AD1967"/>
  <c r="AD1963"/>
  <c r="AD1959"/>
  <c r="AD1955"/>
  <c r="AD2062"/>
  <c r="AD2058"/>
  <c r="AD2042"/>
  <c r="AD2026"/>
  <c r="AD1974"/>
  <c r="AD1938"/>
  <c r="AD1922"/>
  <c r="AD1894"/>
  <c r="AD1878"/>
  <c r="AD1862"/>
  <c r="AD1838"/>
  <c r="AD1802"/>
  <c r="AD1786"/>
  <c r="AD1770"/>
  <c r="AD1750"/>
  <c r="AD1734"/>
  <c r="AD1514"/>
  <c r="AD1510"/>
  <c r="AD1506"/>
  <c r="AD1502"/>
  <c r="AD1498"/>
  <c r="AD1494"/>
  <c r="AD1490"/>
  <c r="AD1474"/>
  <c r="AD1458"/>
  <c r="AD1442"/>
  <c r="AD1426"/>
  <c r="AD1394"/>
  <c r="AD1677"/>
  <c r="AD1669"/>
  <c r="AD1657"/>
  <c r="AD1633"/>
  <c r="AD1617"/>
  <c r="AD1593"/>
  <c r="AD1577"/>
  <c r="AD1561"/>
  <c r="AD1545"/>
  <c r="AD1493"/>
  <c r="AD1477"/>
  <c r="AD1710"/>
  <c r="AD1660"/>
  <c r="AD1644"/>
  <c r="AD1632"/>
  <c r="AD1624"/>
  <c r="AD1616"/>
  <c r="AD1608"/>
  <c r="AD1600"/>
  <c r="AD1592"/>
  <c r="AD1584"/>
  <c r="AD1576"/>
  <c r="AD1568"/>
  <c r="AD1560"/>
  <c r="AD1420"/>
  <c r="AD1412"/>
  <c r="AD1404"/>
  <c r="AD1396"/>
  <c r="AD1384"/>
  <c r="AD1372"/>
  <c r="AD1356"/>
  <c r="AD1706"/>
  <c r="AD738"/>
  <c r="AD722"/>
  <c r="AD706"/>
  <c r="AD1308"/>
  <c r="AD1292"/>
  <c r="AD1192"/>
  <c r="AD932"/>
  <c r="AD916"/>
  <c r="AD900"/>
  <c r="AD884"/>
  <c r="AD868"/>
  <c r="AD852"/>
  <c r="AD836"/>
  <c r="AD820"/>
  <c r="AD804"/>
  <c r="AD788"/>
  <c r="AD1343"/>
  <c r="AD1335"/>
  <c r="AD1327"/>
  <c r="AD1319"/>
  <c r="AD1311"/>
  <c r="AD1303"/>
  <c r="AD1295"/>
  <c r="AD1287"/>
  <c r="AD1279"/>
  <c r="AD1267"/>
  <c r="AD1251"/>
  <c r="AD1235"/>
  <c r="AD1219"/>
  <c r="AD1203"/>
  <c r="AD1187"/>
  <c r="AD1171"/>
  <c r="AD1155"/>
  <c r="AD1139"/>
  <c r="AD1123"/>
  <c r="AD1107"/>
  <c r="AD1091"/>
  <c r="AD1075"/>
  <c r="AD1059"/>
  <c r="AD1043"/>
  <c r="AD1027"/>
  <c r="AD987"/>
  <c r="AD971"/>
  <c r="AD955"/>
  <c r="AD939"/>
  <c r="AD923"/>
  <c r="AD907"/>
  <c r="AD895"/>
  <c r="AD887"/>
  <c r="AD879"/>
  <c r="AD871"/>
  <c r="AD863"/>
  <c r="AD855"/>
  <c r="AD847"/>
  <c r="AD839"/>
  <c r="AD831"/>
  <c r="AD823"/>
  <c r="AD815"/>
  <c r="AD807"/>
  <c r="AD795"/>
  <c r="AD768"/>
  <c r="AD760"/>
  <c r="AD752"/>
  <c r="AD696"/>
  <c r="AD494"/>
  <c r="AD483"/>
  <c r="AD36"/>
  <c r="AD14"/>
  <c r="AD720"/>
  <c r="AD712"/>
  <c r="AD686"/>
  <c r="AD578"/>
  <c r="AD570"/>
  <c r="AD451"/>
  <c r="AD432"/>
  <c r="AD416"/>
  <c r="AD400"/>
  <c r="AD384"/>
  <c r="AD368"/>
  <c r="AD338"/>
  <c r="AD322"/>
  <c r="AD306"/>
  <c r="AD275"/>
  <c r="AD259"/>
  <c r="AD240"/>
  <c r="AD217"/>
  <c r="AD201"/>
  <c r="AD140"/>
  <c r="AD136"/>
  <c r="AD132"/>
  <c r="AD128"/>
  <c r="AD124"/>
  <c r="AD120"/>
  <c r="AD116"/>
  <c r="AD112"/>
  <c r="AD108"/>
  <c r="AD104"/>
  <c r="AD100"/>
  <c r="AD96"/>
  <c r="AD92"/>
  <c r="AD88"/>
  <c r="AD84"/>
  <c r="AD80"/>
  <c r="AD76"/>
  <c r="AD72"/>
  <c r="AD68"/>
  <c r="AD64"/>
  <c r="AD60"/>
  <c r="AD47"/>
  <c r="AD43"/>
  <c r="AD39"/>
  <c r="AD35"/>
  <c r="AD31"/>
  <c r="AD27"/>
  <c r="AD17"/>
  <c r="AD13"/>
  <c r="AD9"/>
  <c r="AD737"/>
  <c r="AD725"/>
  <c r="AD561"/>
  <c r="AD55"/>
  <c r="AD22"/>
  <c r="AD665"/>
  <c r="AD653"/>
  <c r="AD645"/>
  <c r="AD637"/>
  <c r="AD629"/>
  <c r="AD621"/>
  <c r="AD613"/>
  <c r="AD605"/>
  <c r="AD597"/>
  <c r="AD558"/>
  <c r="AD550"/>
  <c r="AD491"/>
  <c r="M489" s="1"/>
  <c r="AD484"/>
  <c r="AD477"/>
  <c r="AD473"/>
  <c r="AD469"/>
  <c r="AD465"/>
  <c r="AD461"/>
  <c r="AD457"/>
  <c r="AD453"/>
  <c r="AD449"/>
  <c r="AD445"/>
  <c r="AD441"/>
  <c r="AD422"/>
  <c r="AD406"/>
  <c r="AD390"/>
  <c r="AD374"/>
  <c r="AD358"/>
  <c r="AD344"/>
  <c r="AD340"/>
  <c r="AD336"/>
  <c r="AD332"/>
  <c r="AD328"/>
  <c r="AD324"/>
  <c r="AD320"/>
  <c r="AD316"/>
  <c r="AD312"/>
  <c r="AD308"/>
  <c r="AD304"/>
  <c r="AD285"/>
  <c r="AD281"/>
  <c r="AD277"/>
  <c r="AD273"/>
  <c r="AD269"/>
  <c r="AD265"/>
  <c r="AD261"/>
  <c r="AD257"/>
  <c r="AD250"/>
  <c r="AD246"/>
  <c r="AD242"/>
  <c r="AD238"/>
  <c r="AD234"/>
  <c r="AD230"/>
  <c r="AD223"/>
  <c r="AD219"/>
  <c r="AD215"/>
  <c r="AD211"/>
  <c r="AD207"/>
  <c r="AD203"/>
  <c r="AD199"/>
  <c r="V3566"/>
  <c r="AD3566" s="1"/>
  <c r="U3566"/>
  <c r="U3414"/>
  <c r="V3414" s="1"/>
  <c r="AD3414" s="1"/>
  <c r="V3410"/>
  <c r="AD3410" s="1"/>
  <c r="U3410"/>
  <c r="V3337"/>
  <c r="AD3337" s="1"/>
  <c r="U3337"/>
  <c r="V3333"/>
  <c r="AD3333" s="1"/>
  <c r="U3333"/>
  <c r="U3056"/>
  <c r="V3056" s="1"/>
  <c r="AD3056" s="1"/>
  <c r="U3052"/>
  <c r="V3052" s="1"/>
  <c r="AD3052" s="1"/>
  <c r="U2800"/>
  <c r="V2800" s="1"/>
  <c r="AD2800" s="1"/>
  <c r="V2796"/>
  <c r="AD2796" s="1"/>
  <c r="U2796"/>
  <c r="U2792"/>
  <c r="V2792" s="1"/>
  <c r="AD2792" s="1"/>
  <c r="V2788"/>
  <c r="AD2788" s="1"/>
  <c r="U2788"/>
  <c r="V2784"/>
  <c r="AD2784" s="1"/>
  <c r="U2784"/>
  <c r="V2780"/>
  <c r="AD2780" s="1"/>
  <c r="U2780"/>
  <c r="U2092"/>
  <c r="V2092" s="1"/>
  <c r="AD2092" s="1"/>
  <c r="U1639"/>
  <c r="V1639" s="1"/>
  <c r="AD1639" s="1"/>
  <c r="U1539"/>
  <c r="V1539"/>
  <c r="AD1539" s="1"/>
  <c r="U1531"/>
  <c r="V1531" s="1"/>
  <c r="AD1531" s="1"/>
  <c r="U1523"/>
  <c r="V1523"/>
  <c r="AD1523" s="1"/>
  <c r="U1515"/>
  <c r="V1515" s="1"/>
  <c r="AD1515" s="1"/>
  <c r="U1507"/>
  <c r="V1507"/>
  <c r="AD1507" s="1"/>
  <c r="U1499"/>
  <c r="V1499" s="1"/>
  <c r="AD1499" s="1"/>
  <c r="Q6"/>
  <c r="K6" s="1"/>
  <c r="L6" s="1"/>
  <c r="M6" s="1"/>
  <c r="L22"/>
  <c r="M22" s="1"/>
  <c r="AD3731"/>
  <c r="AD3683"/>
  <c r="AD3746"/>
  <c r="AD3670"/>
  <c r="AD3737"/>
  <c r="AD3729"/>
  <c r="AD3721"/>
  <c r="AD3713"/>
  <c r="AD3673"/>
  <c r="AD3657"/>
  <c r="AD3641"/>
  <c r="AD3633"/>
  <c r="AD3655"/>
  <c r="AD3639"/>
  <c r="AD3626"/>
  <c r="AD3527"/>
  <c r="AD3511"/>
  <c r="AD3606"/>
  <c r="AD3582"/>
  <c r="AD3564"/>
  <c r="AD3495"/>
  <c r="AD3479"/>
  <c r="AD3463"/>
  <c r="AD3455"/>
  <c r="AD3447"/>
  <c r="AD3431"/>
  <c r="AD3423"/>
  <c r="AD3415"/>
  <c r="AD3403"/>
  <c r="AD3387"/>
  <c r="AD3536"/>
  <c r="AD3366"/>
  <c r="AD3358"/>
  <c r="AD3342"/>
  <c r="AD3318"/>
  <c r="AD3310"/>
  <c r="AD3286"/>
  <c r="AD3278"/>
  <c r="AD3254"/>
  <c r="AD3246"/>
  <c r="AD3230"/>
  <c r="AD3331"/>
  <c r="AD3327"/>
  <c r="AD3311"/>
  <c r="AD3295"/>
  <c r="AD3279"/>
  <c r="AD3157"/>
  <c r="AD3232"/>
  <c r="AD3180"/>
  <c r="AD3135"/>
  <c r="AD3178"/>
  <c r="AD3154"/>
  <c r="AD3146"/>
  <c r="AD3138"/>
  <c r="AD3130"/>
  <c r="AD2951"/>
  <c r="AD2931"/>
  <c r="AD2905"/>
  <c r="AD2897"/>
  <c r="AD2889"/>
  <c r="AD2873"/>
  <c r="AD2857"/>
  <c r="AD2849"/>
  <c r="AD2841"/>
  <c r="AD2833"/>
  <c r="AD2825"/>
  <c r="AD2817"/>
  <c r="AD2809"/>
  <c r="AD2801"/>
  <c r="AD2793"/>
  <c r="AD2777"/>
  <c r="AD2769"/>
  <c r="AD2757"/>
  <c r="AD2863"/>
  <c r="AD2843"/>
  <c r="AD2915"/>
  <c r="AD2890"/>
  <c r="AD2874"/>
  <c r="AD2858"/>
  <c r="AD2834"/>
  <c r="AD2798"/>
  <c r="AD2786"/>
  <c r="AD2782"/>
  <c r="AD2749"/>
  <c r="AD2733"/>
  <c r="AD2717"/>
  <c r="AD2701"/>
  <c r="AD2685"/>
  <c r="AD2669"/>
  <c r="AD2653"/>
  <c r="AD2637"/>
  <c r="AD2621"/>
  <c r="AD2605"/>
  <c r="AD2589"/>
  <c r="AD2557"/>
  <c r="AD2541"/>
  <c r="AD2493"/>
  <c r="AD2477"/>
  <c r="AD2461"/>
  <c r="AD2445"/>
  <c r="AD2427"/>
  <c r="AD2413"/>
  <c r="AD2369"/>
  <c r="AD2276"/>
  <c r="AD2216"/>
  <c r="AD2208"/>
  <c r="AD1913"/>
  <c r="AD1905"/>
  <c r="AD1897"/>
  <c r="AD1889"/>
  <c r="AD1881"/>
  <c r="AD1873"/>
  <c r="AD1865"/>
  <c r="AD1857"/>
  <c r="AD1849"/>
  <c r="AD1841"/>
  <c r="AD1833"/>
  <c r="AD1825"/>
  <c r="AD1817"/>
  <c r="AD1809"/>
  <c r="AD1801"/>
  <c r="AD1793"/>
  <c r="AD1777"/>
  <c r="AD1761"/>
  <c r="AD1753"/>
  <c r="AD1745"/>
  <c r="AD1737"/>
  <c r="AD1729"/>
  <c r="AD1721"/>
  <c r="AD1705"/>
  <c r="AD2019"/>
  <c r="AD2015"/>
  <c r="AD1987"/>
  <c r="AD1971"/>
  <c r="AD2064"/>
  <c r="AD2002"/>
  <c r="AD1994"/>
  <c r="AD1942"/>
  <c r="AD1926"/>
  <c r="AD1914"/>
  <c r="AD1854"/>
  <c r="AD1850"/>
  <c r="AD1834"/>
  <c r="AD1822"/>
  <c r="AD1818"/>
  <c r="AD1814"/>
  <c r="AD1674"/>
  <c r="AD1637"/>
  <c r="AD1621"/>
  <c r="AD1605"/>
  <c r="AD1529"/>
  <c r="AD1481"/>
  <c r="AD1429"/>
  <c r="AD1425"/>
  <c r="AD1421"/>
  <c r="AD1417"/>
  <c r="AD1401"/>
  <c r="AD1496"/>
  <c r="AD1258"/>
  <c r="AD1250"/>
  <c r="AD1242"/>
  <c r="AD1226"/>
  <c r="AD1218"/>
  <c r="AD1210"/>
  <c r="AD1194"/>
  <c r="AD1186"/>
  <c r="AD1178"/>
  <c r="AD1170"/>
  <c r="AD1162"/>
  <c r="AD1154"/>
  <c r="AD1146"/>
  <c r="AD1138"/>
  <c r="AD1130"/>
  <c r="AD1122"/>
  <c r="AD1114"/>
  <c r="AD1106"/>
  <c r="AD1098"/>
  <c r="AD1090"/>
  <c r="AD1082"/>
  <c r="AD1074"/>
  <c r="AD1066"/>
  <c r="AD1058"/>
  <c r="AD1050"/>
  <c r="AD1042"/>
  <c r="AD1034"/>
  <c r="AD1026"/>
  <c r="AD1018"/>
  <c r="AD990"/>
  <c r="AD982"/>
  <c r="AD974"/>
  <c r="AD966"/>
  <c r="AD958"/>
  <c r="AD942"/>
  <c r="AD934"/>
  <c r="AD926"/>
  <c r="AD918"/>
  <c r="AD910"/>
  <c r="AD902"/>
  <c r="AD894"/>
  <c r="AD886"/>
  <c r="AD878"/>
  <c r="AD862"/>
  <c r="AD846"/>
  <c r="AD838"/>
  <c r="AD830"/>
  <c r="AD822"/>
  <c r="AD814"/>
  <c r="AD798"/>
  <c r="AD790"/>
  <c r="AD782"/>
  <c r="AD774"/>
  <c r="AD758"/>
  <c r="AD742"/>
  <c r="AD726"/>
  <c r="AD710"/>
  <c r="AD694"/>
  <c r="AD1204"/>
  <c r="AD1188"/>
  <c r="AD848"/>
  <c r="AD832"/>
  <c r="AD816"/>
  <c r="AD1263"/>
  <c r="AD1247"/>
  <c r="AD1231"/>
  <c r="AD1215"/>
  <c r="AD1199"/>
  <c r="AD1183"/>
  <c r="AD1167"/>
  <c r="AD1151"/>
  <c r="AD1135"/>
  <c r="AD1119"/>
  <c r="AD1103"/>
  <c r="AD1087"/>
  <c r="AD1071"/>
  <c r="AD1055"/>
  <c r="AD1039"/>
  <c r="AD1023"/>
  <c r="AD1011"/>
  <c r="AD1003"/>
  <c r="AD995"/>
  <c r="AD983"/>
  <c r="AD967"/>
  <c r="AD951"/>
  <c r="AD935"/>
  <c r="AD919"/>
  <c r="AD903"/>
  <c r="AD791"/>
  <c r="AD783"/>
  <c r="AD775"/>
  <c r="AD675"/>
  <c r="AD659"/>
  <c r="AD643"/>
  <c r="AD627"/>
  <c r="AD611"/>
  <c r="AD595"/>
  <c r="AD579"/>
  <c r="AD563"/>
  <c r="AD552"/>
  <c r="AD444"/>
  <c r="AD425"/>
  <c r="AD417"/>
  <c r="AD409"/>
  <c r="AD393"/>
  <c r="AD385"/>
  <c r="AD377"/>
  <c r="AD361"/>
  <c r="AD740"/>
  <c r="AD728"/>
  <c r="AD654"/>
  <c r="AD590"/>
  <c r="AD482"/>
  <c r="AD434"/>
  <c r="AD418"/>
  <c r="AD402"/>
  <c r="AD386"/>
  <c r="AD370"/>
  <c r="AD348"/>
  <c r="AD743"/>
  <c r="AD739"/>
  <c r="AD731"/>
  <c r="AD727"/>
  <c r="AD715"/>
  <c r="AD711"/>
  <c r="V3574"/>
  <c r="AD3574" s="1"/>
  <c r="U3574"/>
  <c r="U3169"/>
  <c r="V3169" s="1"/>
  <c r="AD3169" s="1"/>
  <c r="U3060"/>
  <c r="V3060" s="1"/>
  <c r="AD3060" s="1"/>
  <c r="U2928"/>
  <c r="V2928" s="1"/>
  <c r="AD2928" s="1"/>
  <c r="U2152"/>
  <c r="V2152" s="1"/>
  <c r="AD2152" s="1"/>
  <c r="U1993"/>
  <c r="V1993" s="1"/>
  <c r="AD1993" s="1"/>
  <c r="AD3735"/>
  <c r="AD3719"/>
  <c r="AD3703"/>
  <c r="AD3687"/>
  <c r="AD3671"/>
  <c r="AD3702"/>
  <c r="AD3686"/>
  <c r="AD3651"/>
  <c r="AD3635"/>
  <c r="AD3662"/>
  <c r="AD3654"/>
  <c r="AD3646"/>
  <c r="AD3638"/>
  <c r="AD3567"/>
  <c r="AD3559"/>
  <c r="AD3551"/>
  <c r="AD3543"/>
  <c r="AD3531"/>
  <c r="AD3515"/>
  <c r="AD3610"/>
  <c r="AD3614"/>
  <c r="AD3591"/>
  <c r="AD3580"/>
  <c r="AD3572"/>
  <c r="AD3407"/>
  <c r="AD3391"/>
  <c r="AD3375"/>
  <c r="AD3508"/>
  <c r="AD3500"/>
  <c r="AD3484"/>
  <c r="AD3468"/>
  <c r="AD3452"/>
  <c r="AD3436"/>
  <c r="AD3420"/>
  <c r="AD3385"/>
  <c r="AD3234"/>
  <c r="AD3400"/>
  <c r="AD3396"/>
  <c r="AD3392"/>
  <c r="AD3388"/>
  <c r="AD3384"/>
  <c r="AD3373"/>
  <c r="AD3363"/>
  <c r="AD3355"/>
  <c r="AD3347"/>
  <c r="AD3323"/>
  <c r="AD3307"/>
  <c r="AD3291"/>
  <c r="AD3275"/>
  <c r="AD3255"/>
  <c r="AD3196"/>
  <c r="AD3192"/>
  <c r="AD3156"/>
  <c r="AD3148"/>
  <c r="AD3140"/>
  <c r="AD3120"/>
  <c r="AD3112"/>
  <c r="AD3223"/>
  <c r="AD3215"/>
  <c r="AD3207"/>
  <c r="AD3199"/>
  <c r="AD3191"/>
  <c r="AD3183"/>
  <c r="AD3167"/>
  <c r="AD3119"/>
  <c r="AD3111"/>
  <c r="AD3103"/>
  <c r="AD3095"/>
  <c r="AD3087"/>
  <c r="AD3079"/>
  <c r="AD3222"/>
  <c r="AD3206"/>
  <c r="AD3190"/>
  <c r="AD2919"/>
  <c r="AD2926"/>
  <c r="AD2925"/>
  <c r="AD2761"/>
  <c r="AD2907"/>
  <c r="AD2891"/>
  <c r="AD2875"/>
  <c r="AD2859"/>
  <c r="AD2839"/>
  <c r="AD2770"/>
  <c r="AD2737"/>
  <c r="AD2721"/>
  <c r="AD2705"/>
  <c r="AD2689"/>
  <c r="AD2673"/>
  <c r="AD2657"/>
  <c r="AD2641"/>
  <c r="AD2625"/>
  <c r="AD2609"/>
  <c r="AD2593"/>
  <c r="AD2577"/>
  <c r="AD2561"/>
  <c r="AD2545"/>
  <c r="AD2529"/>
  <c r="AD2513"/>
  <c r="AD2497"/>
  <c r="AD2481"/>
  <c r="AD2465"/>
  <c r="AD2449"/>
  <c r="AD2758"/>
  <c r="AD2754"/>
  <c r="AD2584"/>
  <c r="AD2576"/>
  <c r="AD2568"/>
  <c r="AD2560"/>
  <c r="AD2552"/>
  <c r="AD2544"/>
  <c r="AD2540"/>
  <c r="AD2536"/>
  <c r="AD2528"/>
  <c r="AD2520"/>
  <c r="AD2512"/>
  <c r="AD2504"/>
  <c r="AD2496"/>
  <c r="AD2488"/>
  <c r="AD2484"/>
  <c r="AD2480"/>
  <c r="AD2468"/>
  <c r="AD2460"/>
  <c r="AD2452"/>
  <c r="AD2444"/>
  <c r="AD2755"/>
  <c r="AD2671"/>
  <c r="AD2423"/>
  <c r="AD2428"/>
  <c r="AD2370"/>
  <c r="AD2214"/>
  <c r="AD2090"/>
  <c r="AD2078"/>
  <c r="AD2070"/>
  <c r="AD2417"/>
  <c r="AD2213"/>
  <c r="AD2205"/>
  <c r="AD2189"/>
  <c r="AD2069"/>
  <c r="AD2433"/>
  <c r="AD1709"/>
  <c r="AD1976"/>
  <c r="AD1856"/>
  <c r="AD1832"/>
  <c r="AD1991"/>
  <c r="AD1975"/>
  <c r="AD2068"/>
  <c r="AD1946"/>
  <c r="AD1930"/>
  <c r="AD1906"/>
  <c r="AD1902"/>
  <c r="AD1886"/>
  <c r="AD1870"/>
  <c r="AD1846"/>
  <c r="AD1810"/>
  <c r="AD1794"/>
  <c r="AD1778"/>
  <c r="AD1762"/>
  <c r="AD1742"/>
  <c r="AD1726"/>
  <c r="AD1466"/>
  <c r="AD1450"/>
  <c r="AD1434"/>
  <c r="AD1682"/>
  <c r="AD1661"/>
  <c r="AD1649"/>
  <c r="AD1625"/>
  <c r="AD1609"/>
  <c r="AD1597"/>
  <c r="AD1585"/>
  <c r="AD1569"/>
  <c r="AD1553"/>
  <c r="AD1485"/>
  <c r="AD1469"/>
  <c r="AD1465"/>
  <c r="AD1461"/>
  <c r="AD1457"/>
  <c r="AD1453"/>
  <c r="AD1449"/>
  <c r="AD1445"/>
  <c r="AD1441"/>
  <c r="AD1437"/>
  <c r="AD1433"/>
  <c r="AD1718"/>
  <c r="AD1604"/>
  <c r="AD1596"/>
  <c r="AD1681"/>
  <c r="AD762"/>
  <c r="AD746"/>
  <c r="AD730"/>
  <c r="AD714"/>
  <c r="AD1377"/>
  <c r="AD1373"/>
  <c r="AD1369"/>
  <c r="AD1365"/>
  <c r="AD1361"/>
  <c r="AD1357"/>
  <c r="AD1353"/>
  <c r="AD1349"/>
  <c r="AD1385"/>
  <c r="AD1381"/>
  <c r="AD1340"/>
  <c r="AD1300"/>
  <c r="AD1284"/>
  <c r="AD1200"/>
  <c r="AD1184"/>
  <c r="AD940"/>
  <c r="AD924"/>
  <c r="AD908"/>
  <c r="AD892"/>
  <c r="AD876"/>
  <c r="AD860"/>
  <c r="AD844"/>
  <c r="AD828"/>
  <c r="AD812"/>
  <c r="AD796"/>
  <c r="AD780"/>
  <c r="AD1382"/>
  <c r="AD1339"/>
  <c r="AD1331"/>
  <c r="AD1323"/>
  <c r="AD1315"/>
  <c r="AD1307"/>
  <c r="AD1299"/>
  <c r="AD1291"/>
  <c r="AD1283"/>
  <c r="AD1275"/>
  <c r="AD1259"/>
  <c r="AD1243"/>
  <c r="AD1227"/>
  <c r="AD1211"/>
  <c r="AD1195"/>
  <c r="AD1179"/>
  <c r="AD1163"/>
  <c r="AD1147"/>
  <c r="AD1131"/>
  <c r="AD1115"/>
  <c r="AD1099"/>
  <c r="AD1083"/>
  <c r="AD1067"/>
  <c r="AD1051"/>
  <c r="AD1035"/>
  <c r="AD1019"/>
  <c r="AD979"/>
  <c r="AD963"/>
  <c r="AD947"/>
  <c r="AD931"/>
  <c r="AD915"/>
  <c r="AD899"/>
  <c r="AD891"/>
  <c r="AD883"/>
  <c r="AD875"/>
  <c r="AD867"/>
  <c r="AD859"/>
  <c r="AD851"/>
  <c r="AD843"/>
  <c r="AD835"/>
  <c r="AD827"/>
  <c r="AD819"/>
  <c r="AD811"/>
  <c r="AD803"/>
  <c r="AD764"/>
  <c r="AD748"/>
  <c r="AD704"/>
  <c r="AD526"/>
  <c r="M522" s="1"/>
  <c r="AD487"/>
  <c r="AD44"/>
  <c r="AD28"/>
  <c r="AD771"/>
  <c r="AD767"/>
  <c r="AD763"/>
  <c r="AD759"/>
  <c r="AD755"/>
  <c r="AD751"/>
  <c r="AD747"/>
  <c r="AD736"/>
  <c r="AD716"/>
  <c r="AD661"/>
  <c r="AD649"/>
  <c r="AD641"/>
  <c r="AD633"/>
  <c r="AD625"/>
  <c r="AD617"/>
  <c r="AD609"/>
  <c r="AD601"/>
  <c r="AD593"/>
  <c r="AD565"/>
  <c r="AD554"/>
  <c r="AD430"/>
  <c r="AD414"/>
  <c r="AD398"/>
  <c r="AD382"/>
  <c r="AD366"/>
  <c r="AD300"/>
  <c r="M300" s="1"/>
  <c r="AD253"/>
  <c r="U3570"/>
  <c r="V3570" s="1"/>
  <c r="AD3570" s="1"/>
  <c r="V3558"/>
  <c r="AD3558" s="1"/>
  <c r="U3558"/>
  <c r="U3550"/>
  <c r="V3550" s="1"/>
  <c r="AD3550" s="1"/>
  <c r="V3546"/>
  <c r="AD3546" s="1"/>
  <c r="U3546"/>
  <c r="U3542"/>
  <c r="V3542" s="1"/>
  <c r="AD3542" s="1"/>
  <c r="V3269"/>
  <c r="AD3269" s="1"/>
  <c r="U3269"/>
  <c r="U3181"/>
  <c r="V3181"/>
  <c r="AD3181" s="1"/>
  <c r="U3064"/>
  <c r="V3064" s="1"/>
  <c r="AD3064" s="1"/>
  <c r="U2920"/>
  <c r="V2920"/>
  <c r="AD2920" s="1"/>
  <c r="U2200"/>
  <c r="V2200" s="1"/>
  <c r="AD2200" s="1"/>
  <c r="U1997"/>
  <c r="V1997"/>
  <c r="AD1997" s="1"/>
  <c r="U1643"/>
  <c r="V1643" s="1"/>
  <c r="AD1643" s="1"/>
  <c r="U1559"/>
  <c r="V1559"/>
  <c r="AD1559" s="1"/>
  <c r="U1543"/>
  <c r="V1543" s="1"/>
  <c r="AD1543" s="1"/>
  <c r="U1535"/>
  <c r="V1535"/>
  <c r="AD1535" s="1"/>
  <c r="U1527"/>
  <c r="V1527" s="1"/>
  <c r="AD1527" s="1"/>
  <c r="U1519"/>
  <c r="V1519"/>
  <c r="AD1519" s="1"/>
  <c r="U1511"/>
  <c r="V1511" s="1"/>
  <c r="AD1511" s="1"/>
  <c r="U1503"/>
  <c r="V1503"/>
  <c r="AD1503" s="1"/>
  <c r="U1491"/>
  <c r="V1491" s="1"/>
  <c r="AD1491" s="1"/>
  <c r="AD3739"/>
  <c r="AD3723"/>
  <c r="AD3707"/>
  <c r="AD3691"/>
  <c r="AD3675"/>
  <c r="AD3741"/>
  <c r="AD3733"/>
  <c r="AD3725"/>
  <c r="AD3717"/>
  <c r="AD3709"/>
  <c r="AD3669"/>
  <c r="AD3653"/>
  <c r="AD3645"/>
  <c r="AD3637"/>
  <c r="AD3629"/>
  <c r="AD3647"/>
  <c r="AD3622"/>
  <c r="AD3583"/>
  <c r="AD3535"/>
  <c r="AD3519"/>
  <c r="AD3597"/>
  <c r="AD3568"/>
  <c r="AD3560"/>
  <c r="AD3556"/>
  <c r="AD3552"/>
  <c r="AD3548"/>
  <c r="AD3544"/>
  <c r="AD3540"/>
  <c r="AD3499"/>
  <c r="AD3491"/>
  <c r="AD3483"/>
  <c r="AD3475"/>
  <c r="AD3467"/>
  <c r="AD3459"/>
  <c r="AD3451"/>
  <c r="AD3443"/>
  <c r="AD3435"/>
  <c r="AD3427"/>
  <c r="AD3419"/>
  <c r="AD3395"/>
  <c r="AD3379"/>
  <c r="AD3528"/>
  <c r="AD3524"/>
  <c r="AD3520"/>
  <c r="AD3516"/>
  <c r="AD3512"/>
  <c r="AD3496"/>
  <c r="AD3480"/>
  <c r="AD3464"/>
  <c r="AD3448"/>
  <c r="AD3432"/>
  <c r="AD3416"/>
  <c r="AD3397"/>
  <c r="AD3381"/>
  <c r="AD3362"/>
  <c r="AD3354"/>
  <c r="AD3346"/>
  <c r="AD3330"/>
  <c r="AD3322"/>
  <c r="AD3314"/>
  <c r="AD3306"/>
  <c r="AD3298"/>
  <c r="AD3290"/>
  <c r="AD3282"/>
  <c r="AD3274"/>
  <c r="AD3266"/>
  <c r="AD3258"/>
  <c r="AD3250"/>
  <c r="AD3238"/>
  <c r="AD3404"/>
  <c r="AD3319"/>
  <c r="AD3303"/>
  <c r="AD3287"/>
  <c r="AD3271"/>
  <c r="AD3267"/>
  <c r="AD3251"/>
  <c r="AD3236"/>
  <c r="AD3228"/>
  <c r="AD3188"/>
  <c r="AD3136"/>
  <c r="AD3132"/>
  <c r="AD3100"/>
  <c r="AD3088"/>
  <c r="AD3179"/>
  <c r="AD3155"/>
  <c r="AD3147"/>
  <c r="AD3139"/>
  <c r="AD3131"/>
  <c r="AD3210"/>
  <c r="AD3194"/>
  <c r="AD3182"/>
  <c r="AD3174"/>
  <c r="AD3166"/>
  <c r="AD3158"/>
  <c r="AD3150"/>
  <c r="AD3142"/>
  <c r="AD3134"/>
  <c r="AD3118"/>
  <c r="AD3110"/>
  <c r="AD3102"/>
  <c r="AD3094"/>
  <c r="AD3086"/>
  <c r="AD3078"/>
  <c r="AD3235"/>
  <c r="AD2943"/>
  <c r="AD2923"/>
  <c r="AD2962"/>
  <c r="AD2958"/>
  <c r="AD2942"/>
  <c r="AD2918"/>
  <c r="AD2916"/>
  <c r="AD2901"/>
  <c r="AD2893"/>
  <c r="AD2885"/>
  <c r="AD2877"/>
  <c r="AD2869"/>
  <c r="AD2861"/>
  <c r="AD2853"/>
  <c r="AD2845"/>
  <c r="AD2837"/>
  <c r="AD2829"/>
  <c r="AD2821"/>
  <c r="AD2813"/>
  <c r="AD2805"/>
  <c r="AD2797"/>
  <c r="AD2789"/>
  <c r="AD2781"/>
  <c r="AD2773"/>
  <c r="AD2765"/>
  <c r="AD2903"/>
  <c r="AD2887"/>
  <c r="AD2871"/>
  <c r="AD2855"/>
  <c r="AD2835"/>
  <c r="AD2902"/>
  <c r="AD2894"/>
  <c r="AD2886"/>
  <c r="AD2878"/>
  <c r="AD2870"/>
  <c r="AD2862"/>
  <c r="AD2854"/>
  <c r="AD2846"/>
  <c r="AD2838"/>
  <c r="AD2830"/>
  <c r="AD2822"/>
  <c r="AD2814"/>
  <c r="AD2806"/>
  <c r="AD2766"/>
  <c r="AD2741"/>
  <c r="AD2725"/>
  <c r="AD2709"/>
  <c r="AD2693"/>
  <c r="AD2677"/>
  <c r="AD2661"/>
  <c r="AD2645"/>
  <c r="AD2629"/>
  <c r="AD2613"/>
  <c r="AD2597"/>
  <c r="AD2581"/>
  <c r="AD2565"/>
  <c r="AD2549"/>
  <c r="AD2533"/>
  <c r="AD2517"/>
  <c r="AD2501"/>
  <c r="AD2485"/>
  <c r="AD2469"/>
  <c r="AD2453"/>
  <c r="AD2762"/>
  <c r="AD2588"/>
  <c r="AD2723"/>
  <c r="AD2543"/>
  <c r="AD2487"/>
  <c r="AD2334"/>
  <c r="AD2150"/>
  <c r="AD2142"/>
  <c r="AD2134"/>
  <c r="AD2126"/>
  <c r="AD2118"/>
  <c r="AD2110"/>
  <c r="AD2102"/>
  <c r="AD2094"/>
  <c r="AD2425"/>
  <c r="AD2421"/>
  <c r="AD2093"/>
  <c r="AD2436"/>
  <c r="AD2412"/>
  <c r="AD2364"/>
  <c r="AD2212"/>
  <c r="AD2204"/>
  <c r="AD1909"/>
  <c r="AD1901"/>
  <c r="AD1893"/>
  <c r="AD1885"/>
  <c r="AD1877"/>
  <c r="AD1869"/>
  <c r="AD1861"/>
  <c r="AD1853"/>
  <c r="AD1845"/>
  <c r="AD1837"/>
  <c r="AD1829"/>
  <c r="AD1821"/>
  <c r="AD1813"/>
  <c r="AD1805"/>
  <c r="AD1797"/>
  <c r="AD1789"/>
  <c r="AD1781"/>
  <c r="AD1773"/>
  <c r="AD1765"/>
  <c r="AD1757"/>
  <c r="AD1749"/>
  <c r="AD1741"/>
  <c r="AD1733"/>
  <c r="AD1725"/>
  <c r="AD1713"/>
  <c r="AD2048"/>
  <c r="AD2040"/>
  <c r="AD2032"/>
  <c r="AD2024"/>
  <c r="AD2012"/>
  <c r="AD2004"/>
  <c r="AD1988"/>
  <c r="AD1972"/>
  <c r="AD1960"/>
  <c r="AD1952"/>
  <c r="AD1936"/>
  <c r="AD1920"/>
  <c r="AD1916"/>
  <c r="AD1995"/>
  <c r="AD1979"/>
  <c r="AD2055"/>
  <c r="AD1998"/>
  <c r="AD1950"/>
  <c r="AD1934"/>
  <c r="AD1918"/>
  <c r="AD1910"/>
  <c r="AD1898"/>
  <c r="AD1882"/>
  <c r="AD1866"/>
  <c r="AD1842"/>
  <c r="AD1806"/>
  <c r="AD1790"/>
  <c r="AD1774"/>
  <c r="AD1758"/>
  <c r="AD1754"/>
  <c r="AD1738"/>
  <c r="AD1722"/>
  <c r="AD1478"/>
  <c r="AD1462"/>
  <c r="AD1446"/>
  <c r="AD1685"/>
  <c r="AD1665"/>
  <c r="AD1653"/>
  <c r="AD1641"/>
  <c r="AD1629"/>
  <c r="AD1613"/>
  <c r="AD1601"/>
  <c r="AD1589"/>
  <c r="AD1573"/>
  <c r="AD1557"/>
  <c r="AD1541"/>
  <c r="AD1533"/>
  <c r="AD1525"/>
  <c r="AD1517"/>
  <c r="AD1509"/>
  <c r="AD1501"/>
  <c r="AD1489"/>
  <c r="AD1473"/>
  <c r="AD1656"/>
  <c r="AD1640"/>
  <c r="AD1516"/>
  <c r="AD1508"/>
  <c r="AD1500"/>
  <c r="AD1492"/>
  <c r="AD1444"/>
  <c r="AD1436"/>
  <c r="AD1428"/>
  <c r="AD1388"/>
  <c r="AD1376"/>
  <c r="AD1360"/>
  <c r="AD1270"/>
  <c r="AD1262"/>
  <c r="AD1254"/>
  <c r="AD1238"/>
  <c r="AD1230"/>
  <c r="AD1222"/>
  <c r="AD1206"/>
  <c r="AD1198"/>
  <c r="AD1190"/>
  <c r="AD1182"/>
  <c r="AD1174"/>
  <c r="AD1166"/>
  <c r="AD1158"/>
  <c r="AD1150"/>
  <c r="AD1142"/>
  <c r="AD1134"/>
  <c r="AD1126"/>
  <c r="AD1118"/>
  <c r="AD1110"/>
  <c r="AD1102"/>
  <c r="AD1094"/>
  <c r="AD1086"/>
  <c r="AD1078"/>
  <c r="AD1070"/>
  <c r="AD1062"/>
  <c r="AD1054"/>
  <c r="AD1046"/>
  <c r="AD1038"/>
  <c r="AD1030"/>
  <c r="AD1022"/>
  <c r="AD986"/>
  <c r="AD978"/>
  <c r="AD962"/>
  <c r="AD954"/>
  <c r="AD946"/>
  <c r="AD938"/>
  <c r="AD930"/>
  <c r="AD922"/>
  <c r="AD914"/>
  <c r="AD906"/>
  <c r="AD898"/>
  <c r="AD890"/>
  <c r="AD882"/>
  <c r="AD874"/>
  <c r="AD866"/>
  <c r="AD858"/>
  <c r="AD850"/>
  <c r="AD842"/>
  <c r="AD834"/>
  <c r="AD826"/>
  <c r="AD818"/>
  <c r="AD810"/>
  <c r="AD802"/>
  <c r="AD794"/>
  <c r="AD786"/>
  <c r="AD778"/>
  <c r="AD766"/>
  <c r="AD750"/>
  <c r="AD734"/>
  <c r="AD718"/>
  <c r="AD702"/>
  <c r="AD1390"/>
  <c r="AD1389"/>
  <c r="AD1312"/>
  <c r="AD1296"/>
  <c r="AD1196"/>
  <c r="AD936"/>
  <c r="AD920"/>
  <c r="AD904"/>
  <c r="AD888"/>
  <c r="AD872"/>
  <c r="AD856"/>
  <c r="AD840"/>
  <c r="AD824"/>
  <c r="AD808"/>
  <c r="AD792"/>
  <c r="AD776"/>
  <c r="AD1386"/>
  <c r="AD1271"/>
  <c r="AD1255"/>
  <c r="AD1239"/>
  <c r="AD1223"/>
  <c r="AD1207"/>
  <c r="AD1191"/>
  <c r="AD1175"/>
  <c r="AD1159"/>
  <c r="AD1143"/>
  <c r="AD1127"/>
  <c r="AD1111"/>
  <c r="AD1095"/>
  <c r="AD1079"/>
  <c r="AD1063"/>
  <c r="AD1047"/>
  <c r="AD1031"/>
  <c r="AD1015"/>
  <c r="AD1007"/>
  <c r="AD999"/>
  <c r="AD991"/>
  <c r="AD975"/>
  <c r="AD959"/>
  <c r="AD943"/>
  <c r="AD927"/>
  <c r="AD911"/>
  <c r="AD799"/>
  <c r="AD787"/>
  <c r="AD779"/>
  <c r="AD700"/>
  <c r="AD687"/>
  <c r="AD679"/>
  <c r="AD671"/>
  <c r="AD663"/>
  <c r="AD655"/>
  <c r="AD647"/>
  <c r="AD639"/>
  <c r="AD631"/>
  <c r="AD623"/>
  <c r="AD615"/>
  <c r="AD607"/>
  <c r="AD599"/>
  <c r="AD591"/>
  <c r="AD583"/>
  <c r="AD575"/>
  <c r="AD567"/>
  <c r="AD556"/>
  <c r="AD548"/>
  <c r="AD448"/>
  <c r="AD440"/>
  <c r="AD429"/>
  <c r="AD421"/>
  <c r="AD413"/>
  <c r="AD405"/>
  <c r="AD397"/>
  <c r="AD389"/>
  <c r="AD381"/>
  <c r="AD365"/>
  <c r="AD357"/>
  <c r="AD32"/>
  <c r="AD10"/>
  <c r="AD744"/>
  <c r="AD732"/>
  <c r="AD724"/>
  <c r="AD666"/>
  <c r="M545"/>
  <c r="AD364"/>
  <c r="AD221"/>
  <c r="AD205"/>
  <c r="AD733"/>
  <c r="AD703"/>
  <c r="AD693"/>
  <c r="AD677"/>
  <c r="AD669"/>
  <c r="AD657"/>
  <c r="AD589"/>
  <c r="AD573"/>
  <c r="AD426"/>
  <c r="AD410"/>
  <c r="AD394"/>
  <c r="AD378"/>
  <c r="AD362"/>
  <c r="AD735"/>
  <c r="AD723"/>
  <c r="AD719"/>
  <c r="M196" l="1"/>
  <c r="M228"/>
  <c r="M253"/>
  <c r="M438"/>
  <c r="M55"/>
  <c r="M354"/>
  <c r="M480"/>
  <c r="M561"/>
  <c r="J4" s="1"/>
</calcChain>
</file>

<file path=xl/sharedStrings.xml><?xml version="1.0" encoding="utf-8"?>
<sst xmlns="http://schemas.openxmlformats.org/spreadsheetml/2006/main" count="10091" uniqueCount="6942">
  <si>
    <t>KERRY EXPRESS VN</t>
  </si>
  <si>
    <t>INCENTIVE REPORT</t>
  </si>
  <si>
    <t>MONTH</t>
  </si>
  <si>
    <t>2018-09</t>
  </si>
  <si>
    <t>TOTAL INCENTIVE</t>
  </si>
  <si>
    <t>SALE</t>
  </si>
  <si>
    <t>FULL NAME</t>
  </si>
  <si>
    <t>POS</t>
  </si>
  <si>
    <t>ZONE</t>
  </si>
  <si>
    <t>PIC</t>
  </si>
  <si>
    <t>ROLE</t>
  </si>
  <si>
    <t>RATE</t>
  </si>
  <si>
    <t>TARGET</t>
  </si>
  <si>
    <t>AR</t>
  </si>
  <si>
    <t>KPI</t>
  </si>
  <si>
    <t>INC TOTALS</t>
  </si>
  <si>
    <t>POSTION ID</t>
  </si>
  <si>
    <t>P.KPI</t>
  </si>
  <si>
    <t>NEW QUATER AR</t>
  </si>
  <si>
    <t>ALL CHILD AR</t>
  </si>
  <si>
    <t>INCENTIVE CACULATION</t>
  </si>
  <si>
    <t>52501</t>
  </si>
  <si>
    <t>RM</t>
  </si>
  <si>
    <t>South</t>
  </si>
  <si>
    <t/>
  </si>
  <si>
    <t>RM - South</t>
  </si>
  <si>
    <t>Before 2019</t>
  </si>
  <si>
    <t>Normal Rate</t>
  </si>
  <si>
    <t>Special Race</t>
  </si>
  <si>
    <t>Internal Service</t>
  </si>
  <si>
    <t>FTL Service</t>
  </si>
  <si>
    <t>Code</t>
  </si>
  <si>
    <t>Name</t>
  </si>
  <si>
    <t>Join</t>
  </si>
  <si>
    <t>Sec M.</t>
  </si>
  <si>
    <t>Invoice Date</t>
  </si>
  <si>
    <t>Payment Date</t>
  </si>
  <si>
    <t>Total Rev</t>
  </si>
  <si>
    <t>Discount</t>
  </si>
  <si>
    <t>Commission</t>
  </si>
  <si>
    <t>After Discount</t>
  </si>
  <si>
    <t>Public Rate</t>
  </si>
  <si>
    <t>Disc Rate</t>
  </si>
  <si>
    <t>Ar First 3 Month</t>
  </si>
  <si>
    <t>Ar After 3 Month</t>
  </si>
  <si>
    <t>&lt;Jul-18</t>
  </si>
  <si>
    <t>Rate</t>
  </si>
  <si>
    <t>Inc Amount</t>
  </si>
  <si>
    <t>Calculation Amount</t>
  </si>
  <si>
    <t>Bonus Amount</t>
  </si>
  <si>
    <t>Fisrt 3M Inc Amount</t>
  </si>
  <si>
    <t>After 3M Amount</t>
  </si>
  <si>
    <t>Totals</t>
  </si>
  <si>
    <t>5005128</t>
  </si>
  <si>
    <t>CÔNG TY TNHH DỊCH VỤ DU LỊCH PHI ĐẠT</t>
  </si>
  <si>
    <t>5005130</t>
  </si>
  <si>
    <t>CÔNG TY CỔ PHẦN ĐẠI ĐỒNG TiẾN</t>
  </si>
  <si>
    <t>5006117</t>
  </si>
  <si>
    <t>CÔNG TY CỔ PHẦN ĐiỆN TỬ ĐiỆN LẠNH BÌNH MINH</t>
  </si>
  <si>
    <t>5007001</t>
  </si>
  <si>
    <t>CÔNG TY TNHH DAIWA PLASTICS (VN)</t>
  </si>
  <si>
    <t>5007125</t>
  </si>
  <si>
    <t>CÔNG TY TNHH VÒNG XANH</t>
  </si>
  <si>
    <t>5011090</t>
  </si>
  <si>
    <t>CÔNG TY TNHH THƯƠNG MẠI DỊCH VỤ LÝ CHÂU</t>
  </si>
  <si>
    <t>5015314</t>
  </si>
  <si>
    <t xml:space="preserve">CTY TNHH MTV ĐỐI TÁC NHÃN HIỆU </t>
  </si>
  <si>
    <t>5015449</t>
  </si>
  <si>
    <t>CÔNG TY TNHH QUÀ TẶNG THỊNH PHÁT</t>
  </si>
  <si>
    <t>5019101</t>
  </si>
  <si>
    <t xml:space="preserve">CTY TNHH KI-MÔ-NÔ E NHẬT </t>
  </si>
  <si>
    <t>6119541</t>
  </si>
  <si>
    <t>CÔNG TY CỔ PHẦN BÓNG ĐÈN ĐiỆN QUANG</t>
  </si>
  <si>
    <t>43286</t>
  </si>
  <si>
    <t>SM</t>
  </si>
  <si>
    <t>DAD</t>
  </si>
  <si>
    <t>SM - DAD</t>
  </si>
  <si>
    <t>53295</t>
  </si>
  <si>
    <t>SM - HCM</t>
  </si>
  <si>
    <t>2902497</t>
  </si>
  <si>
    <t>CÔNG TY TNHH PHONG NAM-SINHIROSE</t>
  </si>
  <si>
    <t>2903235</t>
  </si>
  <si>
    <t>Công ty TNHH Ba Ngôi Sao</t>
  </si>
  <si>
    <t>2903506</t>
  </si>
  <si>
    <t>CTCP Thương Mại &amp; Đầu Tư XD Bắc Thăng Long</t>
  </si>
  <si>
    <t>2903635</t>
  </si>
  <si>
    <t>CTCP Sinh Hóa Minh Đức</t>
  </si>
  <si>
    <t>2903866</t>
  </si>
  <si>
    <t>CÔNG TY TNHH THƯƠNG MẠI HOÀN CẦU</t>
  </si>
  <si>
    <t>2904531</t>
  </si>
  <si>
    <t>CN Công ty TNHH MTV ĐT&amp;PT Nông Nghiệp Hà Nội-XN Bắc Hà</t>
  </si>
  <si>
    <t>2904665</t>
  </si>
  <si>
    <t>CÔNG TY TNHH NISSEI ELECTRIC HÀ NỘI</t>
  </si>
  <si>
    <t>2904671</t>
  </si>
  <si>
    <t>Công ty TNHH Công Nghệ và Thương Mại ICD Việt Nam</t>
  </si>
  <si>
    <t>2904710</t>
  </si>
  <si>
    <t>Công ty cổ phàn chế tạo máy MNK</t>
  </si>
  <si>
    <t>2904711</t>
  </si>
  <si>
    <t>Công ty Cổ Phần Công Nghệ Sao Đông Dương</t>
  </si>
  <si>
    <t>2904805</t>
  </si>
  <si>
    <t>CÔNG TY TNHH CÔNG NGHIỆP TRÍ CƯỜNG</t>
  </si>
  <si>
    <t>2904824</t>
  </si>
  <si>
    <t>CÔNG TY CỔ PHẦN CÔNG NGHỆ VIỄN THÔNG THỦ ĐÔ</t>
  </si>
  <si>
    <t>2904907</t>
  </si>
  <si>
    <t>CÔNG TY CỔ PHẦN ĐẦU TƯ VÀ THƯƠNG MẠI THẾ NAM</t>
  </si>
  <si>
    <t>2904950</t>
  </si>
  <si>
    <t>CÔNG TY CỔ PHẦN DƯỢC PHẨM ASEAN</t>
  </si>
  <si>
    <t>2904952</t>
  </si>
  <si>
    <t>CÔNG TY TNHH Y TẾ HỒNG NGỌC</t>
  </si>
  <si>
    <t>2904960</t>
  </si>
  <si>
    <t>CÔNG TY CỔ PHẦN THIẾT BỊ GIA DỤNG CHÂU ÂU</t>
  </si>
  <si>
    <t>2905007</t>
  </si>
  <si>
    <t>CÔNG TY TNHH KỸ THUẬT ĐIỆN VÀ CƠ KHÍ ĐẠI THÀNH</t>
  </si>
  <si>
    <t>2905026</t>
  </si>
  <si>
    <t>CÔNG TY CỔ PHẦN THƯƠNG MẠI VÀ ĐẦU TƯ TRE VIỆT</t>
  </si>
  <si>
    <t>2905043</t>
  </si>
  <si>
    <t>CÔNG TY CỔ PHẦN 3S VIỆT NAM</t>
  </si>
  <si>
    <t>2905246</t>
  </si>
  <si>
    <t>CÔNG TY CỔ PHẦN YOUBAY</t>
  </si>
  <si>
    <t>2905252</t>
  </si>
  <si>
    <t>CÔNG TY CỔ PHẦN INOUE(VIỆT NAM)</t>
  </si>
  <si>
    <t>2905316</t>
  </si>
  <si>
    <t>CÔNG TY CỔ PHẦN WOODSLAND</t>
  </si>
  <si>
    <t>2905473</t>
  </si>
  <si>
    <t>CÔNG TY TNHH THƯƠNG MẠI XUẤT NHẬP KHẨU LASER TOP</t>
  </si>
  <si>
    <t>8800026</t>
  </si>
  <si>
    <t>CN CÔNG TY CP THƯƠNG MẠI VÀ DỊCH VỤ NGỌC HÀ TẠI VĨNH PHÚC</t>
  </si>
  <si>
    <t>53397</t>
  </si>
  <si>
    <t>SE</t>
  </si>
  <si>
    <t>43260</t>
  </si>
  <si>
    <t>ASM</t>
  </si>
  <si>
    <t>T1-DAD</t>
  </si>
  <si>
    <t>ASM DAD.T1</t>
  </si>
  <si>
    <t>51957</t>
  </si>
  <si>
    <t>T1-HCM</t>
  </si>
  <si>
    <t>ASM HCM.T1</t>
  </si>
  <si>
    <t>2901759</t>
  </si>
  <si>
    <t>CN Công ty TNHH Kết nối toàn cầu</t>
  </si>
  <si>
    <t>5001321</t>
  </si>
  <si>
    <t xml:space="preserve">CÔNG TY CP CONTAINER PHÍA NAM </t>
  </si>
  <si>
    <t>5001456</t>
  </si>
  <si>
    <t>Công Ty TNHH TM THỦY KHÍ ĐIỆN R.T</t>
  </si>
  <si>
    <t>5001521</t>
  </si>
  <si>
    <t>Công Ty TNHH SX TM DV Natural  Rendez-Vous</t>
  </si>
  <si>
    <t>5001616</t>
  </si>
  <si>
    <t>CTY TNHH (GLOBAL LINK) KẾT NỐI TOÀN CẦU</t>
  </si>
  <si>
    <t>5001700</t>
  </si>
  <si>
    <t>CTY TNHH DƯỢC PHẨM AN</t>
  </si>
  <si>
    <t>5001817</t>
  </si>
  <si>
    <t>CHI NHÁNH CÔNG TY TNHH DU LỊCH VÀ THƯƠNG MẠI HOÀNG TRÀ</t>
  </si>
  <si>
    <t>5001884</t>
  </si>
  <si>
    <t>CÔNG TY TNHH THƯƠNG MẠI DỊCH VỤ XUẤT KHẨU MIHOUSE</t>
  </si>
  <si>
    <t>5002085</t>
  </si>
  <si>
    <t>Công Ty TNHH Thiết Bị Và Hóa Chất Hợp Tiến</t>
  </si>
  <si>
    <t>5002086</t>
  </si>
  <si>
    <t>Công Ty TNHH Thương Mại Dịch Vụ Quốc Tế VAVI</t>
  </si>
  <si>
    <t>5002087</t>
  </si>
  <si>
    <t xml:space="preserve">Công Ty TNHH BUREAU VERITAS CONSUMER PRODUCTS SERVICES VIET </t>
  </si>
  <si>
    <t>5002089</t>
  </si>
  <si>
    <t>Công Ty TNHH Ô TÔ Chính Hiệp</t>
  </si>
  <si>
    <t>5002090</t>
  </si>
  <si>
    <t>Công Ty Cổ Phần Cơ Khí Cao Su BRC</t>
  </si>
  <si>
    <t>5002093</t>
  </si>
  <si>
    <t>CÔNG TY TNHH DCORP TOÀN CẦU</t>
  </si>
  <si>
    <t>5002094</t>
  </si>
  <si>
    <t>CÔNG TY TNHH THƯƠNG MẠI VÀ GIAO NHẬN ĐiỂM VÀNG</t>
  </si>
  <si>
    <t>5002107</t>
  </si>
  <si>
    <t>CÔNG TY TNHH LIÊN KẾT THÁI BÌNH</t>
  </si>
  <si>
    <t>5002108</t>
  </si>
  <si>
    <t>CÔNG TY TNHH TAISHO ViỆT NAM</t>
  </si>
  <si>
    <t>5002109</t>
  </si>
  <si>
    <t>CÔNG TY TNHH THƯƠNG MẠI SẢN XuẤT KIÊN DŨNG</t>
  </si>
  <si>
    <t>5002110</t>
  </si>
  <si>
    <t>CÔNG TY TNHH ĐẦU TƯ ĐỈNH NAM</t>
  </si>
  <si>
    <t>5002111</t>
  </si>
  <si>
    <t>CÔNG TY TNHH B.P.V</t>
  </si>
  <si>
    <t>5002112</t>
  </si>
  <si>
    <t>CÔNG TY TNHH XE ĐẠP ĐỒNG TÂM</t>
  </si>
  <si>
    <t>5002115</t>
  </si>
  <si>
    <t>CÔNG TY TNHH MÁY VĂN PHÒNG THIÊN PHÚC</t>
  </si>
  <si>
    <t>5002136</t>
  </si>
  <si>
    <t>CÔNG TY TNHH THIÊN NAM ANH</t>
  </si>
  <si>
    <t>5004100</t>
  </si>
  <si>
    <t>CÔNG TY CP HÀNG TIÊU DÙNG PHÚC SINH</t>
  </si>
  <si>
    <t>5007117</t>
  </si>
  <si>
    <t>CÔNG TY TNHH XÂY DỰNG TUẤN LÊ</t>
  </si>
  <si>
    <t>5007132</t>
  </si>
  <si>
    <t>CÔNG TY TNHH QuỐC TẾ RISING TIME</t>
  </si>
  <si>
    <t>5007135</t>
  </si>
  <si>
    <t>CÔNG TY TNHH GiẤY VI TÍNH LIÊN SƠN</t>
  </si>
  <si>
    <t>5007154</t>
  </si>
  <si>
    <t>CÔNG TY TNHH KIM HOÀNG QUAN NAM</t>
  </si>
  <si>
    <t>5007171</t>
  </si>
  <si>
    <t>CÔNG TY TNHH ÂM NHẠC SWEE LEE</t>
  </si>
  <si>
    <t>5008043</t>
  </si>
  <si>
    <t xml:space="preserve">CTY TNHH NÉT VIỆT </t>
  </si>
  <si>
    <t>5010121</t>
  </si>
  <si>
    <t>CÔNG TY TNHH THƯƠNG MẠI THÁI SƠN NAM</t>
  </si>
  <si>
    <t>5010294</t>
  </si>
  <si>
    <t>CÔNG TY TNHH ĐẦU TƯ LEFAMI</t>
  </si>
  <si>
    <t>5013021</t>
  </si>
  <si>
    <t>VPDĐ AFN</t>
  </si>
  <si>
    <t>5013123</t>
  </si>
  <si>
    <t>Công Ty TNHH Thiết Kế Mỹ Thuật-DV Quảng Cáo Philao</t>
  </si>
  <si>
    <t>5013212</t>
  </si>
  <si>
    <t>CÔNG TY TNHH KỸ THUẬT CÔNG NGHỆ CHÂU HẢI MINH</t>
  </si>
  <si>
    <t>5013237</t>
  </si>
  <si>
    <t>VPDD WETTER (INDOCHINE) LIMITED</t>
  </si>
  <si>
    <t>5014129</t>
  </si>
  <si>
    <t>CTY TNHH TM XUẤT NHẬP KHẨU ASCOLITE</t>
  </si>
  <si>
    <t>5014159</t>
  </si>
  <si>
    <t>CÔNG TY TNHH TM VÀ DV CƠ ĐiỆN - NHIỆT LẠNH ViỆT NAM</t>
  </si>
  <si>
    <t>5014216</t>
  </si>
  <si>
    <t>CÔNG TY TNHH MTV TƯ VẤN VÀ THƯƠNG MẠI PHƯƠNG ĐÔNG</t>
  </si>
  <si>
    <t>5015146</t>
  </si>
  <si>
    <t>Công Ty CP Thương Mại Hướng Việt</t>
  </si>
  <si>
    <t>5015308</t>
  </si>
  <si>
    <t>CÔNG TY TNHH THƯƠNG MẠI DỊCH VỤ Ý THÀNH</t>
  </si>
  <si>
    <t>5015324</t>
  </si>
  <si>
    <t xml:space="preserve">CTY TNHH TMDV CƠ KHÍ HUỲNH BẰNG </t>
  </si>
  <si>
    <t>5015355</t>
  </si>
  <si>
    <t xml:space="preserve">CTY TNHH HÓA CHẤT ĐĂNG HƯNG </t>
  </si>
  <si>
    <t>5015359</t>
  </si>
  <si>
    <t xml:space="preserve">CTY TNHH PHÂN PHỐI GỖ ĐỎ </t>
  </si>
  <si>
    <t>5015374</t>
  </si>
  <si>
    <t>Công Ty CP Công Nghệ Giải Pháp Thi Thiên</t>
  </si>
  <si>
    <t>5015375</t>
  </si>
  <si>
    <t>Công Ty CP Đầu Tư Kinh Doanh Sáng Tạo Việt</t>
  </si>
  <si>
    <t>5015376</t>
  </si>
  <si>
    <t>Công Ty TNHH Nam Việt Đỗ</t>
  </si>
  <si>
    <t>5015378</t>
  </si>
  <si>
    <t>Công Ty TNHH Nam Bắc</t>
  </si>
  <si>
    <t>5015380</t>
  </si>
  <si>
    <t>Công Ty TNHH ELON Việt Nam</t>
  </si>
  <si>
    <t>5015381</t>
  </si>
  <si>
    <t>Công Ty TNHH ITO Việt Nam</t>
  </si>
  <si>
    <t>5015382</t>
  </si>
  <si>
    <t>Công Ty TNHH Sản Xuất Thương Mại Dịch Vụ XNK Thiên Ân</t>
  </si>
  <si>
    <t>5015383</t>
  </si>
  <si>
    <t>Công Ty TNHH Nhật Hữu Á Bá</t>
  </si>
  <si>
    <t>5015384</t>
  </si>
  <si>
    <t>Công Ty CP Hóa Sinh Đất Phương Nam</t>
  </si>
  <si>
    <t>5015390</t>
  </si>
  <si>
    <t>Công Ty TNHH Thương Mại Kỹ Thuật Vĩnh An</t>
  </si>
  <si>
    <t>5015392</t>
  </si>
  <si>
    <t>Công Ty TNHH Thiết Bị Công Nghiệp SGN</t>
  </si>
  <si>
    <t>5015396</t>
  </si>
  <si>
    <t>Công Ty TNHH Giao Nhận Vận Tải Thế Kỷ</t>
  </si>
  <si>
    <t>5015398</t>
  </si>
  <si>
    <t>Công Ty TNHH Thương Mại Dịch Vụ Tân Thuận Phước</t>
  </si>
  <si>
    <t>5015399</t>
  </si>
  <si>
    <t>Công Ty CP Tư Vấn Đầu Tư TM Dịch Vụ Xây Dựng Quang Minh</t>
  </si>
  <si>
    <t>5015400</t>
  </si>
  <si>
    <t>Công Ty TNHH Hóa Chất Và Thực Phẩm</t>
  </si>
  <si>
    <t>5015401</t>
  </si>
  <si>
    <t>Công Ty TNHH FUCO</t>
  </si>
  <si>
    <t>5015404</t>
  </si>
  <si>
    <t>CÔNG TY TNHH KỸ THUẬT LÀM SẠCH VÀ TM QuỐC TẾ</t>
  </si>
  <si>
    <t>5015407</t>
  </si>
  <si>
    <t>CÔNG TY TNHH ĐiỆN MÁY OMEGA</t>
  </si>
  <si>
    <t>5015423</t>
  </si>
  <si>
    <t>CÔNG TY TNHH MTV CƠ KHÍ VÀ XÂY DỰNG THIÊN AN</t>
  </si>
  <si>
    <t>5015425</t>
  </si>
  <si>
    <t>CÔNG TY TNHH TM DV HỒNG THUYÊN</t>
  </si>
  <si>
    <t>5015430</t>
  </si>
  <si>
    <t>CÔNG TY TNHH THIẾT BỊ ĐiỆN TÂN THANH</t>
  </si>
  <si>
    <t>5015436</t>
  </si>
  <si>
    <t>CÔNG TY TNHH PHÚC THIÊN TOUPEE</t>
  </si>
  <si>
    <t>5015446</t>
  </si>
  <si>
    <t>CÔNG TY TNHH BẢO HỘ XANH</t>
  </si>
  <si>
    <t>5015471</t>
  </si>
  <si>
    <t>CÔNG TY TNHH IM TECH</t>
  </si>
  <si>
    <t>5015483</t>
  </si>
  <si>
    <t>CÔNG TY TNHH THƯƠNG MẠI VẬN TẢI MINH AN</t>
  </si>
  <si>
    <t>5017222</t>
  </si>
  <si>
    <t>CÔNG TY TNHH THIẾT BỊ KỸ THUẬT MINH HẢI</t>
  </si>
  <si>
    <t>5018304</t>
  </si>
  <si>
    <t>Công Ty TNHH ATOTECH Việt Nam</t>
  </si>
  <si>
    <t>5018360</t>
  </si>
  <si>
    <t>CN Công TY TNHH HANARO TNS Tại TP.HCM</t>
  </si>
  <si>
    <t>5018365</t>
  </si>
  <si>
    <t>Công Ty TNHH TM DV Minh Phương</t>
  </si>
  <si>
    <t>5018446</t>
  </si>
  <si>
    <t>Công Ty TNHH GEA REFRIGERATION VIỆT NAM</t>
  </si>
  <si>
    <t>5018596</t>
  </si>
  <si>
    <t xml:space="preserve">CTY TNHH MIẾNG DÁN ĐẸP Ý VÂN </t>
  </si>
  <si>
    <t>5018660</t>
  </si>
  <si>
    <t>CTY CP VIETJETAIR CARGO</t>
  </si>
  <si>
    <t>5018741</t>
  </si>
  <si>
    <t>CÔNG TY TNHH QuỐC TẾ CARGO RUSH</t>
  </si>
  <si>
    <t>5018788</t>
  </si>
  <si>
    <t>CÔNG TY TNHH KARMARTS VIỆT NAM</t>
  </si>
  <si>
    <t>5018797</t>
  </si>
  <si>
    <t>CÔNG TY CỔ PHẦN CTLINK</t>
  </si>
  <si>
    <t>5018816</t>
  </si>
  <si>
    <t>CÔNG TY TNHH DC CHEMICALS</t>
  </si>
  <si>
    <t>5020001</t>
  </si>
  <si>
    <t>Cty TNHH May Mặc Triple VN</t>
  </si>
  <si>
    <t>5020005</t>
  </si>
  <si>
    <t>Công Ty CP Quốc Tế Minh Việt</t>
  </si>
  <si>
    <t>5021125</t>
  </si>
  <si>
    <t>Công Ty TNHH Mạch Gia Kim</t>
  </si>
  <si>
    <t>5021126</t>
  </si>
  <si>
    <t>Công Ty Cổ Phần Thương Mại Và Đầu Tư T.T.Q</t>
  </si>
  <si>
    <t>5021132</t>
  </si>
  <si>
    <t>Công Ty TNHH Môi Trường Việt Á</t>
  </si>
  <si>
    <t>5021139</t>
  </si>
  <si>
    <t>CÔNG TY TNHH MÁY PHÁT ĐiỆN MiỀN NAM</t>
  </si>
  <si>
    <t>6004263</t>
  </si>
  <si>
    <t>6504115</t>
  </si>
  <si>
    <t>TTBH Samsung Thốt Nốt - CN Thốt Nốt (B2X ViỆT NAM)</t>
  </si>
  <si>
    <t>7220135</t>
  </si>
  <si>
    <t>TTBH Samsung Nguyễn Tất Thành - CN1 BRVT (B2X ViỆT NAM)</t>
  </si>
  <si>
    <t>43276</t>
  </si>
  <si>
    <t>Sales</t>
  </si>
  <si>
    <t>Sale DAD.T1</t>
  </si>
  <si>
    <t>2901012</t>
  </si>
  <si>
    <t>CÔNG TY TNHH THƯƠNG MẠI- DỊCH VỤ PHƯƠNG BẮC</t>
  </si>
  <si>
    <t>2902570</t>
  </si>
  <si>
    <t>Công ty Cổ phần Đầu tư và phát triển Thuận Thiên</t>
  </si>
  <si>
    <t>2903283</t>
  </si>
  <si>
    <t>CÔNG TY TNHH E-CARGOWAY LOGISTICS VIỆT NAM</t>
  </si>
  <si>
    <t>2904120</t>
  </si>
  <si>
    <t>Công ty TNHH Dệt may Thái Hòa</t>
  </si>
  <si>
    <t>2904313</t>
  </si>
  <si>
    <t>CÔNG TY CỔ PHẦN PUNTO Ý</t>
  </si>
  <si>
    <t>2904399</t>
  </si>
  <si>
    <t>Công ty TNHH phát triền công nghệ Việt-Hàn</t>
  </si>
  <si>
    <t>2905304</t>
  </si>
  <si>
    <t>CÔNG TY CỔ PHẦN MPS VIỆT NAM</t>
  </si>
  <si>
    <t>2905308</t>
  </si>
  <si>
    <t>CN CÔNG TY TNHH MORRISON EXPRESS VIỆT NAM TẠI TP HÀ NỘI</t>
  </si>
  <si>
    <t>2905317</t>
  </si>
  <si>
    <t>CÔGN TY CỔ PHẦN THỜI TRANG TUẤN HƯNG</t>
  </si>
  <si>
    <t>2905325</t>
  </si>
  <si>
    <t>CÔNG TY CỔ PHẦN DỊCH VỤ CÔNG NGHỆ TSC VIỆT NAM</t>
  </si>
  <si>
    <t>2905333</t>
  </si>
  <si>
    <t>CÔNG TY CỔ PHẦN CAO SU ĐÀ NẴNG</t>
  </si>
  <si>
    <t>2905360</t>
  </si>
  <si>
    <t>CÔNG TY TNHH ĐẦU TƯ CÔNG NGHỆ MỎ- XÂY DỰNG</t>
  </si>
  <si>
    <t>2905361</t>
  </si>
  <si>
    <t>CTY TNHH TƯ VẤN VÀ CÔNG NGHỆ VIỆT XANH</t>
  </si>
  <si>
    <t>2905367</t>
  </si>
  <si>
    <t>CÔNG TY TNHH THÔNG TIN KỸ THUẬT MINH ANH</t>
  </si>
  <si>
    <t>2905369</t>
  </si>
  <si>
    <t>CÔNG TY TNHH XNK VÀ THƯƠNG MẠI HOÀNG TRUNG</t>
  </si>
  <si>
    <t>2905386</t>
  </si>
  <si>
    <t>CÔNG TY TNHH LINCOLN VIỆT NAM</t>
  </si>
  <si>
    <t>2905388</t>
  </si>
  <si>
    <t>CÔNG TY TNHH THƯƠNG MẠI  VÀ DỊCH VỤ VIETTOOL VIỆT NAM</t>
  </si>
  <si>
    <t>2905391</t>
  </si>
  <si>
    <t>CÔNG TY CỔ PHẦN HUYỀN VŨ</t>
  </si>
  <si>
    <t>2905396</t>
  </si>
  <si>
    <t>CÔNG TY TNHH ASSURICH VIỆT NAM</t>
  </si>
  <si>
    <t>2905406</t>
  </si>
  <si>
    <t>CÔGN TY CP THƯƠNG MẠI VÀ CÔNG NGHỆ KỸ THUẬT ECOME</t>
  </si>
  <si>
    <t>2905424</t>
  </si>
  <si>
    <t>CÔNG TY TNHH CÔNG NGHỆ QUỐC TẾ DHT VIỆT NAM</t>
  </si>
  <si>
    <t>2905431</t>
  </si>
  <si>
    <t>CT TNHH THƯƠNG MẠI VÀ DỊCH VỤ KỸ THUẬT LAS</t>
  </si>
  <si>
    <t>2905434</t>
  </si>
  <si>
    <t>CÔNG TY TNHH HÓA CHẤT VÀ VẬT TƯ KHOA HỌC KỸ THẬT CƯỜNG THỊNH</t>
  </si>
  <si>
    <t>2905437</t>
  </si>
  <si>
    <t>CÔNG TY TNHH HÓA DẦU VÀ THIẾT BỊ CÔNG NGHIỆP ASIA</t>
  </si>
  <si>
    <t>2905438</t>
  </si>
  <si>
    <t>CÔNG TY TNHH TC SYSTEMS(VIỆT NAM)</t>
  </si>
  <si>
    <t>2905448</t>
  </si>
  <si>
    <t>CÔNG TY TNHH BLACASA VIỆT NAM</t>
  </si>
  <si>
    <t>2905464</t>
  </si>
  <si>
    <t>CÔNG TY TNHH THIẾT BỊ MÁY CÔNG TRÌNH HẢI LÂM</t>
  </si>
  <si>
    <t>2905482</t>
  </si>
  <si>
    <t>CÔNG TY TNHH TRUNG TÂM IN</t>
  </si>
  <si>
    <t>2905516</t>
  </si>
  <si>
    <t>CÔNG TY CỔ PHẦN NỀN MÓNG VÀ XÂY DỰNG QUANG ANH</t>
  </si>
  <si>
    <t>2905517</t>
  </si>
  <si>
    <t>CÔNG TY CỔ PHẦN CÔNG NGHIỆP VIỆT XUÂN</t>
  </si>
  <si>
    <t>2905531</t>
  </si>
  <si>
    <t>CÔNG TY TNHH LINH NHẬT</t>
  </si>
  <si>
    <t>43293</t>
  </si>
  <si>
    <t>43296</t>
  </si>
  <si>
    <t>47018</t>
  </si>
  <si>
    <t>HL</t>
  </si>
  <si>
    <t>Sale HL</t>
  </si>
  <si>
    <t>47021</t>
  </si>
  <si>
    <t>50168</t>
  </si>
  <si>
    <t>T1-SE</t>
  </si>
  <si>
    <t>Sale SE.T1</t>
  </si>
  <si>
    <t>50363</t>
  </si>
  <si>
    <t>Sale HCM.T1</t>
  </si>
  <si>
    <t>5002103</t>
  </si>
  <si>
    <t>CÔNG TY CP TM DƯỢC HOÀNG LONG</t>
  </si>
  <si>
    <t>5003340</t>
  </si>
  <si>
    <t>CÔNG TY TNHH GONZALES ViỆT NAM</t>
  </si>
  <si>
    <t>5006128</t>
  </si>
  <si>
    <t>CÔNG TY CP-TM-XNK THIẾT BỊ XĂNG DẦU VINAMCO</t>
  </si>
  <si>
    <t>5009042</t>
  </si>
  <si>
    <t>CÔNG TY TNHH CÔNG NGHỆ SINH HỌC DƯỢC NANOGEN</t>
  </si>
  <si>
    <t>5009130</t>
  </si>
  <si>
    <t>CÔNG TY TNHH KINH DOANH THƯƠNG MẠI ĐẠI THÀNH</t>
  </si>
  <si>
    <t>5009131</t>
  </si>
  <si>
    <t>CÔNG TY CỔ PHẦN PHÁT TRIỂN QuỐC TẾ GIA PHÚ</t>
  </si>
  <si>
    <t>5009134</t>
  </si>
  <si>
    <t>CÔNG TY TNHH THƯƠNG MẠI DỊCH VỤ BIS</t>
  </si>
  <si>
    <t>5009136</t>
  </si>
  <si>
    <t>CÔNG TY TNHH EUROFINS SẮC KÝ HẢI ĐĂNG</t>
  </si>
  <si>
    <t>5009138</t>
  </si>
  <si>
    <t>CÔNG TY TNHH SẢN XuẤT THƯƠNG MẠI DỊCH VỤ MẠNH PHÁT ĐẠT</t>
  </si>
  <si>
    <t>5009139</t>
  </si>
  <si>
    <t>CÔNG TY TNHH SX TM DV XUẤT NHẬP KHẢU KORFN</t>
  </si>
  <si>
    <t>5009145</t>
  </si>
  <si>
    <t>CÔNG TY TNHH LAM SOON ViỆT NAM</t>
  </si>
  <si>
    <t>5009152</t>
  </si>
  <si>
    <t>CÔNG TY TNHH KENTEK ViỆT NAM</t>
  </si>
  <si>
    <t>5009153</t>
  </si>
  <si>
    <t>CÔNG TY TNHH THỦY LỰC KHÍ NÉN TiẾN PHÁT</t>
  </si>
  <si>
    <t>5009154</t>
  </si>
  <si>
    <t>CÔNG TY TNHH KỸ THUẬT TỰ ĐỘNG TiẾN PHÁT</t>
  </si>
  <si>
    <t>5009155</t>
  </si>
  <si>
    <t>CÔNG TY CP THIẾT BỊ QUANG MINH</t>
  </si>
  <si>
    <t>5011112</t>
  </si>
  <si>
    <t>CÔNG TY TNHH SFASIA VIỆT NAM</t>
  </si>
  <si>
    <t>5012123</t>
  </si>
  <si>
    <t>CÔNG TY TNHH SẮT THÉP SƠN KIM</t>
  </si>
  <si>
    <t>5013111</t>
  </si>
  <si>
    <t>Công Ty TNHH San Vi</t>
  </si>
  <si>
    <t>5013234</t>
  </si>
  <si>
    <t>CÔNG TY TNHH THƯƠNG MẠI DỊCH VỤ ViỆT PROTECTION</t>
  </si>
  <si>
    <t>5013236</t>
  </si>
  <si>
    <t>CÔNG TY TNHH THƯƠNG MẠI ViỆT NAM QuỐC TẾ MƯA</t>
  </si>
  <si>
    <t>5014203</t>
  </si>
  <si>
    <t>CÔNG TY TNHH THƯƠNG MẠI DỊCH VỤ TILI</t>
  </si>
  <si>
    <t>5014220</t>
  </si>
  <si>
    <t>CÔNG TY TNHH DV TM THIẾT KẾ QUẢNG CÁO VIỆT SÁNG</t>
  </si>
  <si>
    <t>5018802</t>
  </si>
  <si>
    <t>CÔNG TY TNHH CHUYỂN PHÁT NHANH VTECO</t>
  </si>
  <si>
    <t>5020028</t>
  </si>
  <si>
    <t>Công ty TNHH CN thông Gió KRUGER VN</t>
  </si>
  <si>
    <t>5021156</t>
  </si>
  <si>
    <t>CÔNG TY TNHH XuẤT NHẬP KHẨU DBK ViỆT NAM</t>
  </si>
  <si>
    <t>5021175</t>
  </si>
  <si>
    <t>CHI NHÁNH CÔNG TY CỔ PHẦN CÔNG NGHỆ LAVITEC</t>
  </si>
  <si>
    <t>5021197</t>
  </si>
  <si>
    <t>CÔNG TY TNHH SẢN XUẤT THƯƠNG MẠI ĐỒNG TIẾN ViỆT</t>
  </si>
  <si>
    <t>5021206</t>
  </si>
  <si>
    <t>CÔNG TY CP IN SAO ViỆT NHẬT</t>
  </si>
  <si>
    <t>5021225</t>
  </si>
  <si>
    <t>CÔNG TY CP SX TM TiẾN NGA</t>
  </si>
  <si>
    <t>51604</t>
  </si>
  <si>
    <t>1700010</t>
  </si>
  <si>
    <t>CÔNG TY CỔ PHẦN HOÀNG HÀ</t>
  </si>
  <si>
    <t>1700015</t>
  </si>
  <si>
    <t>CÔNG TY TNHH TÂN THÀNH THÁI</t>
  </si>
  <si>
    <t>1700017</t>
  </si>
  <si>
    <t>CÔNG TY TNHH CREATIVE SOURCE VIỆT NAM</t>
  </si>
  <si>
    <t>1700019</t>
  </si>
  <si>
    <t>CÔNG TY TNHH IGEA VIỆT NAM</t>
  </si>
  <si>
    <t>1700022</t>
  </si>
  <si>
    <t>CÔNG TY TNHH DỆT MAY XUẤT KHẨU NAM THÀNH</t>
  </si>
  <si>
    <t>1700023</t>
  </si>
  <si>
    <t>CÔNG TY TNHH GABASI</t>
  </si>
  <si>
    <t>5006119</t>
  </si>
  <si>
    <t>CÔNG TY TNHH THƯƠNG MẠI DỊCH VỤ VÀ ĐẦU TƯ NTK</t>
  </si>
  <si>
    <t>5008070</t>
  </si>
  <si>
    <t>CÔNG TY TNHH MÁY MÓC THIẾT BỊ NGÀNH IN NAM LONG</t>
  </si>
  <si>
    <t>5017199</t>
  </si>
  <si>
    <t>CÔNG TY TNHH SẮC HƯƠNG</t>
  </si>
  <si>
    <t>5017233</t>
  </si>
  <si>
    <t>CÔNG TY TNHH MỘT THÀNH VIÊN QUỐC TẾ ĐẠI Á</t>
  </si>
  <si>
    <t>5018825</t>
  </si>
  <si>
    <t>CÔNG TY TNHH THƯƠNG MẠI HOSPITALITY</t>
  </si>
  <si>
    <t>5019200</t>
  </si>
  <si>
    <t>CN CÔNG TY CP THƯƠNG MẠI VÀ DỊCH VỤ HÀNH TINH XANH</t>
  </si>
  <si>
    <t>5020097</t>
  </si>
  <si>
    <t>CÔNG TY TNHH THƯƠNG MẠI HAU MING</t>
  </si>
  <si>
    <t>5020099</t>
  </si>
  <si>
    <t>CÔNG TY TNHH CƠ KHÍ DƯỢC TUẤN THẮNG</t>
  </si>
  <si>
    <t>5021114</t>
  </si>
  <si>
    <t xml:space="preserve">CTY TNHH VÔ THƯỢNG </t>
  </si>
  <si>
    <t>5021182</t>
  </si>
  <si>
    <t>CÔNG TY TNHH MTV ViỆT CHUẨN SÀI GÒN</t>
  </si>
  <si>
    <t>5021205</t>
  </si>
  <si>
    <t>CÔNG TY TNHH THƯƠNG MẠI DỊCH VỤ VẬN TẢI VIETSTAR SÀI GÒN</t>
  </si>
  <si>
    <t>5021213</t>
  </si>
  <si>
    <t>CÔNG TY TNHH SX TM SẮT THÉP AN HUY</t>
  </si>
  <si>
    <t>5021219</t>
  </si>
  <si>
    <t>CÔNG TY TNHH CƠ KHÍ NHỰA MINH TRUNG</t>
  </si>
  <si>
    <t>5021222</t>
  </si>
  <si>
    <t>CÔNG TY TNHH ĐÔNG DƯƠNG SÀI GÒN</t>
  </si>
  <si>
    <t>5099940</t>
  </si>
  <si>
    <t>CHUYỂN TiỀN VIETSTAR SÀI GÒN</t>
  </si>
  <si>
    <t>51796</t>
  </si>
  <si>
    <t>1400008</t>
  </si>
  <si>
    <t>CÔNG TY TNHH Ô TÔ VIỆT ĐÔNG PHONG</t>
  </si>
  <si>
    <t>1400013</t>
  </si>
  <si>
    <t>NGÂN HÀNG TM CP Á CHÂU- CN QUẢNG NINH-PGD BÃI CHÁY</t>
  </si>
  <si>
    <t>1400020</t>
  </si>
  <si>
    <t>CÔNG TY TNHH GIẦY DÉP BÁCH NĂNG QUẢNG NINH</t>
  </si>
  <si>
    <t>1400029</t>
  </si>
  <si>
    <t>CÔNG TY TNHH 1 TV ĐIỆN TỬ THÀNH ĐẠT</t>
  </si>
  <si>
    <t>1400033</t>
  </si>
  <si>
    <t>CÔNG TY TNHH SẢN XUẤT MỸ PHẨM KENY JANG</t>
  </si>
  <si>
    <t>1600366</t>
  </si>
  <si>
    <t>CTY CP ĐẦU TƯ VÀ GIAO TẾ QUẢNG NINH</t>
  </si>
  <si>
    <t>5001807</t>
  </si>
  <si>
    <t>CÔNG TY TNHH ĐiỆN TỬ - ĐiỆN LẠNH ĐA LINH</t>
  </si>
  <si>
    <t>5001812</t>
  </si>
  <si>
    <t>CÔNG TY TNHH MTV THỰC PHẨM SAIGON CO.OP</t>
  </si>
  <si>
    <t>5001839</t>
  </si>
  <si>
    <t>CÔNG TY TNHH NGUỒN SINH KHÍ</t>
  </si>
  <si>
    <t>5001846</t>
  </si>
  <si>
    <t>CÔNG TY CỔ PHẦN KEYTECH</t>
  </si>
  <si>
    <t>5001868</t>
  </si>
  <si>
    <t>CÔNG TY TNHH THƯƠNG MẠI DỊCH VỤ NGUYỄN ViỆT TRAVEL</t>
  </si>
  <si>
    <t>5001871</t>
  </si>
  <si>
    <t>CÔNG TY CỔ PHẦN VẬN TẢI VÀ DỊCH VỤ HÀNG HẢI</t>
  </si>
  <si>
    <t>5001877</t>
  </si>
  <si>
    <t>CÔNG TY CỔ PHẦN DỊCH VỤ HỖ TRỢ NGHIÊN CỨU KHOA HỌC SMART</t>
  </si>
  <si>
    <t>5001878</t>
  </si>
  <si>
    <t>CÔNG TY TNHH LÀM CÀ PHÊ VIETBEANS</t>
  </si>
  <si>
    <t>5001880</t>
  </si>
  <si>
    <t>CÔNG TY CỔ PHẦN SẢN XUẤT THƯƠNG MẠI DỊCH VỤ HƯNG PHONG</t>
  </si>
  <si>
    <t>5003325</t>
  </si>
  <si>
    <t>CÔNG TY CỔ PHẦN ÂM NHẠC ViỆT THƯƠNG</t>
  </si>
  <si>
    <t>5003329</t>
  </si>
  <si>
    <t>CÔNG TY TNHH MTV THIẾT BỊ ViỄN THÔNG VI TÍNH TOÀN NĂNG</t>
  </si>
  <si>
    <t>5004071</t>
  </si>
  <si>
    <t xml:space="preserve">CTY TNHH JOLLIBEE VIỆT NAM </t>
  </si>
  <si>
    <t>5004117</t>
  </si>
  <si>
    <t>CÔNG TY TNHH VINAQUICK</t>
  </si>
  <si>
    <t>5007164</t>
  </si>
  <si>
    <t>CN TẠI THÀNH PHỐ HỒ CHÍ MINH CÔNG TY TNHH KỸ THUẬT THÀNH NAM</t>
  </si>
  <si>
    <t>5013216</t>
  </si>
  <si>
    <t>CÔNG TY CỔ PHẦN SAM CHEM QUẢ CẦU</t>
  </si>
  <si>
    <t>5014211</t>
  </si>
  <si>
    <t>CÔNG TY TNHH ĐẠI LỤC</t>
  </si>
  <si>
    <t>5015475</t>
  </si>
  <si>
    <t>CÔNG TY TNHH MỘT THÀNH VIÊN BỘT DINH DƯỠNG THĂNG LONG</t>
  </si>
  <si>
    <t>5015482</t>
  </si>
  <si>
    <t>CÔNG TY CỔ PHẦN DỊCH VỤ AN TOÀN DẦU KHÍ ViỆT NAM</t>
  </si>
  <si>
    <t>5015484</t>
  </si>
  <si>
    <t>CÔNG TY TNHH THƯƠNG MẠI THIẾT BỊ TỰ ĐỘNG THIÊN NAM</t>
  </si>
  <si>
    <t>5017227</t>
  </si>
  <si>
    <t>CÔNG TY TNHH THƯƠNG MẠI VÀ DỊCH VỤ KỸ THUẬT HÒA HẢO</t>
  </si>
  <si>
    <t>5018781</t>
  </si>
  <si>
    <t>CÔNG TY TNHH TMDV PHÚC TRẦN P&amp;T</t>
  </si>
  <si>
    <t>5018818</t>
  </si>
  <si>
    <t>CÔNG TY TNHH THƯƠNG MẠI DỊCH VỤ SIÊU NAM</t>
  </si>
  <si>
    <t>5018822</t>
  </si>
  <si>
    <t>CÔNG TY TNHH VHB</t>
  </si>
  <si>
    <t>5019234</t>
  </si>
  <si>
    <t>CÔNG TY CỔ PHẦN VŨ MÔN</t>
  </si>
  <si>
    <t>5020093</t>
  </si>
  <si>
    <t>CÔNG TY TNHH THƯƠNG MẠI DỊCH VỤ VÀ KỸ THUẬT S.G.C</t>
  </si>
  <si>
    <t>5021204</t>
  </si>
  <si>
    <t>CÔNG TY TNHH HALAM ViỆT NAM</t>
  </si>
  <si>
    <t>52516</t>
  </si>
  <si>
    <t>52667</t>
  </si>
  <si>
    <t>52710</t>
  </si>
  <si>
    <t>52948</t>
  </si>
  <si>
    <t>52999</t>
  </si>
  <si>
    <t>2905451</t>
  </si>
  <si>
    <t>CÔNG TY TNHH GIOĂNG ĐỆM CÔNG NGHIỆP HTM</t>
  </si>
  <si>
    <t>2905453</t>
  </si>
  <si>
    <t>CÔNG TY CỔ PHẦN TRẦN THÁI CAM RANH</t>
  </si>
  <si>
    <t>2905458</t>
  </si>
  <si>
    <t>CÔNG TY TNHH EXPETEK</t>
  </si>
  <si>
    <t>2905470</t>
  </si>
  <si>
    <t>CÔNG TY TNHH GK FINECHEM VIỆT NAM</t>
  </si>
  <si>
    <t>2905475</t>
  </si>
  <si>
    <t>CÔNG TY CỔ PHẦN NGUYÊN LIỆU DƯỢC PHẨM QUỐC TẾ</t>
  </si>
  <si>
    <t>2905487</t>
  </si>
  <si>
    <t>CÔNG TY CỔ PHẦN MODERN COOK</t>
  </si>
  <si>
    <t>2905496</t>
  </si>
  <si>
    <t>CTY TNHH PT XD CHẤT LƯỢNG CUỘC SỐNG VÀ CHĂM SÓC SỨC KHỎE VN</t>
  </si>
  <si>
    <t>2905506</t>
  </si>
  <si>
    <t>CÔNG TY TNHH THIÊT BỊ CÔNG NGHỆ BẢO AN</t>
  </si>
  <si>
    <t>2905507</t>
  </si>
  <si>
    <t>CÔNG TY TNHH ĐẦU TƯ VÀ PHÂN PHỐI NVHOMES</t>
  </si>
  <si>
    <t>2905508</t>
  </si>
  <si>
    <t>CÔNG TY TNHH VẬT LIỆU ĐỒNG TIẾN</t>
  </si>
  <si>
    <t>2905509</t>
  </si>
  <si>
    <t>CÔNG TY TNHH FASO VIỆT NAM</t>
  </si>
  <si>
    <t>2905513</t>
  </si>
  <si>
    <t>CN CÔNG TY CỔ PHẦN TRUYỀN THÔNG HOA VÀ LÊ</t>
  </si>
  <si>
    <t>2905548</t>
  </si>
  <si>
    <t>CÔNG TY CỔ PHẦN LC THIÊN PHÚC</t>
  </si>
  <si>
    <t>2905549</t>
  </si>
  <si>
    <t>CÔGN TY TNHH BSS LOGISTICS VIỆT NAM</t>
  </si>
  <si>
    <t>5001838</t>
  </si>
  <si>
    <t>CÔNG TY TNHH CARLCARE SERVICE VN</t>
  </si>
  <si>
    <t>5001875</t>
  </si>
  <si>
    <t>CÔNG TY TNHH THƯƠNG MẠI KHẢI THANH</t>
  </si>
  <si>
    <t>5003238</t>
  </si>
  <si>
    <t>CÔNG TY TNHH RMG TECHNOLOGIES VIETNAM</t>
  </si>
  <si>
    <t>5004099</t>
  </si>
  <si>
    <t>CN CÔNG TY CP PHÂN PHỐI &amp; DỊCH VỤ NGUYỄN ĐẠT</t>
  </si>
  <si>
    <t>5004110</t>
  </si>
  <si>
    <t>CÔNG TY TNHH ANF LOGISTICS</t>
  </si>
  <si>
    <t>5005137</t>
  </si>
  <si>
    <t>CÔNG TY TNHH ĐÔNG DƯỢC VĨNH XUÂN</t>
  </si>
  <si>
    <t>5006113</t>
  </si>
  <si>
    <t>CHI NHÁNH CÔNG TY CỔ PHẦN DƯỢC VTYT HẢI DƯƠNG</t>
  </si>
  <si>
    <t>5006122</t>
  </si>
  <si>
    <t>CÔNG TY TNHH SẢN XuẤT _ THƯƠNG MẠI B.P</t>
  </si>
  <si>
    <t>5007167</t>
  </si>
  <si>
    <t>CÔNG TY CỔ PHẦN VẬN TẢI THUẬN PHONG</t>
  </si>
  <si>
    <t>5007169</t>
  </si>
  <si>
    <t>CÔNG TY TNHH VIỆT EU</t>
  </si>
  <si>
    <t>5008066</t>
  </si>
  <si>
    <t>CÔNG TY TNHH TM DV XNK BẦU TRỜI XANH</t>
  </si>
  <si>
    <t>5010221</t>
  </si>
  <si>
    <t>CN CTY TNHH TUỆ LINH ( TP HÀ NỘI )</t>
  </si>
  <si>
    <t>5010233</t>
  </si>
  <si>
    <t xml:space="preserve">CTY CỔ PHẦN CHÂU HƯNG </t>
  </si>
  <si>
    <t>5010287</t>
  </si>
  <si>
    <t>CÔNG TY TNHH DƯỢC PHẨM MINH TiẾN PHÁT</t>
  </si>
  <si>
    <t>5011104</t>
  </si>
  <si>
    <t>CÔNG TY TNHH ĐiỆN TỬ VIỆT KHẢI</t>
  </si>
  <si>
    <t>5012128</t>
  </si>
  <si>
    <t>CÔNG TY TNHH THƯƠNG MẠI DỊCH VỤ VẬN TẢI ĐỆ NHẤT</t>
  </si>
  <si>
    <t>5014207</t>
  </si>
  <si>
    <t>CÔNG TY TNHH CHÂU THIÊN CHÍ</t>
  </si>
  <si>
    <t>5014215</t>
  </si>
  <si>
    <t>CÔNG TY TNHH CÔNG NGHỆ THÙY MINH</t>
  </si>
  <si>
    <t>5015445</t>
  </si>
  <si>
    <t>CÔNG TY CỔ PHẦN SẢN XuẤT NẮP NÚT ViỆT NAM</t>
  </si>
  <si>
    <t>5015485</t>
  </si>
  <si>
    <t>CÔNG TH TNHH THƯƠNG MẠI DỊCH VỤ TÂN LẬP KIM</t>
  </si>
  <si>
    <t>5017203</t>
  </si>
  <si>
    <t>ÔNG TRẦN ANH KHOA</t>
  </si>
  <si>
    <t>5017205</t>
  </si>
  <si>
    <t>CÔNG TY TNHH BN FURNITURE</t>
  </si>
  <si>
    <t>5018769</t>
  </si>
  <si>
    <t>CÔNG TY TNHH SẢN XUẤT THƯƠNG MẠI VU TRÂN</t>
  </si>
  <si>
    <t>5019118</t>
  </si>
  <si>
    <t>CTY TNHH TM VIỆT DIÊN</t>
  </si>
  <si>
    <t>5019192</t>
  </si>
  <si>
    <t>CƠ SỞ HỘ KINH DOANH KỆ XINH</t>
  </si>
  <si>
    <t>5019219</t>
  </si>
  <si>
    <t>CÔNG TY TNHH TM-DV ĐOÀN VI NGUYÊN</t>
  </si>
  <si>
    <t>5019220</t>
  </si>
  <si>
    <t>CÔNGTY TNHH SẢN XuẤT - THƯƠNG MẠI NGÔI SAO ĐÔNG Á</t>
  </si>
  <si>
    <t>5019233</t>
  </si>
  <si>
    <t>CÔNG TY TNHH MTV THƯƠNG MẠI DỊCH VỤ THIÊN AN VŨ</t>
  </si>
  <si>
    <t>5019235</t>
  </si>
  <si>
    <t>CÔNG TY TNHH THƯƠNG MẠI SẢN XUẤT TRANG NGUYÊN</t>
  </si>
  <si>
    <t>5021165</t>
  </si>
  <si>
    <t>CÔNG TY TNHH LDCN DỆT TÂN Á</t>
  </si>
  <si>
    <t>5021187</t>
  </si>
  <si>
    <t>CN CÔNG TY CỔ PHẦN CACAO ViỆT NAM (TỈNH BẾN TRE)</t>
  </si>
  <si>
    <t>5023002</t>
  </si>
  <si>
    <t>CÔNG TY TNHH DOORI PLUS ViỆT NAM</t>
  </si>
  <si>
    <t>6004257</t>
  </si>
  <si>
    <t>CÔNG TY TNHH MÁY TÍNH BIÊN HÒA</t>
  </si>
  <si>
    <t>6119575</t>
  </si>
  <si>
    <t>CÔNG TY CỔ PHẦN KỸ THUẬT LASER</t>
  </si>
  <si>
    <t>53000</t>
  </si>
  <si>
    <t>53014</t>
  </si>
  <si>
    <t>2905539</t>
  </si>
  <si>
    <t>CÔNG TY TNHH MTV METTLER TOLEDO VIỆT NAM</t>
  </si>
  <si>
    <t>2905544</t>
  </si>
  <si>
    <t>CÔNG TY TNHH THIẾT BỊ THẨM MỸ PLMED VIỆT NAM</t>
  </si>
  <si>
    <t>5001365</t>
  </si>
  <si>
    <t xml:space="preserve">Công Ty TNHH Một Thành Viên Nanoco </t>
  </si>
  <si>
    <t>5001647</t>
  </si>
  <si>
    <t xml:space="preserve">CTY CPTB Y TẾ MINH CHÂU </t>
  </si>
  <si>
    <t>5001866</t>
  </si>
  <si>
    <t>CÔNG TY TNHH THIẾT BỊ THẨM MỸ PLMED ViỆT NAM</t>
  </si>
  <si>
    <t>5002047</t>
  </si>
  <si>
    <t>CÔNG TY TNHH TM-DV HATO</t>
  </si>
  <si>
    <t>5002055</t>
  </si>
  <si>
    <t>Công ty TNHH Quảng Cáo SAO HÔM</t>
  </si>
  <si>
    <t>5002082</t>
  </si>
  <si>
    <t>Công Ty TNHH Thương Mại Nét Xuân</t>
  </si>
  <si>
    <t>5002083</t>
  </si>
  <si>
    <t>Công Ty TNHH TM Vũ Hải</t>
  </si>
  <si>
    <t>5002084</t>
  </si>
  <si>
    <t>Công Ty TNHH Đầu Bếp Châu Âu Việt Nam</t>
  </si>
  <si>
    <t>5002097</t>
  </si>
  <si>
    <t>CÔNG TY TNHH NAKAJIMA SUISAN (ViỆT NAM)</t>
  </si>
  <si>
    <t>5002131</t>
  </si>
  <si>
    <t>CÔNG TY TNHH MTV XÂY DỰNG GỐM SỨ ViỆT HƯƠNG</t>
  </si>
  <si>
    <t>5002132</t>
  </si>
  <si>
    <t>CÔNG TY TNHH MTV DV GN VẬN TẢI NGUYỄN LONG</t>
  </si>
  <si>
    <t>5002133</t>
  </si>
  <si>
    <t>VPĐD SAMIL SOLUTION CO.,LTD TẠI THÀNH PHỐ HỒ CHÍ MINH</t>
  </si>
  <si>
    <t>5002134</t>
  </si>
  <si>
    <t>CÔNG TY CỔ PHẦN SONG HOA</t>
  </si>
  <si>
    <t>5002135</t>
  </si>
  <si>
    <t>CÔNG TY CỔ PHẦN KINH DOANH BẤT ĐỘNG SẢN HOA ĐÔN</t>
  </si>
  <si>
    <t>5002137</t>
  </si>
  <si>
    <t>CÔNG TY TNHH JINTEX ViỆT NAM</t>
  </si>
  <si>
    <t>5002139</t>
  </si>
  <si>
    <t>CÔNG TY CỔ PHẦN THỰC PHẨM SỨC KHỎE ViỆT</t>
  </si>
  <si>
    <t>5002141</t>
  </si>
  <si>
    <t>DOANH NGHIỆP TƯ NHÂN THƯƠNG MẠI ĐO ĐẠC LÊ CHANH</t>
  </si>
  <si>
    <t>5002142</t>
  </si>
  <si>
    <t>CÔNG TY CỔ PHẦN AZDIGI</t>
  </si>
  <si>
    <t>5002144</t>
  </si>
  <si>
    <t>CÔNG TY CỔ PHẦN XuẤT NHẬP KHẨU NAM THÁI SƠN</t>
  </si>
  <si>
    <t>5002145</t>
  </si>
  <si>
    <t>CÔNG TY TNHH MÁY VÀ CÔNG CỤ RỒNG ViỆT</t>
  </si>
  <si>
    <t>5002147</t>
  </si>
  <si>
    <t>CHI NHÁNH CÔNG TY TNHH VŨ MINH TẠI TP.HCM</t>
  </si>
  <si>
    <t>5002148</t>
  </si>
  <si>
    <t>CÔNG TY TNHH BỒ MINH</t>
  </si>
  <si>
    <t>5002149</t>
  </si>
  <si>
    <t>CÔNG TY TNHH XÂY DỰNG DÂN DỤNG VÀ CÔNG NGHIỆP NAM ViỆT</t>
  </si>
  <si>
    <t>5002150</t>
  </si>
  <si>
    <t>CN CÔNG TY TNHH THƯƠNG MẠI ĐẦU TƯ VÀ PHÁT TRIỂN</t>
  </si>
  <si>
    <t>5002151</t>
  </si>
  <si>
    <t>CÔNG TY TNHH QuỐC TẾ SAO ViỆT VINA</t>
  </si>
  <si>
    <t>5002152</t>
  </si>
  <si>
    <t>CÔNG TY TNHH TiẾP VẬN DCT ViỆT NAM</t>
  </si>
  <si>
    <t>5002154</t>
  </si>
  <si>
    <t>CÔNG TY TNHH THƯƠNG MẠI DỊCH VỤ NAM HẢI AN</t>
  </si>
  <si>
    <t>5002156</t>
  </si>
  <si>
    <t>CÔNG TY TNHH THƯƠNG MẠI QUỐC TẾ VĂN MINH</t>
  </si>
  <si>
    <t>5002162</t>
  </si>
  <si>
    <t>CÔNG TY TNHH MTV LQ INTERNATIONAL</t>
  </si>
  <si>
    <t>5002166</t>
  </si>
  <si>
    <t>CÔNG TY TNHH HẢI ĐẰNG PHÁT</t>
  </si>
  <si>
    <t>5002167</t>
  </si>
  <si>
    <t>CÔNG TY TNHH KỸ THUẬT NHẤT XANH</t>
  </si>
  <si>
    <t>5002168</t>
  </si>
  <si>
    <t>CÔNG TY TNHH TRƯỜNG THẮNG</t>
  </si>
  <si>
    <t>5002170</t>
  </si>
  <si>
    <t>CÔNG TY CỔ PHẦN ĐẦU TƯ THƯƠNG MẠI DỊCH VỤ THÀNH ĐÔ</t>
  </si>
  <si>
    <t>5004103</t>
  </si>
  <si>
    <t>CÔNG TY TNHH THƯƠNG MẠI ASAMA</t>
  </si>
  <si>
    <t>5004108</t>
  </si>
  <si>
    <t>CÔNG TY CỔ PHẦN DV DU LỊCH VÀ THƯƠNG MẠI SAO Á CHÂU</t>
  </si>
  <si>
    <t>5004112</t>
  </si>
  <si>
    <t>CÔNG TY TNHH TiẾP VẬN TẦM NHÌN MỚI</t>
  </si>
  <si>
    <t>5004113</t>
  </si>
  <si>
    <t>CÔNG TY CỔ PHẦN THƯƠNG MẠI VẬN TẢI LIÊN QuỐC TẾ</t>
  </si>
  <si>
    <t>5004115</t>
  </si>
  <si>
    <t>CÔNG TY TNHH TOÀN CẦU ALPHA</t>
  </si>
  <si>
    <t>5004116</t>
  </si>
  <si>
    <t>CÔNG TY CỔ PHẦN THƯƠNG MẠI DỊCH VỤ VẬN TẢI THĂNG LONG</t>
  </si>
  <si>
    <t>5004120</t>
  </si>
  <si>
    <t>CÔNG TY TNHH THƯƠNG MẠI DỊCH VỤ SẢN XUẤT KHANG VIỆT</t>
  </si>
  <si>
    <t>5005138</t>
  </si>
  <si>
    <t xml:space="preserve">CÔNG TY TNHH TM DV THIẾT BỊ Y TẾ VÀ MÁY VĂN PHÒNG NHẬT TiẾN </t>
  </si>
  <si>
    <t>5005139</t>
  </si>
  <si>
    <t>CÔNG TY TNHH IN LOGO</t>
  </si>
  <si>
    <t>5007168</t>
  </si>
  <si>
    <t>CÔNG TY CỔ PHẦN NHỰA OPEC</t>
  </si>
  <si>
    <t>5009114</t>
  </si>
  <si>
    <t xml:space="preserve">CTY TNHH TMDV CÔ SÔ VIỆT NAM </t>
  </si>
  <si>
    <t>5009140</t>
  </si>
  <si>
    <t>CÔNG TY TNHH GIA DỤNG CHÂU ÂU</t>
  </si>
  <si>
    <t>5009144</t>
  </si>
  <si>
    <t>CÔNG TY TNHH MỘT THÀNH VIÊN METTLER-TOLEDO ViỆT NAM</t>
  </si>
  <si>
    <t>5009149</t>
  </si>
  <si>
    <t>CÔNG TY TNHH MỘT THÀNH VIÊN METTLER-TOLEDO ViỆT NAM (GỬI THƯ</t>
  </si>
  <si>
    <t>5009156</t>
  </si>
  <si>
    <t>CÔNG TY TNHH EVOLUTION ENTERPRISES</t>
  </si>
  <si>
    <t>5010086</t>
  </si>
  <si>
    <t>Công ty TNHH TM Ngân Giang</t>
  </si>
  <si>
    <t>5010301</t>
  </si>
  <si>
    <t>CÔNG TY TNHH ÂM NHẠC VÀ TRUYỀN THÔNG ĐẠI CHÚNG</t>
  </si>
  <si>
    <t>5010302</t>
  </si>
  <si>
    <t>CÔNG TY DỊCH VỤ ĐÒI NỢ ĐẠI THIÊN</t>
  </si>
  <si>
    <t>5010304</t>
  </si>
  <si>
    <t>CÔNG TY TNHH FURNTECH</t>
  </si>
  <si>
    <t>5010306</t>
  </si>
  <si>
    <t>CÔNG TY TNHH SẢN XUẤT THƯƠNG MẠI DỊCH VỤ NAM THIÊN</t>
  </si>
  <si>
    <t>5010310</t>
  </si>
  <si>
    <t>CÔNG TY TNHH HỒNG PHÚC BẢO</t>
  </si>
  <si>
    <t>5011098</t>
  </si>
  <si>
    <t>CÔNG TY TNHH VALUD</t>
  </si>
  <si>
    <t>5011109</t>
  </si>
  <si>
    <t>CÔNG TY TNHH NHÔM NAM SUNG</t>
  </si>
  <si>
    <t>5011111</t>
  </si>
  <si>
    <t>CÔNG TY TNHH THƯƠNG MẠI DỊCH VỤ QUẢNG CÁO NGUYÊN TUẤN</t>
  </si>
  <si>
    <t>5012132</t>
  </si>
  <si>
    <t>CÔNG TY TNHH SXCK-TM HẢI HÀ</t>
  </si>
  <si>
    <t>5013214</t>
  </si>
  <si>
    <t>SHOP NGỌC HÂN</t>
  </si>
  <si>
    <t>5013217</t>
  </si>
  <si>
    <t>CÔNG TY TNHH TƯ VẤN THIÊN BẢO</t>
  </si>
  <si>
    <t>5013219</t>
  </si>
  <si>
    <t>CÔNG TY TNHH THIẾT BỊ HÀNG HẢI ĐẠI DƯƠNG</t>
  </si>
  <si>
    <t>5013232</t>
  </si>
  <si>
    <t>CÔNG TY CỔ PHẦN CƠ KHÍ EURORACK</t>
  </si>
  <si>
    <t>5014184</t>
  </si>
  <si>
    <t>CÔNG TY TNHH AN NHẬT KHANG</t>
  </si>
  <si>
    <t>5015406</t>
  </si>
  <si>
    <t>CÔNG TY TNHH KỸ THUẬT TÂM HiỆP</t>
  </si>
  <si>
    <t>5015463</t>
  </si>
  <si>
    <t>CÔNG TY TNHH LÊ HỒNG GIA</t>
  </si>
  <si>
    <t>5015465</t>
  </si>
  <si>
    <t>CÔNG TY CỔ PHẦN XÂY DỰNG GIAO THÔNG NGỌC MINH</t>
  </si>
  <si>
    <t>5015468</t>
  </si>
  <si>
    <t>CÔNG TY TNHH KHOA HỌC NNC</t>
  </si>
  <si>
    <t>5015470</t>
  </si>
  <si>
    <t>CÔNG TY TNHH PROFIDENT</t>
  </si>
  <si>
    <t>5015476</t>
  </si>
  <si>
    <t>CÔNG TY TNHH GiẢI PHÁP CÔNG NGHỆ VIỆT HÀN</t>
  </si>
  <si>
    <t>5015480</t>
  </si>
  <si>
    <t>CÔNG TY TNHH SX-TM-DV LIÊN MINH</t>
  </si>
  <si>
    <t>5015487</t>
  </si>
  <si>
    <t>CÔNG TY TNHH DỊCH VỤ BẤT ĐỘNG SẢN ĐÔNG NAM Á</t>
  </si>
  <si>
    <t>5017234</t>
  </si>
  <si>
    <t>CÔNG TY CỔ PHẦN THƯƠNG MẠI SẢN XUẤT TÂN ÚC VIỆT</t>
  </si>
  <si>
    <t>5018406</t>
  </si>
  <si>
    <t>Công Ty TNHH Kian Ho (Việt Nam)</t>
  </si>
  <si>
    <t>5018746</t>
  </si>
  <si>
    <t>CÔNG TY CỔ PHẦN VẬN TẢI BƯU CHÍNH ViỆT NAM</t>
  </si>
  <si>
    <t>5018799</t>
  </si>
  <si>
    <t>CÔNG TY TNHH THIẾT KẾ TẠO MẪU BÀU CÁT</t>
  </si>
  <si>
    <t>5018808</t>
  </si>
  <si>
    <t>CÔNG TY TNHH CÔNG NGHỆ VJC</t>
  </si>
  <si>
    <t>5019246</t>
  </si>
  <si>
    <t>CÔNG TY TNHH MTV KARCHER</t>
  </si>
  <si>
    <t>5021208</t>
  </si>
  <si>
    <t>CÔNG TY TNHH THƯƠNG MẠI DỊCH VỤ XUẤT NHẬP KHẨU A&amp;B</t>
  </si>
  <si>
    <t>53114</t>
  </si>
  <si>
    <t>5001567</t>
  </si>
  <si>
    <t>Công Ty TNHH Khách Sạn Thiên Bảo Bình</t>
  </si>
  <si>
    <t>5001621</t>
  </si>
  <si>
    <t>CÔNG TY CỔ PHẦN DỊCH VỤ IN THÔNG ẤN</t>
  </si>
  <si>
    <t>5001806</t>
  </si>
  <si>
    <t>CÔNG TY TNHH KOS ViỆT NAM</t>
  </si>
  <si>
    <t>5001825</t>
  </si>
  <si>
    <t>CÔNG TY TNHH THƯƠNG MẠI HÒA THUẬN</t>
  </si>
  <si>
    <t>5001850</t>
  </si>
  <si>
    <t>CÔNG TY TNHH LIÊN DOANH GIAO NHẬN KHO VẬN BÌNH MINH</t>
  </si>
  <si>
    <t>5001851</t>
  </si>
  <si>
    <t>CÔNG TY CP PIN ẮC QUY MiỀN NAM (PINACO)</t>
  </si>
  <si>
    <t>5003333</t>
  </si>
  <si>
    <t>CÔNG TY TNHH KNK ViỆT NAM</t>
  </si>
  <si>
    <t>5003336</t>
  </si>
  <si>
    <t>CÔNG TY TNHH MỘT THÀNH VIÊN NÔNG SẢN NHÂN HÒA PHÁT</t>
  </si>
  <si>
    <t>5003338</t>
  </si>
  <si>
    <t>THỜI TRANG LINH HOUSE</t>
  </si>
  <si>
    <t>5004095</t>
  </si>
  <si>
    <t>CÔNG TY CỔ PHẦN THIẾT BỊ Y TẾ NHẬT LINH</t>
  </si>
  <si>
    <t>5004096</t>
  </si>
  <si>
    <t>CÔNG TY TNHH SÀI GÒN CNT</t>
  </si>
  <si>
    <t>5004097</t>
  </si>
  <si>
    <t>CÔNG TY CỔ PHẦN INNOVO</t>
  </si>
  <si>
    <t>5004114</t>
  </si>
  <si>
    <t>CÔNG TY CỔ PHẦN VẬN TẢI TÂN BIỂN ( ViỆT NAM)</t>
  </si>
  <si>
    <t>5006125</t>
  </si>
  <si>
    <t>CÔNG TY TNHH THƯƠNG MẠI DỊCH VỤ PHÚC TINH</t>
  </si>
  <si>
    <t>5011113</t>
  </si>
  <si>
    <t>CÔNG TY TNHH THIẾT BỊ Y TẾ SƠN HƯƠNG</t>
  </si>
  <si>
    <t>5012121</t>
  </si>
  <si>
    <t>CÔNG TY TNHH SẢN XuẤT THƯƠNG MẠI DUY MỸ</t>
  </si>
  <si>
    <t>5013221</t>
  </si>
  <si>
    <t>CÔNG TY CỔ PHẦN THƯƠNG MẠI VÀ DỊCH VỤ DU LỊCH HƯƠNG NAM ViỆT</t>
  </si>
  <si>
    <t>5014195</t>
  </si>
  <si>
    <t>CÔNG TY TNHH MỸ NGHỆ HƯƠNG QUÊ</t>
  </si>
  <si>
    <t>5017187</t>
  </si>
  <si>
    <t>CÔNG TY TNHH SX TM XNK &amp; DVKT LÂM NGUYỄN</t>
  </si>
  <si>
    <t>5018692</t>
  </si>
  <si>
    <t>CÔNG TY TNHH THƯƠNG MẠI XUẤT NHẬP KHẨU NHẬT ANH THÁI</t>
  </si>
  <si>
    <t>5018744</t>
  </si>
  <si>
    <t>CÔNG TY TNHH SẢN XuẤT VÀ THƯƠNG MẠI TRƯƠNG VUI</t>
  </si>
  <si>
    <t>5018764</t>
  </si>
  <si>
    <t>TRANH GỖ CAO CẤP</t>
  </si>
  <si>
    <t>5018767</t>
  </si>
  <si>
    <t>CÔNG TY TNHH THƯƠNG MẠI DỊCH VỤ MINH NGUYÊN QUANG</t>
  </si>
  <si>
    <t>5018768</t>
  </si>
  <si>
    <t>CÔNG TY TNHH KỸ THUẬT THẾ GiỚI</t>
  </si>
  <si>
    <t>5018780</t>
  </si>
  <si>
    <t>CÔNG TY TNHH QuỐC TẾ VINH PHÁT</t>
  </si>
  <si>
    <t>5018786</t>
  </si>
  <si>
    <t>CÔNG TY TNHH GiẢI PHÁP WIN</t>
  </si>
  <si>
    <t>5018798</t>
  </si>
  <si>
    <t>CÔNG TY CP GiẢI PHÁP VÀ CÔNG NGHỆ VIETNIX</t>
  </si>
  <si>
    <t>5018806</t>
  </si>
  <si>
    <t>CÔNG TY TNHH DỊCH VỤ DU LỊCH VÉ MÁY BAY SỐ 1</t>
  </si>
  <si>
    <t>5018819</t>
  </si>
  <si>
    <t>CÔNG TY CỔ PHẦN THÉP QUANG TIẾN</t>
  </si>
  <si>
    <t>5019193</t>
  </si>
  <si>
    <t>CÔNG TY CỔ PHẦN KỸ THUẬT Á CHÂU</t>
  </si>
  <si>
    <t>5019195</t>
  </si>
  <si>
    <t>CÔNG TY TNHH TM DV KẾT GIAO PHÁT TRIỂN QuỐC TẾ</t>
  </si>
  <si>
    <t>5019198</t>
  </si>
  <si>
    <t>CÔNG TY TNHH SẢN XuẤT BAO BÌ HOÀNG LIÊN PHÁT</t>
  </si>
  <si>
    <t>5019203</t>
  </si>
  <si>
    <t>CÔNG TY TNHH TiẾP VẬN HOA THANH</t>
  </si>
  <si>
    <t>5019204</t>
  </si>
  <si>
    <t>CÔNG TY TNHH XÂY DỰNG GIAO THÔNG TOÀN CẦU</t>
  </si>
  <si>
    <t>5019207</t>
  </si>
  <si>
    <t>CÔNG TY TNHH HƯNG GIA NGUYỄN</t>
  </si>
  <si>
    <t>5019231</t>
  </si>
  <si>
    <t>CÔNG TY TNHH DANIEL KEITH ViỆT NAM</t>
  </si>
  <si>
    <t>5020088</t>
  </si>
  <si>
    <t>CÔNG TY TNHH DỆT MAY TRUNG ViỆT</t>
  </si>
  <si>
    <t>5021177</t>
  </si>
  <si>
    <t>CÔNG TY TNHH SX TM DV CHÍ TRUNG</t>
  </si>
  <si>
    <t>53351</t>
  </si>
  <si>
    <t>5001888</t>
  </si>
  <si>
    <t>CÔNG TY TNHH VẬN TẢI VÀ THƯƠNG MẠI ĐÔNG ĐỊA TRUNG HẢI</t>
  </si>
  <si>
    <t>5004123</t>
  </si>
  <si>
    <t>SHOP VEGAS MINI</t>
  </si>
  <si>
    <t>5014218</t>
  </si>
  <si>
    <t>CÔNG TY TNHH QUÀ TẶNG THẢO NGUYÊN</t>
  </si>
  <si>
    <t>5015499</t>
  </si>
  <si>
    <t>CÔNG TY CỔ PHẦN VIRTUAL DESIRE EVENTS</t>
  </si>
  <si>
    <t>5015500</t>
  </si>
  <si>
    <t>CÔNG TY CỔ PHẦN ĐẦU TƯ &amp; MÔI GiỚI BĐS ALPHA</t>
  </si>
  <si>
    <t>5020100</t>
  </si>
  <si>
    <t>CÔNG TY TNHH SX TM XUẤT NHẬP KHẨU TÔ ViỆT ĐỨC</t>
  </si>
  <si>
    <t>53360</t>
  </si>
  <si>
    <t>5001885</t>
  </si>
  <si>
    <t>CÔNG TY TNHH THƯƠNG MẠI TRANS PACIFIC PARTNERS</t>
  </si>
  <si>
    <t>5015501</t>
  </si>
  <si>
    <t>CÔNG TY TNHH THƯƠNG MẠI DỊCH VỤ MUNKAS</t>
  </si>
  <si>
    <t>5018826</t>
  </si>
  <si>
    <t>CÔNG TY TNHH PT CONSUMER</t>
  </si>
  <si>
    <t>5018827</t>
  </si>
  <si>
    <t>CÔNG TY TNHH THƯƠNG MẠI DV VẬN TẢI QUỐC TẾ ĐẠI DƯƠNG VIỆT</t>
  </si>
  <si>
    <t>53417</t>
  </si>
  <si>
    <t>53428</t>
  </si>
  <si>
    <t>53501</t>
  </si>
  <si>
    <t>5012134</t>
  </si>
  <si>
    <t>CÔNG TY TNHH TECHNOS</t>
  </si>
  <si>
    <t>5017047</t>
  </si>
  <si>
    <t>Công Ty TNHH Bao Bì Nhựa Liên Thành</t>
  </si>
  <si>
    <t>5018704</t>
  </si>
  <si>
    <t>CÔNG TY TNHH STAUFF ViỆT NAM</t>
  </si>
  <si>
    <t>5018774</t>
  </si>
  <si>
    <t>CÔNG TY TNHH SẢN XUẤT VÀ THƯƠNG MẠI TUYỀN HƯNG PHÚ</t>
  </si>
  <si>
    <t>5019247</t>
  </si>
  <si>
    <t>CHI NHÁNH TẠI TP.HCM - CÔNG TY CỔ PHẦN KNIC</t>
  </si>
  <si>
    <t>53510</t>
  </si>
  <si>
    <t>53518</t>
  </si>
  <si>
    <t>53629</t>
  </si>
  <si>
    <t>61272</t>
  </si>
  <si>
    <t>61294</t>
  </si>
  <si>
    <t>5006072</t>
  </si>
  <si>
    <t>HỘ KINH DOANH CÁ THỂ KIM UYÊN- SHOP MÙA XUÂN</t>
  </si>
  <si>
    <t>5006086</t>
  </si>
  <si>
    <t xml:space="preserve">CTY TNHH MAY TRẦN TRÚC </t>
  </si>
  <si>
    <t>5007115</t>
  </si>
  <si>
    <t>CÔNG TY TNHH MÁY MÓC VÀ KỸ THUẬT BESTARI ViỆT NAM</t>
  </si>
  <si>
    <t>5021193</t>
  </si>
  <si>
    <t>CÔNG TY TNHH THƯƠNG MẠI DỊCH VỤ KỸ THUẬT NGUYỆT NHÂN</t>
  </si>
  <si>
    <t>64015</t>
  </si>
  <si>
    <t>MK</t>
  </si>
  <si>
    <t>Sale MK</t>
  </si>
  <si>
    <t>65795</t>
  </si>
  <si>
    <t>75152</t>
  </si>
  <si>
    <t>Central</t>
  </si>
  <si>
    <t>Sale Central</t>
  </si>
  <si>
    <t>75158</t>
  </si>
  <si>
    <t>76023</t>
  </si>
  <si>
    <t>77034</t>
  </si>
  <si>
    <t>2904507</t>
  </si>
  <si>
    <t>CÔNG TY TNHH NNMSAFETY</t>
  </si>
  <si>
    <t>2905318</t>
  </si>
  <si>
    <t>CÔNG TY TNHH NĂNG LƯỢNG MÔI TRƯỜNG BIỂN ĐÔNG</t>
  </si>
  <si>
    <t>2905323</t>
  </si>
  <si>
    <t>CÔNG TY TNHH THƯƠNG MẠI AN TIẾN HƯNG</t>
  </si>
  <si>
    <t>2905342</t>
  </si>
  <si>
    <t>CÔNG TY CỔ PHẦN TRUNG KHOA NGUYỄN SPORT</t>
  </si>
  <si>
    <t>2905393</t>
  </si>
  <si>
    <t>CÔNG TY TNHH CÔNG NGHỆ CƠ ĐIỆN QUỐC TẾ MINH ĐẠT</t>
  </si>
  <si>
    <t>2905409</t>
  </si>
  <si>
    <t>CÔNG TY TNHH THƯƠNG MẠI &amp; DỊCH VỤ VẬN TẢI THANH THỦY</t>
  </si>
  <si>
    <t>2905439</t>
  </si>
  <si>
    <t>CÔNG TY TNHH SẢN XUẤT THƯƠNG MẠI VÀ DỊCH VỤ VAQ</t>
  </si>
  <si>
    <t>2905440</t>
  </si>
  <si>
    <t>CÔNG TY TNHH ĐẦU TƯ THƯƠNG MẠI VÀ VẬN TẢI LIÊN VIỆT</t>
  </si>
  <si>
    <t>2905452</t>
  </si>
  <si>
    <t>CÔNG TY CP ĐẦU TƯ VÀ CÔNG NGHỆ TÂN PHÁT</t>
  </si>
  <si>
    <t>2905467</t>
  </si>
  <si>
    <t>CÔNG TY TNHH TƯ VẤN PHẦN MỀM FBS</t>
  </si>
  <si>
    <t>2905495</t>
  </si>
  <si>
    <t>CÔNG TY TNHH TAKA VIỆT NAM</t>
  </si>
  <si>
    <t>2905529</t>
  </si>
  <si>
    <t>CÔNG TY TNHH MỘT THÀNH VIÊN HƯƠNG LIỆU VIỆT Á</t>
  </si>
  <si>
    <t>2905543</t>
  </si>
  <si>
    <t>CÔNG TY TNHH CUNG ỨNG THIẾT BỊ KHÁCH SẠN VIỆT NAM</t>
  </si>
  <si>
    <t>88888</t>
  </si>
  <si>
    <t>Country</t>
  </si>
  <si>
    <t>Sale All GD</t>
  </si>
  <si>
    <t>1100003</t>
  </si>
  <si>
    <t>CN Cao bằng-Công ty CP bán lẻ kỹ thuật số FPT</t>
  </si>
  <si>
    <t>1177777</t>
  </si>
  <si>
    <t>VẬN ĐƠN FREE CAO BẰNG</t>
  </si>
  <si>
    <t>1200002</t>
  </si>
  <si>
    <t>CN Lạng Sơn- CTCP Bán Lẻ Kỹ Thuật Số FPT</t>
  </si>
  <si>
    <t>1200009</t>
  </si>
  <si>
    <t>CN CÔNG TY CP BÁN LẺ KỸ THUẬT SỐ FPT TẠI LẠNG SƠN</t>
  </si>
  <si>
    <t>1200010</t>
  </si>
  <si>
    <t>1200011</t>
  </si>
  <si>
    <t>1277777</t>
  </si>
  <si>
    <t>VẬN ĐƠN FREE LẠNG SƠN</t>
  </si>
  <si>
    <t>1287913</t>
  </si>
  <si>
    <t>CÔNG TY CỔ PHẦN KINH DOANH VÀ THƯƠNG MẠI DỊCH VỤ VINPRO</t>
  </si>
  <si>
    <t>1400001</t>
  </si>
  <si>
    <t>CN Công ty cp bán lẻ kỹ thuật số FPT tại Quảng Ninh</t>
  </si>
  <si>
    <t>1400002</t>
  </si>
  <si>
    <t>CN Công ty cổ phần bán lẻ kỹ thuạt số FPT tại Quảng Ninh</t>
  </si>
  <si>
    <t>1400003</t>
  </si>
  <si>
    <t>CN Công ty cổ phần bán lẻ kỹ thuật số FPT tại Quảng Ninh</t>
  </si>
  <si>
    <t>1400007</t>
  </si>
  <si>
    <t>CN CÔNG TY CP BÁN LẺ KỸ THUẬT SỐ FPT TẠI QUẢNG NINH</t>
  </si>
  <si>
    <t>1400011</t>
  </si>
  <si>
    <t>CÔNG TY CP BÁN LẺ KỸ THUẬT SỐ FPT-CN TẠI QUẢNG NINH</t>
  </si>
  <si>
    <t>1400017</t>
  </si>
  <si>
    <t>CN CTY CỔ PHẦN BÁN LẺ KỸ THUẬT SỐ FPT TẠI QUẢNG NINH</t>
  </si>
  <si>
    <t>1400018</t>
  </si>
  <si>
    <t>1400019</t>
  </si>
  <si>
    <t>1400021</t>
  </si>
  <si>
    <t>CN CÔNG TY CP BÁN LẺ KTS FPT TẠI QUẢNG NINH</t>
  </si>
  <si>
    <t>1400031</t>
  </si>
  <si>
    <t>1400032</t>
  </si>
  <si>
    <t>1400035</t>
  </si>
  <si>
    <t>1400037</t>
  </si>
  <si>
    <t>1400039</t>
  </si>
  <si>
    <t>1400040</t>
  </si>
  <si>
    <t>CÔNG TY CP HẢI  DU LỊCH VÀ DỊCH VỤ THỂ THAO DƯỚI NƯỚC</t>
  </si>
  <si>
    <t>1400041</t>
  </si>
  <si>
    <t>CÔNG TY CỔ PHẦN DU LỊCH VÀ THƯƠNG MẠI THAN VIỆT</t>
  </si>
  <si>
    <t>1400042</t>
  </si>
  <si>
    <t>HỘ KINH DOANH CỬA HÀNG THỜI TRANG ELISE</t>
  </si>
  <si>
    <t>1477777</t>
  </si>
  <si>
    <t>VẬN ĐƠN FREE QUẢNG NINH</t>
  </si>
  <si>
    <t>1487933</t>
  </si>
  <si>
    <t>1487974</t>
  </si>
  <si>
    <t>1600029</t>
  </si>
  <si>
    <t>CÔNG TY CỔ PHẦN DỊCH VỤ XUYÊN THÁI BÌNH DƯƠNG</t>
  </si>
  <si>
    <t>1600048</t>
  </si>
  <si>
    <t>CN CTY TNHH TM&amp;GNHH TIÊN PHONG</t>
  </si>
  <si>
    <t>1600069</t>
  </si>
  <si>
    <t>CTY TNHH CÔNG NGHIỆP NHỰA PHÚ LÂM</t>
  </si>
  <si>
    <t>1600084</t>
  </si>
  <si>
    <t>FPT tại Hải Phòng</t>
  </si>
  <si>
    <t>1600097</t>
  </si>
  <si>
    <t>CTY CP VT VN QT</t>
  </si>
  <si>
    <t>1600113</t>
  </si>
  <si>
    <t>CN CTy TNHH DV Giám định Á Châu</t>
  </si>
  <si>
    <t>1600127</t>
  </si>
  <si>
    <t>CTY TONKIN</t>
  </si>
  <si>
    <t>1600181</t>
  </si>
  <si>
    <t>Cty May Trang Anh</t>
  </si>
  <si>
    <t>1600185</t>
  </si>
  <si>
    <t>Cty G.E</t>
  </si>
  <si>
    <t>1600210</t>
  </si>
  <si>
    <t>Cty CP Giải pháp tiếp vận DKP</t>
  </si>
  <si>
    <t>1600227</t>
  </si>
  <si>
    <t>CTY CPTM va VTMINH HOANG</t>
  </si>
  <si>
    <t>1600231</t>
  </si>
  <si>
    <t>Cty TNHH Vận tải TM Trường phú</t>
  </si>
  <si>
    <t>1600253</t>
  </si>
  <si>
    <t>Cty CPDV Kỹ thuật Bảo An</t>
  </si>
  <si>
    <t>1600254</t>
  </si>
  <si>
    <t>Cty TNHH MTV Vận tải Quốc Huy</t>
  </si>
  <si>
    <t>1600263</t>
  </si>
  <si>
    <t>Cty TNHHDV và XNK Thanh thắng</t>
  </si>
  <si>
    <t>1600291</t>
  </si>
  <si>
    <t>CÔNG TY CP DỊCH VỤ THIẾT BỊ NĂNG LƯỢNG</t>
  </si>
  <si>
    <t>1600293</t>
  </si>
  <si>
    <t>CÔNG TY CP DỊCH VỤ VIỄN ĐÔNG</t>
  </si>
  <si>
    <t>1600295</t>
  </si>
  <si>
    <t>CN CÔNG TY TNHH GIAO NHẬN VẬN TẢI AA</t>
  </si>
  <si>
    <t>1600306</t>
  </si>
  <si>
    <t>CTY CP TM VÀ DỊCH VỤ STC</t>
  </si>
  <si>
    <t>1600307</t>
  </si>
  <si>
    <t>CTY TNHH THIÊN BAN</t>
  </si>
  <si>
    <t>1600316</t>
  </si>
  <si>
    <t>CN CTY CPXNK TỔNG HỢP I VIỆT NAM - XN MAY XUẤT KHẨU HP</t>
  </si>
  <si>
    <t>1600345</t>
  </si>
  <si>
    <t>CTY QUẢN LÝ ĐƯỜNG SÔNG SỐ 3</t>
  </si>
  <si>
    <t>1600356</t>
  </si>
  <si>
    <t>CTY TNHH TM FPT - CN QUẢNG NINH</t>
  </si>
  <si>
    <t>1600359</t>
  </si>
  <si>
    <t>CTY TNHH ASAP QUỐC TẾ</t>
  </si>
  <si>
    <t>1600369</t>
  </si>
  <si>
    <t>CN CTY CP VĂN HÓA PHƯƠNG NAM TẠI QUẢNG NINH</t>
  </si>
  <si>
    <t>1600370</t>
  </si>
  <si>
    <t>CÔNG TY TNHH ĐIỆN TỬ HANET VIỆT NAM</t>
  </si>
  <si>
    <t>1600374</t>
  </si>
  <si>
    <t>CÔNG TY TNHH THƯƠNG MẠI VẬN TẢI IET VIỆT NAM</t>
  </si>
  <si>
    <t>1600415</t>
  </si>
  <si>
    <t>CÔNG TY CỔ PHẦN GIẦY THỐNG NHẤT HẢI PHÒNG</t>
  </si>
  <si>
    <t>1600421</t>
  </si>
  <si>
    <t>CN CTY LIÊN DOANH ĐẠI LÝ VẬN TẢI COSFI TẠI HẢI PHÒNG</t>
  </si>
  <si>
    <t>1600436</t>
  </si>
  <si>
    <t>CN công ty CP bán lẻ kỹ thuật số FPT tại Hải Phòng</t>
  </si>
  <si>
    <t>1600438</t>
  </si>
  <si>
    <t>CN Công ty cổ phần bán lẻ kỹ thuật số FPT tại Hải Phòng</t>
  </si>
  <si>
    <t>1600441</t>
  </si>
  <si>
    <t>FPT SHOP Cẩm phả</t>
  </si>
  <si>
    <t>1600449</t>
  </si>
  <si>
    <t>CÔNG TY BẢO HIỂM BSH HẢI PHÒNG</t>
  </si>
  <si>
    <t>1600451</t>
  </si>
  <si>
    <t>CÔNG TY CỔ PHẦN XUÂN THIỆU LOGISTICS</t>
  </si>
  <si>
    <t>1600452</t>
  </si>
  <si>
    <t>CN CÔNG TY CP BÁN LẺ KTS FPT TẠI HẢI PHÒNG</t>
  </si>
  <si>
    <t>1600453</t>
  </si>
  <si>
    <t>CÔNG TY TNHH LIÊN KẾT NĂNG ĐỘNG-CN HẢI PHÒNG</t>
  </si>
  <si>
    <t>1600456</t>
  </si>
  <si>
    <t>CÔNG TY TNHH DỊCH VỤ GIAO NHẬN HÀNG HÓA THỜI GIAN</t>
  </si>
  <si>
    <t>1600457</t>
  </si>
  <si>
    <t>CÔNG TY CP PHÁT TRIỂN DVTM QUỐC TẾ ĐỨC THẮNG</t>
  </si>
  <si>
    <t>1600459</t>
  </si>
  <si>
    <t>CN CÔNG TY CP BÁN LẺ KỸ THUẬT SỐ FPT HẢI PHÒNG</t>
  </si>
  <si>
    <t>1600460</t>
  </si>
  <si>
    <t>CÔNG TY TNHH GIAO NHẬN VÀ THƯƠNG MẠI Á CHÂU</t>
  </si>
  <si>
    <t>1600462</t>
  </si>
  <si>
    <t>CÔNG TY CỔ PHẦN THƯƠNG MẠI VÀ DỊCH VỤ HOÀNG KIM PHÁT</t>
  </si>
  <si>
    <t>1600467</t>
  </si>
  <si>
    <t>CN CTY CP BÁN LẺ KỸ THUẬT SỐ FP TẠI HẢI PHÒNG</t>
  </si>
  <si>
    <t>1600469</t>
  </si>
  <si>
    <t>CÔNG TY TNHH ĐIỆN TỬ HỒNG LỰC NGUYÊN</t>
  </si>
  <si>
    <t>1600474</t>
  </si>
  <si>
    <t>CÔNG TY TNHH THƯƠNG MẠI VẬN TẢI DƯƠNG TÚ</t>
  </si>
  <si>
    <t>1600476</t>
  </si>
  <si>
    <t>CN CTY CỔ PHẦN  BÁN LẺ KỸ THUẬT SỐ FPT  TẠI HẢI PHÒNG</t>
  </si>
  <si>
    <t>1600480</t>
  </si>
  <si>
    <t>CN HẢI PHÒNG-CTY CP DỊCH VỤ THƯƠNG MẠI TỔNG HỢP VINCOMMERCE</t>
  </si>
  <si>
    <t>1600483</t>
  </si>
  <si>
    <t>CÔNG TY TNHH MỘT THÀNH VIÊN THẢO NGUYÊN</t>
  </si>
  <si>
    <t>1600484</t>
  </si>
  <si>
    <t>CÔNG TY CỔ PHẦN THIẾT BỊ ĐIỆN NANO- PHƯỚC THẠNH</t>
  </si>
  <si>
    <t>1600486</t>
  </si>
  <si>
    <t>CÔNG TY TNHH LG DISPLAY VIỆT NAM HẢI PHÒNG</t>
  </si>
  <si>
    <t>1600488</t>
  </si>
  <si>
    <t>CÔNG TY CP THƯƠNG MẠI TỔNG HỢP VINCOMMERCE-CN HÀ NỘI</t>
  </si>
  <si>
    <t>1600489</t>
  </si>
  <si>
    <t>CÔNG TY TNHH XUẤT NHẬP KHẨU PHƯƠNG THÀNH</t>
  </si>
  <si>
    <t>1600495</t>
  </si>
  <si>
    <t>1600496</t>
  </si>
  <si>
    <t>CÔNG TY TNHH DỊCH VỤ TIN HỌC FPT</t>
  </si>
  <si>
    <t>1600497</t>
  </si>
  <si>
    <t>CÔNG TY TNHH MẶT TRỜI CÁT BÀ</t>
  </si>
  <si>
    <t>1600498</t>
  </si>
  <si>
    <t>CÔNG TY TNHH STAR CONCORD(VIỆT NAM)-CN HẢI PHÒNG</t>
  </si>
  <si>
    <t>1600499</t>
  </si>
  <si>
    <t>CÔNG TY TNHH THƯƠNG MẠI VÀ XUẤT NHẬP KHẨU HOÀNG NGHĨA</t>
  </si>
  <si>
    <t>1600500</t>
  </si>
  <si>
    <t>CÔNG TY TNHH DỊCH VỤ THƯƠNG MẠI VẨN TẢI CONTAINER GIANG SƠN</t>
  </si>
  <si>
    <t>1600501</t>
  </si>
  <si>
    <t>CTY CP DV GIA TĂNG MOBIFONE(MOBIFONE PLUSS)-CN HẢI PHÒNG</t>
  </si>
  <si>
    <t>1600502</t>
  </si>
  <si>
    <t>1600503</t>
  </si>
  <si>
    <t>CÔNG TY CP ĐẦU TƯ VÀ THƯƠNG MẠI TRƯỜNG PHÚ</t>
  </si>
  <si>
    <t>1600507</t>
  </si>
  <si>
    <t>1600508</t>
  </si>
  <si>
    <t>CÔNG TY TNHH GIAO NHẬN VẬN TẢI BIỂN VÀ THƯƠNG MẠI M&amp;T</t>
  </si>
  <si>
    <t>1600509</t>
  </si>
  <si>
    <t>CÔNG TY TNHH STANDARD UNITS SUPPLY VIỆT NAM</t>
  </si>
  <si>
    <t>1600510</t>
  </si>
  <si>
    <t>CÔNG TY TNHH SƠN JOTUN VIỆT NAM</t>
  </si>
  <si>
    <t>1600513</t>
  </si>
  <si>
    <t>CÔNG TY TNHH IT SYSTERM</t>
  </si>
  <si>
    <t>1677777</t>
  </si>
  <si>
    <t>BILL FREE HAI PHONG</t>
  </si>
  <si>
    <t>1687858</t>
  </si>
  <si>
    <t>1687985</t>
  </si>
  <si>
    <t>1687986</t>
  </si>
  <si>
    <t>1700007</t>
  </si>
  <si>
    <t>CÔNG TY TNHH MAY MẶC V.J.ONE</t>
  </si>
  <si>
    <t>1700008</t>
  </si>
  <si>
    <t>CN THÁI BÌNH- CTCP BÁN LẺ KỸ THUẬT SỐ FPT</t>
  </si>
  <si>
    <t>1700012</t>
  </si>
  <si>
    <t>1700016</t>
  </si>
  <si>
    <t xml:space="preserve">CN THÁI BÌNH-CÔNG TY CP BÁN LẺ KỸ THUẬT SỐ FPT </t>
  </si>
  <si>
    <t>1700018</t>
  </si>
  <si>
    <t>1700021</t>
  </si>
  <si>
    <t>CTY CP DV GIA TĂNG MOBIFONE(MOBIFONE PLUSS)-CN THÁI BÌNH</t>
  </si>
  <si>
    <t>1700024</t>
  </si>
  <si>
    <t>CN THÁI BÌNH- CÔNG TY CP BÁN LẺ KỸ THUẬT SỐ FPT</t>
  </si>
  <si>
    <t>1777777</t>
  </si>
  <si>
    <t>VẬN ĐƠN FREE THÁI BÌNH</t>
  </si>
  <si>
    <t>1787939</t>
  </si>
  <si>
    <t>1787987</t>
  </si>
  <si>
    <t>1800005</t>
  </si>
  <si>
    <t>Công ty Cổ phần may 1-Dệt Nam Định</t>
  </si>
  <si>
    <t>1800009</t>
  </si>
  <si>
    <t>Công ty Cổ phần NAJIMEX Nam Định</t>
  </si>
  <si>
    <t>1800015</t>
  </si>
  <si>
    <t>Công ty TNHH YOUNGONE Nam Định</t>
  </si>
  <si>
    <t>1800020</t>
  </si>
  <si>
    <t>CN Công ty CP bán lẻ kỹ thuật số FPT tại Nam Định</t>
  </si>
  <si>
    <t>1800021</t>
  </si>
  <si>
    <t>Công ty TNHH Yamani-Dynasty</t>
  </si>
  <si>
    <t>1800023</t>
  </si>
  <si>
    <t>Công ty TNHH Dongyang ST vina</t>
  </si>
  <si>
    <t>1800027</t>
  </si>
  <si>
    <t xml:space="preserve">CN NAM ĐỊNH-CÔNG TY CP BÁN LẺ KỸ THUẬT SỐ FPT </t>
  </si>
  <si>
    <t>1800032</t>
  </si>
  <si>
    <t>CÔNG TY TNHH ĐIỆN TỬ VIVO HẰNG THỊNH</t>
  </si>
  <si>
    <t>1800033</t>
  </si>
  <si>
    <t>1800034</t>
  </si>
  <si>
    <t>1800035</t>
  </si>
  <si>
    <t>1800037</t>
  </si>
  <si>
    <t>CƠ SỞ NHÀ THUỐC MỸ NHUNG 2</t>
  </si>
  <si>
    <t>1877777</t>
  </si>
  <si>
    <t>VẬN ĐƠN FREE NAM ĐỊNH</t>
  </si>
  <si>
    <t>1900010</t>
  </si>
  <si>
    <t>CN CÔNG TY CP BÁN LẺ KỸ THUẬT SỐ FPT TẠI PHÚ THỌ</t>
  </si>
  <si>
    <t>1900011</t>
  </si>
  <si>
    <t>1900012</t>
  </si>
  <si>
    <t>1900014</t>
  </si>
  <si>
    <t>1900018</t>
  </si>
  <si>
    <t>CN CTCP Bán Lẻ Kỹ Thuật Số FPT tại Phú Thọ</t>
  </si>
  <si>
    <t>1900020</t>
  </si>
  <si>
    <t>1900022</t>
  </si>
  <si>
    <t>CÔNG TY TNHH SEWOO GLOBAL VIỆT NAM</t>
  </si>
  <si>
    <t>1977777</t>
  </si>
  <si>
    <t>VẬN ĐƠN FREE PHÚ THỌ</t>
  </si>
  <si>
    <t>1987926</t>
  </si>
  <si>
    <t>1987956</t>
  </si>
  <si>
    <t>1987957</t>
  </si>
  <si>
    <t>1987978</t>
  </si>
  <si>
    <t>2000005</t>
  </si>
  <si>
    <t>CN Thái Nguyên-Công ty cổ phần bán lẻ kỹ thuật số FPT</t>
  </si>
  <si>
    <t>2000007</t>
  </si>
  <si>
    <t>CN Thái Nguyên- Công ty Cổ Phần bán lẻ kỹ thuật số FPT</t>
  </si>
  <si>
    <t>2000012</t>
  </si>
  <si>
    <t>CTY CP DV GIA TĂNG MOBIFONE(MOBIFONE PLUSS)-CN THÁI NGUYÊN</t>
  </si>
  <si>
    <t>2000013</t>
  </si>
  <si>
    <t>2077777</t>
  </si>
  <si>
    <t>VẬN ĐƠN FREE THÁI NGUYÊN</t>
  </si>
  <si>
    <t>2087940</t>
  </si>
  <si>
    <t>2087941</t>
  </si>
  <si>
    <t>2100003</t>
  </si>
  <si>
    <t>Công ty CP bán lẻ kỹ thuật số FPT-CN tại Yên Bái</t>
  </si>
  <si>
    <t>2100005</t>
  </si>
  <si>
    <t>CTY CP BÁN LẺ KỸ THUẬT SỐ FPT-CN TẠI YÊN BÁI</t>
  </si>
  <si>
    <t>2100008</t>
  </si>
  <si>
    <t>2100011</t>
  </si>
  <si>
    <t>2177777</t>
  </si>
  <si>
    <t>VẬN ĐƠN FREE YÊN BÁI</t>
  </si>
  <si>
    <t>2187977</t>
  </si>
  <si>
    <t>2200002</t>
  </si>
  <si>
    <t>CN Công ty CP bán lẻ kỹ thuật số FPT tại Tỉnh Tuyên Quang</t>
  </si>
  <si>
    <t>2200004</t>
  </si>
  <si>
    <t>CN CÔNG TY CP BÁN LẺ KỸ THUẬT SỐ FPT TẠI TUYÊN QUANG</t>
  </si>
  <si>
    <t>2200007</t>
  </si>
  <si>
    <t>2277777</t>
  </si>
  <si>
    <t>VẬN ĐƠN FREE TUYÊN QUANG</t>
  </si>
  <si>
    <t>2287955</t>
  </si>
  <si>
    <t>2300002</t>
  </si>
  <si>
    <t>CN Công ty CP bán lẻ kỹ thuật số FPT tại Hà Giang</t>
  </si>
  <si>
    <t>2300005</t>
  </si>
  <si>
    <t>CN CTY CP BÁN LẺ KỸ THUẬT SỐ FPT TẠI HÀ GIANG</t>
  </si>
  <si>
    <t>2377777</t>
  </si>
  <si>
    <t>VẬN ĐƠN FREE HÀ GIANG</t>
  </si>
  <si>
    <t>2387850</t>
  </si>
  <si>
    <t>2387851</t>
  </si>
  <si>
    <t>2400002</t>
  </si>
  <si>
    <t>CN CTCP Bán Lẻ Kỹ Thuật Số FPT tại Lào Cai</t>
  </si>
  <si>
    <t>2400004</t>
  </si>
  <si>
    <t>CHI NHÁNH DNTN XD SỐ 1 TỈNH ĐIỆN BIÊN-KS MƯỜNG THANH LÀO CAI</t>
  </si>
  <si>
    <t>2400005</t>
  </si>
  <si>
    <t>CN CÔNG TY CỔ PHẦN BÁN LẺ KỸ THUẬT SỐ FPT TẠI LÀO CAI</t>
  </si>
  <si>
    <t>2400006</t>
  </si>
  <si>
    <t>CN CÔNG TY CP BÁN LẺ KỸ THUẬT SỐ FPT TẠI LÀO CAI</t>
  </si>
  <si>
    <t>2400009</t>
  </si>
  <si>
    <t>2400010</t>
  </si>
  <si>
    <t>2477777</t>
  </si>
  <si>
    <t>VẬN ĐƠN FREE LÀO CAI</t>
  </si>
  <si>
    <t>2487914</t>
  </si>
  <si>
    <t>2500002</t>
  </si>
  <si>
    <t>Chi nhánh Công ty CP bán lẻ kỹ thuật số FPT tại Lai Châu</t>
  </si>
  <si>
    <t>2577777</t>
  </si>
  <si>
    <t>VẬN ĐƠN FREE LAI CHÂU</t>
  </si>
  <si>
    <t>2587909</t>
  </si>
  <si>
    <t>2600004</t>
  </si>
  <si>
    <t>CN Công ty CP bán lẻ kỹ thuật số FPT tại Sơn La</t>
  </si>
  <si>
    <t>2600005</t>
  </si>
  <si>
    <t>CN Công ty cổ phần bán lẻ kỹ thuật số FPT tại Sơn La</t>
  </si>
  <si>
    <t>2600010</t>
  </si>
  <si>
    <t>CN CÔNG TY CP BÁN LẺ KỸ THUẬT SỐ FPT TẠI SƠN</t>
  </si>
  <si>
    <t>2600011</t>
  </si>
  <si>
    <t>2600014</t>
  </si>
  <si>
    <t>CN CÔNG TY CP BÁN LẺ KỸ THUẬT SỐ FPT TẠI SƠN LA</t>
  </si>
  <si>
    <t>2677777</t>
  </si>
  <si>
    <t>VẬN ĐƠN  FREE SƠN LA</t>
  </si>
  <si>
    <t>2687937</t>
  </si>
  <si>
    <t>2700002</t>
  </si>
  <si>
    <t>Công ty CP bán lẻ kỹ thuật số FPT-CN Điện Biên</t>
  </si>
  <si>
    <t>2700004</t>
  </si>
  <si>
    <t>CN CÔNG TY CP BÁN LẺ KỸ THUẬT SỐ FPT TẠI ĐIỆN BIÊN</t>
  </si>
  <si>
    <t>2777777</t>
  </si>
  <si>
    <t>VẬN ĐƠN FREE ĐIỆN BIÊN</t>
  </si>
  <si>
    <t>2787836</t>
  </si>
  <si>
    <t>2800002</t>
  </si>
  <si>
    <t>CN Công ty CP bán lẻ kỹ thuật số FPT tại Hòa Bình</t>
  </si>
  <si>
    <t>2877777</t>
  </si>
  <si>
    <t>VẬN ĐƠN FREE HÒA BÌNH</t>
  </si>
  <si>
    <t>2887975</t>
  </si>
  <si>
    <t>2900019</t>
  </si>
  <si>
    <t>Công ty TNHH TM &amp; DV Hoa Hồng</t>
  </si>
  <si>
    <t>2900030</t>
  </si>
  <si>
    <t>Công ty TNHH Điện Dương</t>
  </si>
  <si>
    <t>2900032</t>
  </si>
  <si>
    <t>Công ty TNHH thương mại Nam Hải</t>
  </si>
  <si>
    <t>2900036</t>
  </si>
  <si>
    <t>Công ty vật tư thiết bị kỹ thuật hạ tầng TEINCO</t>
  </si>
  <si>
    <t>2900063</t>
  </si>
  <si>
    <t>CT ĐIỆN TỬ BA (KIM TỪ ĐIỂN)</t>
  </si>
  <si>
    <t>2900084</t>
  </si>
  <si>
    <t>Công ty TNHH May Hamalin</t>
  </si>
  <si>
    <t>2900116</t>
  </si>
  <si>
    <t>CÔNG TY CỔ PHẦN CÔNG NGHỆ MỚI NHẬT HẢI</t>
  </si>
  <si>
    <t>2900117</t>
  </si>
  <si>
    <t>Công ty TNHH TM &amp; DV Minh Phương HN</t>
  </si>
  <si>
    <t>2900172</t>
  </si>
  <si>
    <t>VP Đại diện Fredenberg and Vilene International Ltd tại HN</t>
  </si>
  <si>
    <t>2900181</t>
  </si>
  <si>
    <t>Tổng Công ty thương mại Hà Nội</t>
  </si>
  <si>
    <t>2900220</t>
  </si>
  <si>
    <t>Công ty CP Biển Bạc</t>
  </si>
  <si>
    <t>2900236</t>
  </si>
  <si>
    <t>Công ty CP Thương mại POLVITA</t>
  </si>
  <si>
    <t>2900245</t>
  </si>
  <si>
    <t>CTY TNHH KỸ THUẬT &amp; CÔNG NGHỆ CHUYÊN DỤNG</t>
  </si>
  <si>
    <t>2900268</t>
  </si>
  <si>
    <t>Công ty TNHH Toyota Việt Nam</t>
  </si>
  <si>
    <t>2900276</t>
  </si>
  <si>
    <t>Công ty TNHH TM &amp; Kỹ thuật Tân Hoàng Việt</t>
  </si>
  <si>
    <t>2900290</t>
  </si>
  <si>
    <t>Công ty TNHH Ba Sao Việt Nam</t>
  </si>
  <si>
    <t>2900297</t>
  </si>
  <si>
    <t>TOÁN TOSHIBA (FCN)</t>
  </si>
  <si>
    <t>2900298</t>
  </si>
  <si>
    <t>Công ty TNHH PP FPT (FPS-F1)</t>
  </si>
  <si>
    <t>2900304</t>
  </si>
  <si>
    <t>Công ty TNHH PP FPT (HP)</t>
  </si>
  <si>
    <t>2900317</t>
  </si>
  <si>
    <t>Công ty CP thi công cơ giới và dịch vụ</t>
  </si>
  <si>
    <t>2900318</t>
  </si>
  <si>
    <t>Trung tâm hợp tác đào tạo Quốc Tế (Hội Khuyến Học VN)</t>
  </si>
  <si>
    <t>2900369</t>
  </si>
  <si>
    <t>Công ty TNHH phân phối FPT</t>
  </si>
  <si>
    <t>2900386</t>
  </si>
  <si>
    <t>Công ty CP TM CN Hoàng Hoa</t>
  </si>
  <si>
    <t>2900391</t>
  </si>
  <si>
    <t>Công ty TNHH Cung ứng VTCN Viễn Thiên</t>
  </si>
  <si>
    <t>2900434</t>
  </si>
  <si>
    <t>Công ty TNHH Tiếp vận M &amp; P</t>
  </si>
  <si>
    <t>2900437</t>
  </si>
  <si>
    <t>CÔNG TY TNHH NHẬT LONG Á</t>
  </si>
  <si>
    <t>2900442</t>
  </si>
  <si>
    <t>Công ty CP VPP Cửu Long</t>
  </si>
  <si>
    <t>2900450</t>
  </si>
  <si>
    <t>Công ty TNHH Ống Thép Hòa Phát</t>
  </si>
  <si>
    <t>2900467</t>
  </si>
  <si>
    <t>Công ty TNHH Thế Vỹ</t>
  </si>
  <si>
    <t>2900494</t>
  </si>
  <si>
    <t>Công ty CP XNK và hợp tác đầu tư Vilexim</t>
  </si>
  <si>
    <t>2900512</t>
  </si>
  <si>
    <t>Công ty TNHH Kinh doanh trang thiết bị YTế Việt Tiên</t>
  </si>
  <si>
    <t>2900526</t>
  </si>
  <si>
    <t>Công ty CP Vật tư &amp; giải pháp kỹ thuật điện</t>
  </si>
  <si>
    <t>2900528</t>
  </si>
  <si>
    <t>Công ty TNHH KT Nam Hải</t>
  </si>
  <si>
    <t>2900530</t>
  </si>
  <si>
    <t>Công ty TNHH TM Tân Vương</t>
  </si>
  <si>
    <t>2900537</t>
  </si>
  <si>
    <t>Công ty TNHH Thương mại Đầu tư và Phát Triển</t>
  </si>
  <si>
    <t>2900635</t>
  </si>
  <si>
    <t>Công ty dây và cáp điện Thăng Long</t>
  </si>
  <si>
    <t>2900644</t>
  </si>
  <si>
    <t>Công ty Sao Việt</t>
  </si>
  <si>
    <t>2900699</t>
  </si>
  <si>
    <t>Công ty công nghệ di động FPT</t>
  </si>
  <si>
    <t>2900739</t>
  </si>
  <si>
    <t>ARKSUN</t>
  </si>
  <si>
    <t>2900765</t>
  </si>
  <si>
    <t>CÔNG TY TNHH UTECH VIỆT NAM</t>
  </si>
  <si>
    <t>2900768</t>
  </si>
  <si>
    <t>VP SEGYE CORP</t>
  </si>
  <si>
    <t>2900792</t>
  </si>
  <si>
    <t>Công ty TM Kỹ thuật Hoàng Nam</t>
  </si>
  <si>
    <t>2900834</t>
  </si>
  <si>
    <t>CN Công ty Liên doanh đại lý vận tải Cosfi tại HP</t>
  </si>
  <si>
    <t>2900839</t>
  </si>
  <si>
    <t>Công ty TNHH XD &amp; TM Quang Minh</t>
  </si>
  <si>
    <t>2900848</t>
  </si>
  <si>
    <t>CN Công ty Jupiter Pancific</t>
  </si>
  <si>
    <t>2900862</t>
  </si>
  <si>
    <t>Công ty TNHH TM và ĐT Vĩnh An</t>
  </si>
  <si>
    <t>2900878</t>
  </si>
  <si>
    <t>CN Công ty CP Thế giới số</t>
  </si>
  <si>
    <t>2900940</t>
  </si>
  <si>
    <t>CTY TNHH TM QUỐC TẾ THUỶ LINH (P BẢO HÀNH)</t>
  </si>
  <si>
    <t>2900948</t>
  </si>
  <si>
    <t>Công ty CP TM Công nghệ Đức Việt</t>
  </si>
  <si>
    <t>2900953</t>
  </si>
  <si>
    <t>Công ty TNHH TB Ytế và MT Duy Thịnh</t>
  </si>
  <si>
    <t>2900968</t>
  </si>
  <si>
    <t>Công ty CP Quốc tế Chiến Thắng</t>
  </si>
  <si>
    <t>2900970</t>
  </si>
  <si>
    <t>CÔNG TY TNHH THƯƠNG MẠI VÀ PHÁT TRIỂN CÔNG NGHỆ KOL</t>
  </si>
  <si>
    <t>2900994</t>
  </si>
  <si>
    <t>Công ty CP Bơm Châu Âu</t>
  </si>
  <si>
    <t>2901026</t>
  </si>
  <si>
    <t>Công ty CP TM Dược vật tư y tế</t>
  </si>
  <si>
    <t>2901031</t>
  </si>
  <si>
    <t>Công ty TNHH TM và may mặc Nguyên Toàn</t>
  </si>
  <si>
    <t>2901035</t>
  </si>
  <si>
    <t>Công ty Cổ phần Norfolk Hatexco</t>
  </si>
  <si>
    <t>2901044</t>
  </si>
  <si>
    <t xml:space="preserve"> Công ty Cổ Phần Á Long</t>
  </si>
  <si>
    <t>2901045</t>
  </si>
  <si>
    <t>Công ty CP KD Thiết bị công nghiệp</t>
  </si>
  <si>
    <t>2901071</t>
  </si>
  <si>
    <t>Công ty CP Cúc Phương</t>
  </si>
  <si>
    <t>2901091</t>
  </si>
  <si>
    <t>Công ty CP Thương Mại &amp; Sản Xuất Thanh Nam</t>
  </si>
  <si>
    <t>2901110</t>
  </si>
  <si>
    <t>Công ty TNHH KT Thành Nam</t>
  </si>
  <si>
    <t>2901135</t>
  </si>
  <si>
    <t>Công ty TNHH Volex Việt Nam</t>
  </si>
  <si>
    <t>2901207</t>
  </si>
  <si>
    <t>Công ty TNHH NYK Logistic Việt Nam</t>
  </si>
  <si>
    <t>2901232</t>
  </si>
  <si>
    <t>Công ty TNHH Tập đoàn sáng tạo tự nhiên</t>
  </si>
  <si>
    <t>2901233</t>
  </si>
  <si>
    <t>CN Giao dịch Công ty LD TNHH Tiếp vận &amp;VT Speed Mark</t>
  </si>
  <si>
    <t>2901290</t>
  </si>
  <si>
    <t>CT TNHH Phát Triển Công Nghệ Mai Phương</t>
  </si>
  <si>
    <t>2901295</t>
  </si>
  <si>
    <t>CTY TNHH TM&amp;SX NGUYÊN PHỤ LIỆU ĐỨC PHÁT</t>
  </si>
  <si>
    <t>2901337</t>
  </si>
  <si>
    <t>CÔNH TY TNHH Samil Việt Nam</t>
  </si>
  <si>
    <t>2901393</t>
  </si>
  <si>
    <t>CN công ty CP phát triển hàng hải tại Hà Nội</t>
  </si>
  <si>
    <t>2901425</t>
  </si>
  <si>
    <t>Công Ty TNHH T&amp;M Forwarding - Chi Nhánh Hà Nội</t>
  </si>
  <si>
    <t>2901426</t>
  </si>
  <si>
    <t>CHi Nhánh công ty TNHH Royal cargo Việt Nam</t>
  </si>
  <si>
    <t>2901483</t>
  </si>
  <si>
    <t>CTTNHH phát triển công nghiệp Việt Nhật</t>
  </si>
  <si>
    <t>2901587</t>
  </si>
  <si>
    <t>Công ty TNHH Bán lẻ FPT</t>
  </si>
  <si>
    <t>2901612</t>
  </si>
  <si>
    <t>CN Cty Dvụ Du lịch dầu khí-XN Viễn thông dầu khí</t>
  </si>
  <si>
    <t>2901621</t>
  </si>
  <si>
    <t>CN CÔNG TY CỔ PHẦN PHÁT TRIỂN CÔNG NGHỆ MOBILE STAR</t>
  </si>
  <si>
    <t>2901629</t>
  </si>
  <si>
    <t>Công ty TNHH Năng lượng và dịch vụ</t>
  </si>
  <si>
    <t>2901630</t>
  </si>
  <si>
    <t>Công ty CP XNK Thiên Á</t>
  </si>
  <si>
    <t>2901649</t>
  </si>
  <si>
    <t>Công ty CP Khoa học kỹ thuật Thái Bình Dương</t>
  </si>
  <si>
    <t>2901657</t>
  </si>
  <si>
    <t>Công ty TNHH Linh Trung</t>
  </si>
  <si>
    <t>2901670</t>
  </si>
  <si>
    <t>CN CÔNG TY CP THỜI TRANG THỂ THAO CHUYÊN NGHIỆP GIAO THỦY</t>
  </si>
  <si>
    <t>2901717</t>
  </si>
  <si>
    <t>Công ty CP Phát triển TN</t>
  </si>
  <si>
    <t>2901735</t>
  </si>
  <si>
    <t>CÔNG TY TNHH HÓA CHẤT LONG LONG</t>
  </si>
  <si>
    <t>2901737</t>
  </si>
  <si>
    <t>Công Ty TNHH Hà Yến IND</t>
  </si>
  <si>
    <t>2901767</t>
  </si>
  <si>
    <t>Công ty TNHH Ngọc Duy</t>
  </si>
  <si>
    <t>2901771</t>
  </si>
  <si>
    <t>CN Công ty TNHH Ontime Worldwide Logistics ( VN )</t>
  </si>
  <si>
    <t>2901804</t>
  </si>
  <si>
    <t>Công ty TNHH TM &amp; DVKT Nhật Cường</t>
  </si>
  <si>
    <t>2901830</t>
  </si>
  <si>
    <t>Công ty TNHH SX &amp; TM Minh Ngọc</t>
  </si>
  <si>
    <t>2901868</t>
  </si>
  <si>
    <t>Công ty CP Công nghệ và Đầu tư Thái Dương Việt</t>
  </si>
  <si>
    <t>2901880</t>
  </si>
  <si>
    <t>Công ty TNHH Chem-Lube Việt Nam</t>
  </si>
  <si>
    <t>2901882</t>
  </si>
  <si>
    <t>Trung tâm phát triển TM Điện tử</t>
  </si>
  <si>
    <t>2901917</t>
  </si>
  <si>
    <t>Công ty CP Minh Việt</t>
  </si>
  <si>
    <t>2901936</t>
  </si>
  <si>
    <t>Công ty TNHH Trung Thu</t>
  </si>
  <si>
    <t>2901938</t>
  </si>
  <si>
    <t>Công ty TNHH Vật tư KHKT Đông Dương</t>
  </si>
  <si>
    <t>2901948</t>
  </si>
  <si>
    <t>VP ĐD Công ty TNHH Thiết bị máy móc Đại Chính Quang</t>
  </si>
  <si>
    <t>2901952</t>
  </si>
  <si>
    <t>Công ty CP Quốc tế Nam Thành</t>
  </si>
  <si>
    <t>2901966</t>
  </si>
  <si>
    <t>Công ty CP Dược phẩm Hà Tây</t>
  </si>
  <si>
    <t>2901984</t>
  </si>
  <si>
    <t>Công ty TNHH ĐT và PTCN Đất Việt</t>
  </si>
  <si>
    <t>2901987</t>
  </si>
  <si>
    <t>Công ty TNHH Chiếu sáng điện tử ứng dụng AICE</t>
  </si>
  <si>
    <t>2901989</t>
  </si>
  <si>
    <t>CN Công Ty Cổ Phần Kho Bãi Và Giao Nhận T&amp;C Tại Hà Nội</t>
  </si>
  <si>
    <t>2901999</t>
  </si>
  <si>
    <t>Công ty TNHH giao nhận và vận tải DOORA Hà Nội</t>
  </si>
  <si>
    <t>2902012</t>
  </si>
  <si>
    <t>Công ty TNHH Dịch vụ giao nhận vận tải Thái Bình Dương</t>
  </si>
  <si>
    <t>2902013</t>
  </si>
  <si>
    <t>Công ty CP An Đạt</t>
  </si>
  <si>
    <t>2902051</t>
  </si>
  <si>
    <t xml:space="preserve">CN CẦU GIẤY - CÔNG TY TNHH DỊCH VỤ THIẾT BỊ VIỄN THÔNG VIỆT </t>
  </si>
  <si>
    <t>2902074</t>
  </si>
  <si>
    <t>Công ty CP TM XNK Trường An</t>
  </si>
  <si>
    <t>2902091</t>
  </si>
  <si>
    <t>Công ty CP giao nhận vận tải quốc tế IFT</t>
  </si>
  <si>
    <t>2902093</t>
  </si>
  <si>
    <t>CÔNG TY CỔ PHẦN VIỄN THÔNG HOÀNG GIA VIỆT NAM</t>
  </si>
  <si>
    <t>2902097</t>
  </si>
  <si>
    <t>Công ty TNHH dụng cụ An Mi</t>
  </si>
  <si>
    <t>2902116</t>
  </si>
  <si>
    <t>Công ty Cổ Phần ARMEPHACO</t>
  </si>
  <si>
    <t>2902150</t>
  </si>
  <si>
    <t>CN KV Bắc Bộ- Cty TNHH MTV VT GN PP Ôtô Chu Lai Trường Hải</t>
  </si>
  <si>
    <t>2902153</t>
  </si>
  <si>
    <t>Công ty TNHH Tiến Đạt</t>
  </si>
  <si>
    <t>2902156</t>
  </si>
  <si>
    <t>Công ty TNHH Thương mại và chuyển giao công nghệ Ánh Dương</t>
  </si>
  <si>
    <t>2902173</t>
  </si>
  <si>
    <t>Công ty CP XNK Tổng hợp Đông Nam Á</t>
  </si>
  <si>
    <t>2902174</t>
  </si>
  <si>
    <t>Công Ty TNHH Truyền Thông Việt Toàn Cầu</t>
  </si>
  <si>
    <t>2902179</t>
  </si>
  <si>
    <t>Công ty TNHH SX và Thương mại PLC</t>
  </si>
  <si>
    <t>2902188</t>
  </si>
  <si>
    <t>Công ty TNHH Thương mại Lân Thịnh</t>
  </si>
  <si>
    <t>2902190</t>
  </si>
  <si>
    <t>Công ty TNHH DACO</t>
  </si>
  <si>
    <t>2902197</t>
  </si>
  <si>
    <t>Công ty TNHH TM Hóa chất Tân Việt Trung</t>
  </si>
  <si>
    <t>2902205</t>
  </si>
  <si>
    <t>Công ty TNHH Thương mại Đại Kim</t>
  </si>
  <si>
    <t>2902226</t>
  </si>
  <si>
    <t>Công ty TNHH Đầu tư TM Minh Á</t>
  </si>
  <si>
    <t>2902235</t>
  </si>
  <si>
    <t>Công ty TNHH Toàn Cầu Khải Minh</t>
  </si>
  <si>
    <t>2902259</t>
  </si>
  <si>
    <t>Công ty TNHH DV Kỹ thuật VN</t>
  </si>
  <si>
    <t>2902280</t>
  </si>
  <si>
    <t>Phạm Đình Tỵ</t>
  </si>
  <si>
    <t>2902302</t>
  </si>
  <si>
    <t>Công ty TNHH SX và TM INTECH</t>
  </si>
  <si>
    <t>2902311</t>
  </si>
  <si>
    <t>Công ty TNHH Dệt Nhuộm Hưng Yên</t>
  </si>
  <si>
    <t>2902319</t>
  </si>
  <si>
    <t>Công ty CP DV KHKT ASIMCO</t>
  </si>
  <si>
    <t>2902336</t>
  </si>
  <si>
    <t>BQL DA Tăng cường NL lồng ghép PTBV và Biến đổi khí hậu tron</t>
  </si>
  <si>
    <t>2902344</t>
  </si>
  <si>
    <t>CÔNG TY CỔ PHẦN HALCOM VIỆT NAM</t>
  </si>
  <si>
    <t>2902346</t>
  </si>
  <si>
    <t>Công ty CP DV ĐT&amp;DL Bàn Chân Việt</t>
  </si>
  <si>
    <t>2902357</t>
  </si>
  <si>
    <t>Công ty TNHH Thương Mại và Tư Vấn An Mỹ</t>
  </si>
  <si>
    <t>2902358</t>
  </si>
  <si>
    <t>Công ty Cổ Phần Việt Thương</t>
  </si>
  <si>
    <t>2902394</t>
  </si>
  <si>
    <t>Công ty TNHH Tích Hợp hệ thống CMC</t>
  </si>
  <si>
    <t>2902502</t>
  </si>
  <si>
    <t>Công ty TNHH Xuất nhập khẩu THN</t>
  </si>
  <si>
    <t>2902503</t>
  </si>
  <si>
    <t>Công ty Cổ phần xuất nhập khẩu hàng không</t>
  </si>
  <si>
    <t>2902512</t>
  </si>
  <si>
    <t>Công ty TNHH Giao nhận vận tải CARGONET Việt Nam</t>
  </si>
  <si>
    <t>2902529</t>
  </si>
  <si>
    <t>Công ty TNHH Một thành viên Herbalife Việt Nam</t>
  </si>
  <si>
    <t>2902543</t>
  </si>
  <si>
    <t>Công ty TNHH Giao nhận vận tải thương mại H-S-T</t>
  </si>
  <si>
    <t>2902560</t>
  </si>
  <si>
    <t>Công ty TNHH Thương mại và dịch vụ Công nghiệp An Phú</t>
  </si>
  <si>
    <t>2902562</t>
  </si>
  <si>
    <t>Công ty TNHH Lê Huy</t>
  </si>
  <si>
    <t>2902569</t>
  </si>
  <si>
    <t>Công ty TNHH Trung Kiên</t>
  </si>
  <si>
    <t>2902582</t>
  </si>
  <si>
    <t>Công ty Cổ phần đầu tư toàn cầu Minh Anh</t>
  </si>
  <si>
    <t>2902589</t>
  </si>
  <si>
    <t>Công ty Cổ phần sản xuất, TM và Dịch vụ kỹ thuật Hưng Phát</t>
  </si>
  <si>
    <t>29026</t>
  </si>
  <si>
    <t>TRẦN THỊ HƯỜNG</t>
  </si>
  <si>
    <t>2902607</t>
  </si>
  <si>
    <t>Công ty Cổ phần Lu Na</t>
  </si>
  <si>
    <t>2902615</t>
  </si>
  <si>
    <t>Công ty Cổ phần Công nghệ sinh học Bionet Việt Nam</t>
  </si>
  <si>
    <t>2902626</t>
  </si>
  <si>
    <t>Công ty TNHH LD SAF Việt</t>
  </si>
  <si>
    <t>2902632</t>
  </si>
  <si>
    <t>Công ty TNHH YCH-PROTRADE</t>
  </si>
  <si>
    <t>2902633</t>
  </si>
  <si>
    <t>CN Công ty TNHH COATS Phong Phú</t>
  </si>
  <si>
    <t>2902644</t>
  </si>
  <si>
    <t>CÔNG TY TNHH CHẾ BIẾN GỖ PHƯƠNG TRUNG</t>
  </si>
  <si>
    <t>2902649</t>
  </si>
  <si>
    <t>VPDD SCAN GLOBAL LOGISTICS A/S tại Hà Nội</t>
  </si>
  <si>
    <t>2902661</t>
  </si>
  <si>
    <t>Công ty Quảng cáo Liên Minh</t>
  </si>
  <si>
    <t>2902664</t>
  </si>
  <si>
    <t>Công ty ASAP Quốc Tế</t>
  </si>
  <si>
    <t>2902668</t>
  </si>
  <si>
    <t>Công ty TNHH Hoàn Xa</t>
  </si>
  <si>
    <t>2902677</t>
  </si>
  <si>
    <t>Công ty TNHH Thương mại Vật tư và phụ gia Công nghiệp</t>
  </si>
  <si>
    <t>2902685</t>
  </si>
  <si>
    <t>CÔNG TY CP TỔ HỢP CHUYỂN GIAO CÔNG NGHỆ</t>
  </si>
  <si>
    <t>2902687</t>
  </si>
  <si>
    <t>Công ty TNHH TM-Dịch Vụ Đo Lường Thiết Bị Điện Đông Dương</t>
  </si>
  <si>
    <t>2902689</t>
  </si>
  <si>
    <t>Công ty TNHH Kỹ thuật Thăng Long</t>
  </si>
  <si>
    <t>2902709</t>
  </si>
  <si>
    <t>Công ty TNHH Du lịch Bạn đường Châu Á</t>
  </si>
  <si>
    <t>2902723</t>
  </si>
  <si>
    <t>Công ty TNHH Thương mại Kỹ nhạc</t>
  </si>
  <si>
    <t>2902735</t>
  </si>
  <si>
    <t>Công ty TNHH Thiết bị khoa học kỹ thuật Đức Minh</t>
  </si>
  <si>
    <t>2902748</t>
  </si>
  <si>
    <t>Công ty Cổ phần Kính Mắt TP. HCM</t>
  </si>
  <si>
    <t>2902749</t>
  </si>
  <si>
    <t>Công ty TNHH Phát Triển Hạ Tầng Công Nghệ BSI</t>
  </si>
  <si>
    <t>2902750</t>
  </si>
  <si>
    <t>Công ty Panalpina World Transport Hồ Chí Minh, Việt Nam</t>
  </si>
  <si>
    <t>2902753</t>
  </si>
  <si>
    <t>Công ty Cổ phần Phụ tùng thiết bị dệt may Trần Lực</t>
  </si>
  <si>
    <t>2902756</t>
  </si>
  <si>
    <t>Công ty TNHH Kỹ thuật xuất nhập khẩu Hà Nội</t>
  </si>
  <si>
    <t>2902774</t>
  </si>
  <si>
    <t>CÔNG TY TNHH DỊCH VỤ KẾ TOÁN IMMANUEL</t>
  </si>
  <si>
    <t>2902787</t>
  </si>
  <si>
    <t>Công ty TNHH Daiichi Kinzoku Việt Nam Co.,LTD</t>
  </si>
  <si>
    <t>2902810</t>
  </si>
  <si>
    <t>Trung tâm dịch vụ truyền hình số</t>
  </si>
  <si>
    <t>2902815</t>
  </si>
  <si>
    <t>CN Công ty TNHH KTC (Hà Nội) tại Hưng Yên</t>
  </si>
  <si>
    <t>2902824</t>
  </si>
  <si>
    <t>Đại lý vận tải quốc tế phía bắc- Cty CP Đại lý hàng hải VN</t>
  </si>
  <si>
    <t>2902850</t>
  </si>
  <si>
    <t>Công ty TNHH Phát triển và kỹ thuật Năng Lượng</t>
  </si>
  <si>
    <t>2902872</t>
  </si>
  <si>
    <t>Công ty TNHH Thương mại và Xuất nhập khẩu Tân Thịnh</t>
  </si>
  <si>
    <t>2902891</t>
  </si>
  <si>
    <t>Công ty Cổ phần Công nghệ &amp; Thiết bị mới</t>
  </si>
  <si>
    <t>2902911</t>
  </si>
  <si>
    <t>Công ty TNHH Huy Thành</t>
  </si>
  <si>
    <t>2902922</t>
  </si>
  <si>
    <t>CÔNG TY TNHH AGC</t>
  </si>
  <si>
    <t>2902924</t>
  </si>
  <si>
    <t>Công ty TNHH Phạm</t>
  </si>
  <si>
    <t>2902936</t>
  </si>
  <si>
    <t>Công ty TNHH Vận Tải Biển</t>
  </si>
  <si>
    <t>2902943</t>
  </si>
  <si>
    <t>CÔNG TY TNHH DU LỊCH SANG TRỌNG VIỆT NAM</t>
  </si>
  <si>
    <t>2902952</t>
  </si>
  <si>
    <t>Công ty CP Sản xuất và Thương mại Vinh Quang</t>
  </si>
  <si>
    <t>2902954</t>
  </si>
  <si>
    <t>Công ty TNHH Đầu tư thương mại và du lịch dịch vụ Hoàng Minh</t>
  </si>
  <si>
    <t>2902996</t>
  </si>
  <si>
    <t>TRƯỜNG ĐÀO TẠO VÀ BỒI DƯỠNG NGHIỆP VỤ KIỂM TOÁN</t>
  </si>
  <si>
    <t>2903015</t>
  </si>
  <si>
    <t>CN Công ty TNHH Dịch Vụ Vận chuyển Sài Gòn tại Hà Nội</t>
  </si>
  <si>
    <t>2903019</t>
  </si>
  <si>
    <t>Công ty Cổ phần YAMAGUCHI Việt Nam</t>
  </si>
  <si>
    <t>2903024</t>
  </si>
  <si>
    <t>Công ty Cổ phần và dịch vụ Ánh sáng Thăng Long</t>
  </si>
  <si>
    <t>2903029</t>
  </si>
  <si>
    <t>Công ty TNHH Chế biến nông sản thực phẩm xuất khẩu Tường Lân</t>
  </si>
  <si>
    <t>2903042</t>
  </si>
  <si>
    <t>Công ty KAO Việt Nam.CO.Ltd</t>
  </si>
  <si>
    <t>2903043</t>
  </si>
  <si>
    <t>Chi nhánh Công ty TNHH Thương Mại Tân Bạch Dương</t>
  </si>
  <si>
    <t>2903049</t>
  </si>
  <si>
    <t>Công ty CP Viễn Thông Thế Kỷ</t>
  </si>
  <si>
    <t>2903053</t>
  </si>
  <si>
    <t>Công ty Dụng Cụ Thể Thao Toàn Cầu</t>
  </si>
  <si>
    <t>2903055</t>
  </si>
  <si>
    <t>Công ty CP Công Nghệ Hợp Long</t>
  </si>
  <si>
    <t>2903056</t>
  </si>
  <si>
    <t>Công ty CP Phát Triển và Đầu Tư Việt Phát</t>
  </si>
  <si>
    <t>2903087</t>
  </si>
  <si>
    <t>Công ty Sản Xuất Thương Mại và Dịch Vụ AZ</t>
  </si>
  <si>
    <t>2903118</t>
  </si>
  <si>
    <t>Công ty TNHH TM và Dịch Vụ Nguồn Việt</t>
  </si>
  <si>
    <t>2903134</t>
  </si>
  <si>
    <t>Công ty TNHH Nhà Nước 1 Thành Viên Thương Mại và XNK Viettel</t>
  </si>
  <si>
    <t>2903153</t>
  </si>
  <si>
    <t>Công ty TNHH Minh Quang</t>
  </si>
  <si>
    <t>2903164</t>
  </si>
  <si>
    <t>Công ty CP Đầu Tư và Thương Mại Sông Đà</t>
  </si>
  <si>
    <t>2903166</t>
  </si>
  <si>
    <t>CÔNG TY CP THỜI TRANG KOWIL  VIỆT NAM</t>
  </si>
  <si>
    <t>2903169</t>
  </si>
  <si>
    <t>Công ty TNHH Thiết Bị Công Nghiệp Y Tế DHL</t>
  </si>
  <si>
    <t>2903197</t>
  </si>
  <si>
    <t>Công ty TNHH CHT Việt Nam</t>
  </si>
  <si>
    <t>2903206</t>
  </si>
  <si>
    <t xml:space="preserve">Công ty TNHH XNK Đầu tư thương mại Toàn Phát </t>
  </si>
  <si>
    <t>2903212</t>
  </si>
  <si>
    <t>Công ty TNHH Kỹ Thuật và Công Nghiệp ITO</t>
  </si>
  <si>
    <t>2903236</t>
  </si>
  <si>
    <t>Công ty TNHH Phồn Thịnh Tae Gwang</t>
  </si>
  <si>
    <t>2903240</t>
  </si>
  <si>
    <t>Công ty TNHH Thương Mại Bason</t>
  </si>
  <si>
    <t>2903242</t>
  </si>
  <si>
    <t>Công ty CP UMOVE COMPANY PROFILE</t>
  </si>
  <si>
    <t>2903268</t>
  </si>
  <si>
    <t>Công ty CP trang thiết bị và công nghệ Y tế</t>
  </si>
  <si>
    <t>2903290</t>
  </si>
  <si>
    <t>Công Ty TNHH Thiên Sư Việt Nam Chi Nhánh Hà Nội</t>
  </si>
  <si>
    <t>2903293</t>
  </si>
  <si>
    <t>Công Ty TNHH VIMEX</t>
  </si>
  <si>
    <t>2903326</t>
  </si>
  <si>
    <t>Công ty TNHH Một Thành Viên Xuất Nhập Khẩu Nosco Đông Phong</t>
  </si>
  <si>
    <t>2903337</t>
  </si>
  <si>
    <t>Công ty CP XNK Khánh Phong</t>
  </si>
  <si>
    <t>2903342</t>
  </si>
  <si>
    <t>CÔNG TY CP XNK VÀ ĐẦU TƯ XÂY DỰNG HOÀNG ANH</t>
  </si>
  <si>
    <t>2903367</t>
  </si>
  <si>
    <t>2903370</t>
  </si>
  <si>
    <t>CÔNG TY TNHH HÓA DƯỢC PHẨM HỒNG THÁI</t>
  </si>
  <si>
    <t>2903371</t>
  </si>
  <si>
    <t>CTCP GOODHEALTH VN</t>
  </si>
  <si>
    <t>2903379</t>
  </si>
  <si>
    <t>CT TNHH Tân Thuận Đức</t>
  </si>
  <si>
    <t>2903384</t>
  </si>
  <si>
    <t>Công ty cổ phần dịch vụ kỹ thuật hàng không</t>
  </si>
  <si>
    <t>2903387</t>
  </si>
  <si>
    <t>CTCP Công Nghệ Hải Âu</t>
  </si>
  <si>
    <t>2903391</t>
  </si>
  <si>
    <t>CT TNHH NỘI THẤT ZIP</t>
  </si>
  <si>
    <t>2903403</t>
  </si>
  <si>
    <t>TNHH Thương Mại TB điện Thái Sơn Bắc</t>
  </si>
  <si>
    <t>2903404</t>
  </si>
  <si>
    <t>CT TNHH Giầy ANNORA VN</t>
  </si>
  <si>
    <t>2903411</t>
  </si>
  <si>
    <t>CTCP Kinh doanh Vật Liệu &amp; Thiết bị CN Việt</t>
  </si>
  <si>
    <t>2903416</t>
  </si>
  <si>
    <t>CT TNHH Hồ Bơi Dejoyaux Hà Nội</t>
  </si>
  <si>
    <t>2903417</t>
  </si>
  <si>
    <t>CTCP &amp; DV Thí Nghiệm Đông Dương</t>
  </si>
  <si>
    <t>2903426</t>
  </si>
  <si>
    <t>Công Ty TNHH Khám Chữa Bệnh Và Tư Vấn Sức Khoẻ Ngọc Khánh</t>
  </si>
  <si>
    <t>2903428</t>
  </si>
  <si>
    <t>CÔNG TY CỔ PHẦN THƯƠNG MẠI VÀ DỊCH VỤ SƠN HÙNG</t>
  </si>
  <si>
    <t>2903434</t>
  </si>
  <si>
    <t>CT TNHH Công Nghệ Hướng Nam</t>
  </si>
  <si>
    <t>2903436</t>
  </si>
  <si>
    <t>Công ty TNHH Đầu Tư và Phát Triển Kim Hưng</t>
  </si>
  <si>
    <t>2903464</t>
  </si>
  <si>
    <t>CT TNHH Thương Mại SYSTECH</t>
  </si>
  <si>
    <t>2903480</t>
  </si>
  <si>
    <t>Ngân hàng Nông nghiệp &amp; Phát Triển Nông Thôn - CN Hồng Hà</t>
  </si>
  <si>
    <t>2903482</t>
  </si>
  <si>
    <t>Công ty CP MST Việt Nam</t>
  </si>
  <si>
    <t>2903495</t>
  </si>
  <si>
    <t>CTCP Giải Pháp Phần Mềm Hòa Bình</t>
  </si>
  <si>
    <t>2903500</t>
  </si>
  <si>
    <t>CT TNHH ATT SYSTEMS (VN)</t>
  </si>
  <si>
    <t>2903508</t>
  </si>
  <si>
    <t>CT TNHH ANPHA Việt</t>
  </si>
  <si>
    <t>2903525</t>
  </si>
  <si>
    <t>CT TNHH Dịch Vụ &amp; Truyền Thông Hà Phương</t>
  </si>
  <si>
    <t>2903533</t>
  </si>
  <si>
    <t>CT TNHH KDIC</t>
  </si>
  <si>
    <t>2903569</t>
  </si>
  <si>
    <t>CT TNHH Thiên Sư Việt Nam</t>
  </si>
  <si>
    <t>2903575</t>
  </si>
  <si>
    <t>CTCP Công Nghệ Hoàng Kim VKP</t>
  </si>
  <si>
    <t>2903583</t>
  </si>
  <si>
    <t>CTCP Tiếp Vận Đại Dương</t>
  </si>
  <si>
    <t>2903588</t>
  </si>
  <si>
    <t>CT TNHH Vận Tải và Kho Vận Toàn Cầu</t>
  </si>
  <si>
    <t>2903605</t>
  </si>
  <si>
    <t>CT TNHH Đầu Tư Carbon Việt Nam</t>
  </si>
  <si>
    <t>2903610</t>
  </si>
  <si>
    <t>CT TNHH SX Phúc Lâm</t>
  </si>
  <si>
    <t>2903612</t>
  </si>
  <si>
    <t>CT TNHH Công Nghiệp Thái Sơn</t>
  </si>
  <si>
    <t>2903637</t>
  </si>
  <si>
    <t>CT TNHH Kỹ Thuật Ktech VN</t>
  </si>
  <si>
    <t>2903639</t>
  </si>
  <si>
    <t>CN HN- CT TNHH Viên Thành</t>
  </si>
  <si>
    <t>2903644</t>
  </si>
  <si>
    <t>Trung Tâm PTTH Điện Ảnh Công An Nhân Dân</t>
  </si>
  <si>
    <t>2903651</t>
  </si>
  <si>
    <t>CT TNHH Công Nghệ Số Hoàng Minh</t>
  </si>
  <si>
    <t>2903657</t>
  </si>
  <si>
    <t>Chi nhánh Cty CP bán lẻ kỹ thuật số FPT tại Thái Nguyên</t>
  </si>
  <si>
    <t>2903658</t>
  </si>
  <si>
    <t>Chi nhánh Thái Bình - Cty Cổ Phần bán lẻ kỹ thuật số FPT</t>
  </si>
  <si>
    <t>2903659</t>
  </si>
  <si>
    <t>Công ty cổ phần bán lẻ kỹ thuật số FPT chi nhánh Bắc Ninh</t>
  </si>
  <si>
    <t>2903662</t>
  </si>
  <si>
    <t>Công ty TNHH gia Anh Hưng Yên</t>
  </si>
  <si>
    <t>2903697</t>
  </si>
  <si>
    <t>CT TNHH EVIVA</t>
  </si>
  <si>
    <t>2903698</t>
  </si>
  <si>
    <t>Cơ Sở Dệt Len Hằng Quỳnh</t>
  </si>
  <si>
    <t>2903704</t>
  </si>
  <si>
    <t>CT TNHH Công Nghệ Viễn Thông Thanh Anh</t>
  </si>
  <si>
    <t>2903705</t>
  </si>
  <si>
    <t>CTCP Dây và Cáp Điện Thượng Đình CN Thanh Hóa</t>
  </si>
  <si>
    <t>2903708</t>
  </si>
  <si>
    <t>CT TNHH Giày SUNJADE Việt Nam</t>
  </si>
  <si>
    <t>2903711</t>
  </si>
  <si>
    <t>CT TNHH Thương Mại Anh Vinh</t>
  </si>
  <si>
    <t>2903715</t>
  </si>
  <si>
    <t>CT TNHH Tân Thành 2</t>
  </si>
  <si>
    <t>2903729</t>
  </si>
  <si>
    <t>CT TNHH Vận Tải và Giao Nhận Nhanh Giang Linh</t>
  </si>
  <si>
    <t>2903739</t>
  </si>
  <si>
    <t>CT TNHH Thương Mại Tổng Hợp Hòa Hải</t>
  </si>
  <si>
    <t>2903752</t>
  </si>
  <si>
    <t>CT LD TNHH Flexcon Việt Nam</t>
  </si>
  <si>
    <t>2903783</t>
  </si>
  <si>
    <t>CT TNHH Thương Mại &amp; Phát Triển Xây Dựng Anh Minh</t>
  </si>
  <si>
    <t>2903786</t>
  </si>
  <si>
    <t>CT TNHH Công Nghiệp MYTEK</t>
  </si>
  <si>
    <t>2903789</t>
  </si>
  <si>
    <t>CT TNHH Quản Lý MCG</t>
  </si>
  <si>
    <t>2903793</t>
  </si>
  <si>
    <t>CTCP Đầu Tư và Thương Mại Tam Long</t>
  </si>
  <si>
    <t>2903810</t>
  </si>
  <si>
    <t>CT TNHH May Thời Trang Nam Phương</t>
  </si>
  <si>
    <t>2903812</t>
  </si>
  <si>
    <t>CTCP Thương Mại Kỹ Thuật CTQ</t>
  </si>
  <si>
    <t>2903828</t>
  </si>
  <si>
    <t>CT TNHH Thương Mại &amp; Dịch Vụ Phú Vân Hưng</t>
  </si>
  <si>
    <t>2903840</t>
  </si>
  <si>
    <t>CT TNHH Bao Bì TRI WALL VINA</t>
  </si>
  <si>
    <t>2903851</t>
  </si>
  <si>
    <t>CÔNG TY TNHH THƯƠNG MẠI VÀ DỊCH VỤ HẢI MINH</t>
  </si>
  <si>
    <t>2903858</t>
  </si>
  <si>
    <t>CT TNHH BIỂN HẠ LONG</t>
  </si>
  <si>
    <t>2903860</t>
  </si>
  <si>
    <t>CTCP TBĐ- Nano Phước Thạnh</t>
  </si>
  <si>
    <t>2903874</t>
  </si>
  <si>
    <t>CTCP TECHNOKOM</t>
  </si>
  <si>
    <t>2903875</t>
  </si>
  <si>
    <t>CT TNHH THAKRAL ONE- CN Hà Nội</t>
  </si>
  <si>
    <t>2903882</t>
  </si>
  <si>
    <t>CT TNHH Copen hagen- Delights</t>
  </si>
  <si>
    <t>2903889</t>
  </si>
  <si>
    <t>CTCP Thương Mại Cổng Vàng</t>
  </si>
  <si>
    <t>2903903</t>
  </si>
  <si>
    <t>CT TNHH JCU Việt Nam</t>
  </si>
  <si>
    <t>2903909</t>
  </si>
  <si>
    <t>Công ty TNHH Đầu Tư và Công Nghệ Bình Minh</t>
  </si>
  <si>
    <t>2903910</t>
  </si>
  <si>
    <t>Công ty CP Công Nghệ Chiếu Sáng ILIKE</t>
  </si>
  <si>
    <t>2903911</t>
  </si>
  <si>
    <t>Công ty TNHH Thiết Bị và Phụ Tùng An Khánh</t>
  </si>
  <si>
    <t>2903914</t>
  </si>
  <si>
    <t>Công Ty TNHH Quốc Tế Sao Đỏ</t>
  </si>
  <si>
    <t>2903924</t>
  </si>
  <si>
    <t>Công ty TNHH AMANN Việt Nam</t>
  </si>
  <si>
    <t>2903928</t>
  </si>
  <si>
    <t>Công ty TNHH Liên Đại Việt</t>
  </si>
  <si>
    <t>2903937</t>
  </si>
  <si>
    <t>Công ty TNHH FORD Việt Nam</t>
  </si>
  <si>
    <t>2903941</t>
  </si>
  <si>
    <t>CT TNHH Dược Phẩm Hiệp Thuận Thành</t>
  </si>
  <si>
    <t>2903948</t>
  </si>
  <si>
    <t>CTCP SX &amp; KD Phụ Liệu Ngành May mặc Hà Nội</t>
  </si>
  <si>
    <t>2903952</t>
  </si>
  <si>
    <t>Công ty CP Du Lịch và XNK Vĩnh Phúc</t>
  </si>
  <si>
    <t>2903961</t>
  </si>
  <si>
    <t>CÔNG TY CỔ PHẦN CÔNG NGHỆ NGHE NHÌN ANH KIỆT</t>
  </si>
  <si>
    <t>2903984</t>
  </si>
  <si>
    <t>Công ty TNHH Thương Mại và Du Lịch Phi Trường</t>
  </si>
  <si>
    <t>2903987</t>
  </si>
  <si>
    <t>CÔNG TY CỔ PHẦN QMT VIỆT NAM</t>
  </si>
  <si>
    <t>2904021</t>
  </si>
  <si>
    <t>Công ty TNHH đầu tư công nghệ Xanh Việt Nam</t>
  </si>
  <si>
    <t>2904022</t>
  </si>
  <si>
    <t>Công ty CP đầu tư và công nghệ HVC</t>
  </si>
  <si>
    <t>2904024</t>
  </si>
  <si>
    <t>Trung Tâm phát triển sáng tạo Xanh</t>
  </si>
  <si>
    <t>2904025</t>
  </si>
  <si>
    <t>Công ty TNHH Sản Xuất và Kinh Doanh Nguyên Liệu May Việt Nam</t>
  </si>
  <si>
    <t>2904044</t>
  </si>
  <si>
    <t>Công ty Cô Phần EPVINA</t>
  </si>
  <si>
    <t>2904046</t>
  </si>
  <si>
    <t>Công ty CP công nghệ ánh sáng Việt</t>
  </si>
  <si>
    <t>2904056</t>
  </si>
  <si>
    <t>Công ty TNHH Việt Pháp</t>
  </si>
  <si>
    <t>2904061</t>
  </si>
  <si>
    <t>Công ty CP đầu tư và thương mại Đức Minh</t>
  </si>
  <si>
    <t>2904066</t>
  </si>
  <si>
    <t>Công ty TNHH Dụng cụ cắt Nam Dương</t>
  </si>
  <si>
    <t>2904067</t>
  </si>
  <si>
    <t>Công ty cổ phần công nghệ NQC</t>
  </si>
  <si>
    <t>2904072</t>
  </si>
  <si>
    <t>Công ty TNHH Tam Dương</t>
  </si>
  <si>
    <t>2904078</t>
  </si>
  <si>
    <t>Công ty Luật Hợp Danh INCIP</t>
  </si>
  <si>
    <t>2904080</t>
  </si>
  <si>
    <t>Công ty TNHH du lịch quốc tế Châu Á Thái Bình Dương</t>
  </si>
  <si>
    <t>2904085</t>
  </si>
  <si>
    <t>Công ty Cổ Phần Trần Nguyễn Hà</t>
  </si>
  <si>
    <t>2904103</t>
  </si>
  <si>
    <t>Công ty cổ phần Sao Đại Dương</t>
  </si>
  <si>
    <t>2904107</t>
  </si>
  <si>
    <t>Công ty TNHH TM &amp; DV Phú Hoàng Đạt</t>
  </si>
  <si>
    <t>2904119</t>
  </si>
  <si>
    <t>Công ty Cổ Phần Tư Vấn Đầu Tư Xây Dựng Thăng Long Hà Nội</t>
  </si>
  <si>
    <t>2904122</t>
  </si>
  <si>
    <t>Công ty TNHH MYBOSS</t>
  </si>
  <si>
    <t>2904124</t>
  </si>
  <si>
    <t>Công ty cổ phần công nghệ HTC Hà Nội</t>
  </si>
  <si>
    <t>2904126</t>
  </si>
  <si>
    <t>Công ty TNHH TM-DV HNC Á Châu</t>
  </si>
  <si>
    <t>2904139</t>
  </si>
  <si>
    <t>Công ty TNHH quốc tế Hà Việt</t>
  </si>
  <si>
    <t>2904141</t>
  </si>
  <si>
    <t>CNCty TNHH liên tục ngôi sao biển đất không gian tại HP</t>
  </si>
  <si>
    <t>2904152</t>
  </si>
  <si>
    <t>Công ty cổ phần Menifique</t>
  </si>
  <si>
    <t>2904153</t>
  </si>
  <si>
    <t>Ban quản lý chương trình UN-REDD giai đoạn 2</t>
  </si>
  <si>
    <t>2904157</t>
  </si>
  <si>
    <t>Công ty TNHH thương mại &amp; dịch vụ TMC Việt Nam</t>
  </si>
  <si>
    <t>2904159</t>
  </si>
  <si>
    <t>Công ty TNHH Thương Mại Thiên Ân Việt Nam</t>
  </si>
  <si>
    <t>2904162</t>
  </si>
  <si>
    <t>Công ty TNHH Hòa Khí</t>
  </si>
  <si>
    <t>2904171</t>
  </si>
  <si>
    <t>Công ty TNHH Thương Mại và Truyền Thông Thanh Nga</t>
  </si>
  <si>
    <t>2904181</t>
  </si>
  <si>
    <t>Công Ty TNHH Kinh Doanh Và Dịch Vụ Thanh Loan</t>
  </si>
  <si>
    <t>2904236</t>
  </si>
  <si>
    <t>Công ty CP xây lắp vật tư kỹ thuật</t>
  </si>
  <si>
    <t>2904237</t>
  </si>
  <si>
    <t>Công ty TNHH Happy L&amp;B Việt Nam</t>
  </si>
  <si>
    <t>2904243</t>
  </si>
  <si>
    <t>Doanh nghiệp tư nhan Duy Hoàng Minh</t>
  </si>
  <si>
    <t>2904252</t>
  </si>
  <si>
    <t>Công ty TNHH MTV tư vấn giáo dục CANAĐA</t>
  </si>
  <si>
    <t>2904256</t>
  </si>
  <si>
    <t>Công ty CP thiết bị ,phụ tùng và dịch vụ MICO EPT</t>
  </si>
  <si>
    <t>2904271</t>
  </si>
  <si>
    <t>Công ty TNHH STD&amp;P</t>
  </si>
  <si>
    <t>2904286</t>
  </si>
  <si>
    <t>CN Công ty TNHH Nu Skin Enterprises Việt Nam tại Hà Nội</t>
  </si>
  <si>
    <t>2904297</t>
  </si>
  <si>
    <t>CN Công ty TNHH GNVC Quốc tế Sao Thủy</t>
  </si>
  <si>
    <t>2904300</t>
  </si>
  <si>
    <t>Công ty CP thương mại dịch vụ Thành Đạt</t>
  </si>
  <si>
    <t>2904302</t>
  </si>
  <si>
    <t>Công ty TNHH phân phối HPT Việt Nam</t>
  </si>
  <si>
    <t>2904309</t>
  </si>
  <si>
    <t>Công ty TNHH kinh doanh thiết bị Horeca Thăng Long</t>
  </si>
  <si>
    <t>2904310</t>
  </si>
  <si>
    <t>Công ty TNHH công nghệ và truyền thông Bùi Gia</t>
  </si>
  <si>
    <t>2904312</t>
  </si>
  <si>
    <t>Công ty TNHH Thương Mại  và tiếp vận toàn cầu Đông Tài</t>
  </si>
  <si>
    <t>2904318</t>
  </si>
  <si>
    <t>Công ty TNHH ELEGANT TEAM MANUFA CTURER</t>
  </si>
  <si>
    <t>2904319</t>
  </si>
  <si>
    <t>CÔNG TY CỔ PHẦN XUẤT NHẬP KHẨU QUỐC TẾ THÁI KHANG</t>
  </si>
  <si>
    <t>2904324</t>
  </si>
  <si>
    <t>Công ty TNHH Vincom Megamall Times City</t>
  </si>
  <si>
    <t>2904329</t>
  </si>
  <si>
    <t>Công ty TNHH Thanh Thế Việt Nam</t>
  </si>
  <si>
    <t>2904334</t>
  </si>
  <si>
    <t>Văn phòng đại diện EK Line INC</t>
  </si>
  <si>
    <t>2904340</t>
  </si>
  <si>
    <t>Công ty CPTM và dịch vụ Trắc Địa Bản Đồ</t>
  </si>
  <si>
    <t>2904342</t>
  </si>
  <si>
    <t>Công ty TNHH Kart(Việt Nam)</t>
  </si>
  <si>
    <t>2904349</t>
  </si>
  <si>
    <t>Công ty TNHH đầu từ và thương mại Azuma Việt Nam</t>
  </si>
  <si>
    <t>2904351</t>
  </si>
  <si>
    <t>Công ty TNHH Trang Trí Nội Thất Bùi Gia</t>
  </si>
  <si>
    <t>2904354</t>
  </si>
  <si>
    <t>Công ty TNHH Tấn Thành</t>
  </si>
  <si>
    <t>2904359</t>
  </si>
  <si>
    <t>Công ty CP đầu tư thương mại và phát triển Thành Đô</t>
  </si>
  <si>
    <t>2904366</t>
  </si>
  <si>
    <t>Công ty TNHH GVIETNAM19</t>
  </si>
  <si>
    <t>2904375</t>
  </si>
  <si>
    <t>Công ty TNHH quà tặng Sen Việt</t>
  </si>
  <si>
    <t>2904376</t>
  </si>
  <si>
    <t>Công ty CP thiết bị công nghiệp và dịch vụ HTC</t>
  </si>
  <si>
    <t>2904385</t>
  </si>
  <si>
    <t>Công ty TNHH vật tư thiết bị công nghiệp Hà Nội</t>
  </si>
  <si>
    <t>2904389</t>
  </si>
  <si>
    <t>Công ty TNHH Thành Lợi</t>
  </si>
  <si>
    <t>2904390</t>
  </si>
  <si>
    <t>Công ty TNHH MTV Kỹ Thuật  và Khoa Học Vĩnh Khang</t>
  </si>
  <si>
    <t>2904401</t>
  </si>
  <si>
    <t>Công ty kho học công nghệ phần mềm-CSE</t>
  </si>
  <si>
    <t>2904409</t>
  </si>
  <si>
    <t>CÔNG TY TNHH HỒNG HÀ</t>
  </si>
  <si>
    <t>2904412</t>
  </si>
  <si>
    <t>CÔNG TY TNHH QUỐC TẾ  FEI-LING</t>
  </si>
  <si>
    <t>2904414</t>
  </si>
  <si>
    <t>Công ty TNHH Công Nghệ Xanh Ecotech Việt Nam</t>
  </si>
  <si>
    <t>2904416</t>
  </si>
  <si>
    <t>Công ty TNHH chế tạo và xuất nhập khẩu Việt Âu</t>
  </si>
  <si>
    <t>2904423</t>
  </si>
  <si>
    <t>CÔNG TY TNHH THIÊN LỘC VIỆT NAM</t>
  </si>
  <si>
    <t>2904425</t>
  </si>
  <si>
    <t>Công ty TNHH Thiết Bị &amp; Nguyên Liệu Gốm Sứ DOHACEMEX</t>
  </si>
  <si>
    <t>2904429</t>
  </si>
  <si>
    <t>Công ty TNHH Công Nghệ HPT Hà Nội</t>
  </si>
  <si>
    <t>2904434</t>
  </si>
  <si>
    <t>Công ty TNHH kiến trúc nội thất Duy Tân</t>
  </si>
  <si>
    <t>2904439</t>
  </si>
  <si>
    <t>Công ty Cổ Phần Du Lịch Hà Đô</t>
  </si>
  <si>
    <t>2904442</t>
  </si>
  <si>
    <t>Công ty TNHH Sản Xuất và Kinh Doanh Thiết bị điện Tiến Cường</t>
  </si>
  <si>
    <t>2904443</t>
  </si>
  <si>
    <t>VPĐD TOPWINNER PRECISION INDUSTRIAL CO.LTD tại Hà Nội</t>
  </si>
  <si>
    <t>2904448</t>
  </si>
  <si>
    <t>Công ty TNHH và Dịch Vụ TZ Việt Nam</t>
  </si>
  <si>
    <t>2904452</t>
  </si>
  <si>
    <t>Công ty TNHH giao nhận vận tải quốc tế TRANS-AM VIỆT NAM</t>
  </si>
  <si>
    <t>2904456</t>
  </si>
  <si>
    <t>Công ty cổ phàn sản xuất-xuất nhập khẩu dệt may</t>
  </si>
  <si>
    <t>2904460</t>
  </si>
  <si>
    <t>Công ty CPTM &amp; Giải Pháp Tự Động NTE</t>
  </si>
  <si>
    <t>2904464</t>
  </si>
  <si>
    <t>CÔNG TY TNHH HI LOGISTICS VIETNAM</t>
  </si>
  <si>
    <t>2904467</t>
  </si>
  <si>
    <t>Công ty TNHH Tuấn Tùng</t>
  </si>
  <si>
    <t>2904475</t>
  </si>
  <si>
    <t>CÔNG TY CỔ PHẦN TRẦN DƯƠNG ĐỒNG TIẾN</t>
  </si>
  <si>
    <t>2904476</t>
  </si>
  <si>
    <t>CÔNG TY TNHH BMAT</t>
  </si>
  <si>
    <t>2904494</t>
  </si>
  <si>
    <t>CÔNG TY TNHH MALMO VIỆT NAM</t>
  </si>
  <si>
    <t>2904498</t>
  </si>
  <si>
    <t>Công ty TNHH đầu tư phát triển và hạ tầng Thanh Thế</t>
  </si>
  <si>
    <t>2904510</t>
  </si>
  <si>
    <t>CÔNG TY CỔ PHẦN B2B TRỌNG TÍN</t>
  </si>
  <si>
    <t>2904513</t>
  </si>
  <si>
    <t>Công ty cổ phần đầu từ ASL Việt Nam</t>
  </si>
  <si>
    <t>2904529</t>
  </si>
  <si>
    <t>Công ty Cổ Phần Thương Mại và Dịch  Vụ Cát Tường</t>
  </si>
  <si>
    <t>2904532</t>
  </si>
  <si>
    <t>Côg ty TNHH TAKUBO VIETNAM</t>
  </si>
  <si>
    <t>2904536</t>
  </si>
  <si>
    <t>CÔNG TY TNHH LÔ-GI-STÍC PANTOS VIỆT NAM</t>
  </si>
  <si>
    <t>2904540</t>
  </si>
  <si>
    <t>CN Công ty Cổ Phần Bán Lẻ Kỹ Thuật Số FPT tại Hà Nội</t>
  </si>
  <si>
    <t>2904543</t>
  </si>
  <si>
    <t>2904545</t>
  </si>
  <si>
    <t>2904546</t>
  </si>
  <si>
    <t>2904551</t>
  </si>
  <si>
    <t>2904552</t>
  </si>
  <si>
    <t>2904553</t>
  </si>
  <si>
    <t>2904554</t>
  </si>
  <si>
    <t>2904555</t>
  </si>
  <si>
    <t>2904556</t>
  </si>
  <si>
    <t>2904558</t>
  </si>
  <si>
    <t>2904560</t>
  </si>
  <si>
    <t>2904561</t>
  </si>
  <si>
    <t>2904562</t>
  </si>
  <si>
    <t>2904563</t>
  </si>
  <si>
    <t>2904564</t>
  </si>
  <si>
    <t>2904565</t>
  </si>
  <si>
    <t>2904566</t>
  </si>
  <si>
    <t>2904567</t>
  </si>
  <si>
    <t>Công ty Cổ Phần Giày Thăng Long</t>
  </si>
  <si>
    <t>2904576</t>
  </si>
  <si>
    <t>TRUNG TÂM BỒI DƯỠNG NGHIỆP VỤ BÁO CHÍ</t>
  </si>
  <si>
    <t>2904588</t>
  </si>
  <si>
    <t>Công ty CP Pinctadali Việt Nam</t>
  </si>
  <si>
    <t>2904670</t>
  </si>
  <si>
    <t>Công ty TNHH Điện tử AIDACOM Việt Nam</t>
  </si>
  <si>
    <t>2904674</t>
  </si>
  <si>
    <t>CÔNG TY TNHH THIẾT BỊ KHOA HỌC VÀ CÔNG NGHỆ KIM NGÂN</t>
  </si>
  <si>
    <t>2904678</t>
  </si>
  <si>
    <t>CÔNG TY CỔ PHẦN ẤN HỒNG</t>
  </si>
  <si>
    <t>2904680</t>
  </si>
  <si>
    <t>Công ty Cổ Phần đầu tư và xuất nhập khẩu Malt Minh Kiến</t>
  </si>
  <si>
    <t>2904682</t>
  </si>
  <si>
    <t>Công ty Cổ Phần Thiết Bị và Dịch Vụ Quốc Tế</t>
  </si>
  <si>
    <t>2904683</t>
  </si>
  <si>
    <t>Công ty TNHH Xuất Nhập Khẩu Thái Linh</t>
  </si>
  <si>
    <t>2904686</t>
  </si>
  <si>
    <t>Công ty Luật TNHH tư vấn quốc tế(Indochine counsel)</t>
  </si>
  <si>
    <t>2904689</t>
  </si>
  <si>
    <t>Công ty TNHH TEP</t>
  </si>
  <si>
    <t>2904691</t>
  </si>
  <si>
    <t>CÔNG TY CỔ PHẦN BÁN LẺ KỸ THUẬT SỐ FPT</t>
  </si>
  <si>
    <t>2904692</t>
  </si>
  <si>
    <t>CN SƠN TÂY-CÔNG TY CỔ PHẦN BÁN LẺ KỸ THUẬT SỐ FPT</t>
  </si>
  <si>
    <t>2904695</t>
  </si>
  <si>
    <t>CÔNG TY CỔ PHẦN QUỐC TẾ AN PHƯỚC</t>
  </si>
  <si>
    <t>2904697</t>
  </si>
  <si>
    <t>CÔNG TY TNHH MRB VIỆT NAM</t>
  </si>
  <si>
    <t>2904707</t>
  </si>
  <si>
    <t>Công ty TNHH Cơ Khí Keosan Vina</t>
  </si>
  <si>
    <t>2904708</t>
  </si>
  <si>
    <t>Công ty TNHH Dược Phẩm HQ</t>
  </si>
  <si>
    <t>2904713</t>
  </si>
  <si>
    <t>CÔNG TY CP HỘI TỤ THÔNG MINH(SMARTCOM)</t>
  </si>
  <si>
    <t>2904729</t>
  </si>
  <si>
    <t>CÔNG TY TNHH CÔG NGHIỆP TOOLS VIỆT NAM</t>
  </si>
  <si>
    <t>2904734</t>
  </si>
  <si>
    <t>CN Công ty CP bán lẻ kỹ thuật số FPT tại Hà Nội</t>
  </si>
  <si>
    <t>2904735</t>
  </si>
  <si>
    <t>Công ty TNHH Dịch Vụ Quảng Cáo Thương Mại Vĩnh Tâm</t>
  </si>
  <si>
    <t>2904751</t>
  </si>
  <si>
    <t>Công ty TNHH Quốc tế An Pha Nam</t>
  </si>
  <si>
    <t>2904752</t>
  </si>
  <si>
    <t>Công ty CP đầu từ phát triển TKH Việt Nam</t>
  </si>
  <si>
    <t>2904753</t>
  </si>
  <si>
    <t>CN Công ty cổ phần bán lẻ kỹ tuật số FPT tại Hà Nội</t>
  </si>
  <si>
    <t>2904755</t>
  </si>
  <si>
    <t xml:space="preserve">Công ty Cổ phần công nghệ và xây lắp Biển Bạc </t>
  </si>
  <si>
    <t>2904760</t>
  </si>
  <si>
    <t>CÔNG TY CP THIẾT BỊ CÔNG NGHIỆP VÀ DỊCH VỤ V.T.P</t>
  </si>
  <si>
    <t>2904773</t>
  </si>
  <si>
    <t>Công ty cổ phần CTLINK</t>
  </si>
  <si>
    <t>2904777</t>
  </si>
  <si>
    <t>CÔNG TY TNHH WIN VIỆT NAM</t>
  </si>
  <si>
    <t>2904779</t>
  </si>
  <si>
    <t>CÔNG TY TNHH ĐẦU TƯ $ SẢN XUẤT THÁI HƯNG</t>
  </si>
  <si>
    <t>2904782</t>
  </si>
  <si>
    <t>Công ty CP dịch vụ Thông Tin và Tư Vấn Công Nghệ ACRO</t>
  </si>
  <si>
    <t>2904784</t>
  </si>
  <si>
    <t>CÔNG TY CỔ PHẦN THIẾT BỊ CÔNG NGHỆ TÂN ĐẠI PHÁT</t>
  </si>
  <si>
    <t>2904789</t>
  </si>
  <si>
    <t>CÔNG TY TNHH THƯƠNG MẠI TRẦN ĐỨC</t>
  </si>
  <si>
    <t>2904792</t>
  </si>
  <si>
    <t>CÔNG TY TNHH THIẾT BỊ ĐIỆN THĂNG LONG</t>
  </si>
  <si>
    <t>2904794</t>
  </si>
  <si>
    <t>CN CÔNG TY CP BÁN LẺ KỸ THUẬT SỐ FPT TẠI HN</t>
  </si>
  <si>
    <t>2904798</t>
  </si>
  <si>
    <t>CÔNG TY TNHH THƯƠNG MẠI DỊCH VỤ VÀ DU LỊCH BẢO TÂM</t>
  </si>
  <si>
    <t>2904801</t>
  </si>
  <si>
    <t>CÔNG TY TNHH GIAO NHẬN VÀ THƯƠNG MẠI VINAVICO</t>
  </si>
  <si>
    <t>2904803</t>
  </si>
  <si>
    <t>CÔNG TY CỔ PHẦN TINH DẦU VIỆT NAM</t>
  </si>
  <si>
    <t>2904806</t>
  </si>
  <si>
    <t>Công Ty TNHH Công Nghệ Số VINA C.A</t>
  </si>
  <si>
    <t>2904808</t>
  </si>
  <si>
    <t>CÔNG TY TNHH KỸ THUẬT BỀN VỮNG VIỆT NAM</t>
  </si>
  <si>
    <t>2904810</t>
  </si>
  <si>
    <t>CÔNG TY TNHH PHÁT TRIỂN CÔNG NGHỆ MINH THÀNH</t>
  </si>
  <si>
    <t>2904815</t>
  </si>
  <si>
    <t>CÔNG TY CP TƯ VẤN ĐẦU TƯ VÀ PHÁT TRIỂN CÔNG NGHỆ CAO</t>
  </si>
  <si>
    <t>2904821</t>
  </si>
  <si>
    <t>CÔNG TY TNHH ALTALAB</t>
  </si>
  <si>
    <t>2904822</t>
  </si>
  <si>
    <t>CÔNG TY TNHH THIẾT BỊ CÔNG NGHỆ CAO</t>
  </si>
  <si>
    <t>2904826</t>
  </si>
  <si>
    <t>CN CÔNG TY CP BÁN LẺ KỸ THUẬT SỐ FPT TẠI HÀ NỘI</t>
  </si>
  <si>
    <t>2904828</t>
  </si>
  <si>
    <t>CÔNG TY TNHH PHÂN PHỐI GỖ ĐỎ</t>
  </si>
  <si>
    <t>2904833</t>
  </si>
  <si>
    <t>2904838</t>
  </si>
  <si>
    <t>Công ty CP giải pháp công nghệ và thiết bị bảo vệ Enano</t>
  </si>
  <si>
    <t>2904844</t>
  </si>
  <si>
    <t>CÔNG TY CỔ PHẦN GIAO NHẬN YGC VIỆT NAM</t>
  </si>
  <si>
    <t>2904845</t>
  </si>
  <si>
    <t>CÔNG TY TNHH THIẾT BỊ CÔNG NGHỆ TD VIỆT NAM</t>
  </si>
  <si>
    <t>2904847</t>
  </si>
  <si>
    <t>CÔNG TY TNHH ĐẦU TƯ THƯƠNG MẠI XÂY DỰNG CÔNG TRÌNH MHT</t>
  </si>
  <si>
    <t>2904849</t>
  </si>
  <si>
    <t>CÔNG TY CỔ PHẦN VẬT TƯ THIẾT BỊ XĂNG DẦU HẢI BÌNH</t>
  </si>
  <si>
    <t>2904850</t>
  </si>
  <si>
    <t>CÔNG TY TNHH AL NABOODAH QUỐC TẾ (HN)</t>
  </si>
  <si>
    <t>2904853</t>
  </si>
  <si>
    <t>CÔNG TY TNHH  BABEENI VIỆT NAM</t>
  </si>
  <si>
    <t>2904858</t>
  </si>
  <si>
    <t>CÔNG TY TNHH SPARKKO</t>
  </si>
  <si>
    <t>2904862</t>
  </si>
  <si>
    <t>CÔNG TY TNHH ĐẦU TƯ PHÁT TRIỂN HOÀNG TÙNG</t>
  </si>
  <si>
    <t>2904865</t>
  </si>
  <si>
    <t>CÔNG TY CỔ PHẦN GIẢI PHÁP TSA VIỆT NAM</t>
  </si>
  <si>
    <t>2904867</t>
  </si>
  <si>
    <t>CÔNG TY CP PHÂN PHỐI SẢN PHẨM CÔNG NGHỆ CAO DẦU KHÍ(PHTD)</t>
  </si>
  <si>
    <t>2904869</t>
  </si>
  <si>
    <t>CÔNG TY TNHH MIRAE MINH ĐỨC</t>
  </si>
  <si>
    <t>2904870</t>
  </si>
  <si>
    <t>CÔNG TY TNHH MỘT THÀNH VIÊN  SƠN HÀ SSP VIỆT NAM</t>
  </si>
  <si>
    <t>2904873</t>
  </si>
  <si>
    <t>CÔNG TY CP THIẾT BỊ ĐIỆN NANO PHƯỚC THẠNH</t>
  </si>
  <si>
    <t>2904874</t>
  </si>
  <si>
    <t>CÔNG TY CP THẾ GIỚI GIẢI TRÍ</t>
  </si>
  <si>
    <t>2904878</t>
  </si>
  <si>
    <t>CÔNG TY CỔ PHẦN SẢN XUẤT VÀ NHẬP KHẨU VIỆT NAM XANH</t>
  </si>
  <si>
    <t>2904879</t>
  </si>
  <si>
    <t>CÔNG TY CP ĐẦU TƯ PHÁT TRIỂN SẢN XUẤT VÀ XNK AN PHƯỚC</t>
  </si>
  <si>
    <t>2904882</t>
  </si>
  <si>
    <t>CÔNG TY CP BÁN LẺ KỸ THUẬT SỐ FPT-CN TẠI HÀ NỘI</t>
  </si>
  <si>
    <t>2904885</t>
  </si>
  <si>
    <t>CÔNG TY TNHH QUẢNG CÁO ĐẠI HƯNG</t>
  </si>
  <si>
    <t>2904886</t>
  </si>
  <si>
    <t>CÔNG TY CP XÂY DỰNG VÀ THƯƠNG MẠI SAO PHƯƠNG ĐÔNG</t>
  </si>
  <si>
    <t>2904887</t>
  </si>
  <si>
    <t>CÔNG TY TNHH  VINA KOOK JE</t>
  </si>
  <si>
    <t>2904890</t>
  </si>
  <si>
    <t>CÔNG TY TNHH KEO DÁN ELLSWORTH VIỆT NAM</t>
  </si>
  <si>
    <t>2904892</t>
  </si>
  <si>
    <t>CÔNG TY TNHH QUỐC TẾ UNIQUE LOGISTIC(VIỆT NAM)</t>
  </si>
  <si>
    <t>2904893</t>
  </si>
  <si>
    <t>CÔNG TY LUẬT TNHH NAM DƯƠNG</t>
  </si>
  <si>
    <t>2904894</t>
  </si>
  <si>
    <t>CÔNG TY TNHH ĐẦU TƯ HẢI KIM LONG</t>
  </si>
  <si>
    <t>2904900</t>
  </si>
  <si>
    <t>CÔNG TY CP ĐẦU TƯ THƯƠNG MẠI VÀ XUẤT NHẬP KHẨU HUY THÀNH</t>
  </si>
  <si>
    <t>2904902</t>
  </si>
  <si>
    <t>CÔNG TY THH FOCUS GOLABAL LOGISTICS VINA</t>
  </si>
  <si>
    <t>2904912</t>
  </si>
  <si>
    <t>CÔNG TY CỔ PHẦN QUỐC TẾ HMT VIỆT NAM</t>
  </si>
  <si>
    <t>2904913</t>
  </si>
  <si>
    <t>2904915</t>
  </si>
  <si>
    <t>CÔNG TY TNHH QUỐC TẾ SƠN DƯƠNG</t>
  </si>
  <si>
    <t>2904916</t>
  </si>
  <si>
    <t xml:space="preserve">CÔNG TY TNHH THẨM MỸ VIỆN HOÀI ANH </t>
  </si>
  <si>
    <t>2904917</t>
  </si>
  <si>
    <t>CÔNG TY CỔ PHẦN ĐẦU TƯ CÔNG NGHỆ EMC</t>
  </si>
  <si>
    <t>2904919</t>
  </si>
  <si>
    <t>CÔNG TY CỔ PHẦN TRUYỀN THÔNG VÀ GIẢI TRÍ Á CHÂU</t>
  </si>
  <si>
    <t>2904921</t>
  </si>
  <si>
    <t>CÔNG TY TNHH BỆNH VIỆN HỒNG NGỌC</t>
  </si>
  <si>
    <t>2904922</t>
  </si>
  <si>
    <t>CÔNG TY TNHH CÔNG NGHỆ VIỆT</t>
  </si>
  <si>
    <t>2904924</t>
  </si>
  <si>
    <t>CÔNG TY CỔ PHẦN ONNET</t>
  </si>
  <si>
    <t>2904925</t>
  </si>
  <si>
    <t>CÔNG TY TNHH AT ĐÔNG DƯƠNG</t>
  </si>
  <si>
    <t>2904927</t>
  </si>
  <si>
    <t>CÔNG TY CỔ PHẦN SMARTCHOICES VIỆT NAM</t>
  </si>
  <si>
    <t>2904933</t>
  </si>
  <si>
    <t>CÔNG TY TNHH THIẾT BỊ VÀ DV LÀM SẠCH CÔNG NGHIỆP VIỆT HÀ</t>
  </si>
  <si>
    <t>2904938</t>
  </si>
  <si>
    <t>CÔNG TY TNHH KỸ THUẬT THƯƠNG MẠI DỊCH VỤ ĐỨC ĐẠT</t>
  </si>
  <si>
    <t>2904940</t>
  </si>
  <si>
    <t>CN CTY THIẾT BỊ CÔNG NGHIỆP  N.A.G.O.Y.A(THÀNH PHỐ HÀ NỘI)</t>
  </si>
  <si>
    <t>2904941</t>
  </si>
  <si>
    <t>2904942</t>
  </si>
  <si>
    <t>CÔNG TY TNHH ĐQ PLUS</t>
  </si>
  <si>
    <t>2904944</t>
  </si>
  <si>
    <t>CÔNG TY TNHH GATTNER VIỆT NAM</t>
  </si>
  <si>
    <t>2904947</t>
  </si>
  <si>
    <t>CÔNG TY TNHH CZ PANTER VIỆT NAM</t>
  </si>
  <si>
    <t>2904949</t>
  </si>
  <si>
    <t>CÔNG TY CP PHÁT TRIỂN MÁY CÔNG NGHIỆP THĂNG LONG</t>
  </si>
  <si>
    <t>2904953</t>
  </si>
  <si>
    <t>CÔNG TY TNHH ĐẦU TỪ VÀ PHÁT TRIỂN THẠCH AN</t>
  </si>
  <si>
    <t>2904954</t>
  </si>
  <si>
    <t>CÔNG TY TNHH DỊCH VỤ KHO VẬN ALS</t>
  </si>
  <si>
    <t>2904956</t>
  </si>
  <si>
    <t>CÔNG TY TNHH THƯƠNG MẠI SUNRISE VIỆT NAM</t>
  </si>
  <si>
    <t>2904957</t>
  </si>
  <si>
    <t>CÔNG TY CP THƯƠNG MẠI PHÁT TRIỂN XÂY DỰNG HƯNG PHÁT</t>
  </si>
  <si>
    <t>2904966</t>
  </si>
  <si>
    <t>CÔNG TY TNHH BHQ VIỆT NAM</t>
  </si>
  <si>
    <t>2904972</t>
  </si>
  <si>
    <t>CÔNG TY  LUẬT TNHH HÀ MY VÀ CỘNG SỰ</t>
  </si>
  <si>
    <t>2904973</t>
  </si>
  <si>
    <t>2904975</t>
  </si>
  <si>
    <t>CÔNG TY TNHH KONA</t>
  </si>
  <si>
    <t>2904977</t>
  </si>
  <si>
    <t>CÔNG TY TNHH GENERAL MOTOR VIỆT NAM</t>
  </si>
  <si>
    <t>2904978</t>
  </si>
  <si>
    <t>CÔNG TY TNHH LIÊN DOANH SHIDE VIỆT NAM</t>
  </si>
  <si>
    <t>2904980</t>
  </si>
  <si>
    <t>CÔNG TY TNHH THƯƠNG MẠI VÀ DỊCH VỤ TỔNG HỢP NHẬT NGUYÊN</t>
  </si>
  <si>
    <t>2904987</t>
  </si>
  <si>
    <t>CÔNG TY CP LIÊN DOANH DƯỢC G&amp;P FRANCE</t>
  </si>
  <si>
    <t>2904990</t>
  </si>
  <si>
    <t>CÔNG TY TNHH DỊCH VỤ BẢO VỆ AN NINH 24HVN</t>
  </si>
  <si>
    <t>2904992</t>
  </si>
  <si>
    <t>CÔNG TY CỔ PHẦN THANH TOÁN ĐIỆN TỬ VNPT</t>
  </si>
  <si>
    <t>2904993</t>
  </si>
  <si>
    <t>CÔNG TY TNHH QUỐC TẾ AN THỊNH</t>
  </si>
  <si>
    <t>2904994</t>
  </si>
  <si>
    <t>CN CÔNG TY TNHH TRANG THIẾT BỊ-DỤNG CỤ Y KHOA TÂN MAI THÀNH</t>
  </si>
  <si>
    <t>2904998</t>
  </si>
  <si>
    <t>VĂN PHÒNG ĐẠI DIỆN CÔNG TY TNHH POONGSHIN TẠI HÀ NỘI</t>
  </si>
  <si>
    <t>2905004</t>
  </si>
  <si>
    <t>CÔNG TY TNHH SAINT-HONORE ĐẦU TƯ VÀ THƯƠNG MẠI</t>
  </si>
  <si>
    <t>2905006</t>
  </si>
  <si>
    <t>CTY TNHH QUẢNG CÁO VÀ TRUYỀN THÔNG SÁNG TẠO SẮC VIỆT</t>
  </si>
  <si>
    <t>2905008</t>
  </si>
  <si>
    <t>CÔNG TY CP THƯƠNG MẠI VÀ PHÁT TRIỂN CÔNG NGHỆ ĐÔNG NAM Á</t>
  </si>
  <si>
    <t>2905011</t>
  </si>
  <si>
    <t>CÔNG TY CỔ PHẦN PHÁT TRIỂN NĂNG LƯỢNG SƠN HÀ</t>
  </si>
  <si>
    <t>2905015</t>
  </si>
  <si>
    <t>CÔNG TY CỔ PHẦN XNK VÀ THƯƠNG MẠI HOMING</t>
  </si>
  <si>
    <t>2905020</t>
  </si>
  <si>
    <t>CÔNG TY TNHH CÔNG NGHỆ HUAWEI VIỆT NAM- TT BẢO HÀNH HÀ NỘI</t>
  </si>
  <si>
    <t>2905022</t>
  </si>
  <si>
    <t>CÔNG TY TNHH ĐẦU TƯ NÉT Á</t>
  </si>
  <si>
    <t>2905028</t>
  </si>
  <si>
    <t>CÔNG TY CP THƯƠNG MẠI VÀ PHÁT TRIỂN CÔNG NGHỆ GB VIỆT NAM</t>
  </si>
  <si>
    <t>2905029</t>
  </si>
  <si>
    <t>CÔNG TY CP ĐẦU TƯ CÔNG NGHỆ HOÀNG MINH</t>
  </si>
  <si>
    <t>2905034</t>
  </si>
  <si>
    <t>CÔNG TY CỔ PHẦN ĐẦU TƯ CÔNG NGHỆ VINAADS</t>
  </si>
  <si>
    <t>2905036</t>
  </si>
  <si>
    <t>2905039</t>
  </si>
  <si>
    <t>CÔNG TY TNHH MỘT THÀNH VIÊN STOKES INTERRIOR</t>
  </si>
  <si>
    <t>2905044</t>
  </si>
  <si>
    <t>CÔNG TY TNHH KIỂM TOÁN VÀ ĐỊNH GIÁ MHD</t>
  </si>
  <si>
    <t>2905045</t>
  </si>
  <si>
    <t>CÔNG TY CỔ PHẦN  ĐẦU TƯ THƯƠNG MẠI MINI SỐ VIỆT NAM</t>
  </si>
  <si>
    <t>2905046</t>
  </si>
  <si>
    <t>CÔNG TY CỔ PHẦN SẢN XUẤT VÀ THƯƠNG MẠI  HÙNG PHÁT</t>
  </si>
  <si>
    <t>2905047</t>
  </si>
  <si>
    <t>CÔNG TY TNHH  GIB VIỆT NAM</t>
  </si>
  <si>
    <t>2905048</t>
  </si>
  <si>
    <t>CÔNG TY CỔ PHẦN KINH VIỆT</t>
  </si>
  <si>
    <t>2905051</t>
  </si>
  <si>
    <t>CÔNG TY CP THIẾT BỊ NÂNG  CHUYỂN VÀ ĐO KIỂM</t>
  </si>
  <si>
    <t>2905054</t>
  </si>
  <si>
    <t>2905057</t>
  </si>
  <si>
    <t>CÔNG TY CỔ PHẦN KHOA HỌC SẢN XUẤT MỎ</t>
  </si>
  <si>
    <t>2905058</t>
  </si>
  <si>
    <t>CÔNG TY TNHH KARIBON</t>
  </si>
  <si>
    <t>2905060</t>
  </si>
  <si>
    <t>2905063</t>
  </si>
  <si>
    <t>CÔNG TY CỔ PHẦN XÂY LẮP ĐIỆN NƯỚC VÀ PCCC VINACONEX 2</t>
  </si>
  <si>
    <t>2905065</t>
  </si>
  <si>
    <t>CÔNG TY CỔ PHẦN HỘI TỤ NHÂN TÀI</t>
  </si>
  <si>
    <t>2905070</t>
  </si>
  <si>
    <t>CÔNG TY CỔ PHẦN HIỀN ĐỨC</t>
  </si>
  <si>
    <t>2905071</t>
  </si>
  <si>
    <t>CÔNG TY CỔ PHẦN DỊCH VỤ VIỄN THÔNG VÀ TRUYỀN THÔNG</t>
  </si>
  <si>
    <t>2905072</t>
  </si>
  <si>
    <t>CÔNG TY CỔ PHẦN THƯƠNG MẠI KỸ THUẬT AN PHÚ</t>
  </si>
  <si>
    <t>2905073</t>
  </si>
  <si>
    <t>Công ty Cổ phần K-Decor</t>
  </si>
  <si>
    <t>2905074</t>
  </si>
  <si>
    <t>CÔNG TY CP XUẤT NHẬP KHẨU VÀ DỊCH VỤ VẬN TẢI QUỐC TẾ TMT</t>
  </si>
  <si>
    <t>2905075</t>
  </si>
  <si>
    <t>2905076</t>
  </si>
  <si>
    <t>2905079</t>
  </si>
  <si>
    <t>CN CÔNG TY CỔ PHẦN OSEVEN TẠI HÀ NỘI</t>
  </si>
  <si>
    <t>2905080</t>
  </si>
  <si>
    <t>CN CÔNG TY TNHH MAX MOTO SÀI GÒN TẠI HÀ NỘI</t>
  </si>
  <si>
    <t>2905081</t>
  </si>
  <si>
    <t>CÔNG TY TNHH THƯƠNG MẠI -QUẢNG CÁO VÀ IN PHÚ SỸ</t>
  </si>
  <si>
    <t>2905084</t>
  </si>
  <si>
    <t>CÔNG TY TNHH THƯƠNG MẠI VÀ DỊCH VỤ TIN HỌC TRUYỂN THÔNG TAT</t>
  </si>
  <si>
    <t>2905086</t>
  </si>
  <si>
    <t>VIỆN NHÀ Ở VÀ CÔNG TRÌNH CÔNG CỘNG</t>
  </si>
  <si>
    <t>2905091</t>
  </si>
  <si>
    <t>CÔNG TY CỔ PHẦN GIẢI PHÁP CÔNG NGHỆ SỐ</t>
  </si>
  <si>
    <t>2905092</t>
  </si>
  <si>
    <t>2905104</t>
  </si>
  <si>
    <t>2905105</t>
  </si>
  <si>
    <t>2905107</t>
  </si>
  <si>
    <t>CÔNG TY CP PHÂN PHỐI DỊCH VỤ SAIGONTEL(CN HÀ NỘI)</t>
  </si>
  <si>
    <t>2905108</t>
  </si>
  <si>
    <t>CÔNG TY TNHH BHB NAM VIỆT</t>
  </si>
  <si>
    <t>2905116</t>
  </si>
  <si>
    <t>CÔNG TY CP XÂY DỰNG VÀ TƯ VẤN KIẾN TRÚC NỘI THẤT T&amp;D</t>
  </si>
  <si>
    <t>2905122</t>
  </si>
  <si>
    <t>CÔNG TY TNHH TỐC HÀNH KHÔNG NGỪNG HÀ NỘI</t>
  </si>
  <si>
    <t>2905123</t>
  </si>
  <si>
    <t>CÔNG TY TNHH VẬT TƯ KỸ THUẬT HÀ NỘI</t>
  </si>
  <si>
    <t>2905124</t>
  </si>
  <si>
    <t>CÔNG TY TNHH B4F VINA</t>
  </si>
  <si>
    <t>2905125</t>
  </si>
  <si>
    <t>VĂN PHÒNG ĐẠI DIỆN CPA  AUSTRALIA TẠI HÀ NỘI</t>
  </si>
  <si>
    <t>2905126</t>
  </si>
  <si>
    <t>CÔNG TY TNHH THÉP XÂY DỰNG YOUJIN VINA</t>
  </si>
  <si>
    <t>2905130</t>
  </si>
  <si>
    <t>CÔNG TY TNHH SM- CYCLO(VIỆT NAM)</t>
  </si>
  <si>
    <t>2905131</t>
  </si>
  <si>
    <t>CN CÔNG TY CP BÁN KẺ KỸ THUẬT SỐ FPT TẠI HÀ NỘI</t>
  </si>
  <si>
    <t>2905134</t>
  </si>
  <si>
    <t>CÔNG TY TNHH THIẾT BỊ Y TẾ THIÊN Y</t>
  </si>
  <si>
    <t>2905135</t>
  </si>
  <si>
    <t>CN CÔNG TY CỔ PHẦN BÁN LẺ KỸ THUẬT SỐ FPT TẠI HÀ NỘI</t>
  </si>
  <si>
    <t>2905137</t>
  </si>
  <si>
    <t>CÔNG TY CỔ PHẦN CÔNG NGHỆ VÀ THƯƠNG MẠI FMS</t>
  </si>
  <si>
    <t>2905144</t>
  </si>
  <si>
    <t>CÔNG TY TNHH THIẾT BỊ CÔNG NGHIỆP M&amp;T</t>
  </si>
  <si>
    <t>2905145</t>
  </si>
  <si>
    <t>CÔNG TY TNHH THƯƠNG MẠI VÀ DỊCH VỤ THANH LONG</t>
  </si>
  <si>
    <t>2905152</t>
  </si>
  <si>
    <t>CÔNG TY CỔ PHẦN CÂN ĐIỆN TỬ VÀ THIẾT BỊ KHOA HỌC GED</t>
  </si>
  <si>
    <t>2905153</t>
  </si>
  <si>
    <t>CÔNG TY CỔ PHẦN DU LỊCH KHÁCH SẠN THĂNG LONG</t>
  </si>
  <si>
    <t>2905154</t>
  </si>
  <si>
    <t>CÔNG TY TNHH THANH HUYỀN</t>
  </si>
  <si>
    <t>2905155</t>
  </si>
  <si>
    <t>CÔNG TY TNHH THƯƠNG MẠI VÀ SẢN XUẤT BÓNG ĐÈN MAXIS</t>
  </si>
  <si>
    <t>2905156</t>
  </si>
  <si>
    <t xml:space="preserve">CÔNG TY CỔ PHẦN  NỀN MÓNG CƠ GIỚI VÀ XÂY DỰNG </t>
  </si>
  <si>
    <t>2905158</t>
  </si>
  <si>
    <t>CÔNG TY TNHH SẢN XUẤT THƯƠNG MẠI VÀ DỊCH VỤ CSC</t>
  </si>
  <si>
    <t>2905162</t>
  </si>
  <si>
    <t>CTY CP DỊCH VỤ THƯƠNG MẠI TỔNG HỢP VINCOMMERCE-CN HÀ NỘI</t>
  </si>
  <si>
    <t>2905165</t>
  </si>
  <si>
    <t>2905166</t>
  </si>
  <si>
    <t>2905169</t>
  </si>
  <si>
    <t>2905171</t>
  </si>
  <si>
    <t>2905172</t>
  </si>
  <si>
    <t>CÔNG TY TNHH DỊCH VỤ VÀ TƯ VẤN HOÀNG PHÁT</t>
  </si>
  <si>
    <t>2905175</t>
  </si>
  <si>
    <t>CÔNG TY TNHH REPAIRTELECOM</t>
  </si>
  <si>
    <t>2905176</t>
  </si>
  <si>
    <t>CÔNG TY TNHH TRUYỀN THÔNG VIVO(VIỆT NAM)</t>
  </si>
  <si>
    <t>2905182</t>
  </si>
  <si>
    <t>CÔNG TY TNHH 3C CÔNG NGHIỆP</t>
  </si>
  <si>
    <t>2905187</t>
  </si>
  <si>
    <t>CHI NHÁNH  CTY CỔ PHẦN BÁN LẺ KỸ THUẬT SỐ FPT TẠI HÀ NỘI</t>
  </si>
  <si>
    <t>2905188</t>
  </si>
  <si>
    <t>2905190</t>
  </si>
  <si>
    <t>CÔNG TY CỔ PHẦN TƯ VẤN XÂY DỰNG WATECH</t>
  </si>
  <si>
    <t>2905196</t>
  </si>
  <si>
    <t>CÔNG TY TNHH THIẾT BỊ CÔNG NGHIỆP NAGOYA</t>
  </si>
  <si>
    <t>2905206</t>
  </si>
  <si>
    <t>CÔNG TY TNHH TSV SERVICES VIỆT NAM</t>
  </si>
  <si>
    <t>2905209</t>
  </si>
  <si>
    <t>CÔNG TY CỔ PHẦN BẾP  NAM DƯƠNG</t>
  </si>
  <si>
    <t>2905214</t>
  </si>
  <si>
    <t>2905215</t>
  </si>
  <si>
    <t>CÔNG TY TNHH ALTEK KABEL VIỆT NAM</t>
  </si>
  <si>
    <t>2905217</t>
  </si>
  <si>
    <t xml:space="preserve"> CÔNG TY TNHH S.F EXPRESS</t>
  </si>
  <si>
    <t>2905218</t>
  </si>
  <si>
    <t>CÔNG TY TNHH KỸ THUẬT THÀNH AN</t>
  </si>
  <si>
    <t>2905219</t>
  </si>
  <si>
    <t>SHOP HÓA PHẨM ĐỨC</t>
  </si>
  <si>
    <t>2905221</t>
  </si>
  <si>
    <t>CÔNG TY TNHH HERIZME VIỆT NAM</t>
  </si>
  <si>
    <t>2905224</t>
  </si>
  <si>
    <t>2905225</t>
  </si>
  <si>
    <t>2905227</t>
  </si>
  <si>
    <t>CÔNG TY CỔ PHẦN ĐẦU TƯ TRƯỜNG THỊNH</t>
  </si>
  <si>
    <t>2905229</t>
  </si>
  <si>
    <t>CÔNG TY CỔ PHẦN HỖ TRỢ PHÁT TRIỂN CÔNG NGHỆ DETECH</t>
  </si>
  <si>
    <t>2905230</t>
  </si>
  <si>
    <t>CÔNG TY TNHH ĐẦU TƯ VÀ PHÁT TRIỂN  HACOM VIỆT NAM</t>
  </si>
  <si>
    <t>2905231</t>
  </si>
  <si>
    <t>CÔNG TY CỔ PHẦN BƠM VÀ THIẾT BỊ QUANG PHƯỚC</t>
  </si>
  <si>
    <t>2905234</t>
  </si>
  <si>
    <t>CÔNG TY TNHH IBV VIỆT NAM</t>
  </si>
  <si>
    <t>2905239</t>
  </si>
  <si>
    <t>CÔNG TY TNHH TOTECSO VIỆT NAM</t>
  </si>
  <si>
    <t>2905240</t>
  </si>
  <si>
    <t>CÔNG TY TNHH TURTLEPAW VIỆT NAM</t>
  </si>
  <si>
    <t>2905243</t>
  </si>
  <si>
    <t>CTY CP DV GIA TĂNG MOBIFONE(MOBIFONE PLUSS)-VPĐD MIỀN BẮC</t>
  </si>
  <si>
    <t>2905244</t>
  </si>
  <si>
    <t>CÔNG TY TNHH THƯƠNG MẠI ĐỈNH PHONG</t>
  </si>
  <si>
    <t>2905245</t>
  </si>
  <si>
    <t>2905247</t>
  </si>
  <si>
    <t>2905249</t>
  </si>
  <si>
    <t>2905250</t>
  </si>
  <si>
    <t>2905256</t>
  </si>
  <si>
    <t>CÔNG TY TNHH KỸ THUẬT VÀ XÂY DỰNG ÂU VIỆT</t>
  </si>
  <si>
    <t>2905257</t>
  </si>
  <si>
    <t>CTY TNHH THIẾT BỊ CÔNG NGHIỆP VÀ DỊCH VỤ VIỆT NAM</t>
  </si>
  <si>
    <t>2905258</t>
  </si>
  <si>
    <t>CÔNG TY CỔ PHẦN IMC SÀI GÒN</t>
  </si>
  <si>
    <t>2905259</t>
  </si>
  <si>
    <t>CÔNG TY CP SẢN XUẤT VÀ THƯƠNG MẠI AAT VIỆT NAM</t>
  </si>
  <si>
    <t>2905260</t>
  </si>
  <si>
    <t>CÔNG TY TNHH THƯƠNG MẠI TRƯỜNG THÀNH  VIỆT NAM</t>
  </si>
  <si>
    <t>2905261</t>
  </si>
  <si>
    <t>CÔNG TY TNHH QUỐC TẾ THĂNG LONG P&amp;T</t>
  </si>
  <si>
    <t>2905263</t>
  </si>
  <si>
    <t>CÔNG TY CỔ PHẦN THIẾT BỊ VÀ CÔNG NGHỆ ECO VIỆT NAM</t>
  </si>
  <si>
    <t>2905265</t>
  </si>
  <si>
    <t>CÔNG TY TNHH THƯƠNG MẠI DỊCH VỤ TOÀN CẦU TAS</t>
  </si>
  <si>
    <t>2905267</t>
  </si>
  <si>
    <t>CÔNG TY TNHH DỊCH VỤ VÀ VẬN CHUYỂN QUỐC TẾ VIỆT NAM</t>
  </si>
  <si>
    <t>2905275</t>
  </si>
  <si>
    <t>CÔNG TY CỔ PHÂN ĐIỆN TỬ VIỄN THÔNG E-TEL VIỆT NAM</t>
  </si>
  <si>
    <t>2905277</t>
  </si>
  <si>
    <t>CÔNG TY CỔ PHẦN CẦU TRỤC VÀ THIẾT BỊ AVC</t>
  </si>
  <si>
    <t>2905279</t>
  </si>
  <si>
    <t>CÔNG TY TNHH THƯƠNG MẠI DỊCH VỤ VẠN THÀNH TÀI</t>
  </si>
  <si>
    <t>2905280</t>
  </si>
  <si>
    <t>CÔNG TY TNHH THƯƠNG MẠI VÀ ĐẦU TƯ K.L.E.V.E</t>
  </si>
  <si>
    <t>2905284</t>
  </si>
  <si>
    <t>CÔGN TY TNHH PALDO  VIỆT NAM</t>
  </si>
  <si>
    <t>2905286</t>
  </si>
  <si>
    <t>CÔNG TY TNHH DỊCH VỤ VÀ DU LỊCH SKY VIỆT NAM</t>
  </si>
  <si>
    <t>2905289</t>
  </si>
  <si>
    <t>CÔNG TY TNHH CÔNG NGHỆ HÓA SINH BM</t>
  </si>
  <si>
    <t>2905290</t>
  </si>
  <si>
    <t>CÔNG TY TNHH PHÁT TRIỂN KẾT NỐI PHAN VŨ</t>
  </si>
  <si>
    <t>2905292</t>
  </si>
  <si>
    <t>TRỊNH VĂN THU</t>
  </si>
  <si>
    <t>2905295</t>
  </si>
  <si>
    <t>CÔNG TY CỔ PHẦN CẢM XÚC HÀ NỘI</t>
  </si>
  <si>
    <t>2905296</t>
  </si>
  <si>
    <t>CÔNG TY TNHH THƯƠNG MẠI VÀ DỊCH VỤ TRẦN LÊ</t>
  </si>
  <si>
    <t>2905297</t>
  </si>
  <si>
    <t>CÔNG TY CP CÔNG NGHỆ CAO DKD</t>
  </si>
  <si>
    <t>2905305</t>
  </si>
  <si>
    <t>CÔNG TY TNHH KỸ THUẬT MEV  VIỆT NAM</t>
  </si>
  <si>
    <t>2905312</t>
  </si>
  <si>
    <t>CÔNG TY TNHH THƯƠNG MẠI ĐẦU TƯ VÀ SX TÂN THỊNH</t>
  </si>
  <si>
    <t>2905320</t>
  </si>
  <si>
    <t>2905321</t>
  </si>
  <si>
    <t>CN CÔNG TY  CP BÁN LẺ KỸ THUẬT SỐ FPT TẠI HÀ NỘI</t>
  </si>
  <si>
    <t>2905322</t>
  </si>
  <si>
    <t>CÔNG TY  LUẬT TNHH CABAS</t>
  </si>
  <si>
    <t>2905330</t>
  </si>
  <si>
    <t>CÔNG TY TNHH ATLAS COPCO VIỆT NAM</t>
  </si>
  <si>
    <t>2905343</t>
  </si>
  <si>
    <t>CÔNG TY CỔ PHẦN ĐẠI THIÊN TRƯỜNG</t>
  </si>
  <si>
    <t>2905345</t>
  </si>
  <si>
    <t>2905347</t>
  </si>
  <si>
    <t>CÔNG TY TNHH THƯƠNG MẠI ĐỖ QUÂN</t>
  </si>
  <si>
    <t>2905350</t>
  </si>
  <si>
    <t>CÔNG TY TNHH ĐẦU TƯ VÀ XÂY DỰNG AN PHÚ</t>
  </si>
  <si>
    <t>2905353</t>
  </si>
  <si>
    <t>CN CTY CP BÁN LẺ KỸ THUẬT SỐ FPT TẠI  HÀ NỘI</t>
  </si>
  <si>
    <t>2905358</t>
  </si>
  <si>
    <t>CÔNG TY TNHH XNK VẬT TƯ KHOA HỌC QUỐC TẾ</t>
  </si>
  <si>
    <t>2905374</t>
  </si>
  <si>
    <t>NGÂN HÀNG TM CỔ PHẦN NAM Á- CN HÀ NỘI-PGD THĂNG LONG</t>
  </si>
  <si>
    <t>2905376</t>
  </si>
  <si>
    <t>NGÂN HÀNG TM CỔ PHẦN NAM Á- CN HÀ NỘI-PGD CẦU GIẤY</t>
  </si>
  <si>
    <t>2905377</t>
  </si>
  <si>
    <t>2905382</t>
  </si>
  <si>
    <t>2905385</t>
  </si>
  <si>
    <t>CÔNG TY TNHH THIẾT BỊ AN TOÀN - BẢO VỆ HÀ NỘI SSE</t>
  </si>
  <si>
    <t>2905390</t>
  </si>
  <si>
    <t>CÔNG TY TNHH CYBERTECH VIỆT NAM</t>
  </si>
  <si>
    <t>2905394</t>
  </si>
  <si>
    <t>CỬA HÀNG PHONG THỦY THÁI SƠN</t>
  </si>
  <si>
    <t>2905398</t>
  </si>
  <si>
    <t>CÔNG TNHH ĐẦU TƯ THƯƠNG MẠI BẢO UYÊN</t>
  </si>
  <si>
    <t>2905404</t>
  </si>
  <si>
    <t>CÔNG TY TNHH HỖ TRỢ PHÁT TRIỂN CÔNG NGHỆ SDT</t>
  </si>
  <si>
    <t>2905407</t>
  </si>
  <si>
    <t>VP ĐẠI DIỆN WISE CONSULTING FINLAND OY TẠI HÀ NỘI</t>
  </si>
  <si>
    <t>2905408</t>
  </si>
  <si>
    <t>CỬA HÀNG DAOTHES BRAND</t>
  </si>
  <si>
    <t>2905414</t>
  </si>
  <si>
    <t>CÔNG TY TNHH XÂY DỰNG &amp; THƯƠNG MẠI SAO ĐẤT VIỆT</t>
  </si>
  <si>
    <t>2905416</t>
  </si>
  <si>
    <t>CÔNG TY TNHH VŨ MINH</t>
  </si>
  <si>
    <t>2905421</t>
  </si>
  <si>
    <t>CÔNG TY CP GIẢI PHÁP CÔNG NGHỆ ELSAGA</t>
  </si>
  <si>
    <t>2905425</t>
  </si>
  <si>
    <t>2905427</t>
  </si>
  <si>
    <t>CÔNG TY TNHH KIN LONG VIỆT NAM</t>
  </si>
  <si>
    <t>2905428</t>
  </si>
  <si>
    <t>CỬA HÀNG TRANG SỨC LAJEW</t>
  </si>
  <si>
    <t>2905433</t>
  </si>
  <si>
    <t>CÔNG TY CỔ PHẦN SẢN XUẤT HASU VIỆT NAM</t>
  </si>
  <si>
    <t>2905454</t>
  </si>
  <si>
    <t>CÔNG TY CP ĐẦU TƯ XÂY DỰNG  VÀ CHUYỂN GIAO CÔNG NGHỆ QUỐC TẾ</t>
  </si>
  <si>
    <t>2905459</t>
  </si>
  <si>
    <t>CÔNG TY TNHH KỸ THUẬT THƯƠNG MẠI MINH ĐỨC</t>
  </si>
  <si>
    <t>2905461</t>
  </si>
  <si>
    <t>CÔNG TY TNHH CƠ KHÍ TÂN PHÁT</t>
  </si>
  <si>
    <t>2905463</t>
  </si>
  <si>
    <t>CÔNG TY CP ĐẦU TƯ VÀ PHÁT TRIỂN TAM DƯƠNG</t>
  </si>
  <si>
    <t>2905465</t>
  </si>
  <si>
    <t>CÔNG TY CP ĐẦU TƯ KỸ THUẬT VÀ PHÁT TRIỂN CÔNG NGHỆ VIỆT NAM</t>
  </si>
  <si>
    <t>2905468</t>
  </si>
  <si>
    <t>CÔNG TY CỔ PHẦN THƯƠNG MẠI VÀ ĐẦU TƯ XÂY LẮP VIỆT NAM</t>
  </si>
  <si>
    <t>2905469</t>
  </si>
  <si>
    <t>NHÀ  XUẤT BẢN CHÍNH TRỊ QUỐC GIA SỰ THẬT</t>
  </si>
  <si>
    <t>2905474</t>
  </si>
  <si>
    <t>CÔNG TY TNHH THƯƠNG MẠI VÀ HỮU NGHỊ LÊ GIA</t>
  </si>
  <si>
    <t>2905478</t>
  </si>
  <si>
    <t>CÔNG TY DỊCH VỤ BẢO VỆ THẮNG LỢI VIỆT NAM</t>
  </si>
  <si>
    <t>2905483</t>
  </si>
  <si>
    <t>CÔNG TY CỔ PHẦN THƯƠNG MẠI DỊCH VỤ VÀ KỸ THUẬT CAO THT</t>
  </si>
  <si>
    <t>2905486</t>
  </si>
  <si>
    <t>CÔNG TY CỔ PHẦN CÔNG NGHỆ  BIA TƯƠI - FBT</t>
  </si>
  <si>
    <t>2905488</t>
  </si>
  <si>
    <t>CÔNG TY TNHH SUN-WA TECHNOS VIỆT NAM</t>
  </si>
  <si>
    <t>2905489</t>
  </si>
  <si>
    <t>CÔNG TY CỔ PHẦN CHẾ BIẾN THỰC PHẨM DABACO</t>
  </si>
  <si>
    <t>2905490</t>
  </si>
  <si>
    <t>2905492</t>
  </si>
  <si>
    <t>CÔNG TY TNHH THƯƠNG MẠI VIỆT NAM QUỐC TẾ MƯA</t>
  </si>
  <si>
    <t>2905493</t>
  </si>
  <si>
    <t>CỬA HÀNG NGÂN DEE</t>
  </si>
  <si>
    <t>2905497</t>
  </si>
  <si>
    <t>CÔNG TY TNHH THƯƠNG MẠI VÀ DỊCH VỤ KỸ THUẬT K-H VIỆT NAM</t>
  </si>
  <si>
    <t>2905499</t>
  </si>
  <si>
    <t>CÔNG TY TNHH TRUYỀN THÔNG TIẾN BỘ</t>
  </si>
  <si>
    <t>2905504</t>
  </si>
  <si>
    <t>CÔNG TY CỔ PHẦN HATECO LOGISTICS</t>
  </si>
  <si>
    <t>2905505</t>
  </si>
  <si>
    <t>CÔNG TY TNHH THƯƠNG MẠI VÀ CÔNG TRÌNH VINH THÀNH</t>
  </si>
  <si>
    <t>2905512</t>
  </si>
  <si>
    <t>CÔNG TY TNHH GENERAL MOTOR VIỆT NAM(GỬI THƯ)</t>
  </si>
  <si>
    <t>2905514</t>
  </si>
  <si>
    <t>CÔNG TY CỔ PHẦN HSQ VIÊT NAM</t>
  </si>
  <si>
    <t>2905518</t>
  </si>
  <si>
    <t>CÔNG TY CỔ PHẦN ĐẦU TƯ THƯƠNG MẠI TÂN LỢI PHÁT</t>
  </si>
  <si>
    <t>2905520</t>
  </si>
  <si>
    <t>CÔNG TY TNHH QUỐC TẾ AN MỸ</t>
  </si>
  <si>
    <t>2905521</t>
  </si>
  <si>
    <t>CÔNG TY TNHH EASY RENT-A-CAR VIỆT NAM</t>
  </si>
  <si>
    <t>2905522</t>
  </si>
  <si>
    <t>CÔNG TY CỔ PHẦN AMOR GLOBAL</t>
  </si>
  <si>
    <t>2905523</t>
  </si>
  <si>
    <t>CÔNG TY CỔ PHẦN MANUTRONICS VIỆT NAM</t>
  </si>
  <si>
    <t>2905524</t>
  </si>
  <si>
    <t>CÔNG TY TNHH 3H ELECTRI</t>
  </si>
  <si>
    <t>2905527</t>
  </si>
  <si>
    <t>CÔNG TY CP VẬT TƯ VÀ THIẾT BỊ KHOA HỌC KỸ THUẬT ACETECH</t>
  </si>
  <si>
    <t>2905528</t>
  </si>
  <si>
    <t>CÔNG TY CỔ PHẦN HỢP  NHẤT QUỐC TẾ</t>
  </si>
  <si>
    <t>2905533</t>
  </si>
  <si>
    <t>CÔNG TY CỔ PHẦN DỊCH VỤ GIẢI PHÁP NGƯỜI VẬN CHUYỂN</t>
  </si>
  <si>
    <t>2905536</t>
  </si>
  <si>
    <t>CÔNG TY TNHH VÂN THĂNG LONG</t>
  </si>
  <si>
    <t>2905537</t>
  </si>
  <si>
    <t>CÔNG TY CỔ PHẦN THƯƠNG MẠI THẾ GIỚI CIGAR</t>
  </si>
  <si>
    <t>2905542</t>
  </si>
  <si>
    <t xml:space="preserve"> CHÈ THÁI NGUYÊN CÔ CÚC</t>
  </si>
  <si>
    <t>2905545</t>
  </si>
  <si>
    <t>CÔNG TY TNHH  VINA CENTURY</t>
  </si>
  <si>
    <t>2905546</t>
  </si>
  <si>
    <t>CÔNG TY CỔ PHẦN CÔNG NGHIỆP HỖ TRỢ TÂN PHONG</t>
  </si>
  <si>
    <t>2905547</t>
  </si>
  <si>
    <t>CÔNG TY TNHH NÂNG CAO SỨC KHỎE VIỆT</t>
  </si>
  <si>
    <t>2905550</t>
  </si>
  <si>
    <t>2905551</t>
  </si>
  <si>
    <t>CÔNG TY TNHH THỜI TRANG VERT</t>
  </si>
  <si>
    <t>2905552</t>
  </si>
  <si>
    <t>CÔNG TY TNHH ESCO VIỆT NAM</t>
  </si>
  <si>
    <t>2905555</t>
  </si>
  <si>
    <t>2905558</t>
  </si>
  <si>
    <t>CÔNG TY TNHH CHẾ TẠO XUÂT NHẬT KHẨU TOÀN CẦU</t>
  </si>
  <si>
    <t>2905559</t>
  </si>
  <si>
    <t>CÔNG TY TNHH THƯƠNG MẠI XUẤT NHẬP KHẨU VIỆT QUỐC</t>
  </si>
  <si>
    <t>2905561</t>
  </si>
  <si>
    <t>CÔNG TY CỔ PHẦN PHÂN PHỐI ĐIÊN TỬ ĐIỆN LẠNH MIỀN BẮC</t>
  </si>
  <si>
    <t>2905562</t>
  </si>
  <si>
    <t>CÔNG TY TNHH NOITHATBANGHE.COM</t>
  </si>
  <si>
    <t>2905563</t>
  </si>
  <si>
    <t>CÔNG TY TNHH DỆT MAY PHÚ MINH ĐỨC</t>
  </si>
  <si>
    <t>2905564</t>
  </si>
  <si>
    <t>CÔGN TY TNHH YIC VI NA</t>
  </si>
  <si>
    <t>2905566</t>
  </si>
  <si>
    <t>CÔNG TY TNHH THIẾT BỊ HÓA CHẤT NAKAGAWA VIỆT NAM</t>
  </si>
  <si>
    <t>2905567</t>
  </si>
  <si>
    <t>CÔNG TY TNHH CÔNG NGHỆ ONG BẮP CÀY</t>
  </si>
  <si>
    <t>2905569</t>
  </si>
  <si>
    <t>CÔNG TY TNHH TAE WOO VINA</t>
  </si>
  <si>
    <t>2905570</t>
  </si>
  <si>
    <t>CÔNG TY TNHH NIN SING LOGISTICS-NINJAVAN</t>
  </si>
  <si>
    <t>2905571</t>
  </si>
  <si>
    <t>CÔNG TY CỔ PHẦN ĐẦU TƯ PHÁT TRIỂN BẮC BÌNH</t>
  </si>
  <si>
    <t>2905572</t>
  </si>
  <si>
    <t>CÔNG TY CP DU LỊCH VÀ KHÁCH SẠN HOME HOTEL TÂY HỒ</t>
  </si>
  <si>
    <t>2905573</t>
  </si>
  <si>
    <t>CÔNG TY TNHH MUNDO ASIA</t>
  </si>
  <si>
    <t>2905575</t>
  </si>
  <si>
    <t>2905576</t>
  </si>
  <si>
    <t>TRUNG TÂM TÂN ĐẠT- CHI NHÁNH TỔNG CÔNG TY VẬN TẢI HÀ NỘI</t>
  </si>
  <si>
    <t>2905579</t>
  </si>
  <si>
    <t>CÔNG TY TNHH DENKIMI VIỆT NAM</t>
  </si>
  <si>
    <t>2905581</t>
  </si>
  <si>
    <t>CÔNG TY TNHH DU LỊCH ASIA EXOTICA VIỆT NAM</t>
  </si>
  <si>
    <t>2905582</t>
  </si>
  <si>
    <t>CÔNG TY CỔ PHẦN ĐẦU TƯ VÀ THƯƠNG MẠI TAT VIỆT NAM</t>
  </si>
  <si>
    <t>2905584</t>
  </si>
  <si>
    <t>CN CTY CỔ PHẦN THƯƠNG MẠI - DỊCH VỤ - SẢN XUẤT- VIỆT THƯƠNG</t>
  </si>
  <si>
    <t>2905586</t>
  </si>
  <si>
    <t>CÔGN TY CP ĐT THƯƠNG MẠI H- CARE VIỆT NAM</t>
  </si>
  <si>
    <t>2905587</t>
  </si>
  <si>
    <t>CÔNG TY CỔ PHẦN ONEFOOD VIỆT NAM</t>
  </si>
  <si>
    <t>2905588</t>
  </si>
  <si>
    <t>2905589</t>
  </si>
  <si>
    <t>2905590</t>
  </si>
  <si>
    <t>NGUYỄN VĂN TUẤN</t>
  </si>
  <si>
    <t>2905592</t>
  </si>
  <si>
    <t>2905593</t>
  </si>
  <si>
    <t>CÔNG TY CP THIẾT BỊ ĐIỆN NƯỚC DAIWA VIỆT NAM</t>
  </si>
  <si>
    <t>2905594</t>
  </si>
  <si>
    <t>CÔNG TY TNHH THƯƠNG MẠI KATA VIỆT NAM</t>
  </si>
  <si>
    <t>2905595</t>
  </si>
  <si>
    <t>CÔNG TY TNHH DONACOOK VIỆT NAM</t>
  </si>
  <si>
    <t>2905596</t>
  </si>
  <si>
    <t>CÔNG TY CỔ PHẦN THƯƠNG MẠI DỊCH VỤ CÔNG NGHIỆP HÙNG TIẾN</t>
  </si>
  <si>
    <t>2905597</t>
  </si>
  <si>
    <t>CTY TNHH MTV KIỂM ĐỊNH MÁY XÂY DỰNG VIỆT NAM- CN TẠI HÀ NỘI</t>
  </si>
  <si>
    <t>2905599</t>
  </si>
  <si>
    <t>CÔNG TY TNHH MINH LONG I</t>
  </si>
  <si>
    <t>2905600</t>
  </si>
  <si>
    <t>CÔNG TY TNHH THƯƠNG MẠI NHẬT TÙNG</t>
  </si>
  <si>
    <t>2905601</t>
  </si>
  <si>
    <t>CÔNG TY TNHH ĐẦU TƯ XÂY DỰNG VÀ PHÁT TRIỂN HẠ TẦNG</t>
  </si>
  <si>
    <t>2905602</t>
  </si>
  <si>
    <t>NGUYỄN HẢI LONG</t>
  </si>
  <si>
    <t>2905603</t>
  </si>
  <si>
    <t>NHÀ IN SỰ THẬT</t>
  </si>
  <si>
    <t>2905604</t>
  </si>
  <si>
    <t>CÔNG TY TNHH CÔNG NGHỆ VÀ THƯƠNG MẠI LẠC HỒNG</t>
  </si>
  <si>
    <t>2905605</t>
  </si>
  <si>
    <t>CÔNG TY CỔ PHẦN USEXPRESS</t>
  </si>
  <si>
    <t>2905607</t>
  </si>
  <si>
    <t>CÔNG TY TNHH THIẾT BỊ ĐIỆN LỰC DUYÊN HÀ</t>
  </si>
  <si>
    <t>2905609</t>
  </si>
  <si>
    <t>CÔNG TY CP GIAO NHẬN VẬN TẢI HÀNG HÓA TOÀN CẦU HP</t>
  </si>
  <si>
    <t>2905611</t>
  </si>
  <si>
    <t>HỘ KINH DOANH GIA ĐÌNH</t>
  </si>
  <si>
    <t>2905612</t>
  </si>
  <si>
    <t>CÔNG TY TNHH JADE M-TECH</t>
  </si>
  <si>
    <t>2905615</t>
  </si>
  <si>
    <t>CÔNG TY TNHH THƯƠNG MẠI VÀ DỊCH VỤ KỸ THUẬT GIA LINH</t>
  </si>
  <si>
    <t>2905617</t>
  </si>
  <si>
    <t>CÔNG TY TNHH XNK QUỐC TẾ OMIZU</t>
  </si>
  <si>
    <t>2905619</t>
  </si>
  <si>
    <t>CÔNG TY CỔ PHẦN ĐẦU TƯ VÀ XÂY DỰNG HUD1</t>
  </si>
  <si>
    <t>2905620</t>
  </si>
  <si>
    <t>CÔNG TY CP ĐẤU GIÁ NGHỆ THUẬT CHỌN AUCTION HOUSE</t>
  </si>
  <si>
    <t>2905622</t>
  </si>
  <si>
    <t>CÔNG TY TNHH THIẾT BỊ CÔNG NGHIỆP THIÊN AN</t>
  </si>
  <si>
    <t>2905625</t>
  </si>
  <si>
    <t>CÔNG TY TNHH KITA VIỆT NAM</t>
  </si>
  <si>
    <t>2905627</t>
  </si>
  <si>
    <t>CÔNG TY TNHH THƯƠNG MẠI VÀ DỊCH VỤ VTG VIỆT NAM</t>
  </si>
  <si>
    <t>2905629</t>
  </si>
  <si>
    <t>CÔNG TY TNHH ĐẦU TƯ VÀ TIẾP VẬN THỦ ĐÔ</t>
  </si>
  <si>
    <t>2905630</t>
  </si>
  <si>
    <t>CÔNG TY TNHH TM DỊCH VỤ XUẤT NHẬP KHẨU HACHIE VIỆT NAM</t>
  </si>
  <si>
    <t>2905632</t>
  </si>
  <si>
    <t>CÔGN TY CỔ PHẦN GIẢI PHÁP VIỄN THÔNG 3C</t>
  </si>
  <si>
    <t>2905633</t>
  </si>
  <si>
    <t>2905636</t>
  </si>
  <si>
    <t>VIỆN DỆT MAY</t>
  </si>
  <si>
    <t>2905638</t>
  </si>
  <si>
    <t>CÔNG TY CP ĐẦU TƯ VÀ THƯƠNG MẠI KIM HƯNG PHÚ</t>
  </si>
  <si>
    <t>2905643</t>
  </si>
  <si>
    <t>CÔNG TY CỔ PHẦN ĐẦU TƯ CÔNG NGHỆ ĐIỆN TỬ ASANZO</t>
  </si>
  <si>
    <t>2905644</t>
  </si>
  <si>
    <t>CÔNG TY TNHH HƯNG NGHIỆP CAREERVIET</t>
  </si>
  <si>
    <t>2905645</t>
  </si>
  <si>
    <t>CÔNG TY TNHH TÍCH GIANG</t>
  </si>
  <si>
    <t>2905646</t>
  </si>
  <si>
    <t>CÔNG TY CỔ PHẦN PHÁT TRIỂN GIÁO CỤ OREKA</t>
  </si>
  <si>
    <t>2905647</t>
  </si>
  <si>
    <t>CÔNG TY CỔ PHẦN EMOBI</t>
  </si>
  <si>
    <t>2905649</t>
  </si>
  <si>
    <t>VĂN PHÒNG ĐẠI DIỆN H&amp;C INTERNATIONAL.CO.,LTD</t>
  </si>
  <si>
    <t>2905650</t>
  </si>
  <si>
    <t>CÔNG TY CỔ PHẦN THƯƠNG MẠI VÀ XÂY LẮP TRƯỜNG GIANG</t>
  </si>
  <si>
    <t>2905652</t>
  </si>
  <si>
    <t>CÔNG TY TNHH THƯƠNG MẠI DỊCH VỤ SẢN XUẤT ĐỈNH THIÊN</t>
  </si>
  <si>
    <t>2905653</t>
  </si>
  <si>
    <t>CÔNG TY TNHH QUỐC TẾ HẢI AN</t>
  </si>
  <si>
    <t>2905656</t>
  </si>
  <si>
    <t>CÔNG TY TNHH THƯƠNG MẠI BORAM</t>
  </si>
  <si>
    <t>2905657</t>
  </si>
  <si>
    <t>CÔNG TY TNHH THƯƠNG MẠI SONUS VIỆT NAM</t>
  </si>
  <si>
    <t>2905659</t>
  </si>
  <si>
    <t>CÔNG TY TNHH A-SUNG INTERNATIONAL VINA</t>
  </si>
  <si>
    <t>2905660</t>
  </si>
  <si>
    <t>TỔNG KHO MINH LONG I HÀ NỘI</t>
  </si>
  <si>
    <t>2905661</t>
  </si>
  <si>
    <t>CÔNG TY CỔ PHẦN ĐẦU TƯ QUỐC TẾ HẢI HÀ</t>
  </si>
  <si>
    <t>2905662</t>
  </si>
  <si>
    <t>CÔNG TY CỔ PHẦN THỰC PHẨM SANTA</t>
  </si>
  <si>
    <t>2905663</t>
  </si>
  <si>
    <t>CÔNG TY TNHH ĐẦU TƯ VÀ THƯƠNG MẠI E-CAR VIỆT NAM</t>
  </si>
  <si>
    <t>2905664</t>
  </si>
  <si>
    <t>CÔNG TY TNHH DỊCH VỤ VÀ THƯƠNG MẠI ÁNH GIA</t>
  </si>
  <si>
    <t>2905665</t>
  </si>
  <si>
    <t>2905667</t>
  </si>
  <si>
    <t>CÔNG TY CỔ PHẦN PHÂN PHỐI GIA HUY</t>
  </si>
  <si>
    <t>2905668</t>
  </si>
  <si>
    <t>CÔNG TY CP ỨNG DỤNG VÀ DỊCH VỤ CÔNG NGHỆ CAO- ASTEC</t>
  </si>
  <si>
    <t>2905669</t>
  </si>
  <si>
    <t>CÔNG TY CỔ  PHẦN KIẾN TRÚC VIỆT</t>
  </si>
  <si>
    <t>2905670</t>
  </si>
  <si>
    <t>CÔNG TY CỔ PHẦN TỰ ĐỘNG HÓA VÀ CƠ KHÍ ĐIỆN TỬ HANEL</t>
  </si>
  <si>
    <t>2905673</t>
  </si>
  <si>
    <t>CÔNG TY CỔ PHẦN CÔNG NGHỆ UNITECH VIỆT NAM</t>
  </si>
  <si>
    <t>2905675</t>
  </si>
  <si>
    <t>CÔNG TY TNHH MÁY VÀ THIẾT BỊ TÂN NGHIỆP PHÁT</t>
  </si>
  <si>
    <t>2905676</t>
  </si>
  <si>
    <t>CÔNG TY CỔ PHẦN BÁNH NGỌT THU HƯƠNG</t>
  </si>
  <si>
    <t>2905677</t>
  </si>
  <si>
    <t>CÔNG TY TNHH THƯƠNG MẠI THIÊN LINH</t>
  </si>
  <si>
    <t>2905679</t>
  </si>
  <si>
    <t>CÔNG TY CỔ PHẦN VẬN TẢI VÀ DU LỊCH THĂNG LONG</t>
  </si>
  <si>
    <t>2905680</t>
  </si>
  <si>
    <t>2905681</t>
  </si>
  <si>
    <t>CHI NHÁNH CÔNG TY TNHH NHA KHOA THÁI BÌNH DƯƠNG</t>
  </si>
  <si>
    <t>2905682</t>
  </si>
  <si>
    <t>CÔNG TY TNHH THƯƠNG MẠI VÀ KỸ THUẬT BÁCH KHOA</t>
  </si>
  <si>
    <t>2905683</t>
  </si>
  <si>
    <t>CÔNG TY CỔ PHẦN  SẢN XUẤT VÀ THƯƠNG MẠI NTS VIỆT NAM</t>
  </si>
  <si>
    <t>2905684</t>
  </si>
  <si>
    <t>CÔNG TY TNHH MÁY TÍNH HÒA BÌNH</t>
  </si>
  <si>
    <t>2905686</t>
  </si>
  <si>
    <t>CÔNG TY TNHH CÔNG NGHỆ JIAKE LOHEV VIỆT NAM</t>
  </si>
  <si>
    <t>2905689</t>
  </si>
  <si>
    <t>CÔNG TY TNHH THƯƠNG MẠI HÀ DƯƠNG</t>
  </si>
  <si>
    <t>2905690</t>
  </si>
  <si>
    <t>CÔNG TY TNHH DINH DƯỠNG 3A(VIỆT NAM)</t>
  </si>
  <si>
    <t>2905691</t>
  </si>
  <si>
    <t>CÔNG TY TNHH SCANDINA VIAN LIVING</t>
  </si>
  <si>
    <t>2905692</t>
  </si>
  <si>
    <t>CÔNG TY CỔ PHẦN ĐẦU TƯ THƯƠNG MẠI VÀ DỊCH VỤ THỦ ĐÔ</t>
  </si>
  <si>
    <t>2905693</t>
  </si>
  <si>
    <t>CÔNG TY TNHH CARLCARE SERVICE VN- TTBH CARLCARE HÀ NỘI</t>
  </si>
  <si>
    <t>2905695</t>
  </si>
  <si>
    <t>CÔNG TY TNHH QUALISERV ( VIỆT NAM)</t>
  </si>
  <si>
    <t>2905696</t>
  </si>
  <si>
    <t>CÔNG TY TNHH THƯƠNG MẠI VÀ  XÂY DỰNG NHẬT TRƯỜNG</t>
  </si>
  <si>
    <t>2905697</t>
  </si>
  <si>
    <t>CÔNG TY TNHH LOGISTICS SKYGO</t>
  </si>
  <si>
    <t>2905698</t>
  </si>
  <si>
    <t>CÔNG TY CỔ PHẦN HÓA CHẤT TRƯỜNG AN</t>
  </si>
  <si>
    <t>2905699</t>
  </si>
  <si>
    <t>CÔNG TY CỔ PHẦN SICOMA VIỆT NAM</t>
  </si>
  <si>
    <t>2905700</t>
  </si>
  <si>
    <t>CÔNG TY TNHH CÔNG NGHỆ VÀ THƯƠNG MẠI SBG VIỆT</t>
  </si>
  <si>
    <t>2905701</t>
  </si>
  <si>
    <t>CÔNG TY CỔ PHẦN CÔNG NGHỆ PHÚC AN</t>
  </si>
  <si>
    <t>2905702</t>
  </si>
  <si>
    <t>CÔNG TY CỔ PHẦN QUẢNG CÁO VÀ TRUYỀN THÔNG CON ĐƯỜNG VIỆT</t>
  </si>
  <si>
    <t>2905703</t>
  </si>
  <si>
    <t>CÔNG TY TNHH DỊCH VỤ TIẾP VẬN MIỀN ĐẤT VÀNG</t>
  </si>
  <si>
    <t>2905704</t>
  </si>
  <si>
    <t>CÔNG TY TNHH THIẾT BỊ VÀ CÔNG NGHỆ TÂN ĐẠI THÀNH</t>
  </si>
  <si>
    <t>2905705</t>
  </si>
  <si>
    <t>CÔNG TY TNHH TÂN HUY HOÀNG</t>
  </si>
  <si>
    <t>2905706</t>
  </si>
  <si>
    <t>CÔNG TY CP DƯỢC PHẨM VÀ THIẾT BỊ Y TẾ LIFE</t>
  </si>
  <si>
    <t>2905708</t>
  </si>
  <si>
    <t>CÔNG TY CỔ PHẦN PMA NHA TRANG</t>
  </si>
  <si>
    <t>2905710</t>
  </si>
  <si>
    <t>CÔNG TY TNHH ĐẦU TƯ AN NINH</t>
  </si>
  <si>
    <t>2905711</t>
  </si>
  <si>
    <t>CÔNG TY TNHH DUNAN VIỆT NAM</t>
  </si>
  <si>
    <t>2905713</t>
  </si>
  <si>
    <t>CÔNG TY TNHH VIỄN THÔNG VNPT HÙNG VƯƠNG</t>
  </si>
  <si>
    <t>2905714</t>
  </si>
  <si>
    <t>CÔNG TY TNHH MYA LONG</t>
  </si>
  <si>
    <t>2905715</t>
  </si>
  <si>
    <t>CÔNG TY CP ĐẦU TƯ VÀ PHÁT TRIỂN CÔNG NGHỆ TRÍ TUỆ VIỆT</t>
  </si>
  <si>
    <t>2905716</t>
  </si>
  <si>
    <t>HỘ KINH DOANH PHƯƠNG NGHI</t>
  </si>
  <si>
    <t>2905719</t>
  </si>
  <si>
    <t>CÔNG TY TNHH THƯƠNG MẠI BSG VIỆT NAM</t>
  </si>
  <si>
    <t>2906005</t>
  </si>
  <si>
    <t>Công ty TNHH Big Power</t>
  </si>
  <si>
    <t>29082</t>
  </si>
  <si>
    <t>NGUYỄN THANH QUANG</t>
  </si>
  <si>
    <t>29163</t>
  </si>
  <si>
    <t>ĐINH VĂN BÁCH</t>
  </si>
  <si>
    <t>29184</t>
  </si>
  <si>
    <t>NGUYỄN MẠNH TOÀN</t>
  </si>
  <si>
    <t>29231</t>
  </si>
  <si>
    <t>HOÀNG THỊ HƯƠNG</t>
  </si>
  <si>
    <t>29281</t>
  </si>
  <si>
    <t>PHẠM THỊ KIM DUNG</t>
  </si>
  <si>
    <t>29310</t>
  </si>
  <si>
    <t>Khuất Tiến Chính - Yên Bái</t>
  </si>
  <si>
    <t>29310*H</t>
  </si>
  <si>
    <t>29331</t>
  </si>
  <si>
    <t>TRẦN THỊ PHƯƠNG</t>
  </si>
  <si>
    <t>29483</t>
  </si>
  <si>
    <t>CÀ THỊ QUỲNH THANH</t>
  </si>
  <si>
    <t>29487</t>
  </si>
  <si>
    <t>NGUYỄN THỊ HỒNG</t>
  </si>
  <si>
    <t>29496</t>
  </si>
  <si>
    <t>LA THỊ TÁM</t>
  </si>
  <si>
    <t>2977777</t>
  </si>
  <si>
    <t>VẬN ĐƠN FREE CHI NHÁNH HÀ NỘI</t>
  </si>
  <si>
    <t>29802</t>
  </si>
  <si>
    <t>NGÔ VĂN TƯỜNG</t>
  </si>
  <si>
    <t>2981197</t>
  </si>
  <si>
    <t>2987855</t>
  </si>
  <si>
    <t>2999914</t>
  </si>
  <si>
    <t>CHUYỂN TIỀN CÔNG TY CỔ PHẦN THANH TOÁN ĐIỆN TỬ VNPT</t>
  </si>
  <si>
    <t>2999927</t>
  </si>
  <si>
    <t>2999929</t>
  </si>
  <si>
    <t>chuyển tiền CÔNG TY TNHH TM PRO</t>
  </si>
  <si>
    <t>2999931</t>
  </si>
  <si>
    <t>CÔNG TY TNHH THƯƠNG MẠI DỊCH VỤ VẠN THÀNH TÀI(SÁNG TÂM)</t>
  </si>
  <si>
    <t>2999932</t>
  </si>
  <si>
    <t>CÔNG TY CP HỘI TỤ THÔNG MINH(Coolpad)-2905035</t>
  </si>
  <si>
    <t>30021</t>
  </si>
  <si>
    <t>Nguyễn Hồng Quân</t>
  </si>
  <si>
    <t>30108</t>
  </si>
  <si>
    <t>Nguyễn Ngọc Hải</t>
  </si>
  <si>
    <t>30117</t>
  </si>
  <si>
    <t>Lương Thị Hoa</t>
  </si>
  <si>
    <t>30172</t>
  </si>
  <si>
    <t>Lưu Ngọc Yến</t>
  </si>
  <si>
    <t>30477</t>
  </si>
  <si>
    <t>Trần Văn Tuấn</t>
  </si>
  <si>
    <t>30602</t>
  </si>
  <si>
    <t>Trịnh Văn Duy</t>
  </si>
  <si>
    <t>30869</t>
  </si>
  <si>
    <t>Vi Thị Liễu</t>
  </si>
  <si>
    <t>31117</t>
  </si>
  <si>
    <t>Tống Đức Luyện</t>
  </si>
  <si>
    <t>31117*H</t>
  </si>
  <si>
    <t>31135</t>
  </si>
  <si>
    <t>Vũ Văn Chung</t>
  </si>
  <si>
    <t>31135*H</t>
  </si>
  <si>
    <t>31179</t>
  </si>
  <si>
    <t>Đàm Thị Hương</t>
  </si>
  <si>
    <t>31236</t>
  </si>
  <si>
    <t>Nguyễn Thanh Sản</t>
  </si>
  <si>
    <t>31389</t>
  </si>
  <si>
    <t>Đoàn Văn Dũng-NV TỈNH YÊN BÁI</t>
  </si>
  <si>
    <t>31423</t>
  </si>
  <si>
    <t>Hoàng Quốc Việt</t>
  </si>
  <si>
    <t>31610</t>
  </si>
  <si>
    <t>DƯƠNG THỊ OANH</t>
  </si>
  <si>
    <t>31704</t>
  </si>
  <si>
    <t>VŨ VĂN THỊNH</t>
  </si>
  <si>
    <t>3400009</t>
  </si>
  <si>
    <t>CN Hải Dương-Công ty Cổ Phần bán lẻ kỹ thuật số FPT</t>
  </si>
  <si>
    <t>3400012</t>
  </si>
  <si>
    <t>CN HẢI DƯƠNG-CÔNG TY CỔ PHẦN BÁN  KỸ THUẬT SỐ FPT</t>
  </si>
  <si>
    <t>3400014</t>
  </si>
  <si>
    <t>CN CÔNG TY CỔ PHẦN BÁN LẺ KỸ THUẬT SỐ FPT TẠI HẢI DƯƠNG</t>
  </si>
  <si>
    <t>3400015</t>
  </si>
  <si>
    <t>CN CTY CP BÁN LẺ KỸ THUẬT SỐ FPT TẠI HẢI DƯƠNG</t>
  </si>
  <si>
    <t>3400016</t>
  </si>
  <si>
    <t>CÔNG TY TNHH FORD VIỆT NAM</t>
  </si>
  <si>
    <t>3400018</t>
  </si>
  <si>
    <t>3400019</t>
  </si>
  <si>
    <t>3400021</t>
  </si>
  <si>
    <t>CN CÔNG TY CP BÁN LẺ KỸ THUẬT SỐ FPT TẠI HẢI DƯƠNG</t>
  </si>
  <si>
    <t>3400022</t>
  </si>
  <si>
    <t>3400025</t>
  </si>
  <si>
    <t>3400026</t>
  </si>
  <si>
    <t>C.TY CỔ PHẦN ĐẦU TƯ CÔNG NGHỆ ĐIỆN TỬ ASANZO-TBH HẢI DƯƠNG</t>
  </si>
  <si>
    <t>3400027</t>
  </si>
  <si>
    <t>3400029</t>
  </si>
  <si>
    <t>CÔNG TY TNHH NAM SINH</t>
  </si>
  <si>
    <t>3477777</t>
  </si>
  <si>
    <t>VẬN ĐƠN FREE HẢI DƯƠNG</t>
  </si>
  <si>
    <t>3487857</t>
  </si>
  <si>
    <t>3500004</t>
  </si>
  <si>
    <t>CN CTCP Bán Lẻ Kỹ Thuật Số FPT tại Ninh Bình</t>
  </si>
  <si>
    <t>3500009</t>
  </si>
  <si>
    <t>CN NINH BÌNH-CÔNG TY CỔ PHẦN BÁN LẺ KỸ THUẬT SỐ FPT</t>
  </si>
  <si>
    <t>3500013</t>
  </si>
  <si>
    <t>CN CÔNG TY CP BÁN LẺ KỸ THUẬT SỐ FPT NINH BÌNH</t>
  </si>
  <si>
    <t>3500017</t>
  </si>
  <si>
    <t>3500018</t>
  </si>
  <si>
    <t>3500019</t>
  </si>
  <si>
    <t>3577777</t>
  </si>
  <si>
    <t>VẬN ĐƠN FREE NINH BÌNH</t>
  </si>
  <si>
    <t>3587924</t>
  </si>
  <si>
    <t>3600001</t>
  </si>
  <si>
    <t>CN Công ty TNHH Bán lẻ FPT tại Thanh Hóa</t>
  </si>
  <si>
    <t>3600007</t>
  </si>
  <si>
    <t>Công ty TNHH Giày ROLLSPORT Việt Nam</t>
  </si>
  <si>
    <t>3600010</t>
  </si>
  <si>
    <t>Công ty TNHH Sao Mai-Bắc Hà</t>
  </si>
  <si>
    <t>3600011</t>
  </si>
  <si>
    <t>CN Thanh Hóa-Công ty Cổ Phần bán lẻ kỹ thuật số FPT</t>
  </si>
  <si>
    <t>3600012</t>
  </si>
  <si>
    <t>CN Công ty cổ phần bán lẻ kỹ thuật số FPT tại Thanh Hóa</t>
  </si>
  <si>
    <t>3600013</t>
  </si>
  <si>
    <t>CN Công ty CP bán lẻ kỹ thuật số FPT tại Thanh Hóa</t>
  </si>
  <si>
    <t>3600014</t>
  </si>
  <si>
    <t>CN Thanh Hóa-Công ty cổ phần bán lẻ kỹ thuật số FPT</t>
  </si>
  <si>
    <t>3600017</t>
  </si>
  <si>
    <t>3600019</t>
  </si>
  <si>
    <t>3600020</t>
  </si>
  <si>
    <t>Công ty TNHH Lê Hoàng</t>
  </si>
  <si>
    <t>3600021</t>
  </si>
  <si>
    <t>XÍ NGHIỆP TỰ LẬP</t>
  </si>
  <si>
    <t>3600023</t>
  </si>
  <si>
    <t>CN Công ty cổ phần bán lẻ kỹ thuât số FPT tại Thanh Hóa</t>
  </si>
  <si>
    <t>3600024</t>
  </si>
  <si>
    <t>3600033</t>
  </si>
  <si>
    <t>CÔNG TY TNHH YANI VIỆT NAM</t>
  </si>
  <si>
    <t>3600035</t>
  </si>
  <si>
    <t>CN CÔNG TY CP BÁN LẺ KỸ THUẬT SỐ FPT TẠI THANH HÓA</t>
  </si>
  <si>
    <t>3600040</t>
  </si>
  <si>
    <t>CN CTY CP BÁN LẺ KỸ THUẬT SỐ FPT TẠI THANH HÓA</t>
  </si>
  <si>
    <t>3600042</t>
  </si>
  <si>
    <t>3600044</t>
  </si>
  <si>
    <t>CN CÔNG TY CỔ PHẦN BÁN LẺ KỸ THUẬT SỐ FPT TẠI THANH HÓA</t>
  </si>
  <si>
    <t>3600045</t>
  </si>
  <si>
    <t>3600046</t>
  </si>
  <si>
    <t>SHOP TRANG PHỤC THỂ THAO BK CHỈNH</t>
  </si>
  <si>
    <t>3600053</t>
  </si>
  <si>
    <t>3600054</t>
  </si>
  <si>
    <t>CN CTYCP TM NGUYỄN KIM-TT MUA SẮM NGUYỄN KIM THANH HÓA</t>
  </si>
  <si>
    <t>3600057</t>
  </si>
  <si>
    <t>3600058</t>
  </si>
  <si>
    <t>CN CÔNG TY CP BÁN LẺ KTS FPT TẠI THANH HÓA</t>
  </si>
  <si>
    <t>3600059</t>
  </si>
  <si>
    <t>3600061</t>
  </si>
  <si>
    <t>CN KHÁCH SẠN PHÙ ĐỔNG- CTY CỔ PHẦN ĂN UỐNG  PHÙ ĐỔNG</t>
  </si>
  <si>
    <t>3600063</t>
  </si>
  <si>
    <t>CÔNG TY CỔ PHẦN CÔNG NGHỆ PHƯƠNG NAM</t>
  </si>
  <si>
    <t>3600064</t>
  </si>
  <si>
    <t>ĐÀI PHÁT THANH &amp; TRUYỀN HÌNH TỈNH THANH HÓA</t>
  </si>
  <si>
    <t>3600065</t>
  </si>
  <si>
    <t>CTY CP DV GIA TĂNG MOBIFONE(MOBIFONE PLUSS)-CN THANH HÓA</t>
  </si>
  <si>
    <t>3600067</t>
  </si>
  <si>
    <t>3600068</t>
  </si>
  <si>
    <t>CÔNG TY TNHH ARIYOSSHI VIỆT NAM</t>
  </si>
  <si>
    <t>3600070</t>
  </si>
  <si>
    <t>3600071</t>
  </si>
  <si>
    <t>3677777</t>
  </si>
  <si>
    <t>VẬN ĐƠN FREE THANH HÓA</t>
  </si>
  <si>
    <t>3687942</t>
  </si>
  <si>
    <t>3687943</t>
  </si>
  <si>
    <t>3687944</t>
  </si>
  <si>
    <t>3687945</t>
  </si>
  <si>
    <t>3687946</t>
  </si>
  <si>
    <t>3687988</t>
  </si>
  <si>
    <t>3700002</t>
  </si>
  <si>
    <t>FPT Shop</t>
  </si>
  <si>
    <t>3700015</t>
  </si>
  <si>
    <t>CN Nghệ An-Công ty Cổ Phần Bán Lẻ Kỹ Thuật Số FPT</t>
  </si>
  <si>
    <t>3700021</t>
  </si>
  <si>
    <t>CÔNG TY CP BÁN LẺ KỸ THUẬT SỐ FPT TẠI NGHỆ AN</t>
  </si>
  <si>
    <t>3700023</t>
  </si>
  <si>
    <t>CÔNG TY CP BÁN LẺ KỸ THUẬT SỐ FPT- CN NGHỆ AN</t>
  </si>
  <si>
    <t>3700029</t>
  </si>
  <si>
    <t>CN CTY CP BÁN LẺ KỸ THUẬT SỐ FPT TẠI NGHỆ AN</t>
  </si>
  <si>
    <t>3700030</t>
  </si>
  <si>
    <t>3700036</t>
  </si>
  <si>
    <t>CN CÔNG TY CP BÁN LẺ KỸ THUẬT SỐ FPT TẠI NGHỆ AN</t>
  </si>
  <si>
    <t>3700038</t>
  </si>
  <si>
    <t>3700041</t>
  </si>
  <si>
    <t>3700043</t>
  </si>
  <si>
    <t>3700044</t>
  </si>
  <si>
    <t>3700045</t>
  </si>
  <si>
    <t>3700046</t>
  </si>
  <si>
    <t>CÔNG TY TNHH CARLCARE SERVICE VN- CN NGHỆ AN</t>
  </si>
  <si>
    <t>3700047</t>
  </si>
  <si>
    <t>3777777</t>
  </si>
  <si>
    <t>VẬN ĐƠN FREE NGHỆ AN</t>
  </si>
  <si>
    <t>3787921</t>
  </si>
  <si>
    <t>3787922</t>
  </si>
  <si>
    <t>3787923</t>
  </si>
  <si>
    <t>3800003</t>
  </si>
  <si>
    <t>Chi nhánh Hà Tĩnh-Công ty cổ phần bán lẻ kỹ thuật số FPT</t>
  </si>
  <si>
    <t>3800004</t>
  </si>
  <si>
    <t>CN Hà Tĩnh-Công ty cổ phần bán lẻ kỹ thuật số FPT</t>
  </si>
  <si>
    <t>3800006</t>
  </si>
  <si>
    <t>CN CTY CP BÁN LẺ KỸ THUẬT SỐ FPT TẠI HÀ TĨNH</t>
  </si>
  <si>
    <t>3800009</t>
  </si>
  <si>
    <t>3800010</t>
  </si>
  <si>
    <t>CTY CP DV GIA TĂNG MOBIFONE(MOBIFONE PLUSS)-CN HÀ TĨNH</t>
  </si>
  <si>
    <t>3800011</t>
  </si>
  <si>
    <t>3800013</t>
  </si>
  <si>
    <t>3800014</t>
  </si>
  <si>
    <t>3800015</t>
  </si>
  <si>
    <t>3877777</t>
  </si>
  <si>
    <t>VẬN ĐƠN FREE HÀ TĨNH</t>
  </si>
  <si>
    <t>3887856</t>
  </si>
  <si>
    <t>4300064</t>
  </si>
  <si>
    <t>Cty CP TM &amp; KT Việt Toàn Tâm</t>
  </si>
  <si>
    <t>4300071</t>
  </si>
  <si>
    <t>Cty Đức Trân</t>
  </si>
  <si>
    <t>4300114</t>
  </si>
  <si>
    <t>Công ty TNHH DV TM Hiền Hưng</t>
  </si>
  <si>
    <t>4300162</t>
  </si>
  <si>
    <t>Công ty TNHHViên Thành</t>
  </si>
  <si>
    <t>4300172</t>
  </si>
  <si>
    <t>Công ty TNHH MTV Phân Phối FPT Miền Trung (10A NCThanh)</t>
  </si>
  <si>
    <t>4300189</t>
  </si>
  <si>
    <t>Cty CP DV DL Dầu Khí - CN XN Viễn Thông dầu khí</t>
  </si>
  <si>
    <t>4300199</t>
  </si>
  <si>
    <t>Công ty TNHH SINARAN Việt Nam</t>
  </si>
  <si>
    <t>4300218</t>
  </si>
  <si>
    <t>Công ty TNHH MTV Bán lẻ FPT</t>
  </si>
  <si>
    <t>4300219</t>
  </si>
  <si>
    <t>Công ty Cổ phần Uyên Việt</t>
  </si>
  <si>
    <t>4300259</t>
  </si>
  <si>
    <t>CN Công ty CP Thế Giới Số tại Đà Nẵng</t>
  </si>
  <si>
    <t>4300330</t>
  </si>
  <si>
    <t>Công ty TNHH Đoàn Ngô</t>
  </si>
  <si>
    <t>4300356</t>
  </si>
  <si>
    <t>Công ty TNHH đầu tư &amp; phát triển TM Trường Phước</t>
  </si>
  <si>
    <t>4300373</t>
  </si>
  <si>
    <t>Công ty TNHH thương mại Lân Thịnh</t>
  </si>
  <si>
    <t>4300402</t>
  </si>
  <si>
    <t>Công ty TNHH MTV Khải Hoàn</t>
  </si>
  <si>
    <t>4300409</t>
  </si>
  <si>
    <t>Công ty TNHH Thiết bị Sen Vòi Inax Vnam</t>
  </si>
  <si>
    <t>4300418</t>
  </si>
  <si>
    <t>CN Công ty TNHH Trợ Thính Tâm Thanh tại ĐN</t>
  </si>
  <si>
    <t>4300419</t>
  </si>
  <si>
    <t>Công ty TNHH XNK Quốc Tế SARA</t>
  </si>
  <si>
    <t>4300456</t>
  </si>
  <si>
    <t>CN công ty TNHH SX TM DV Yên Khánh</t>
  </si>
  <si>
    <t>4300484</t>
  </si>
  <si>
    <t>CN công ty CP Tập Đoàn Thái Tuấn</t>
  </si>
  <si>
    <t>4300494</t>
  </si>
  <si>
    <t>CN công ty CP SDS Việt Nam tại Đà Nẵng</t>
  </si>
  <si>
    <t>4300502</t>
  </si>
  <si>
    <t>Công ty TNHH MTV GAMELOFT</t>
  </si>
  <si>
    <t>4300505</t>
  </si>
  <si>
    <t>Công ty TNHH TM &amp; DV Nhật Mỹ</t>
  </si>
  <si>
    <t>4300516</t>
  </si>
  <si>
    <t>Công ty CP đầu tư &amp; KD thép Nhân Luật</t>
  </si>
  <si>
    <t>4300542</t>
  </si>
  <si>
    <t>Công ty TNHH Phú Hưng Phát</t>
  </si>
  <si>
    <t>4300544</t>
  </si>
  <si>
    <t>Công ty TNHH TM &amp; DV vận tải Ngọc Khánh</t>
  </si>
  <si>
    <t>4300547</t>
  </si>
  <si>
    <t>Nguyễn Văn Ngọc</t>
  </si>
  <si>
    <t>4300549</t>
  </si>
  <si>
    <t>Công ty CP Sữa Sức Sống Việt Nam</t>
  </si>
  <si>
    <t>4300556</t>
  </si>
  <si>
    <t>CN cty CP Vina lá sắt cứng tại Đà Nẵng (Ha Fe Le)</t>
  </si>
  <si>
    <t>4300577</t>
  </si>
  <si>
    <t>Công ty CP Nishu Nam Hà Chi nhánh Đà Nẵng</t>
  </si>
  <si>
    <t>4300578</t>
  </si>
  <si>
    <t>Công ty CP Thời Trang Hòa Thọ</t>
  </si>
  <si>
    <t>4300580</t>
  </si>
  <si>
    <t>Công ty TNHH An Thư - Khách sạn Quốc Cường</t>
  </si>
  <si>
    <t>4300581</t>
  </si>
  <si>
    <t>Công ty TNHH Giải Pháp Điều Khiển &amp; Tự Động Hóa</t>
  </si>
  <si>
    <t>4300587</t>
  </si>
  <si>
    <t>Công ty TNHH KANE - M Đà Nẵng</t>
  </si>
  <si>
    <t>4300592</t>
  </si>
  <si>
    <t>Công ty TNHH HOSO Việt Nam</t>
  </si>
  <si>
    <t>4300600</t>
  </si>
  <si>
    <t>Công ty CP Global Cybersoft ( Việt Nam)</t>
  </si>
  <si>
    <t>4300630</t>
  </si>
  <si>
    <t>CN Công ty TNHH Kerry Integrated Logistics (Việt Nam) tại ĐN</t>
  </si>
  <si>
    <t>4300631</t>
  </si>
  <si>
    <t>Công ty TNHH Đà Nẵng - TeLaLa</t>
  </si>
  <si>
    <t>4300632</t>
  </si>
  <si>
    <t>Công ty cổ phần Giovanni Đà Nẵng</t>
  </si>
  <si>
    <t>4300641</t>
  </si>
  <si>
    <t>Công ty TNHH Thép Việt Pháp</t>
  </si>
  <si>
    <t>4300645</t>
  </si>
  <si>
    <t>Công ty TNHH MTV - Bệnh viện Thái Bình Dương</t>
  </si>
  <si>
    <t>4300646</t>
  </si>
  <si>
    <t>Công ty TNHH SX&amp;TM Minh Thịnh Lợi</t>
  </si>
  <si>
    <t>4300651</t>
  </si>
  <si>
    <t>Công ty TNHH MTV Nhã Thành Phát</t>
  </si>
  <si>
    <t>4300654</t>
  </si>
  <si>
    <t>Công ty TNHH Lữ Hành Khoa Trần Hội An</t>
  </si>
  <si>
    <t>4300660</t>
  </si>
  <si>
    <t>Công ty TNHH Đầu tư Huy Phát</t>
  </si>
  <si>
    <t>4300662</t>
  </si>
  <si>
    <t>DNTN TMDV Khách sạn Quý Phương Bắc (Northen Hotel)</t>
  </si>
  <si>
    <t>4300681</t>
  </si>
  <si>
    <t>Công ty TNHH dịch vụ thương mại Trường Sơn Tùng</t>
  </si>
  <si>
    <t>4300685</t>
  </si>
  <si>
    <t>Công ty TNHH Yuri ABC Đà Nẵng</t>
  </si>
  <si>
    <t>4300686</t>
  </si>
  <si>
    <t>Công ty TNHH Tiếp Vận ViCô Việt Nam</t>
  </si>
  <si>
    <t>4300693</t>
  </si>
  <si>
    <t>Công ty TNHH Tư vấn xây lắp và thương mại Lộc Thành</t>
  </si>
  <si>
    <t>4300699</t>
  </si>
  <si>
    <t>Công ty TNHH SeTo Việt Nam</t>
  </si>
  <si>
    <t>4300707</t>
  </si>
  <si>
    <t>Công ty TNHH Công Nghệ Quốc Nghĩa</t>
  </si>
  <si>
    <t>4300710</t>
  </si>
  <si>
    <t>Công ty TNHH thương mại và dịch vụ Như Minh</t>
  </si>
  <si>
    <t>4300716</t>
  </si>
  <si>
    <t>Công ty TNHH Thiết Bị Hóa Chất NaKaGaWa Việt Nam</t>
  </si>
  <si>
    <t>4300719</t>
  </si>
  <si>
    <t>Công ty TNHH MTV Kỹ Thuật và khoa học OPPO - CN Đà Nẵng</t>
  </si>
  <si>
    <t>4300738</t>
  </si>
  <si>
    <t>Công ty TNHH MTV Thương mại dịch vụ KACHIUSA (KS Finger)</t>
  </si>
  <si>
    <t>4300742</t>
  </si>
  <si>
    <t>Công ty TNHH Một Thành Viên Coature Việt Nam</t>
  </si>
  <si>
    <t>4300744</t>
  </si>
  <si>
    <t>Trung tâm Bảo Hành TCL Đà Nẵng</t>
  </si>
  <si>
    <t>4300747</t>
  </si>
  <si>
    <t>CN Công ty CP Bán Lẻ Kỹ Thuật Số FPT tại Quảng Nam</t>
  </si>
  <si>
    <t>4300749</t>
  </si>
  <si>
    <t>Công ty TNHH Việt Phú Bình</t>
  </si>
  <si>
    <t>4300751</t>
  </si>
  <si>
    <t>Công Ty TNHH Hi Logistics VietNam</t>
  </si>
  <si>
    <t>4300756</t>
  </si>
  <si>
    <t>Công ty TNHH MTV xây dựng An Đức Thịnh</t>
  </si>
  <si>
    <t>4300772</t>
  </si>
  <si>
    <t>XN KD Kim Khí Số 7- Cty CP Kim Khí Miền Trung</t>
  </si>
  <si>
    <t>4300774</t>
  </si>
  <si>
    <t>Công ty TNHH vận tải và du lịch Hồ Lộc</t>
  </si>
  <si>
    <t>4300779</t>
  </si>
  <si>
    <t>Công ty CP Bảo Toàn Việt</t>
  </si>
  <si>
    <t>4300791</t>
  </si>
  <si>
    <t>Công ty TNHH TMDV Lê Phúc Ngân</t>
  </si>
  <si>
    <t>4300800</t>
  </si>
  <si>
    <t>Công ty TNHH Trang Đăng Trí</t>
  </si>
  <si>
    <t>4300803</t>
  </si>
  <si>
    <t>CN Cty CP Cà phê Ru Nam Đà Nẵng</t>
  </si>
  <si>
    <t>4300810</t>
  </si>
  <si>
    <t>Công ty CP Tư vấn và Khảo sát xây dựng Toàn Cầu</t>
  </si>
  <si>
    <t>4300812</t>
  </si>
  <si>
    <t>Công ty TNHH công nghệ Hưng Thắng Lợi</t>
  </si>
  <si>
    <t>4300817</t>
  </si>
  <si>
    <t>Công ty TNHH Anh Đức</t>
  </si>
  <si>
    <t>4300821</t>
  </si>
  <si>
    <t>Công ty TNHH Tấn Bảo Nam</t>
  </si>
  <si>
    <t>4300824</t>
  </si>
  <si>
    <t>Shop Online Nghĩa ZIPPO</t>
  </si>
  <si>
    <t>4300825</t>
  </si>
  <si>
    <t>Công ty TNHH MTV Tư vấn Thiết kế xây dựng FIA</t>
  </si>
  <si>
    <t>4300826</t>
  </si>
  <si>
    <t>Công ty cổ phần Gia Phạm Phát</t>
  </si>
  <si>
    <t>4300831</t>
  </si>
  <si>
    <t>Công ty TNHH Công nghệ HUAWEI Việt Nam</t>
  </si>
  <si>
    <t>4300838</t>
  </si>
  <si>
    <t>Công ty cổ phần Masscom Việt Nam</t>
  </si>
  <si>
    <t>4300842</t>
  </si>
  <si>
    <t>Công ty TNHH Công Nghệ AnPha</t>
  </si>
  <si>
    <t>4300843</t>
  </si>
  <si>
    <t>Công ty TNHH Dịch vụ Tin học FPT</t>
  </si>
  <si>
    <t>4300853</t>
  </si>
  <si>
    <t>Bệnh viện Phụ Sản - Nhi Đà Nẵng</t>
  </si>
  <si>
    <t>4300857</t>
  </si>
  <si>
    <t>Công ty TNHH MTV Xây dựng Gốm Sứ Việt Hương</t>
  </si>
  <si>
    <t>4300862</t>
  </si>
  <si>
    <t>Công ty TNHH MTV TMDV Tân Lực Miền Trung</t>
  </si>
  <si>
    <t>4300863</t>
  </si>
  <si>
    <t>Công ty TNHH Đá Chàm</t>
  </si>
  <si>
    <t>4300864</t>
  </si>
  <si>
    <t>Chi nhánh Công ty TNHH xây dựng Phú Vinh</t>
  </si>
  <si>
    <t>4300865</t>
  </si>
  <si>
    <t>Công ty TNHH thương mại Lý Chinh</t>
  </si>
  <si>
    <t>4300873</t>
  </si>
  <si>
    <t>CN Công ty TNHH TM Tân Bạch Dương Tại Đà Nẵng</t>
  </si>
  <si>
    <t>4300875</t>
  </si>
  <si>
    <t>Công ty TNHH Thương Mại Lý Chinh</t>
  </si>
  <si>
    <t>4300877</t>
  </si>
  <si>
    <t>CN Công ty TNHH MTV TMDVSX Việt Nam HOUSE CENTER Đà Nẵng</t>
  </si>
  <si>
    <t>4300879</t>
  </si>
  <si>
    <t>Công ty TNHH MTV TM ĐT Thế Giới Phẳng</t>
  </si>
  <si>
    <t>4300882</t>
  </si>
  <si>
    <t>CN Công ty CP dịch vụ PPT Dầu Khí tại Đà Nẵng</t>
  </si>
  <si>
    <t>4300884</t>
  </si>
  <si>
    <t>Hy Nam Sáng</t>
  </si>
  <si>
    <t>4300886</t>
  </si>
  <si>
    <t>Công ty CP Đầu tư TM &amp; DV H &amp; R tại TP Đà Nẵng</t>
  </si>
  <si>
    <t>4300889</t>
  </si>
  <si>
    <t>Chi nhánh Miền Trung - Công ty cổ phần TRAPHACO</t>
  </si>
  <si>
    <t>4300891</t>
  </si>
  <si>
    <t>HUỲNH HUYỀN NGA</t>
  </si>
  <si>
    <t>4300893</t>
  </si>
  <si>
    <t>Công ty TNHH Một Thành Viên GVLINK</t>
  </si>
  <si>
    <t>4300896</t>
  </si>
  <si>
    <t>Chi nhánh công ty TNHH xây dựng Hoàng Sơn</t>
  </si>
  <si>
    <t>4300898</t>
  </si>
  <si>
    <t>Công ty TNHH Tư Vấn Khảo Sát Xây Dựng Toàn Chính</t>
  </si>
  <si>
    <t>4300899</t>
  </si>
  <si>
    <t>Công ty TNHH Thương Mại Du Lịch ZION</t>
  </si>
  <si>
    <t>4300902</t>
  </si>
  <si>
    <t>Công ty TNHH Núi Cao</t>
  </si>
  <si>
    <t>4300903</t>
  </si>
  <si>
    <t>Nguyễn Thị Xuân Phương</t>
  </si>
  <si>
    <t>4300908</t>
  </si>
  <si>
    <t>Công ty cổ phần Việt Nam Travelmart</t>
  </si>
  <si>
    <t>4300909</t>
  </si>
  <si>
    <t>Công ty TNHH Giao Nhận Quốc Tế Hà Minh Khang</t>
  </si>
  <si>
    <t>4300910</t>
  </si>
  <si>
    <t>Công ty CP Dịch vụ Bất Động Sản Hoàng Nhất Nam</t>
  </si>
  <si>
    <t>4300911</t>
  </si>
  <si>
    <t>Công ty TNHH Công Nghiệp Thực Phẩm Liwayway Đà Nẵng</t>
  </si>
  <si>
    <t>4300912</t>
  </si>
  <si>
    <t>Chi Nhánh Công ty Cổ Phần Phát Triển Công Nghệ Mobile Star</t>
  </si>
  <si>
    <t>4300914</t>
  </si>
  <si>
    <t>Công ty TNHH Nghiên cứu Thị trường và Tư vấn Quản lý SIGMA</t>
  </si>
  <si>
    <t>4300920</t>
  </si>
  <si>
    <t>Công ty TNHH MTV Môi Trường Đô Thị Hà Nội - CN Miền Trung</t>
  </si>
  <si>
    <t>4300923</t>
  </si>
  <si>
    <t>Công ty TNHH JPK VÕ</t>
  </si>
  <si>
    <t>4300925</t>
  </si>
  <si>
    <t>Công ty TNHH Huy Trang</t>
  </si>
  <si>
    <t>4300927</t>
  </si>
  <si>
    <t>DNTN Tuấn Phương</t>
  </si>
  <si>
    <t>4300928</t>
  </si>
  <si>
    <t>Công ty TNHH MTV Hùng Nam Long</t>
  </si>
  <si>
    <t>4300931</t>
  </si>
  <si>
    <t>Công ty CP Kỹ Thuật Seen</t>
  </si>
  <si>
    <t>4300933</t>
  </si>
  <si>
    <t>Công ty TNHH Một Thành Viên REDBAZAN</t>
  </si>
  <si>
    <t>4300938</t>
  </si>
  <si>
    <t>Công ty TNHH xây dựng thương mại Ngọc Trung Tín</t>
  </si>
  <si>
    <t>4300940</t>
  </si>
  <si>
    <t>Cty TNHH thương mại &amp; dịch vụ kỹ thuật điện Vinh Khánh Hưng</t>
  </si>
  <si>
    <t>4300941</t>
  </si>
  <si>
    <t>Cty TNHH vận tải du lịch &amp; thương mại Long Hiền</t>
  </si>
  <si>
    <t>4300947</t>
  </si>
  <si>
    <t>Công ty TNHH Thương mại BILICOM</t>
  </si>
  <si>
    <t>4300948</t>
  </si>
  <si>
    <t>Công ty TNHH May Hiệp Đức</t>
  </si>
  <si>
    <t>4300951</t>
  </si>
  <si>
    <t>Nguyễn Đức Út Hậu</t>
  </si>
  <si>
    <t>4300952</t>
  </si>
  <si>
    <t>Công ty TNHH Tư vấn và Đầu tư KSH</t>
  </si>
  <si>
    <t>4300954</t>
  </si>
  <si>
    <t>Công ty TNHH Thương mại và Dịch vụ Châu Thành Công</t>
  </si>
  <si>
    <t>4300955</t>
  </si>
  <si>
    <t>Chi nhánh công ty cổ phần PIZZA 4PS</t>
  </si>
  <si>
    <t>4300956</t>
  </si>
  <si>
    <t>Trung tâm đào tạo quốc tế FPT Đà Nẵng</t>
  </si>
  <si>
    <t>4300958</t>
  </si>
  <si>
    <t>CÔNG TY TNHH MTV JONE TECH</t>
  </si>
  <si>
    <t>4300961</t>
  </si>
  <si>
    <t>Công ty TNHH Một Thành Viên Phạm Hồng Nhung</t>
  </si>
  <si>
    <t>4300962</t>
  </si>
  <si>
    <t>VP Đại Diện Cty TNHH Thang Máy MITSUBISHI VN tại TP Đà Nẵng</t>
  </si>
  <si>
    <t>4300963</t>
  </si>
  <si>
    <t>CÔNG TY CỔ PHẦN HỢP NHẤT QUỐC TẾ</t>
  </si>
  <si>
    <t>4300965</t>
  </si>
  <si>
    <t>Công ty TNHH MTV Thịnh Phát Như Ý</t>
  </si>
  <si>
    <t>4300966</t>
  </si>
  <si>
    <t>Công ty TNHH MTV Tin học và xuất nhập khẩu BAP</t>
  </si>
  <si>
    <t>4300967</t>
  </si>
  <si>
    <t>4300968</t>
  </si>
  <si>
    <t>CÔNG TY TNHH THƯƠNG MẠI DỊCH VỤ BẢY QUẾ</t>
  </si>
  <si>
    <t>4300969</t>
  </si>
  <si>
    <t>Công ty CP Kinh doanh và Dịch vụ Bất động sản PGT</t>
  </si>
  <si>
    <t>4300971</t>
  </si>
  <si>
    <t>Công ty TNHH Thiết bị đo lường APPATECH</t>
  </si>
  <si>
    <t>4300972</t>
  </si>
  <si>
    <t>Công ty TNHH Minh Long I</t>
  </si>
  <si>
    <t>4300973</t>
  </si>
  <si>
    <t>Công ty TNHH XNK Nhựa Đường BITUM</t>
  </si>
  <si>
    <t>4300974</t>
  </si>
  <si>
    <t>LÊ HỒNG QUANG</t>
  </si>
  <si>
    <t>4300975</t>
  </si>
  <si>
    <t>Công ty TNHH MTV Xuất Nhập Khẩu TM và DV Uy Vũ Thanh Bình</t>
  </si>
  <si>
    <t>4300976</t>
  </si>
  <si>
    <t>NGUYỄN VĂN THÔNG</t>
  </si>
  <si>
    <t>4300977</t>
  </si>
  <si>
    <t>Công ty CP Carbon Việt Nam - CN Đồng Nai</t>
  </si>
  <si>
    <t>4300978</t>
  </si>
  <si>
    <t>Công ty TNHH Sửa chữa và chống thấm SK SUMO</t>
  </si>
  <si>
    <t>4300980</t>
  </si>
  <si>
    <t>CÔNG TY CỔ PHẦN ĐẦU TƯ CÔNG NGHIỆP ĐiỆN TỬ ASANZO</t>
  </si>
  <si>
    <t>4300981</t>
  </si>
  <si>
    <t>CN Đà Nẵng- Công ty CP Dakin Air Conditioning (Viet Nam)</t>
  </si>
  <si>
    <t>4300983</t>
  </si>
  <si>
    <t>4300985</t>
  </si>
  <si>
    <t>SHOP VESAS MINI</t>
  </si>
  <si>
    <t>4300986</t>
  </si>
  <si>
    <t>Công ty TNHH Đức Thịnh</t>
  </si>
  <si>
    <t>4300987</t>
  </si>
  <si>
    <t>Công ty Trùng Khoa</t>
  </si>
  <si>
    <t>4300988</t>
  </si>
  <si>
    <t>Công ty TNHH MTV Giao Nhận Vận Chuyển GD</t>
  </si>
  <si>
    <t>4300989</t>
  </si>
  <si>
    <t>Công ty TNHH Nhà Nước MTV Yến Sào Khánh Hòa</t>
  </si>
  <si>
    <t>4300993</t>
  </si>
  <si>
    <t>CÔNG TY TNHH MTV BỆNH ViỆN PHỤ NỮ THÀNH PHỐ ĐÀ NẴNG</t>
  </si>
  <si>
    <t>4300994</t>
  </si>
  <si>
    <t>CÔNG TY CỔ PHẦN VÙNG TRỜI SỐ</t>
  </si>
  <si>
    <t>4300995</t>
  </si>
  <si>
    <t>CÔNG TY PHÁT TRIỂN PHẦN MỀM Á ĐÔNG</t>
  </si>
  <si>
    <t>4300996</t>
  </si>
  <si>
    <t>TTBH Carlcare Đà Nẵng</t>
  </si>
  <si>
    <t>4300998</t>
  </si>
  <si>
    <t>ÔNG DƯƠNG NGÔ QUÂN</t>
  </si>
  <si>
    <t>4300999</t>
  </si>
  <si>
    <t>CÔNG TY TNHH PHIM CÁCH NHIỆT NGÔI SAO TẠI ĐÀ NẴNG</t>
  </si>
  <si>
    <t>4301000</t>
  </si>
  <si>
    <t>4301001</t>
  </si>
  <si>
    <t>CÔNG TY TNHH THIẾT BỊ GATEWAY ViỆT NAM</t>
  </si>
  <si>
    <t>4301002</t>
  </si>
  <si>
    <t xml:space="preserve">CÔNG TY CỔ PHẦN CƠ ĐiỆN MiỀN TRUNG </t>
  </si>
  <si>
    <t>4377777</t>
  </si>
  <si>
    <t>BILL FREE KERRY ĐÀ NẴNG</t>
  </si>
  <si>
    <t>4381196</t>
  </si>
  <si>
    <t>4387833</t>
  </si>
  <si>
    <t>4387834</t>
  </si>
  <si>
    <t>4387967</t>
  </si>
  <si>
    <t>4387968</t>
  </si>
  <si>
    <t>4387989</t>
  </si>
  <si>
    <t>4399983</t>
  </si>
  <si>
    <t>Công ty TNHH Hafele Việt Nam</t>
  </si>
  <si>
    <t>4700010</t>
  </si>
  <si>
    <t>CTY TNHH TIN HỌC ÁNH DƯƠNG</t>
  </si>
  <si>
    <t>4700011</t>
  </si>
  <si>
    <t>CN CTY CP BÁN LẺ KỸ THUẬT SỐ FPT TẠI DAKLAK</t>
  </si>
  <si>
    <t>4700026</t>
  </si>
  <si>
    <t>CTY CP Y5 CAFE</t>
  </si>
  <si>
    <t>4700034</t>
  </si>
  <si>
    <t>CN CÔNG TY CP BÁN LẺ KTS FPT TẠI DAKLAK</t>
  </si>
  <si>
    <t>4700035</t>
  </si>
  <si>
    <t>MS NGỌC HƯƠNG</t>
  </si>
  <si>
    <t>4700038</t>
  </si>
  <si>
    <t>COTTAGE GARDEN</t>
  </si>
  <si>
    <t>4700041</t>
  </si>
  <si>
    <t>CÔNG TY CỔ PHẦN SẢN XUẤT VÀ THƯƠNG MẠI THỰC PHẨM CAO NGUYÊN</t>
  </si>
  <si>
    <t>4700046</t>
  </si>
  <si>
    <t>NGUYỄN ĐÌNH HIỆP</t>
  </si>
  <si>
    <t>4700047</t>
  </si>
  <si>
    <t>FPT SHOP TẠI ĐẮK LĂK</t>
  </si>
  <si>
    <t>4700048</t>
  </si>
  <si>
    <t>4700049</t>
  </si>
  <si>
    <t xml:space="preserve">CTY CP DV TM  tổng hợp Vincommerce - Vinpro – chi nhánh Đăk </t>
  </si>
  <si>
    <t>4700050</t>
  </si>
  <si>
    <t>4700053</t>
  </si>
  <si>
    <t>CƠ SỞ KHANG</t>
  </si>
  <si>
    <t>4700056</t>
  </si>
  <si>
    <t>NGÔ NIỀM</t>
  </si>
  <si>
    <t>4777777</t>
  </si>
  <si>
    <t>BILL FREE ĐẮK LĂK</t>
  </si>
  <si>
    <t>4787127</t>
  </si>
  <si>
    <t>4787828</t>
  </si>
  <si>
    <t>4787829</t>
  </si>
  <si>
    <t>4787830</t>
  </si>
  <si>
    <t>4787835</t>
  </si>
  <si>
    <t>4800005</t>
  </si>
  <si>
    <t xml:space="preserve">CN CTY CP BÁN LẼ KỸ THUẬT SỐ FPT </t>
  </si>
  <si>
    <t>4800009</t>
  </si>
  <si>
    <t>MOBIFONE PLUS CHI NHÁNH ĐĂK NÔNG</t>
  </si>
  <si>
    <t>4800010</t>
  </si>
  <si>
    <t>CÔNG TY TNHH MTV CÀ PHÊ BAZAN ĐĂK NÔNG</t>
  </si>
  <si>
    <t>4877777</t>
  </si>
  <si>
    <t>BILL FREE ĐẮC NÔNG</t>
  </si>
  <si>
    <t>4887982</t>
  </si>
  <si>
    <t>4900004</t>
  </si>
  <si>
    <t>CTY FPT</t>
  </si>
  <si>
    <t>4900005</t>
  </si>
  <si>
    <t xml:space="preserve">CN CTY CP BÁN LẼ KTS FPT TẠI LÂM ĐỒNG </t>
  </si>
  <si>
    <t>4900013</t>
  </si>
  <si>
    <t>FPT Tại Đức Trọng - Lâm Đồng</t>
  </si>
  <si>
    <t>4900022</t>
  </si>
  <si>
    <t>FPT SHOP ĐÀ LẠT</t>
  </si>
  <si>
    <t>4900024</t>
  </si>
  <si>
    <t>FPT SHOP DI LINH - LÂM ĐỒNG</t>
  </si>
  <si>
    <t>4900026</t>
  </si>
  <si>
    <t>FPT SHOP ĐỨC TRỌNG</t>
  </si>
  <si>
    <t>4900027</t>
  </si>
  <si>
    <t>SHOP FPT - CN ĐÀ LẠT</t>
  </si>
  <si>
    <t>4900028</t>
  </si>
  <si>
    <t>MOBIFONE PLUS CHI NHÁNH LÂM ĐỒNG</t>
  </si>
  <si>
    <t>4900029</t>
  </si>
  <si>
    <t>Công Ty cổ phần bán lẻ kĩ thuật số Fpt tại Lâm Đồng</t>
  </si>
  <si>
    <t>4900030</t>
  </si>
  <si>
    <t>CÔNG TY TNHH ĐẶNG THIÊN AN</t>
  </si>
  <si>
    <t>4977777</t>
  </si>
  <si>
    <t>BILL FREE CN LÂM ĐỒNG</t>
  </si>
  <si>
    <t>4987910</t>
  </si>
  <si>
    <t>4987911</t>
  </si>
  <si>
    <t>4987912</t>
  </si>
  <si>
    <t>5001002</t>
  </si>
  <si>
    <t>Công ty Viễn Sơn</t>
  </si>
  <si>
    <t>5001037</t>
  </si>
  <si>
    <t>Công ty AnPha</t>
  </si>
  <si>
    <t>5001057</t>
  </si>
  <si>
    <t>CÔNG TY TNHH CÔNG NGHỆ SONG PHÁT</t>
  </si>
  <si>
    <t>5001063</t>
  </si>
  <si>
    <t>CTY CP VIỄN THÔNG THẾ KỶ</t>
  </si>
  <si>
    <t>5001105</t>
  </si>
  <si>
    <t xml:space="preserve">CTY CPTMDV CÔNG NGHỆ CHÂN TRỜI </t>
  </si>
  <si>
    <t>5001138</t>
  </si>
  <si>
    <t>Công Ty TNHH TM LK</t>
  </si>
  <si>
    <t>5001143</t>
  </si>
  <si>
    <t>Trung Tâm Đào Tạo Quốc Tế</t>
  </si>
  <si>
    <t>5001161</t>
  </si>
  <si>
    <t>Công Ty TNHH Dịch Vụ Kỹ Thuật Công Nghiệp</t>
  </si>
  <si>
    <t>5001164</t>
  </si>
  <si>
    <t>Công ty Ebrovalves</t>
  </si>
  <si>
    <t>5001175</t>
  </si>
  <si>
    <t>Công Ty Cổ Phần Thương Mại Dịch Vụ Tín Hoà</t>
  </si>
  <si>
    <t>5001219</t>
  </si>
  <si>
    <t>CTY CP CUNG ỨNG VẬT TƯ CÔNG NGHIỆP VIỄN THIÊN (VITIS)</t>
  </si>
  <si>
    <t>5001234</t>
  </si>
  <si>
    <t>Công ty TNHH Vận Tải Biển Viễn Đông (FASA)</t>
  </si>
  <si>
    <t>5001287</t>
  </si>
  <si>
    <t>Công Ty TNHH Công Nghệ Di Động Mai Nguyên</t>
  </si>
  <si>
    <t>5001314</t>
  </si>
  <si>
    <t>Công Ty Cổ Phần Phát Hành Sách TP HCM - Fahasa</t>
  </si>
  <si>
    <t>5001335</t>
  </si>
  <si>
    <t>Công Ty TNHH Nguyễn &amp; Anh Em</t>
  </si>
  <si>
    <t>5001349</t>
  </si>
  <si>
    <t>Công Ty TNHH Globe ExPress Việt Nam</t>
  </si>
  <si>
    <t>5001386</t>
  </si>
  <si>
    <t>Công Ty TNHH XD Hồng Bảo</t>
  </si>
  <si>
    <t>5001390</t>
  </si>
  <si>
    <t>Công Ty TNHH TM DV Kỹ Thuật Phan Ta</t>
  </si>
  <si>
    <t>5001401</t>
  </si>
  <si>
    <t xml:space="preserve">CTY CP THIẾT BỊ THI VIỆT </t>
  </si>
  <si>
    <t>5001410</t>
  </si>
  <si>
    <t>Công Ty TNHH TM-KT Đồng Nam</t>
  </si>
  <si>
    <t>5001424</t>
  </si>
  <si>
    <t>Cty TNHH TM và Tin Học Ứng Dụng</t>
  </si>
  <si>
    <t>5001427</t>
  </si>
  <si>
    <t>Cty TNHH LESCHACO Việt Nam</t>
  </si>
  <si>
    <t>5001438</t>
  </si>
  <si>
    <t>Công Ty TNHH Sanyo Trading (Việt Nam)</t>
  </si>
  <si>
    <t>5001467</t>
  </si>
  <si>
    <t>Công Ty TNHH Formosa Taffeta VN</t>
  </si>
  <si>
    <t>5001470</t>
  </si>
  <si>
    <t>CÔNG TY CỔ PHẦN XÂY DỰNG KỸ THUẬT VIETCOTEK</t>
  </si>
  <si>
    <t>5001474</t>
  </si>
  <si>
    <t>Công Ty TNHH MTV TM Kiện Mỹ</t>
  </si>
  <si>
    <t>5001483</t>
  </si>
  <si>
    <t>Công ty TNHH MTV GN Gấu Trúc Toàn Cầu</t>
  </si>
  <si>
    <t>5001503</t>
  </si>
  <si>
    <t>CN CTY TNHH EVIVA</t>
  </si>
  <si>
    <t>5001507</t>
  </si>
  <si>
    <t>Công Ty TNHH XNK Liên Kết</t>
  </si>
  <si>
    <t>5001517</t>
  </si>
  <si>
    <t>CN TẠI TP.HCM-CÔNG TY CP THẾ GIỚI GIẢI TRÍ</t>
  </si>
  <si>
    <t>5001528</t>
  </si>
  <si>
    <t>CÔNG TY TNHH TM -DV TIA SÁNG</t>
  </si>
  <si>
    <t>5001533</t>
  </si>
  <si>
    <t>CÔNG TY TNHH TM KIỀU ĐỒNG</t>
  </si>
  <si>
    <t>5001549</t>
  </si>
  <si>
    <t>CTY CP THIẾT KẾ VÀ XÂY DỰNG HỢP NHẤT</t>
  </si>
  <si>
    <t>5001555</t>
  </si>
  <si>
    <t>VPĐD HANGZHOU COGENERATIONIONPORT&amp;EXPORT CO.LTD</t>
  </si>
  <si>
    <t>5001562</t>
  </si>
  <si>
    <t>(FOCUS )CTY TNHH TM-DU LỊCH TRỌNG ĐIỂM</t>
  </si>
  <si>
    <t>5001565</t>
  </si>
  <si>
    <t>ÔNG TY TNHH CRIF D&amp;B VIỆT NAM</t>
  </si>
  <si>
    <t>5001570</t>
  </si>
  <si>
    <t>CÔNG TY TNHH KHÁCH SẠN ĐẠI NAM</t>
  </si>
  <si>
    <t>5001596</t>
  </si>
  <si>
    <t>CTY ELKEN VN</t>
  </si>
  <si>
    <t>5001609</t>
  </si>
  <si>
    <t>Tổng Công Ty May 10- Công Ty Cổ Phần</t>
  </si>
  <si>
    <t>5001617</t>
  </si>
  <si>
    <t xml:space="preserve">CTY TNHH LIÊN KẾT NĂNG ĐÔNG </t>
  </si>
  <si>
    <t>5001618</t>
  </si>
  <si>
    <t xml:space="preserve">CN TỔNG CTY CP VẬN TẢI DẦU KHÍ </t>
  </si>
  <si>
    <t>5001627</t>
  </si>
  <si>
    <t>CÔNG TY TNHH HYDRO-TEK VIỆT NAM</t>
  </si>
  <si>
    <t>5001634</t>
  </si>
  <si>
    <t>CTY TNHH GIẢI PHÁP QUẢN TRỊ TỔNG THỂ I.S.M</t>
  </si>
  <si>
    <t>5001635</t>
  </si>
  <si>
    <t xml:space="preserve">CTY TNHH AMANN VIỆT NAM </t>
  </si>
  <si>
    <t>5001637</t>
  </si>
  <si>
    <t xml:space="preserve">CÔNG TY TNHH THƯƠNG MẠI UNIKA ĐÔNG NAM Á </t>
  </si>
  <si>
    <t>5001650</t>
  </si>
  <si>
    <t>CÔNG TY TNHH TIN HỌC VIỄN THÔNG VINAFORE</t>
  </si>
  <si>
    <t>5001654</t>
  </si>
  <si>
    <t>CTY TNHH MTV NHIÊN LIỆU HDSG</t>
  </si>
  <si>
    <t>5001668</t>
  </si>
  <si>
    <t>CTY TNHH DONG BANG LOGISTICS VINA</t>
  </si>
  <si>
    <t>5001669</t>
  </si>
  <si>
    <t xml:space="preserve">CTY TNHH MTV XUYÊN SÁNG </t>
  </si>
  <si>
    <t>5001672</t>
  </si>
  <si>
    <t>CTY TNHH KOA-SHA MEDIA VIỆT NAM</t>
  </si>
  <si>
    <t>5001673</t>
  </si>
  <si>
    <t>CTY TNHH PHÁT TRIỂN GIAO NHẬN VẬN TẢI PHARE</t>
  </si>
  <si>
    <t>5001684</t>
  </si>
  <si>
    <t xml:space="preserve">CTY TNHH ACER VIỆT NAM </t>
  </si>
  <si>
    <t>5001687</t>
  </si>
  <si>
    <t>Chi Nhánh 1- Công Ty TNHH Truyền Hình Cáp Saigontourist</t>
  </si>
  <si>
    <t>5001688</t>
  </si>
  <si>
    <t>Công Ty Cổ Phần Trang Sức Và Đồng Hồ Thụy Sĩ</t>
  </si>
  <si>
    <t>5001697</t>
  </si>
  <si>
    <t xml:space="preserve">CTY TNHH TM&amp;DL XUÂN HƯNG THỊNH </t>
  </si>
  <si>
    <t>5001714</t>
  </si>
  <si>
    <t xml:space="preserve">CTY CP VÀNG BẠC ĐÁ QUÝ BẾN THÀNH </t>
  </si>
  <si>
    <t>5001719</t>
  </si>
  <si>
    <t xml:space="preserve">CTY TNHH ARUP VIỆT NAM </t>
  </si>
  <si>
    <t>5001722</t>
  </si>
  <si>
    <t xml:space="preserve">CTY TNHH SIP VIỆT NAM </t>
  </si>
  <si>
    <t>5001723</t>
  </si>
  <si>
    <t>Công Ty TNHH ICARE BENEFITS VIỆT NAM</t>
  </si>
  <si>
    <t>5001734</t>
  </si>
  <si>
    <t>CÔNG TY TNHH KEO DÁN ELLSWORTH ViỆT NAM</t>
  </si>
  <si>
    <t>5001736</t>
  </si>
  <si>
    <t>Công Ty TNHH TM Lam Hồng</t>
  </si>
  <si>
    <t>5001740</t>
  </si>
  <si>
    <t>CÔNG TY TNHH CÔNG NGHIỆP MINH NGỌC</t>
  </si>
  <si>
    <t>5001742</t>
  </si>
  <si>
    <t>Công Ty TNHH Dịch Vụ Tân Sao Sáng</t>
  </si>
  <si>
    <t>5001752</t>
  </si>
  <si>
    <t>Công Ty Cổ Phần Vận Tải Và Tiếp Vận Châu Á Thái Bình Dương (</t>
  </si>
  <si>
    <t>5001753</t>
  </si>
  <si>
    <t xml:space="preserve">Công Ty Liên Doanh Dịch Vụ Container Quốc Tế Cảng Sài Gòn - </t>
  </si>
  <si>
    <t>5001756</t>
  </si>
  <si>
    <t xml:space="preserve">Công Ty TNHH Nestle Việt Nam </t>
  </si>
  <si>
    <t>5001768</t>
  </si>
  <si>
    <t>HIỆP HỘI DOANH NGHIỆP HỒNG KÔNG TẠI ViỆT NAM</t>
  </si>
  <si>
    <t>5001769</t>
  </si>
  <si>
    <t>CÔNG TY TNHH THƯƠNG MẠI MINH HUY PHAN</t>
  </si>
  <si>
    <t>5001770</t>
  </si>
  <si>
    <t>CÔNG TY CP THƯƠNG MẠI NHIÊN LiỆU CỬU LONG</t>
  </si>
  <si>
    <t>5001773</t>
  </si>
  <si>
    <t>CÔNG TY CỔ PHẦN WORLDTEK ViỆT NAM</t>
  </si>
  <si>
    <t>5001776</t>
  </si>
  <si>
    <t>CÔNG TY TNHH OYA ViỆT NAM</t>
  </si>
  <si>
    <t>5001779</t>
  </si>
  <si>
    <t>CÔNG TY TNHH TM XuẤT NHẬP KHẨU GỖ PHƯƠNG NAM</t>
  </si>
  <si>
    <t>5001780</t>
  </si>
  <si>
    <t>CÔNG TY TNHH PACIFIC QUALITY CONTROL CENTER VIETNAM</t>
  </si>
  <si>
    <t>5001783</t>
  </si>
  <si>
    <t>CÔNG TY TNHH DENIM CARE ViỆT NAM</t>
  </si>
  <si>
    <t>5001785</t>
  </si>
  <si>
    <t>CÔNG TY TNHH CÔNG NGHỆ GiẢI PHÁP PHÀN MỀM TOÀN CẦU</t>
  </si>
  <si>
    <t>5001786</t>
  </si>
  <si>
    <t>CÔNG TY TNHH TM DV GIAO NHẬN HÀNG HÓA FDI</t>
  </si>
  <si>
    <t>5001789</t>
  </si>
  <si>
    <t>CÔNG TY TNHH THƯƠNG MẠI VÀ DỊCH VỤ TOÀN CẦU TAS</t>
  </si>
  <si>
    <t>5001791</t>
  </si>
  <si>
    <t>CÔNG TY TNHH APPLE VIETNAM</t>
  </si>
  <si>
    <t>5001793</t>
  </si>
  <si>
    <t>CÔNG TY TNHH CÔNG NGHỆ HUAWEI ViỆT NAM</t>
  </si>
  <si>
    <t>5001795</t>
  </si>
  <si>
    <t>TRUNG TÂM BẢO VỆ SỨC KHỎE LAO ĐỘNG VÀ MÔI TRƯỜNG</t>
  </si>
  <si>
    <t>5001797</t>
  </si>
  <si>
    <t>CÔNG TY TNHH DEWELL ViỆT NAM</t>
  </si>
  <si>
    <t>5001798</t>
  </si>
  <si>
    <t>CÔNG TY CỔ PHẦN THANH TOÁN ĐiỆN TỬ VNPT TẠI HCM</t>
  </si>
  <si>
    <t>5001800</t>
  </si>
  <si>
    <t>CÔNG TY TNHH QUANG TÂN HÒA</t>
  </si>
  <si>
    <t>5001803</t>
  </si>
  <si>
    <t>VP ĐẠI DiỆN ZHẸIANG WEIXING INDUSTRIAL DEVELOPMENT CO.,LTD (</t>
  </si>
  <si>
    <t>5001808</t>
  </si>
  <si>
    <t>CÔNG TY TNHH PIONEER WAGON</t>
  </si>
  <si>
    <t>5001809</t>
  </si>
  <si>
    <t>CÔNG TY TNHH LOGISTICS PANAKOR ViỆT NAM</t>
  </si>
  <si>
    <t>5001811</t>
  </si>
  <si>
    <t>CÔNG TY TNHH BLS ViỆT NAM</t>
  </si>
  <si>
    <t>5001819</t>
  </si>
  <si>
    <t>CÔNG TY TNHH ĐỘNG HỌC STELLA</t>
  </si>
  <si>
    <t>5001820</t>
  </si>
  <si>
    <t>CÔNG TY TNHH OIA GLOBAL VIETNAM</t>
  </si>
  <si>
    <t>5001821</t>
  </si>
  <si>
    <t>CN CÔNG TY CỔ PHẦN THƯƠNG MẠI CARPA ViỆT NAM</t>
  </si>
  <si>
    <t>5001822</t>
  </si>
  <si>
    <t>CÔNG TY TNHH AKTIVATION ViỆT NAM</t>
  </si>
  <si>
    <t>5001823</t>
  </si>
  <si>
    <t>CÔNG TY TNHH EAGENCY ViỆT NAM</t>
  </si>
  <si>
    <t>5001827</t>
  </si>
  <si>
    <t>CÔNG TY TNHH BÁN LẺ TAMBOUR ViỆT NAM</t>
  </si>
  <si>
    <t>5001828</t>
  </si>
  <si>
    <t>CÔNG TY TNHH ANH EM THẮNG TRUNG</t>
  </si>
  <si>
    <t>5001829</t>
  </si>
  <si>
    <t>CÔNG TY CỔ PHẦN ĐÔNG TÂY LAND</t>
  </si>
  <si>
    <t>5001832</t>
  </si>
  <si>
    <t>CÔNG TY TNHH DL - XD - TM - DV TiỆN ÍCH</t>
  </si>
  <si>
    <t>5001834</t>
  </si>
  <si>
    <t>H &amp; M HENNES &amp; MAURITZ GBC AB</t>
  </si>
  <si>
    <t>5001835</t>
  </si>
  <si>
    <t>CÔNG TY TNHH SAMSUN VINA</t>
  </si>
  <si>
    <t>5001837</t>
  </si>
  <si>
    <t>CÔNG TY TNHH TICK AND PICK</t>
  </si>
  <si>
    <t>5001840</t>
  </si>
  <si>
    <t>VĂN PHÒNG ĐẠI DiỆN DOUBLE A INTERNATIONAL NETWORK CO.,LTD</t>
  </si>
  <si>
    <t>5001841</t>
  </si>
  <si>
    <t>CÔNG TY TNHH THƯƠNG MẠI LÂN THỊNH</t>
  </si>
  <si>
    <t>5001844</t>
  </si>
  <si>
    <t>CÔNG TY TNHH L'ORÉAL ViỆT NAM</t>
  </si>
  <si>
    <t>5001845</t>
  </si>
  <si>
    <t>HỦY HÀNG CS LÀM CÔNG VĂN GIẢM TRỪ</t>
  </si>
  <si>
    <t>5001847</t>
  </si>
  <si>
    <t>CÔNG TY CỔ PHẦN SHINY ViỆT NAM</t>
  </si>
  <si>
    <t>5001849</t>
  </si>
  <si>
    <t>CÔNG TY TNHH THE KING ROSE</t>
  </si>
  <si>
    <t>5001852</t>
  </si>
  <si>
    <t>5001855</t>
  </si>
  <si>
    <t>CÔNG TY TNHH GUNZE HÀ NỘI</t>
  </si>
  <si>
    <t>5001865</t>
  </si>
  <si>
    <t>CÔNG TY TNHH MAXIMUM SOURCING</t>
  </si>
  <si>
    <t>5001867</t>
  </si>
  <si>
    <t>CÔNG TY TNHH TRÙNG DƯƠNG C.D.S ViỆT NAM</t>
  </si>
  <si>
    <t>5001872</t>
  </si>
  <si>
    <t>CÔNG TY TNHH THƯƠNG MẠI DỊCH VỤ VÂN PHÁT</t>
  </si>
  <si>
    <t>5001873</t>
  </si>
  <si>
    <t>5001876</t>
  </si>
  <si>
    <t>5001879</t>
  </si>
  <si>
    <t>Cty TNHH TMDV GIẦY THIÊN LÝ UNLIMITED</t>
  </si>
  <si>
    <t>5001882</t>
  </si>
  <si>
    <t>CÔNG TY CỔ PHẦN THƯƠNG MẠI VÀ HỢP TÁC TK</t>
  </si>
  <si>
    <t>5001883</t>
  </si>
  <si>
    <t>5001886</t>
  </si>
  <si>
    <t>CÔNG TY TNHH IPA-NIMA VIỆT NAM</t>
  </si>
  <si>
    <t>5001887</t>
  </si>
  <si>
    <t>CN CTY TNHH YUSEN LOGISTICS VÀ VẬN TẢI (VIỆT NAM)-KH ADIDAS</t>
  </si>
  <si>
    <t>5001889</t>
  </si>
  <si>
    <t>CÔNG TY TNHH TM DV BLUE SEA</t>
  </si>
  <si>
    <t>5001890</t>
  </si>
  <si>
    <t>CTY JOTUN - HCM</t>
  </si>
  <si>
    <t>5001891</t>
  </si>
  <si>
    <t>CÔNG TY TNHH THƯƠNG MẠI SẢN XUẤT ANH PHÁT</t>
  </si>
  <si>
    <t>5001893</t>
  </si>
  <si>
    <t>CÔNG TY CỔ PHẦN ĐẦU TƯ VÀ PHÁT TRIỂN CÔNG NGHỆ TRÍ TUỆ VIỆT</t>
  </si>
  <si>
    <t>5001894</t>
  </si>
  <si>
    <t>Công Ty TNHH MTV DV Phân Phối Tổng Hợp Dầu Khí (PSD Thư)</t>
  </si>
  <si>
    <t>5001895</t>
  </si>
  <si>
    <t>CÔNG TY TNHH BOXX ViỆT NAM</t>
  </si>
  <si>
    <t>5001897</t>
  </si>
  <si>
    <t>CÔNG TY CỔ PHẦN AUTO ONLINE (AUTO ONLINE CORPORATION)</t>
  </si>
  <si>
    <t>5001898</t>
  </si>
  <si>
    <t>CÔNG TY CỔ PHẦN DƯỢC PHẨM BOSTON</t>
  </si>
  <si>
    <t>5001899</t>
  </si>
  <si>
    <t>CÔNG TY TNHH DENZELL (VIỆT NAM)</t>
  </si>
  <si>
    <t>5001900</t>
  </si>
  <si>
    <t>CÔNG TY TNHH TƯ VẤN PHÁT TRIỂN CÔNG NGHỆ NĂNG LƯỢNG VIỆT NAM</t>
  </si>
  <si>
    <t>5002020</t>
  </si>
  <si>
    <t>Công Ty  Hoàng Anh</t>
  </si>
  <si>
    <t>5002041</t>
  </si>
  <si>
    <t>VIET SON TECHNOLOGY Co.LTD</t>
  </si>
  <si>
    <t>5002050</t>
  </si>
  <si>
    <t>CÔNG TY CP THIẾT BỊ XÂY DỰNG VINA</t>
  </si>
  <si>
    <t>5002064</t>
  </si>
  <si>
    <t>CTY TNHH KLINGSPOR VIỆT NAM</t>
  </si>
  <si>
    <t>5002066</t>
  </si>
  <si>
    <t xml:space="preserve">CTY CP THIẾT BỊ ĐIỆN HOA PHÁT </t>
  </si>
  <si>
    <t>5002072</t>
  </si>
  <si>
    <t xml:space="preserve">CTY CP XỬ LÝ NỀN FECON SHANGHAI HARBOUR </t>
  </si>
  <si>
    <t>5002075</t>
  </si>
  <si>
    <t xml:space="preserve">CTY TNHH THIẾT BỊ BÁO KIM </t>
  </si>
  <si>
    <t>5002079</t>
  </si>
  <si>
    <t>DOANH NGHIỆP TƯ NHÂN CON ONG</t>
  </si>
  <si>
    <t>5002092</t>
  </si>
  <si>
    <t>Công Ty Cổ Phần Thương Mại Khang Thịnh Phát</t>
  </si>
  <si>
    <t>5002096</t>
  </si>
  <si>
    <t>CÔNG TY CỔ PHẦN GLENWOOD HORECA</t>
  </si>
  <si>
    <t>5002098</t>
  </si>
  <si>
    <t>CÔNG TY TNHH SX TM TRÁC ViỆT</t>
  </si>
  <si>
    <t>5002099</t>
  </si>
  <si>
    <t>CÔNG TY TNHH MERKAVA ViỆT NAM</t>
  </si>
  <si>
    <t>5002100</t>
  </si>
  <si>
    <t>CÔNG TY TNHH GREEN LUBE ViỆT NAM</t>
  </si>
  <si>
    <t>5002101</t>
  </si>
  <si>
    <t>CÔNG TY TNHH THƯƠNG MẠI KỸ THUẬT ĐiỆN LIÊN MINH NGUYỄN</t>
  </si>
  <si>
    <t>5002106</t>
  </si>
  <si>
    <t>CÔNG TY TNHH KiỂM TOÁN TƯ VẤN RỒNG ViỆT</t>
  </si>
  <si>
    <t>5002122</t>
  </si>
  <si>
    <t>TRUNG TÂM TẦN SỐ VÔ TUYẾN ĐiỆN KHU VỰC II</t>
  </si>
  <si>
    <t>5002123</t>
  </si>
  <si>
    <t>CÔNG TY TNHH DỊCH VỤ VÀ THƯƠNG MẠI NGÂN TRINH</t>
  </si>
  <si>
    <t>5002126</t>
  </si>
  <si>
    <t>CÔNG TY TNHH SẢN XuẤT THƯƠNG MẠI XÂY DỰNG DỊCH VỤ HOÀNG NAM</t>
  </si>
  <si>
    <t>5002130</t>
  </si>
  <si>
    <t>CÔNG TY TNHH SPECO ViỆT NAM</t>
  </si>
  <si>
    <t>5002161</t>
  </si>
  <si>
    <t>CHI NHÁNH CÔNG TY TNHH A-SUNG INTERNATIONAL VINA TẠI HCM</t>
  </si>
  <si>
    <t>5002171</t>
  </si>
  <si>
    <t>CÔNG TY TNHH ĐẦU TƯ CUỘC SỐNG XANH</t>
  </si>
  <si>
    <t>5002174</t>
  </si>
  <si>
    <t>CÔNG TY TNHH THƯƠNG MẠI NGUYÊN THIÊN PHÚ</t>
  </si>
  <si>
    <t>5003001</t>
  </si>
  <si>
    <t>Công ty FPT TOSHIBA</t>
  </si>
  <si>
    <t>5003012</t>
  </si>
  <si>
    <t>Công ty TNHH Châu Âu Việt Nam</t>
  </si>
  <si>
    <t>5003015</t>
  </si>
  <si>
    <t>5003068</t>
  </si>
  <si>
    <t>Chi Nhánh CTY TNHH Bán Lẻ FPT (TP Hà Nội )</t>
  </si>
  <si>
    <t>5003098</t>
  </si>
  <si>
    <t>CÔNG TY CỔ PHẦN ĐẦU TƯ TNK</t>
  </si>
  <si>
    <t>5003104</t>
  </si>
  <si>
    <t>Công ty TNHH AmWay</t>
  </si>
  <si>
    <t>5003107</t>
  </si>
  <si>
    <t>Công Ty CP Vận Tải Tân Cảng -ASACO</t>
  </si>
  <si>
    <t>5003110</t>
  </si>
  <si>
    <t>Công Ty TNHH Dịch Vụ DL Me Kong Việt</t>
  </si>
  <si>
    <t>5003140</t>
  </si>
  <si>
    <t>Công Ty CP Hệ Thống Gen</t>
  </si>
  <si>
    <t>5003157</t>
  </si>
  <si>
    <t>Công Ty TNHH Giải Pháp CN Tích Hợp Vạn Nam</t>
  </si>
  <si>
    <t>5003163</t>
  </si>
  <si>
    <t>Công Ty TNHH Du Lịch TM Á Đông</t>
  </si>
  <si>
    <t>5003164</t>
  </si>
  <si>
    <t>Chi Nhánh Công Ty CP SSP ( TP.Hà Nội )</t>
  </si>
  <si>
    <t>5003176</t>
  </si>
  <si>
    <t>Công Ty TNHH JROGER PRESTON VN</t>
  </si>
  <si>
    <t>5003186</t>
  </si>
  <si>
    <t>CÔNG TY TNHH MTV TƯ VẤN GIÁO DỤC CANADA</t>
  </si>
  <si>
    <t>5003187</t>
  </si>
  <si>
    <t>CÔNG TY TNHH MTV TỔNG CÔNG TY THÁI SƠN- CN ĐẦU TƯ QuỐC TẾ</t>
  </si>
  <si>
    <t>5003199</t>
  </si>
  <si>
    <t>CÔNG TY TNHH PHÁT TRIỂN&amp; XÂY DỰNG CHOSUK</t>
  </si>
  <si>
    <t>5003213</t>
  </si>
  <si>
    <t>CN CTY CPDT AN PHƯƠNG(TP HÀ NỘI )</t>
  </si>
  <si>
    <t>5003242</t>
  </si>
  <si>
    <t>CÔNG TY TNHH HẠ SA KÊ</t>
  </si>
  <si>
    <t>5003244</t>
  </si>
  <si>
    <t>CTY TNHH TM ĐIỆN TỬ LIN</t>
  </si>
  <si>
    <t>5003257</t>
  </si>
  <si>
    <t xml:space="preserve">CTY TNHH NU SKIN ENTERPRISES VIỆT NAM </t>
  </si>
  <si>
    <t>5003267</t>
  </si>
  <si>
    <t xml:space="preserve">CÔNG TY TNHH THƯƠNG MẠI THANH THÀNH </t>
  </si>
  <si>
    <t>5003271</t>
  </si>
  <si>
    <t xml:space="preserve">CN CTY CỔ PHẦN VIỆT THƯƠNG </t>
  </si>
  <si>
    <t>5003278</t>
  </si>
  <si>
    <t>CÔNG TY CỔ PHẦN PHÂN PHỐI VÀ DỊCH VỤ SAI GON TEL</t>
  </si>
  <si>
    <t>5003282</t>
  </si>
  <si>
    <t>CN Công Ty HECNY TRANSPORTATION (ViỆT NAM) LTD</t>
  </si>
  <si>
    <t>5003287</t>
  </si>
  <si>
    <t>CÔNG TY CỔ PHẦN THƯƠNG MẠI DỊCH VỤ TRÀ CÀ PHÊ VN</t>
  </si>
  <si>
    <t>5003299</t>
  </si>
  <si>
    <t>CÔNG TY TNHH XuẤT NHẬP KHẨU HÀNG HiỆU HOA KỲ</t>
  </si>
  <si>
    <t>5003301</t>
  </si>
  <si>
    <t>CÔNG TY TNHH LECTRA ViỆT NAM</t>
  </si>
  <si>
    <t>5003302</t>
  </si>
  <si>
    <t>CÔNG TY TNHH DỊCH VỤ HAVU</t>
  </si>
  <si>
    <t>5003303</t>
  </si>
  <si>
    <t>BỆNH ViỆN GIAO THÔNG VẬN TẢI TP HỒ CHÍ MINH</t>
  </si>
  <si>
    <t>5003304</t>
  </si>
  <si>
    <t>CÔNG TY TNHH KỸ THUẬT ILIES ViỆT NAM</t>
  </si>
  <si>
    <t>5003305</t>
  </si>
  <si>
    <t>5003306</t>
  </si>
  <si>
    <t>CÔNG TY Luật TNHH Tư Vấn Đầu Tư NTV</t>
  </si>
  <si>
    <t>5003307</t>
  </si>
  <si>
    <t>CÔNG TY TNHH MTV AN QUÝ</t>
  </si>
  <si>
    <t>5003309</t>
  </si>
  <si>
    <t>CÔNG TY TNHH RICOH ViỆT NAM</t>
  </si>
  <si>
    <t>5003313</t>
  </si>
  <si>
    <t>CÔNG TY TNHH TRUNG CHÍNH - TCA</t>
  </si>
  <si>
    <t>5003314</t>
  </si>
  <si>
    <t>CÔNG TY TNHH KORMAN SHIPPING ViỆT NAM</t>
  </si>
  <si>
    <t>5003316</t>
  </si>
  <si>
    <t>CÔNG TY TNHH TMDV THIẾT BỊ KỸ THUẬT ĐÔNG DƯƠNG</t>
  </si>
  <si>
    <t>5003317</t>
  </si>
  <si>
    <t>CHI NHÁNH TẠI TP HỒ CHÍ MINH - CÔNG TY CỔ PHẦN PMG ViỆT NAM</t>
  </si>
  <si>
    <t>5003318</t>
  </si>
  <si>
    <t>CÔNG TY TNHH DỊCH VỤ GIAO NHẬN NĂM SAO</t>
  </si>
  <si>
    <t>5003322</t>
  </si>
  <si>
    <t>CÔNG TY TNHH GIAO NHẬN QUỐC TẾ SAO PHƯƠNG NAM</t>
  </si>
  <si>
    <t>5003324</t>
  </si>
  <si>
    <t>CÔNG TY TNHH NGÔI NHÀ PHÂN PHỐI PHÁP</t>
  </si>
  <si>
    <t>5003330</t>
  </si>
  <si>
    <t>RICHMOND ENTERPRISES</t>
  </si>
  <si>
    <t>5003334</t>
  </si>
  <si>
    <t>5003339</t>
  </si>
  <si>
    <t>CÔNG TY TNHH DINH DƯỠNG 3A(ViỆT NAM)</t>
  </si>
  <si>
    <t>5003341</t>
  </si>
  <si>
    <t>CÔNG TY TNHH SECO TOOLS VIỆT NAM</t>
  </si>
  <si>
    <t>5003342</t>
  </si>
  <si>
    <t>CÔNG TY CỔ PHẦN PHÁT HÀNH SÁCH TPHCM – FAHASA ( ECOMERCE)</t>
  </si>
  <si>
    <t>5004046</t>
  </si>
  <si>
    <t>Công Ty CP Giải Pháp Thẻ Vàng</t>
  </si>
  <si>
    <t>5004048</t>
  </si>
  <si>
    <t>5004054</t>
  </si>
  <si>
    <t xml:space="preserve">Công Ty CP Tiếp Vận Liên Minh Toàn cầu </t>
  </si>
  <si>
    <t>5004057</t>
  </si>
  <si>
    <t>CÔNG TY TNHH BÁN LẺ VÀ GIAO NHẬN RECESS</t>
  </si>
  <si>
    <t>5004062</t>
  </si>
  <si>
    <t xml:space="preserve">CTY DVKT &amp; TM HÀNG HẢI VIỆT </t>
  </si>
  <si>
    <t>5004065</t>
  </si>
  <si>
    <t>CTY TNHH KART ( VIỆT NAM )</t>
  </si>
  <si>
    <t>5004066</t>
  </si>
  <si>
    <t xml:space="preserve">CN CTY TNHH MỘT THÀNH VIÊN CẢNG SG TẠI BÀ RỊA VŨNG TÀU </t>
  </si>
  <si>
    <t>5004067</t>
  </si>
  <si>
    <t>CÔNG TY TNHH MỘT THÀNH VIÊN KỸ THUẬT &amp; KHOA HỌC VĨNH KHANG</t>
  </si>
  <si>
    <t>5004072</t>
  </si>
  <si>
    <t>CTY CPPT KINH TẾ ĐÔNG NAM Á</t>
  </si>
  <si>
    <t>5004074</t>
  </si>
  <si>
    <t xml:space="preserve">CTY CỔ PHẦN ROLASHADES VIỆT NAM </t>
  </si>
  <si>
    <t>5004077</t>
  </si>
  <si>
    <t xml:space="preserve">Công Ty Cổ Phần Nhật Thực     </t>
  </si>
  <si>
    <t>5004081</t>
  </si>
  <si>
    <t>Công Ty TNHH Bán Lẻ Và Giao Nhận Recess ( Hàng Pick - Up)</t>
  </si>
  <si>
    <t>5004082</t>
  </si>
  <si>
    <t>Công Ty TNHH Bán Lẻ Và Giao Nhận Recess (MP)</t>
  </si>
  <si>
    <t>5004087</t>
  </si>
  <si>
    <t>CÔNG TY TNHH HÀNG HẢI XANH</t>
  </si>
  <si>
    <t>5004089</t>
  </si>
  <si>
    <t>CÔNG TY CỔ PHẦN THƯƠNG MẠI VÀ DỊCH VỤ TiẾP VẬN NAM THÀNH PHÁ</t>
  </si>
  <si>
    <t>5004090</t>
  </si>
  <si>
    <t>CÔNG TY TNHH ĐẠI LÝ HÀNG HẢI &amp; THƯƠNG MẠI AN TRUNG TÍN</t>
  </si>
  <si>
    <t>5004094</t>
  </si>
  <si>
    <t>CÔNG TY CỔ PHẦN PHÚC NGỌC ANH</t>
  </si>
  <si>
    <t>5004111</t>
  </si>
  <si>
    <t>CÔNG TY TNHH THƯƠNG MẠI YONG LI</t>
  </si>
  <si>
    <t>5004124</t>
  </si>
  <si>
    <t>CÔNG TY TNHH OCEANEUS GLOBAL LOGISTICS</t>
  </si>
  <si>
    <t>5004125</t>
  </si>
  <si>
    <t>CÔNG TY CỔ PHẦN THỰC PHẨM DINH DƯỠNG NUTIFOOD BD (HÀNG QTE)</t>
  </si>
  <si>
    <t>5004126</t>
  </si>
  <si>
    <t>CÔNG TY TAG-IT PACIFIC ViỆT NAM</t>
  </si>
  <si>
    <t>5004127</t>
  </si>
  <si>
    <t>CÔNG T TNHH MTV DỊCH VỤ BẤT ĐỘNG SẢN CĂN HỘ THÀNH PHỐ</t>
  </si>
  <si>
    <t>5005005</t>
  </si>
  <si>
    <t>Công ty LaBo Vũ</t>
  </si>
  <si>
    <t>5005038</t>
  </si>
  <si>
    <t>Công Ty Thang Long</t>
  </si>
  <si>
    <t>5005040</t>
  </si>
  <si>
    <t>CÔNG Ty TNHH SX TM DV  Khải đông</t>
  </si>
  <si>
    <t>5005068</t>
  </si>
  <si>
    <t>Công Ty TNHH TM-DV Nhị Gia</t>
  </si>
  <si>
    <t>5005069</t>
  </si>
  <si>
    <t>Công Ty TNHH Cao Phong</t>
  </si>
  <si>
    <t>5005072</t>
  </si>
  <si>
    <t>CÔNG TY TNHH TM-DV DU LỊCH THUẬN PHONG</t>
  </si>
  <si>
    <t>5005087</t>
  </si>
  <si>
    <t xml:space="preserve">CỬA HÀNG MẨN ĐẠT </t>
  </si>
  <si>
    <t>5005089</t>
  </si>
  <si>
    <t xml:space="preserve">DNTN VIỆT NHẬT </t>
  </si>
  <si>
    <t>5005092</t>
  </si>
  <si>
    <t xml:space="preserve">CTY TNHH MỘT THÀNH VIÊN CHIẾM TÀI </t>
  </si>
  <si>
    <t>5005097</t>
  </si>
  <si>
    <t xml:space="preserve">CTY THIÊN PHÚC </t>
  </si>
  <si>
    <t>5005109</t>
  </si>
  <si>
    <t xml:space="preserve">CTY TNHH TM VẠN HUY </t>
  </si>
  <si>
    <t>5005118</t>
  </si>
  <si>
    <t>Công Ty TNHH Bán Lẻ Và Giao Nhận Recess ( Hàng Back - Up)</t>
  </si>
  <si>
    <t>5005119</t>
  </si>
  <si>
    <t>Công Ty TNHH TM &amp; XNK Đông Dương</t>
  </si>
  <si>
    <t>5005120</t>
  </si>
  <si>
    <t>Công Ty TNHH Sản Xuất Thương Mại GPHARM</t>
  </si>
  <si>
    <t>5005121</t>
  </si>
  <si>
    <t>Công Ty TNHH Phong Dư</t>
  </si>
  <si>
    <t>5005122</t>
  </si>
  <si>
    <t>Công Ty TNHH Một Thành Viên Thương Mại Tấn Nghiệp</t>
  </si>
  <si>
    <t>5005124</t>
  </si>
  <si>
    <t>CÔNG TY TNHH TM DV TIN HỌC XUÂN ÂN</t>
  </si>
  <si>
    <t>5005125</t>
  </si>
  <si>
    <t>CÔNG TY TNHH CÔNG NGHỆ VIVO</t>
  </si>
  <si>
    <t>5005127</t>
  </si>
  <si>
    <t>CÔNG TY TNHH DỊCH VỤ THƯƠNG MẠI THỐNG THẮNG</t>
  </si>
  <si>
    <t>5005133</t>
  </si>
  <si>
    <t>TRƯỜNG ĐẠI HỌC HÙNG VƯƠNG TP.HỒ CHÍ MINH</t>
  </si>
  <si>
    <t>5005135</t>
  </si>
  <si>
    <t>CÔNG TY TNHH ISOLABO</t>
  </si>
  <si>
    <t>5005136</t>
  </si>
  <si>
    <t>CÔNG TY TNHH TM SX DV ÁNH SÁNG PHƯƠNG ĐÔNG</t>
  </si>
  <si>
    <t>5005140</t>
  </si>
  <si>
    <t>CÔNG TY TNHH THƯƠNG MẠI - DỊCH VỤ TẠ GIA PHƯỚC</t>
  </si>
  <si>
    <t>5005142</t>
  </si>
  <si>
    <t>CÔNG TY TNHH CÔNG NGHỆ VIVO (BẢO HÀNH)</t>
  </si>
  <si>
    <t>5005144</t>
  </si>
  <si>
    <t xml:space="preserve">VŨ NGỌC LONG </t>
  </si>
  <si>
    <t>5006004</t>
  </si>
  <si>
    <t>Công Ty TNHH Liên Doanh SAF - VIỆT</t>
  </si>
  <si>
    <t>5006022</t>
  </si>
  <si>
    <t>Công Ty TNHH N.N.B</t>
  </si>
  <si>
    <t>5006049</t>
  </si>
  <si>
    <t>Công Ty TNHH Thang Máy Nam Trí</t>
  </si>
  <si>
    <t>5006055</t>
  </si>
  <si>
    <t>CÔNG TY TNHH SX-TM NHẤT LỢI</t>
  </si>
  <si>
    <t>5006058</t>
  </si>
  <si>
    <t xml:space="preserve">DNTN SX &amp; TM CÁT TƯỜNG </t>
  </si>
  <si>
    <t>5006060</t>
  </si>
  <si>
    <t xml:space="preserve">CÔNG TY TNHH KT VÀ TM CƠ ĐIỆN LẠNH NHÂN THÀNH </t>
  </si>
  <si>
    <t>5006069</t>
  </si>
  <si>
    <t xml:space="preserve">CTY TNHH SXTM VĨ NAM VIỆT </t>
  </si>
  <si>
    <t>5006073</t>
  </si>
  <si>
    <t xml:space="preserve">CTY TNHH SXTMDV AN VĨNH PHÁT </t>
  </si>
  <si>
    <t>5006076</t>
  </si>
  <si>
    <t xml:space="preserve">CTY TNHH ĐIỆN CƠ TÂN THÀNH </t>
  </si>
  <si>
    <t>5006080</t>
  </si>
  <si>
    <t>CTY TNHH ELDOVINA</t>
  </si>
  <si>
    <t>5006083</t>
  </si>
  <si>
    <t xml:space="preserve">CTY TNHH SẢN XUẤT CAO SU NHỰA VĨNH ĐỨC </t>
  </si>
  <si>
    <t>5006087</t>
  </si>
  <si>
    <t xml:space="preserve">CTY TNHH ÔTÔ VÀNG </t>
  </si>
  <si>
    <t>5006088</t>
  </si>
  <si>
    <t xml:space="preserve">CTY TNHH MTV SXTMDV VI VI </t>
  </si>
  <si>
    <t>5006089</t>
  </si>
  <si>
    <t xml:space="preserve">CTY TNHH CỔ PHẦN ÔTÔ TÂN PHÚ </t>
  </si>
  <si>
    <t>5006093</t>
  </si>
  <si>
    <t>CTY CP BÁN LẺ KỸ THUẬT SỐ FPT</t>
  </si>
  <si>
    <t>5006094</t>
  </si>
  <si>
    <t xml:space="preserve">CTY TNHH MTV ĐẠI TOÀN </t>
  </si>
  <si>
    <t>5006098</t>
  </si>
  <si>
    <t>Công Ty TNHH Thép Việt Thắng</t>
  </si>
  <si>
    <t>5006100</t>
  </si>
  <si>
    <t>Trường Cao Đẳng Nghề Việt Mỹ</t>
  </si>
  <si>
    <t>5006102</t>
  </si>
  <si>
    <t>Công Ty TNHH Xuất Nhập Khẩu Hóa Chất Đại Long Bình</t>
  </si>
  <si>
    <t>5006103</t>
  </si>
  <si>
    <t>Công Ty TNHH SM-CYCLO Việt Nam</t>
  </si>
  <si>
    <t>5006106</t>
  </si>
  <si>
    <t>CÔNG TY TNHH MAY THÊU THUẬN PHƯƠNG</t>
  </si>
  <si>
    <t>5006107</t>
  </si>
  <si>
    <t>CÔNG TY TNHH MTV - TM - DV - DL - TÂN HƯNG PHÁT</t>
  </si>
  <si>
    <t>5006110</t>
  </si>
  <si>
    <t>CÔNG TY TNHH MTV PHÚ MỸ</t>
  </si>
  <si>
    <t>5006112</t>
  </si>
  <si>
    <t>CÔNG TY TNHH  THƯƠNG MẠI SẢN XuẤT TRẦN TÍNH</t>
  </si>
  <si>
    <t>5006114</t>
  </si>
  <si>
    <t>CÔNG TY TNHH THIẾT BỊ CÔNG NGHIỆP N.A.G.Y.A</t>
  </si>
  <si>
    <t>5006116</t>
  </si>
  <si>
    <t>5006120</t>
  </si>
  <si>
    <t>CÔNG TY TNHH HUAN SIN</t>
  </si>
  <si>
    <t>5006123</t>
  </si>
  <si>
    <t>CÔNG TY TNHH ÚC MỸ HOA</t>
  </si>
  <si>
    <t>5006124</t>
  </si>
  <si>
    <t>CÔNG TY CỔ PHẦN THIẾT BỊ KHOA HỌC KỸ THUẬT TÂN PHONG</t>
  </si>
  <si>
    <t>5006127</t>
  </si>
  <si>
    <t>CÔNG TY TNHH THIẾT KẾ - IN ẤN CÁNH CAM</t>
  </si>
  <si>
    <t>5006129</t>
  </si>
  <si>
    <t>CÔNG TY TNHH TRẦN MÔN</t>
  </si>
  <si>
    <t>5006130</t>
  </si>
  <si>
    <t>CÔNG TY CỔ PHẦN LAURA SUNSHINE</t>
  </si>
  <si>
    <t>5006132</t>
  </si>
  <si>
    <t>CÔNG TY TNHH THƯƠNG MẠI THIÊN KHANG</t>
  </si>
  <si>
    <t>5006133</t>
  </si>
  <si>
    <t>CÔNG TY TNHH WELLSOON BIOTECH VIETNAM</t>
  </si>
  <si>
    <t>5006134</t>
  </si>
  <si>
    <t>CÔNG TY TNHH SẢN XUẤT THƯƠNG MẠI DỊCH VỤ XNK NHẤT TÂM</t>
  </si>
  <si>
    <t>5007018</t>
  </si>
  <si>
    <t>Công Ty KTC</t>
  </si>
  <si>
    <t>5007026</t>
  </si>
  <si>
    <t>Công Ty TNHH MTV Thìn Hy</t>
  </si>
  <si>
    <t>5007050</t>
  </si>
  <si>
    <t>CÔNG TY CP TẦM NHÌN MỚI</t>
  </si>
  <si>
    <t>5007055</t>
  </si>
  <si>
    <t>CÔNG TY TNHH HDX VIỆT NAM</t>
  </si>
  <si>
    <t>5007059</t>
  </si>
  <si>
    <t>VPĐD CÔNG TY TEMPE TRADING SA</t>
  </si>
  <si>
    <t>5007064</t>
  </si>
  <si>
    <t>CTY COMMERCE</t>
  </si>
  <si>
    <t>5007067</t>
  </si>
  <si>
    <t xml:space="preserve">CTY TNHH VO VO </t>
  </si>
  <si>
    <t>5007077</t>
  </si>
  <si>
    <t xml:space="preserve">CN CTY CỔ PHẦN THẾ GIỚI SỐ </t>
  </si>
  <si>
    <t>5007079</t>
  </si>
  <si>
    <t xml:space="preserve">CN CTY CPTM TIN HỌC HƯNG LONG </t>
  </si>
  <si>
    <t>5007081</t>
  </si>
  <si>
    <t xml:space="preserve">CTY TNHH TM DORCO VIỆT NAM </t>
  </si>
  <si>
    <t>5007084</t>
  </si>
  <si>
    <t>CTY CPPTCN MOBILE STAR</t>
  </si>
  <si>
    <t>5007088</t>
  </si>
  <si>
    <t xml:space="preserve">CTY TNHH DỤNG CỤ ANMI </t>
  </si>
  <si>
    <t>5007097</t>
  </si>
  <si>
    <t>Công Ty TNHH Thương Mại Dịch Vụ SA GA</t>
  </si>
  <si>
    <t>5007105</t>
  </si>
  <si>
    <t>DOANH NGHIỆP TƯ NHÂN HỒNG PHƯỚC LONG</t>
  </si>
  <si>
    <t>5007111</t>
  </si>
  <si>
    <t>CÔNG TY TNHH DỆT G.R VINA</t>
  </si>
  <si>
    <t>5007113</t>
  </si>
  <si>
    <t>CÔNG TY TNHH THƯƠNG MẠI SẢN XUẤT VÀ DỊCH VỤ HOÀNG PHƯƠNG</t>
  </si>
  <si>
    <t>5007116</t>
  </si>
  <si>
    <t>CÔNG TY TNHH THƯƠNG MẠI Y&amp;Y</t>
  </si>
  <si>
    <t>5007119</t>
  </si>
  <si>
    <t>CÔNG TY TNHH VẬT LiỆU XÂY DỰNG K.U.S</t>
  </si>
  <si>
    <t>5007120</t>
  </si>
  <si>
    <t>CÔNG TY TNHH SẢN XuẤT THƯƠNG MẠI DỊCH VỤ TÂN ĐẠT THẮNG</t>
  </si>
  <si>
    <t>5007121</t>
  </si>
  <si>
    <t>CÔNG TY TNHH SX - TM - DV PHÚC AN</t>
  </si>
  <si>
    <t>5007124</t>
  </si>
  <si>
    <t>CÔNG TY CỔ PHẦN DỊCH VỤ GIA TĂNG MOBIFONE</t>
  </si>
  <si>
    <t>5007126</t>
  </si>
  <si>
    <t>CÔNG TY TNHH MTV THƯƠNG MẠI HYTORC ViỆT NAM</t>
  </si>
  <si>
    <t>5007128</t>
  </si>
  <si>
    <t>5007129</t>
  </si>
  <si>
    <t>CÔNG TY TNHH VẬN TẢI QuỐC TẾ KẾT NỐI THÔNG MINH</t>
  </si>
  <si>
    <t>5007130</t>
  </si>
  <si>
    <t>5007133</t>
  </si>
  <si>
    <t>CHI NHÁNH CÔNG TY TNHH VIPAMED VIỆT NAM</t>
  </si>
  <si>
    <t>5007134</t>
  </si>
  <si>
    <t>CÔNG TY TNHH PRO TRANS LOGISTICS HỒ CHÍ MINH</t>
  </si>
  <si>
    <t>5007137</t>
  </si>
  <si>
    <t>5007138</t>
  </si>
  <si>
    <t>VĂN PHÒNG BÁN VÉ HÃNG HÀNG KHÔNG CHINA AIRLINES LIMITED</t>
  </si>
  <si>
    <t>5007140</t>
  </si>
  <si>
    <t>MOBIIFONE PLUS CN TÔ HiẾN THÀNH Q10</t>
  </si>
  <si>
    <t>5007141</t>
  </si>
  <si>
    <t>MOBIFONE PLUS CN LÊ QUANG ĐỊNH BÌNH THẠNH</t>
  </si>
  <si>
    <t>5007142</t>
  </si>
  <si>
    <t>MOBIFONE PLUS CN TRẦN NÃO Q2</t>
  </si>
  <si>
    <t>5007143</t>
  </si>
  <si>
    <t>MOBIFONE PLUS CN NGUYỄN DU Q1</t>
  </si>
  <si>
    <t>5007144</t>
  </si>
  <si>
    <t>MOBIFONE PLUS CN LÊ VĂN ViỆT Q9</t>
  </si>
  <si>
    <t>5007145</t>
  </si>
  <si>
    <t>MOBIFONE PLUS CN QUANG TRUNG GÒ VẤP</t>
  </si>
  <si>
    <t>5007146</t>
  </si>
  <si>
    <t>MOBIFONE PLUS CN VÕ VĂN NGÂN THỦ ĐỨC</t>
  </si>
  <si>
    <t>5007147</t>
  </si>
  <si>
    <t>MOBIFONE PLUS CN NGUYỄN SƠN Q TÂN PHÚ</t>
  </si>
  <si>
    <t>5007148</t>
  </si>
  <si>
    <t>MOBIFONE PLUS CN CỘNG HÒA, TÂN BÌNH</t>
  </si>
  <si>
    <t>5007150</t>
  </si>
  <si>
    <t>CN TẠI TP HỒ CHÍ MINH - CÔNG TY TNHH CORTECH ViỆT NAM</t>
  </si>
  <si>
    <t>5007152</t>
  </si>
  <si>
    <t>MOBIFONE PLUS CN QuỐC LỘ 50 BÌNH CHÁNH</t>
  </si>
  <si>
    <t>5007155</t>
  </si>
  <si>
    <t>CÔNG TY TNHH TM BÁCH QUANG</t>
  </si>
  <si>
    <t>5007156</t>
  </si>
  <si>
    <t>CHI NHÁNH CÔNG TY TNHH VẬN CHUYỂN BẢO NGỌC XANH TẠI TP.HCM</t>
  </si>
  <si>
    <t>5007157</t>
  </si>
  <si>
    <t>CÔNG TY TNHH HONGKONG YUTAI ViỆT NAM</t>
  </si>
  <si>
    <t>5007158</t>
  </si>
  <si>
    <t>CÔNG TY CỔ PHẦN URBAN CITY</t>
  </si>
  <si>
    <t>5007161</t>
  </si>
  <si>
    <t>CÔNG TY CỔ PHẦN XÂY DỰNG KHANG HY</t>
  </si>
  <si>
    <t>5007162</t>
  </si>
  <si>
    <t>CÔNG TY TNHH SCOPECON INTERNATIONAL</t>
  </si>
  <si>
    <t>5007172</t>
  </si>
  <si>
    <t>CÔNG TY TNHH DỊCH VỤ - THƯƠNG MẠI THANH NGỌC</t>
  </si>
  <si>
    <t>5007173</t>
  </si>
  <si>
    <t>CÔNG TY TNHH THƯƠNG MẠI ĐIỆN TỬ LOTTE VIỆT NAM</t>
  </si>
  <si>
    <t>5007174</t>
  </si>
  <si>
    <t>CÔNG TY TRÁCH NHIỆM HỮU HẠN Y TẾ VIỄN ĐÔNG VIỆT NAM</t>
  </si>
  <si>
    <t>5008007</t>
  </si>
  <si>
    <t>Công Ty TNHH Dược Phẩm Tây Sơn</t>
  </si>
  <si>
    <t>5008023</t>
  </si>
  <si>
    <t>CÔNG TY TNHH - TM SX IN ẤN HIỆP PHƯỚC</t>
  </si>
  <si>
    <t>5008033</t>
  </si>
  <si>
    <t xml:space="preserve">CN TỔNG CTY TMSG-TNHH 1 TV -TTTM SATRA ĐƯỜNG PHẠM HÙNG </t>
  </si>
  <si>
    <t>5008034</t>
  </si>
  <si>
    <t xml:space="preserve">CTY TNHH TMSX ĐẠI THÀNH PHÚC </t>
  </si>
  <si>
    <t>5008035</t>
  </si>
  <si>
    <t xml:space="preserve">CTY TNHH ĐẠI HOÀNG MỸ </t>
  </si>
  <si>
    <t>5008042</t>
  </si>
  <si>
    <t>CTY JST CORPORATION</t>
  </si>
  <si>
    <t>5008048</t>
  </si>
  <si>
    <t xml:space="preserve">CTY TNHH TRANG THIẾT BỊ Y TẾ  VẠN HƯNG </t>
  </si>
  <si>
    <t>5008050</t>
  </si>
  <si>
    <t xml:space="preserve">CTY TNHH KT&amp;TM NĂNG LƯỢNG XANH </t>
  </si>
  <si>
    <t>5008055</t>
  </si>
  <si>
    <t>Công Ty TNHH Thương Mại Dịch Vụ Vận Tải Quốc Tế SUNRISE</t>
  </si>
  <si>
    <t>5008058</t>
  </si>
  <si>
    <t>Công Ty TNHH HTCSG</t>
  </si>
  <si>
    <t>5008060</t>
  </si>
  <si>
    <t>CÔNG TY TNHH VÂN NGA</t>
  </si>
  <si>
    <t>5008062</t>
  </si>
  <si>
    <t>CÔNG TY CỔ PHẦN MÁY XÂY DỰNG ĐẠI NAM</t>
  </si>
  <si>
    <t>5008065</t>
  </si>
  <si>
    <t>CÔNG TY CỔ PHẦN ĐẦU TƯ HỒNG GIA PHÁT</t>
  </si>
  <si>
    <t>5008069</t>
  </si>
  <si>
    <t>CÔNG TY TNHH MỘT THÀNH VIÊN CƠN BÃO SỐ</t>
  </si>
  <si>
    <t>5008071</t>
  </si>
  <si>
    <t>CÔNG TY TNHH SẢN XuẤT THƯƠNG MẠI TiẾN MỸ TRÂN</t>
  </si>
  <si>
    <t>5008073</t>
  </si>
  <si>
    <t>CÔNG TY TNHH HỒ PHI LONG</t>
  </si>
  <si>
    <t>5009002</t>
  </si>
  <si>
    <t>Công Ty TNHH Sản Xuất Uyển Linh</t>
  </si>
  <si>
    <t>5009004</t>
  </si>
  <si>
    <t>Công Ty TNHH Quốc Tế Yên Chi</t>
  </si>
  <si>
    <t>5009017</t>
  </si>
  <si>
    <t>Công Ty TNHH Việt Sam</t>
  </si>
  <si>
    <t>5009022</t>
  </si>
  <si>
    <t>Công Ty TNHH 1TV SX-TM Mỹ Hân</t>
  </si>
  <si>
    <t>5009046</t>
  </si>
  <si>
    <t>CÔNG TY TNHH MTV TM-DV KT MINH PHÚC</t>
  </si>
  <si>
    <t>5009047</t>
  </si>
  <si>
    <t>CÔNG TY TNHH SX-TM PHÚ LỢI</t>
  </si>
  <si>
    <t>5009060</t>
  </si>
  <si>
    <t>CTY TNHH MTV DỊCH VỤ CÔNG ÍCH QUẬN 9</t>
  </si>
  <si>
    <t>5009066</t>
  </si>
  <si>
    <t xml:space="preserve">CÔNG TY TNHH SX-TM-DV 2G </t>
  </si>
  <si>
    <t>5009083</t>
  </si>
  <si>
    <t xml:space="preserve">CTY TNHH MTV XNK TMDVKT VẠN THÔNG </t>
  </si>
  <si>
    <t>5009084</t>
  </si>
  <si>
    <t xml:space="preserve">CTY CP BAO BÌ BÌNH MINH </t>
  </si>
  <si>
    <t>5009092</t>
  </si>
  <si>
    <t>CTY CPTB THỦY LỰC VN</t>
  </si>
  <si>
    <t>5009102</t>
  </si>
  <si>
    <t xml:space="preserve">CTY TNHH TM XNK THUẬN TIẾN </t>
  </si>
  <si>
    <t>5009103</t>
  </si>
  <si>
    <t>CTY TNHH DV XNK LAM NGUYÊN</t>
  </si>
  <si>
    <t>5009104</t>
  </si>
  <si>
    <t xml:space="preserve">CTY TNHH KỸ THUẬT VÀ DỊCH VỤ MINH PHÚ </t>
  </si>
  <si>
    <t>5009106</t>
  </si>
  <si>
    <t xml:space="preserve">CTY TNHH TM-DV-MT HUỲNH KIM NHẬT </t>
  </si>
  <si>
    <t>5009107</t>
  </si>
  <si>
    <t>CTY TNHH TMDV XNK BẦU TRỜI PV</t>
  </si>
  <si>
    <t>5009108</t>
  </si>
  <si>
    <t xml:space="preserve">CTY TNHH TRUYỀN THÔNG QUẢNG CÁO GOLD VIỆT </t>
  </si>
  <si>
    <t>5009109</t>
  </si>
  <si>
    <t xml:space="preserve">CTY TNHH CN MÔI TRƯỜNG NAM TRUNG VIỆT </t>
  </si>
  <si>
    <t>5009118</t>
  </si>
  <si>
    <t>CÔNG TY CỔ PHẦN TM DV MAY MẶC NGUYỄN HOÀNG</t>
  </si>
  <si>
    <t>5009124</t>
  </si>
  <si>
    <t>CÔNG TY TNHH SONION VIỆT NAM</t>
  </si>
  <si>
    <t>5009126</t>
  </si>
  <si>
    <t>CÔNG TY TNHH CƠ KHÍ 24H</t>
  </si>
  <si>
    <t>5009141</t>
  </si>
  <si>
    <t>CÔNG TY TNHH MISUMI ViỆT NAM - CHI NHÁNH TP.HỒ CHÍ MINH</t>
  </si>
  <si>
    <t>5009143</t>
  </si>
  <si>
    <t>CÔNG TY TNHH MISUMI ViỆT NAM - CN TP.HỒ CHÍ MINH (GỬI THƯ)</t>
  </si>
  <si>
    <t>5009150</t>
  </si>
  <si>
    <t>CÔNG TY TNHH HTI</t>
  </si>
  <si>
    <t>5009157</t>
  </si>
  <si>
    <t>CÔNG TY TNHH NANOTECH GLOBAL</t>
  </si>
  <si>
    <t>5010019</t>
  </si>
  <si>
    <t>CÔNG TY TNHH THIẾT BỊ PCCC VIỆT HÒA</t>
  </si>
  <si>
    <t>5010048</t>
  </si>
  <si>
    <t>CTY TNHH ỨNG DỤNG BẢN ĐỒ VIỆT</t>
  </si>
  <si>
    <t>5010071</t>
  </si>
  <si>
    <t xml:space="preserve"> CTY CP NGÔI NHÀ ÁNH DƯƠNG MIỀN NAM </t>
  </si>
  <si>
    <t>5010079</t>
  </si>
  <si>
    <t>Công ty TNHH TM -DV Nghị Hưng</t>
  </si>
  <si>
    <t>5010116</t>
  </si>
  <si>
    <t>Cty CP Quốc Tế MBA</t>
  </si>
  <si>
    <t>5010124</t>
  </si>
  <si>
    <t>Công Ty TNHH Xuân Lộc Thọ</t>
  </si>
  <si>
    <t>5010137</t>
  </si>
  <si>
    <t>Công Ty TNHH TM DV Đăng Dương</t>
  </si>
  <si>
    <t>5010141</t>
  </si>
  <si>
    <t>Công Ty TNHH Thương Mại Và XNK Thực Phẩm Dũng Nhi Thanh</t>
  </si>
  <si>
    <t>5010154</t>
  </si>
  <si>
    <t>Công Ty TNHH In Thành Mỹ</t>
  </si>
  <si>
    <t>5010158</t>
  </si>
  <si>
    <t>Công Ty TNHH Đỉnh Thiên</t>
  </si>
  <si>
    <t>5010190</t>
  </si>
  <si>
    <t xml:space="preserve">CÔNG TY TM-DV VĨNH QUANG MINH </t>
  </si>
  <si>
    <t>5010194</t>
  </si>
  <si>
    <t xml:space="preserve">CÔNG TY TNHH TM-DV PHƯỢNG ANH QUÂN </t>
  </si>
  <si>
    <t>5010205</t>
  </si>
  <si>
    <t>CTY CP SXTM XNK VIỄN THÔNG A</t>
  </si>
  <si>
    <t>5010225</t>
  </si>
  <si>
    <t xml:space="preserve">CTY TNHH DƯỢC PHẨM TUỆ HẢI </t>
  </si>
  <si>
    <t>5010241</t>
  </si>
  <si>
    <t>CTY TNHH TẤN HƯNG DCYK</t>
  </si>
  <si>
    <t>5010255</t>
  </si>
  <si>
    <t xml:space="preserve">CTY TNHH VLXD TRƯỜNG THỊNH </t>
  </si>
  <si>
    <t>5010259</t>
  </si>
  <si>
    <t xml:space="preserve">CTY TNHH TMDV PHÁT TRIỂN CUỘC SỐNG </t>
  </si>
  <si>
    <t>5010260</t>
  </si>
  <si>
    <t xml:space="preserve">CTY TNHH TMSX ÁNH HOÀNG KIM </t>
  </si>
  <si>
    <t>5010262</t>
  </si>
  <si>
    <t xml:space="preserve">CTY TNHH TB ÂM THANH - ÁNH SÁNG TRƯỜNG THỊNH </t>
  </si>
  <si>
    <t>5010263</t>
  </si>
  <si>
    <t>CTY CP VIỄN THÔNG VTC</t>
  </si>
  <si>
    <t>5010266</t>
  </si>
  <si>
    <t>CÔNG TY CỔ PHẦN TRUYỀN THÔNG JAVA MEDIA</t>
  </si>
  <si>
    <t>5010268</t>
  </si>
  <si>
    <t>Công Ty Cổ Phần Tân Bảo</t>
  </si>
  <si>
    <t>5010271</t>
  </si>
  <si>
    <t>CÔNG TY TNHH NGÂN ANH</t>
  </si>
  <si>
    <t>5010277</t>
  </si>
  <si>
    <t>CÔNG TY TNHH SẢN XuẤT THƯƠNG MẠI DỊCH VỤ QuẢNG CÁI HẢI THÁI</t>
  </si>
  <si>
    <t>5010280</t>
  </si>
  <si>
    <t>CÔNG TY TNHH TM DV N.K.MAY MẮN</t>
  </si>
  <si>
    <t>5010283</t>
  </si>
  <si>
    <t>CÔNG TY TNHH XNK MINH KHIÊM NGHỊ</t>
  </si>
  <si>
    <t>5010288</t>
  </si>
  <si>
    <t>CÔNG TY TNHH THƯƠNG MẠI KỸ THUẬT DiỆP KHÁNH</t>
  </si>
  <si>
    <t>5010291</t>
  </si>
  <si>
    <t>CÔNG TY TNHH CAAN</t>
  </si>
  <si>
    <t>5010292</t>
  </si>
  <si>
    <t>CÔNG TY TNHH DUPLO ViỆT NAM</t>
  </si>
  <si>
    <t>5010296</t>
  </si>
  <si>
    <t>CÔNG TY TNHH SUN SUN</t>
  </si>
  <si>
    <t>5010303</t>
  </si>
  <si>
    <t>CÔNG TY TNHH TRƯỜNG VINH HI-NÔ</t>
  </si>
  <si>
    <t>5010311</t>
  </si>
  <si>
    <t>CÔNG TY TNHH DỊCH VỤ TIẾP THỊ QUẢNG CÁO TỐC ĐỘ</t>
  </si>
  <si>
    <t>5010312</t>
  </si>
  <si>
    <t>CÔNG TY TNHH AIE SAIGON</t>
  </si>
  <si>
    <t>5010313</t>
  </si>
  <si>
    <t>CÔNG TY TNHH PICARE VIỆT NAM</t>
  </si>
  <si>
    <t>5010314</t>
  </si>
  <si>
    <t>CÔNG TY TNHH PROSOUND CENTER</t>
  </si>
  <si>
    <t>5011007</t>
  </si>
  <si>
    <t>Công ty Toung Long</t>
  </si>
  <si>
    <t>5011011</t>
  </si>
  <si>
    <t>CÔNG TY TNHH ĐẦU TƯ VÀ PHÁT TRIỂN KHƯƠNG NINH</t>
  </si>
  <si>
    <t>5011059</t>
  </si>
  <si>
    <t>CÔNG TY TNHH DƯỢC PHẨM TÂM AN PHÁT</t>
  </si>
  <si>
    <t>5011068</t>
  </si>
  <si>
    <t>VPDD CHIYOWA TSUSHU CORPORATION LIMITED</t>
  </si>
  <si>
    <t>5011082</t>
  </si>
  <si>
    <t xml:space="preserve">CTY ĐIỆN &amp; ĐIỆN TỬ TCL VIỆT NAM </t>
  </si>
  <si>
    <t>5011084</t>
  </si>
  <si>
    <t xml:space="preserve">CTY CPTBCN NAM LONG </t>
  </si>
  <si>
    <t>5011087</t>
  </si>
  <si>
    <t>CÔNG TY TNHH TRÚC NGHINH PHONG</t>
  </si>
  <si>
    <t>5011088</t>
  </si>
  <si>
    <t>CÔNG TY TNHH SPRAYING SYSTEMS (ViỆT NAM)</t>
  </si>
  <si>
    <t>5011093</t>
  </si>
  <si>
    <t>CÔNG TY TRÁCH NHIỆM HỮU HẠN SẢN XuẤT THƯƠNG MẠI NHỰT HỮU</t>
  </si>
  <si>
    <t>5011094</t>
  </si>
  <si>
    <t>VPDD LEEWAY INTERNATIONAL COMPANY LIMITED TẠI TPHCM</t>
  </si>
  <si>
    <t>5011096</t>
  </si>
  <si>
    <t>CÔNG TY TNHH THƯƠNG MẠI QuỐC TẾ ĐẾ DƯƠNG</t>
  </si>
  <si>
    <t>5011103</t>
  </si>
  <si>
    <t>CÔNG TY TNHH SX TM ÁNH NGÂN</t>
  </si>
  <si>
    <t>5011105</t>
  </si>
  <si>
    <t>CÔNG TY TNHH THƯƠNG MẠI THÀNH AN KHANG</t>
  </si>
  <si>
    <t>5011108</t>
  </si>
  <si>
    <t>CÔNG TY TNHH CÔNG NGHỆ AN PHA</t>
  </si>
  <si>
    <t>5011110</t>
  </si>
  <si>
    <t>CÔNG TY CỔ PHẦN MICROSUN</t>
  </si>
  <si>
    <t>5011114</t>
  </si>
  <si>
    <t>CN HTX VẬN TẢI SỐ 9 - TRẠM VẬN TẢI TM DỊCH VỤ THANH HUY</t>
  </si>
  <si>
    <t>5011115</t>
  </si>
  <si>
    <t>CÔNG TY CỔ PHẦN SẢN XUẤT THƯƠNG MẠI MAY PHÚ QUÝ</t>
  </si>
  <si>
    <t>5012010</t>
  </si>
  <si>
    <t>Cty CP Ô Tô Trường Hải</t>
  </si>
  <si>
    <t>5012024</t>
  </si>
  <si>
    <t>Công Ty TNHH TM&amp;SX Phước Thịnh Trần</t>
  </si>
  <si>
    <t>5012046</t>
  </si>
  <si>
    <t>CÔNG TY TNHH DV TM SX BÁCH HỢP</t>
  </si>
  <si>
    <t>5012047</t>
  </si>
  <si>
    <t>5012048</t>
  </si>
  <si>
    <t xml:space="preserve">CÔNG TY TNHH TM DV SẢN XUẤT ĐỨC HOÀNG </t>
  </si>
  <si>
    <t>5012051</t>
  </si>
  <si>
    <t xml:space="preserve">CÔNG TY TNHH DỆT HƯNG LONG </t>
  </si>
  <si>
    <t>5012053</t>
  </si>
  <si>
    <t>CTY PATIHA VIỆT NAM</t>
  </si>
  <si>
    <t>5012056</t>
  </si>
  <si>
    <t>CTY TNHH CN LIANGCHI II (VN)</t>
  </si>
  <si>
    <t>5012061</t>
  </si>
  <si>
    <t xml:space="preserve">CTY TNHH KB VIỆT NAM </t>
  </si>
  <si>
    <t>5012062</t>
  </si>
  <si>
    <t xml:space="preserve">CTY TNHH TM KỸ THUẬT ĐIỆN ĐẠI HÒA PHÚ </t>
  </si>
  <si>
    <t>5012063</t>
  </si>
  <si>
    <t>CTY CPĐT SẢN XUẤT XUẤT NHẬP KHẨU DVN</t>
  </si>
  <si>
    <t>5012064</t>
  </si>
  <si>
    <t xml:space="preserve">CTY CỔ PHẦN THỰC PHẨM THIÊN HƯƠNG </t>
  </si>
  <si>
    <t>5012070</t>
  </si>
  <si>
    <t xml:space="preserve">CTY TNHH THƯƠNG MẠI HBC </t>
  </si>
  <si>
    <t>5012076</t>
  </si>
  <si>
    <t xml:space="preserve">CTY TNHH MTV TMDV PHƯƠNG ĐÔNG KỸ THUẬT </t>
  </si>
  <si>
    <t>5012081</t>
  </si>
  <si>
    <t>CTY TNHH BICO</t>
  </si>
  <si>
    <t>5012084</t>
  </si>
  <si>
    <t>CTY TNHH TRUYỀN THÔNG VINAART</t>
  </si>
  <si>
    <t>5012087</t>
  </si>
  <si>
    <t xml:space="preserve">CTY CP VĨNH LỢI </t>
  </si>
  <si>
    <t>5012089</t>
  </si>
  <si>
    <t xml:space="preserve">CTY CP PHÁT TRIỂN PHỤ GIA VÀ SẢN PHẨM DẦU MỎ </t>
  </si>
  <si>
    <t>5012090</t>
  </si>
  <si>
    <t>CTY TNHH MỸ PHẨM MẠNH QUÂN</t>
  </si>
  <si>
    <t>5012093</t>
  </si>
  <si>
    <t>Công Ty TNHH Đặng Mậu Tấn</t>
  </si>
  <si>
    <t>5012094</t>
  </si>
  <si>
    <t>Công Ty TNHH DAEGYEONG VINA</t>
  </si>
  <si>
    <t>5012095</t>
  </si>
  <si>
    <t>CÔNG TY TNHH MTV THỰC PHẨM BÌNH VINH SÀI GÒN</t>
  </si>
  <si>
    <t>5012096</t>
  </si>
  <si>
    <t>CÔNG TY TNHH THƯƠNG MẠI DANH HUY</t>
  </si>
  <si>
    <t>5012097</t>
  </si>
  <si>
    <t>CÔNG TY TNHH THƯƠNG MẠI VÀ DỊCH VỤ NINA</t>
  </si>
  <si>
    <t>5012099</t>
  </si>
  <si>
    <t>CÔNG TY TNHH THƯƠNG MẠI XuẤT NHẬP KHẨU ViỆT HÀ</t>
  </si>
  <si>
    <t>5012102</t>
  </si>
  <si>
    <t>CÔNG TY TNHH MTV SẢN XUẤT - THƯƠNG MẠI HÙNG LONG</t>
  </si>
  <si>
    <t>5012104</t>
  </si>
  <si>
    <t>CÔNG TY TNHH AN PHÚC THỊNH VƯỢNG</t>
  </si>
  <si>
    <t>5012105</t>
  </si>
  <si>
    <t>CÔNG TY CỔ PHẦN DỊCH VỤ PHÂN PHỐI TỔNG HỢP QuỐC TẾ</t>
  </si>
  <si>
    <t>5012109</t>
  </si>
  <si>
    <t>CÔNG TY TNHH THIẾT BỊ CÔNG NGHIỆP AN THỊNH PHÁT</t>
  </si>
  <si>
    <t>5012114</t>
  </si>
  <si>
    <t>CÔNG TY TNHH SX TM DV NAM TÍN PHÁT</t>
  </si>
  <si>
    <t>5012115</t>
  </si>
  <si>
    <t>CÔNG TY TNHH DỊCH VỤ DU LỊCH ĐỈNH CAO MỚI</t>
  </si>
  <si>
    <t>5012116</t>
  </si>
  <si>
    <t>CÔNG TY TNHH MTV THƯƠNG MẠI DỊCH VỤ HOÀNG GIA LÂM</t>
  </si>
  <si>
    <t>5012124</t>
  </si>
  <si>
    <t>CÔNG TY TNHH HỖ TRỢ PHÁT TRIỂN CÔNG NGHIỆP SDT-VĂN PHÒNG HCM</t>
  </si>
  <si>
    <t>5012125</t>
  </si>
  <si>
    <t>CÔNG TY TNHH BAO BÌ KIM NHẬT</t>
  </si>
  <si>
    <t>5012127</t>
  </si>
  <si>
    <t>CÔNG TY TNHH MTV HƯNG GIA PHẠM</t>
  </si>
  <si>
    <t>5012129</t>
  </si>
  <si>
    <t>CÔNG TY TNHH KN L INTERNATIONAL</t>
  </si>
  <si>
    <t>5012130</t>
  </si>
  <si>
    <t>CÔNG TY TNHH THIẾT BỊ TÂN PHÁT SÀI GÒN</t>
  </si>
  <si>
    <t>5012133</t>
  </si>
  <si>
    <t>CÔNG TY TNHH CÔNG NGHỆ AMPLE SUN</t>
  </si>
  <si>
    <t>5012137</t>
  </si>
  <si>
    <t>CÔNG TY TNHH ALASY</t>
  </si>
  <si>
    <t>5012138</t>
  </si>
  <si>
    <t>CÔNG TY TNHH THIẾT BỊ VĂN PHÒNG ĐẠI PHÚ</t>
  </si>
  <si>
    <t>5013023</t>
  </si>
  <si>
    <t>Công ty LITACO</t>
  </si>
  <si>
    <t>5013077</t>
  </si>
  <si>
    <t>Công Ty TNHH DV Giao Nhận Vận Tải Quốc Tế Thái Bình Dương</t>
  </si>
  <si>
    <t>5013083</t>
  </si>
  <si>
    <t>VPĐD FREUDEDBERG &amp; ViLENE INT'L LTD</t>
  </si>
  <si>
    <t>5013094</t>
  </si>
  <si>
    <t>Công Ty TNHH Điện Dương</t>
  </si>
  <si>
    <t>5013096</t>
  </si>
  <si>
    <t>Công Ty TNHH Phi Thiên Vũ</t>
  </si>
  <si>
    <t>5013102</t>
  </si>
  <si>
    <t>Công Ty TNHH Giải pháp TM Ứng Dụng Phú Cường</t>
  </si>
  <si>
    <t>5013109</t>
  </si>
  <si>
    <t>Công Ty TNHH Tiếp Vận Giang Sơn</t>
  </si>
  <si>
    <t>5013114</t>
  </si>
  <si>
    <t>Công Ty TNHH DV GN HH Bầu Trới</t>
  </si>
  <si>
    <t>5013124</t>
  </si>
  <si>
    <t>CÔNG TY TNHH WAMGROUP VN</t>
  </si>
  <si>
    <t>5013125</t>
  </si>
  <si>
    <t>CÔNG TY TNHH HÒA HỢP</t>
  </si>
  <si>
    <t>5013128</t>
  </si>
  <si>
    <t>CÔNG TY TNHH SINH NAM</t>
  </si>
  <si>
    <t>5013145</t>
  </si>
  <si>
    <t>CÔNG TY TNHH PHƯƠNG LAI</t>
  </si>
  <si>
    <t>5013148</t>
  </si>
  <si>
    <t xml:space="preserve">CTY TNHH TVTM HOÀNG LONG </t>
  </si>
  <si>
    <t>5013156</t>
  </si>
  <si>
    <t xml:space="preserve">CTY TNHH TM&amp;DV QUỐC TẾ AN LỘC PHÁT </t>
  </si>
  <si>
    <t>5013169</t>
  </si>
  <si>
    <t xml:space="preserve">CTY CỔ PHẦN MINH LONG CHÂU </t>
  </si>
  <si>
    <t>5013178</t>
  </si>
  <si>
    <t xml:space="preserve">CTY TNHH TMDV VĨNH HÒA </t>
  </si>
  <si>
    <t>5013183</t>
  </si>
  <si>
    <t xml:space="preserve">CTY TNHH TMDVKT BẢO NAM </t>
  </si>
  <si>
    <t>5013187</t>
  </si>
  <si>
    <t>CN CTY CP GOODHEALTH VN TẠI TP.HCM</t>
  </si>
  <si>
    <t>5013188</t>
  </si>
  <si>
    <t>CTY TNHH OFIC VIỆT NAM</t>
  </si>
  <si>
    <t>5013198</t>
  </si>
  <si>
    <t>CÔNG TY TRÁCH NHIỆM HỮU HẠN CONECT</t>
  </si>
  <si>
    <t>5013200</t>
  </si>
  <si>
    <t>CÔNG TY TNHH BAYER ViỆT NAM</t>
  </si>
  <si>
    <t>5013211</t>
  </si>
  <si>
    <t>CÔNG TY CỔ PHẦN ĐiỆN THOẠI DI ĐỘNG THÀNH CÔNG</t>
  </si>
  <si>
    <t>5013215</t>
  </si>
  <si>
    <t>CÔNG TY TNHH XuẤT NHẬP KHẨU QuỐC TẾ CÂY THÔNG ĐỎ</t>
  </si>
  <si>
    <t>5013224</t>
  </si>
  <si>
    <t>CÔNG TY TNHH ACE CROWN ViỆT NAM</t>
  </si>
  <si>
    <t>5013227</t>
  </si>
  <si>
    <t>TTBH SAMSUNG NGUYỄN THỊ THẬP -CN1 HCM ( B2X ViỆT NAM)</t>
  </si>
  <si>
    <t>5013228</t>
  </si>
  <si>
    <t>TTBH SAMSUNG HỒNG BÀNG -CN2 HCM (B2X ViỆT NAM)</t>
  </si>
  <si>
    <t>5013231</t>
  </si>
  <si>
    <t>CÔNG TY CỔ PHẦN DƯỢC PHẨM APAC</t>
  </si>
  <si>
    <t>5013233</t>
  </si>
  <si>
    <t>CÔNG TY TNHH THƯƠNG MẠI DỊCH VỤ LÂM THANH</t>
  </si>
  <si>
    <t>5013235</t>
  </si>
  <si>
    <t>VPĐD ELS EDUCATIONAL SERVICES INC TẠI ViỆT NAM (HOA KỲ)</t>
  </si>
  <si>
    <t>5013239</t>
  </si>
  <si>
    <t>CÔNG TY CỔ PHẦN XÂY DỰNG KiẾN TRÚC TOÀN CẦU</t>
  </si>
  <si>
    <t>5013240</t>
  </si>
  <si>
    <t>CÔNG TY CỔ PHẦN BIFIDO VINA</t>
  </si>
  <si>
    <t>5013241</t>
  </si>
  <si>
    <t>CÔNG TY TNHH THƯƠNG MẠI DỊCH VỤ DU LỊCH THIÊN PHÚ</t>
  </si>
  <si>
    <t>5013242</t>
  </si>
  <si>
    <t>CÔNG TY TNHH QuỐC TẾ MẶT TRỜI ĐỎ</t>
  </si>
  <si>
    <t>5013248</t>
  </si>
  <si>
    <t>CÔNG TY TNHH THƯƠNG MẠI VÀ DỊCH VỤ XUẤT NHẬP KHẨU SUNFLOWER</t>
  </si>
  <si>
    <t>5013250</t>
  </si>
  <si>
    <t>CÔNG TY BẢO ViỆT AN PHÚ</t>
  </si>
  <si>
    <t>5013251</t>
  </si>
  <si>
    <t>CÔNG TY TNHH TAM THUẬN PHÁT</t>
  </si>
  <si>
    <t>5013253</t>
  </si>
  <si>
    <t>TỦ LẮP GHÉP FOREVER</t>
  </si>
  <si>
    <t>5013254</t>
  </si>
  <si>
    <t>CÔNG TY TNHH WINTOUR</t>
  </si>
  <si>
    <t>5014001</t>
  </si>
  <si>
    <t>Công Ty TNHH MTV Thế Cao</t>
  </si>
  <si>
    <t>5014021</t>
  </si>
  <si>
    <t>Cty TNHH TM &amp; DV Vận Tải Lê Duy</t>
  </si>
  <si>
    <t>5014035</t>
  </si>
  <si>
    <t>Cty Cổ Phần Sản Xuất Thương Mại Phạm Ngọc</t>
  </si>
  <si>
    <t>5014047</t>
  </si>
  <si>
    <t>VPĐD Công Ty TNHH UTECH Việt Nam</t>
  </si>
  <si>
    <t>5014069</t>
  </si>
  <si>
    <t>Công Ty TNHH Máy &amp; Thiết Bị Đồng An</t>
  </si>
  <si>
    <t>5014084</t>
  </si>
  <si>
    <t>Công Ty TNHH Hàn Đệ</t>
  </si>
  <si>
    <t>5014089</t>
  </si>
  <si>
    <t>CÔNG TY TNHH TM DV KT THÀNH PHƯƠNG</t>
  </si>
  <si>
    <t>5014097</t>
  </si>
  <si>
    <t>CÔNG TY CP 28 HƯNG PHÚ</t>
  </si>
  <si>
    <t>5014098</t>
  </si>
  <si>
    <t>CÔNG TY CỔ PHẦN XUẤT NHẬP KHẨU TTP</t>
  </si>
  <si>
    <t>5014099</t>
  </si>
  <si>
    <t xml:space="preserve">CÔNG TY TNHH TM DV XNK THẾ HỆ MỚI </t>
  </si>
  <si>
    <t>5014101</t>
  </si>
  <si>
    <t>CTY CP TM&amp;DV TÂN VIỄN TIN</t>
  </si>
  <si>
    <t>5014104</t>
  </si>
  <si>
    <t xml:space="preserve">CTY TNHH XNK THÁI ĐẠT </t>
  </si>
  <si>
    <t>5014105</t>
  </si>
  <si>
    <t>CTY TNHH BON TINA</t>
  </si>
  <si>
    <t>5014110</t>
  </si>
  <si>
    <t>CÔNG TY CỔ PHẦN TRUNG PHU</t>
  </si>
  <si>
    <t>5014113</t>
  </si>
  <si>
    <t xml:space="preserve">CTY TNHH HỆ THỐNG THIẾT BỊ FSP VIỆT NAM </t>
  </si>
  <si>
    <t>5014116</t>
  </si>
  <si>
    <t>CTY TNHH BẢO THÀNH THIÊN</t>
  </si>
  <si>
    <t>5014117</t>
  </si>
  <si>
    <t>CTY TNHH TBCN VIỆT HÀ</t>
  </si>
  <si>
    <t>5014121</t>
  </si>
  <si>
    <t xml:space="preserve">CTY TNHH UNI-SON </t>
  </si>
  <si>
    <t>5014123</t>
  </si>
  <si>
    <t xml:space="preserve">CTY TNHH PHÁT TRIỂN THIÊN BÌNH </t>
  </si>
  <si>
    <t>5014124</t>
  </si>
  <si>
    <t xml:space="preserve">CTY TNHH PHỤ GIA NHỰA THÀNH LỘC </t>
  </si>
  <si>
    <t>5014145</t>
  </si>
  <si>
    <t>CTY CP PHÂN PHỐI SPCN CAO DẦU KHÍ ( PHTD)</t>
  </si>
  <si>
    <t>5014146</t>
  </si>
  <si>
    <t>CTY CP HỘI TỤ THÔNG MINH ( SMART COM )</t>
  </si>
  <si>
    <t>5014150</t>
  </si>
  <si>
    <t>Công Ty TNHH Thương Mại Xây Dựng Hồ Bơi Vina</t>
  </si>
  <si>
    <t>5014151</t>
  </si>
  <si>
    <t>Công Ty TNHH MTV TM-DV Du Lịch Sông Hương</t>
  </si>
  <si>
    <t>5014152</t>
  </si>
  <si>
    <t>Công Ty TNHH Dịch Vụ Bảo Vệ Hòa Bình</t>
  </si>
  <si>
    <t>5014156</t>
  </si>
  <si>
    <t>Công Ty TNHH Thiết Kế In Quang Phát</t>
  </si>
  <si>
    <t>5014161</t>
  </si>
  <si>
    <t>CÔNG TY CỔ PHẦN PHÂN PHỐI NETMARK</t>
  </si>
  <si>
    <t>5014162</t>
  </si>
  <si>
    <t>CÔNG TY TNHH THIẾT BỊ AN PHÁT</t>
  </si>
  <si>
    <t>5014168</t>
  </si>
  <si>
    <t>CÔNG TY TNHH SX_TM HỒNG NGỌC</t>
  </si>
  <si>
    <t>5014170</t>
  </si>
  <si>
    <t>CTY CP HỘI TỤ THÔNG MINH SMART COM ( Coolpad. )</t>
  </si>
  <si>
    <t>5014175</t>
  </si>
  <si>
    <t>CÔNG TY CỔ PHẦN LAI CUNG ÉN PHÚC SANG</t>
  </si>
  <si>
    <t>5014176</t>
  </si>
  <si>
    <t>CÔNG TY TNHH K.S.TERMINALS ViỆT NAM</t>
  </si>
  <si>
    <t>5014185</t>
  </si>
  <si>
    <t>CÔNG TY TNHH SX TM MỸ PHẨM PHẠM TRẦN GIA</t>
  </si>
  <si>
    <t>5014187</t>
  </si>
  <si>
    <t>CÔNG TY TNHH THƯƠNG MẠI VÀ SẢN XuẤT KHANG NINH</t>
  </si>
  <si>
    <t>5014188</t>
  </si>
  <si>
    <t>CÔNG TY TNHH HOÀNG THIÊN VŨ</t>
  </si>
  <si>
    <t>5014189</t>
  </si>
  <si>
    <t>VĂN PHÒNG ĐẠI DiỆN ARVENCO GMBH TẠI THÀNH PHỐ HỒ CHÍ MINH</t>
  </si>
  <si>
    <t>5014190</t>
  </si>
  <si>
    <t>CÔNG TY CỔ PHẦN TÍCH HỢP HỆ THỐNG GIANG ViỆT</t>
  </si>
  <si>
    <t>5014191</t>
  </si>
  <si>
    <t>CÔNG TY TNHH GIÁO DỤC VÀ ĐÀO TẠO NGUỒN NHÂN LỰC QuỐC TẾ HỒNG</t>
  </si>
  <si>
    <t>5014192</t>
  </si>
  <si>
    <t>CÔNG TY TNHH THƯƠNG MẠI DỊCH VỤ QUỐC TẾ NHÂN ĐẠI THÀNH</t>
  </si>
  <si>
    <t>5014194</t>
  </si>
  <si>
    <t>CÔNG TY TNHH CỐNG DU LỊCH ViỆT</t>
  </si>
  <si>
    <t>5014199</t>
  </si>
  <si>
    <t>CÔNG TY TNHH SẢN XUẤT THƯƠNG MẠI VÀ DỊCH VỤ KỸ THUẬT ĐẠI AN</t>
  </si>
  <si>
    <t>5014200</t>
  </si>
  <si>
    <t>CÔNG TY TNHH DỊCH VỤ VÀ THƯƠNG MẠI CHÍNH HiỆP</t>
  </si>
  <si>
    <t>5014201</t>
  </si>
  <si>
    <t>CÔNG TY TNHH MỘT THÀNH VIÊN THƯƠNG MẠI DỊCH VỤ VÀ KỸ THUẬT Đ</t>
  </si>
  <si>
    <t>5014204</t>
  </si>
  <si>
    <t>CÔNG TY TNHH THƯƠNG MẠI DỊCH VỤ HADU</t>
  </si>
  <si>
    <t>5014206</t>
  </si>
  <si>
    <t>CÔNG TY TNHH  GIÁO DỤC KỸ NĂNG MỸ - SÀI GÒN</t>
  </si>
  <si>
    <t>5014209</t>
  </si>
  <si>
    <t>CÔNG TY TNHH THIẾT BỊ NGUYỄN PHƯƠNG</t>
  </si>
  <si>
    <t>5014210</t>
  </si>
  <si>
    <t>CÔNG TY TNHH KỸ THUẬT HESCO</t>
  </si>
  <si>
    <t>5014217</t>
  </si>
  <si>
    <t>CÔNG TY TNHH MÔI TRƯỜNG XUYÊN ViỆT</t>
  </si>
  <si>
    <t>5014221</t>
  </si>
  <si>
    <t>CÔNG TY TNHH THƯƠNG MẠI KỸ THUẬT HƯNG GIA PHÁT</t>
  </si>
  <si>
    <t>5014225</t>
  </si>
  <si>
    <t>CÔNG TY TNHH THƯƠNG MẠI DỊCH VỤ ViỄN THÔNG THÀNH PHỐ</t>
  </si>
  <si>
    <t>5014226</t>
  </si>
  <si>
    <t>CÔNG TY TNHH TM DV CÔNG NGHỆ TK</t>
  </si>
  <si>
    <t>5014228</t>
  </si>
  <si>
    <t>CÔNG TY TNHH THƯƠNG MẠI DỊCH VỤ TECH GARDEN</t>
  </si>
  <si>
    <t>5014230</t>
  </si>
  <si>
    <t>CÔNG TY CỔ PHẦN SẢN XUẤT PHÁT TRIỂN VẬT LiỆU XÂY DỰNG CTA</t>
  </si>
  <si>
    <t>5015016</t>
  </si>
  <si>
    <t>Công Ty TNHH Thịnh Việt</t>
  </si>
  <si>
    <t>5015018</t>
  </si>
  <si>
    <t>Công Ty TNHH TM DV KT Kỷ Lục</t>
  </si>
  <si>
    <t>5015027</t>
  </si>
  <si>
    <t>Công Ty Jia Mei</t>
  </si>
  <si>
    <t>5015052</t>
  </si>
  <si>
    <t>Công Ty TNHH MTV DV Phân Phối Tổng Hợp Dầu Khí</t>
  </si>
  <si>
    <t>5015078</t>
  </si>
  <si>
    <t>Cty TNHH Vạn An</t>
  </si>
  <si>
    <t>5015088</t>
  </si>
  <si>
    <t xml:space="preserve">CTY TNHH VIỆT ÁNH DƯƠNG </t>
  </si>
  <si>
    <t>5015094</t>
  </si>
  <si>
    <t>Công Ty  Đại Chính Quang</t>
  </si>
  <si>
    <t>5015103</t>
  </si>
  <si>
    <t>5015113</t>
  </si>
  <si>
    <t>Xí Nghiệp Xây  Lắp Số 5</t>
  </si>
  <si>
    <t>5015189</t>
  </si>
  <si>
    <t>CN Công Ty TNHH Com Min Việt Nam</t>
  </si>
  <si>
    <t>5015190</t>
  </si>
  <si>
    <t>CÔNG TY TNHH CÔNG NGHỆ MÃ VẠCH KỶ NGUYÊN</t>
  </si>
  <si>
    <t>5015214</t>
  </si>
  <si>
    <t>Công Ty CP Vùng Đất Kỹ Thuật Số</t>
  </si>
  <si>
    <t>5015227</t>
  </si>
  <si>
    <t>CTY TNHH DV TM SX TRÍ ĐỨC</t>
  </si>
  <si>
    <t>5015232</t>
  </si>
  <si>
    <t>Công Ty TNHH Công Nghệ Phú An Bình</t>
  </si>
  <si>
    <t>5015233</t>
  </si>
  <si>
    <t>Công Ty TNHH Thiết Kế Tạo Mẫu In Ấn Bao Bì Tân Đức Hải</t>
  </si>
  <si>
    <t>5015243</t>
  </si>
  <si>
    <t>Công TY TNHH OMG Việt Nam</t>
  </si>
  <si>
    <t>5015248</t>
  </si>
  <si>
    <t>Công Ty CP Tín Phú Lợi</t>
  </si>
  <si>
    <t>5015255</t>
  </si>
  <si>
    <t>Công Ty TNHH Kỷ Thuật Lộc Thịnh Phát</t>
  </si>
  <si>
    <t>5015271</t>
  </si>
  <si>
    <t>CÔNG TY TNHH MỘT THÀNH VIÊN TM DV HÀRIMA</t>
  </si>
  <si>
    <t>5015274</t>
  </si>
  <si>
    <t>Công Ty TNHH Tư vấn Nhà Lãnh Đạo Thế Kỷ</t>
  </si>
  <si>
    <t>5015285</t>
  </si>
  <si>
    <t>CÔNG TY TNHH XD-TM LÂM TUẤN NGHĨA</t>
  </si>
  <si>
    <t>5015290</t>
  </si>
  <si>
    <t>CÔNG TY CP CÔNG NGHIỆP TIẾN HƯNG</t>
  </si>
  <si>
    <t>5015310</t>
  </si>
  <si>
    <t xml:space="preserve">CTY TNHH MAY XUẤT KHẨU HÙNG VỸ </t>
  </si>
  <si>
    <t>5015318</t>
  </si>
  <si>
    <t xml:space="preserve">CTY TNHH THƯƠNG MẠI - ĐẦU TƯ PHƯƠNG LINH </t>
  </si>
  <si>
    <t>5015322</t>
  </si>
  <si>
    <t xml:space="preserve">CTY TNHH SXTM XNK HƯNG THÀNH ĐẠT </t>
  </si>
  <si>
    <t>5015323</t>
  </si>
  <si>
    <t xml:space="preserve">CTY TNHH TMDV XUYÊN ĐÔNG DƯƠNG </t>
  </si>
  <si>
    <t>5015331</t>
  </si>
  <si>
    <t xml:space="preserve">CTY TNHH VẬN TẢI QUỐC TẾ MINH LONG </t>
  </si>
  <si>
    <t>5015341</t>
  </si>
  <si>
    <t xml:space="preserve">CTY TNHH CÔNG NGHỆ TRƯỜNG THÀNH </t>
  </si>
  <si>
    <t>5015343</t>
  </si>
  <si>
    <t xml:space="preserve">CTY TNHH THƯƠNG MẠI KỸ THUẬT ÂU CHÂU </t>
  </si>
  <si>
    <t>5015349</t>
  </si>
  <si>
    <t>CTY CỔ PHẦN TRANSCON</t>
  </si>
  <si>
    <t>5015357</t>
  </si>
  <si>
    <t xml:space="preserve">CTY TNHH GỖ PHƯƠNG ĐÔNG </t>
  </si>
  <si>
    <t>5015361</t>
  </si>
  <si>
    <t xml:space="preserve">CTY TNHH MTV TM THỜI TRANG PHƯƠNG TUẤN </t>
  </si>
  <si>
    <t>5015368</t>
  </si>
  <si>
    <t>CN Công Ty Cổ Phần HUYN DAI Việt Thanh</t>
  </si>
  <si>
    <t>5015412</t>
  </si>
  <si>
    <t>CÔNG TY CỔ PHẦN THIẾT BỊ PHỤ TÙNG VÀ DỊCH VỤ MICO EPT</t>
  </si>
  <si>
    <t>5015415</t>
  </si>
  <si>
    <t>CÔNG TY TNHH LUKI ViỆT NAM</t>
  </si>
  <si>
    <t>5015416</t>
  </si>
  <si>
    <t>CÔNG TY TNHH SẢN XuẤT THƯƠNG MẠI HỒNG PHÚC</t>
  </si>
  <si>
    <t>5015422</t>
  </si>
  <si>
    <t>CÔNG TY TNHH NĂNG LƯỢNG MÔI TRƯỜNG BiỂN ĐÔNG</t>
  </si>
  <si>
    <t>5015429</t>
  </si>
  <si>
    <t>CÔNG TY TNHH INTERNATIONAL EQUIPMENT SUPPLY</t>
  </si>
  <si>
    <t>5015438</t>
  </si>
  <si>
    <t>CÔNG TY TNHH GiẢI PHÁP SÀN CÔNG NGHIỆP</t>
  </si>
  <si>
    <t>5015442</t>
  </si>
  <si>
    <t>CÔNG TY TNHH TM DV TƯ VẤN XÂY DỰNG &amp; DU LỊCH HUỲNH TRẦN</t>
  </si>
  <si>
    <t>5015443</t>
  </si>
  <si>
    <t>CÔNG TY CỔ PHẦN ĐẦU TƯ SONG HÙNG</t>
  </si>
  <si>
    <t>5015450</t>
  </si>
  <si>
    <t>CÔNG TY TNHH THIẾT BỊ KHOA HỌC AN NHIÊN</t>
  </si>
  <si>
    <t>5015454</t>
  </si>
  <si>
    <t>CÔNG TY TNHH THƯƠNG MẠI TiẾP VẬN ĐẠI TÂY DƯƠNG</t>
  </si>
  <si>
    <t>5015456</t>
  </si>
  <si>
    <t>CÔNG TY TNHH SPEED LOGS</t>
  </si>
  <si>
    <t>5015457</t>
  </si>
  <si>
    <t>CÔNG TY TNHH HOÀNG ANH PHƯƠNG</t>
  </si>
  <si>
    <t>5015458</t>
  </si>
  <si>
    <t>CÔNG TY CỔ PHẦN VMARK</t>
  </si>
  <si>
    <t>5015459</t>
  </si>
  <si>
    <t>CÔNG TY TNHH DD KAFFEE</t>
  </si>
  <si>
    <t>5015467</t>
  </si>
  <si>
    <t>CÔNG TY TNHH THƯƠNG MẠI DỊCH VỤ Y TẾ ĐỊNH GIANG</t>
  </si>
  <si>
    <t>5015469</t>
  </si>
  <si>
    <t>CÔNG TY TNHH TRẦN DUY</t>
  </si>
  <si>
    <t>5015481</t>
  </si>
  <si>
    <t>CÔNG TY TNHH SUHEUNG VIET NAM</t>
  </si>
  <si>
    <t>5015490</t>
  </si>
  <si>
    <t>CÔNG TY TNHH DỊCH VỤ VÀ THƯƠNG MẠI THỦY TINH</t>
  </si>
  <si>
    <t>5015491</t>
  </si>
  <si>
    <t>CÔNG TY TNHH TiẾP VẬN THIÊN THANH</t>
  </si>
  <si>
    <t>5015494</t>
  </si>
  <si>
    <t>CHI NHÁNH CÔNG TY CỔ PHẦN KAROFI ViỆT NAM</t>
  </si>
  <si>
    <t>5015497</t>
  </si>
  <si>
    <t>CÔNG TY TNHH - SXTM QUẢNG CÁO ÁNH BAN MAI</t>
  </si>
  <si>
    <t>5015502</t>
  </si>
  <si>
    <t>CÔNG TY TNHH CÀ PHÊ TRÀ PHƯƠNG VY</t>
  </si>
  <si>
    <t>5015503</t>
  </si>
  <si>
    <t>CÔNG TY TNHH VTP VINA</t>
  </si>
  <si>
    <t>5015504</t>
  </si>
  <si>
    <t>CÔNG TY CỔ PHẦN GIÁO DỤC ViỆT NAM</t>
  </si>
  <si>
    <t>5015505</t>
  </si>
  <si>
    <t>CÔNG TY CỔ PHẦN BẤT ĐỘNG SẢN KIM LONG</t>
  </si>
  <si>
    <t>5015506</t>
  </si>
  <si>
    <t>CÔNG TY CỔ PHẦN ĐẦU TƯ PHÁT TRIỂN SẢN XUẤT MIỀN NAM</t>
  </si>
  <si>
    <t>5015507</t>
  </si>
  <si>
    <t>CÔNG TY TNHH CARLCARE SERVICE VN (KHO VẬT TƯ)</t>
  </si>
  <si>
    <t>5015508</t>
  </si>
  <si>
    <t>5015509</t>
  </si>
  <si>
    <t>CÔNG TY TNHH TM - DV- SX MỸ PHẨM BẢO NGỌC</t>
  </si>
  <si>
    <t>5015510</t>
  </si>
  <si>
    <t>CÔNG TY TNHH QUALISERV (VIỆT NAM)</t>
  </si>
  <si>
    <t>5017018</t>
  </si>
  <si>
    <t>Cty TNHH Hồng Môn</t>
  </si>
  <si>
    <t>5017039</t>
  </si>
  <si>
    <t>CÔNG TY TNHH THƯƠNG MẠI DỊCH VỤ ĐẠT MỸ</t>
  </si>
  <si>
    <t>5017052</t>
  </si>
  <si>
    <t>XN Cơ Khí Ô Tô An Lạc-Tổng Công Ty Cơ Khí GTVT Sài Gòn</t>
  </si>
  <si>
    <t>5017053</t>
  </si>
  <si>
    <t>TổngCTy CKGT VT Sài Gòn-Xí NghiệpCơKhí ôTôAnLạc(P.Hậu Mãi)</t>
  </si>
  <si>
    <t>5017059</t>
  </si>
  <si>
    <t>Công ty TNHH in 3D Thành Danh</t>
  </si>
  <si>
    <t>5017061</t>
  </si>
  <si>
    <t>Công Ty TNHH SX TM DV Đình Thái</t>
  </si>
  <si>
    <t>5017065</t>
  </si>
  <si>
    <t>Công Ty TNHH SUN PRINT-VN</t>
  </si>
  <si>
    <t>5017073</t>
  </si>
  <si>
    <t>Công Ty Liên Doanh Phạm-Asset</t>
  </si>
  <si>
    <t>5017074</t>
  </si>
  <si>
    <t>Công Ty CP Giải Pháp Kỹ Thuật Việt</t>
  </si>
  <si>
    <t>5017075</t>
  </si>
  <si>
    <t>Công Ty TNHH TM SX bao Bì Lai Trường Sơn</t>
  </si>
  <si>
    <t>5017083</t>
  </si>
  <si>
    <t>Công Ty TNHH TM - XK Song Kim Long Hải</t>
  </si>
  <si>
    <t>5017084</t>
  </si>
  <si>
    <t>CÔNG TY TNHH THƯƠNG MẠI VÀ KỸ THUẬT TRẦN HUYỀN</t>
  </si>
  <si>
    <t>5017092</t>
  </si>
  <si>
    <t>CÔNG TY TNHH TM ĐẠI PHÚ</t>
  </si>
  <si>
    <t>5017096</t>
  </si>
  <si>
    <t>CÔNG TY TNHH QUỐC HUY</t>
  </si>
  <si>
    <t>5017103</t>
  </si>
  <si>
    <t>CÔNG TY CP DƯỢC PHẨM QUẢNG BÌNH-CN</t>
  </si>
  <si>
    <t>5017115</t>
  </si>
  <si>
    <t xml:space="preserve">CTY TNHH PHÚ HƯNG CƯỜNG </t>
  </si>
  <si>
    <t>5017119</t>
  </si>
  <si>
    <t xml:space="preserve">CTY TNHH THIÊN KỲ </t>
  </si>
  <si>
    <t>5017120</t>
  </si>
  <si>
    <t xml:space="preserve">CTY TNHH TMDVTBCN TÂN HIỆP THÀNH </t>
  </si>
  <si>
    <t>5017126</t>
  </si>
  <si>
    <t xml:space="preserve">CN CTY TNHH XNK VĨNH THÁI </t>
  </si>
  <si>
    <t>5017132</t>
  </si>
  <si>
    <t xml:space="preserve">CTY TNHH NHÀ THÉP HIỆP TRÍ </t>
  </si>
  <si>
    <t>5017151</t>
  </si>
  <si>
    <t>CTY TNHH TMSX NHỰA CHÍ THÀNH VN</t>
  </si>
  <si>
    <t>5017156</t>
  </si>
  <si>
    <t xml:space="preserve">CTY TNHH TM&amp;DV DƯỢC PHẨM ANH MINH </t>
  </si>
  <si>
    <t>5017167</t>
  </si>
  <si>
    <t>CÔNG TY TNHH VĨNH THUẬN AN</t>
  </si>
  <si>
    <t>5017168</t>
  </si>
  <si>
    <t>CÔNG TY TNHH SX VÀ TM NHỰA MINH THÀNH</t>
  </si>
  <si>
    <t>5017172</t>
  </si>
  <si>
    <t>CÔNG TY CP CAO SU THÁI DƯƠNG</t>
  </si>
  <si>
    <t>5017174</t>
  </si>
  <si>
    <t>CÔNG TY TNHH THƯƠNG MẠI DỊCH VỤ VẬN TẢI TOÀN LIÊM</t>
  </si>
  <si>
    <t>5017178</t>
  </si>
  <si>
    <t>CÔNG TY TNHH GiẤY PHÚ GIANG MiỀN NAM</t>
  </si>
  <si>
    <t>5017179</t>
  </si>
  <si>
    <t>CÔNG TY TNHH THƯƠNG MẠI QuỐC TẾ DRAGON UP</t>
  </si>
  <si>
    <t>5017182</t>
  </si>
  <si>
    <t>HỘ KINH DOANH DOANH THIÊN</t>
  </si>
  <si>
    <t>5017183</t>
  </si>
  <si>
    <t>CÔNG TY TNHH SILASEAN</t>
  </si>
  <si>
    <t>5017191</t>
  </si>
  <si>
    <t>CÔNG TY TNHH ĐẦU TƯ VÀ PHÁT TRIỂN HOÀNG SA ViỆT</t>
  </si>
  <si>
    <t>5017194</t>
  </si>
  <si>
    <t>CÔNG TY TNHH MEGANE PRINCE - CHI NHÁNH BÌNH TÂN</t>
  </si>
  <si>
    <t>5017196</t>
  </si>
  <si>
    <t>CÔNG TY TNHH MTV THIẾT BỊ - CÔNG NGHIỆP CHÂU PHÚ CƯỜNG</t>
  </si>
  <si>
    <t>5017200</t>
  </si>
  <si>
    <t>CÔNG TY TNHH THIẾT BỊ VÀ VẬT TƯ CÔNG NGHIỆP LẬP SƠN</t>
  </si>
  <si>
    <t>5017202</t>
  </si>
  <si>
    <t>CÔNG TY TNHH SX TM DV H&amp;K</t>
  </si>
  <si>
    <t>5017207</t>
  </si>
  <si>
    <t>CÔNG TY TNHH SẢN XuẤT THƯƠNG MẠI NGỌC PHƯƠNG</t>
  </si>
  <si>
    <t>5017212</t>
  </si>
  <si>
    <t>5017214</t>
  </si>
  <si>
    <t xml:space="preserve">CÔNG TY TNHH NIN SING LOGISTICS </t>
  </si>
  <si>
    <t>5017215</t>
  </si>
  <si>
    <t>CÔNG TY CỔ PHẦN ĐẦU TƯ VÀ XÂY DỰNG ĐỊA ỐC GIA LONG</t>
  </si>
  <si>
    <t>5017216</t>
  </si>
  <si>
    <t>CÔNG TY TNHH VẬN CHUYỂN MỘT THẾ GiỚI</t>
  </si>
  <si>
    <t>5017218</t>
  </si>
  <si>
    <t>CÔNG TY CỔ PHẦN PHÂN PHỐI GIA HUY (KHO)</t>
  </si>
  <si>
    <t>5017219</t>
  </si>
  <si>
    <t>CÔNG TY TNHH CHẾ BiẾN THỰC PHẨM &amp; BÁNH KẸO PHẠM NGUYÊN</t>
  </si>
  <si>
    <t>5017220</t>
  </si>
  <si>
    <t>CÔNG TY TNHH MỘT THÀNH VIÊN KỸ THUẬT TÚ LỘC</t>
  </si>
  <si>
    <t>5017228</t>
  </si>
  <si>
    <t>CÔNG TY CỔ PHẦN XUẤT NHẬP KHẨU A TUẤN KHANG</t>
  </si>
  <si>
    <t>5017230</t>
  </si>
  <si>
    <t>CÔNG TY CỔ PHẦN ĐO ĐẠC XÂY DỰNG VÀ THIẾT BỊ PHÚC GIA</t>
  </si>
  <si>
    <t>5017232</t>
  </si>
  <si>
    <t>CÔNG TY CỔ PHẦN BỆNH ViỆN ĐA KHOA TƯ NHÂN TRIỀU AN</t>
  </si>
  <si>
    <t>5017235</t>
  </si>
  <si>
    <t>CÔNG TY CỔ PHẦN ĐẦU TƯ CÔNG NGHỆ ĐiỆN TỬ ASANZO</t>
  </si>
  <si>
    <t>5017236</t>
  </si>
  <si>
    <t>CÔNG TY TNHH SÁNG TÂM</t>
  </si>
  <si>
    <t>5017237</t>
  </si>
  <si>
    <t>CÔNG TY TNHH MỘT THÀNH VIÊN SẢN XUẤT XUẤT NHẬP KHẨU TRANCOS</t>
  </si>
  <si>
    <t>5017239</t>
  </si>
  <si>
    <t>HỘ KINH DOANH ĐỖ ĐỨC HiẾU</t>
  </si>
  <si>
    <t>5017240</t>
  </si>
  <si>
    <t>CÔNG TY SẢN XUẤT NHỰA VÀ THƯƠNG MẠI THÔNG HƯNG</t>
  </si>
  <si>
    <t>5017241</t>
  </si>
  <si>
    <t>CÔNG TY TNHH TM XNK KHAI TÂM</t>
  </si>
  <si>
    <t>5017242</t>
  </si>
  <si>
    <t>CÔNG TY TNHH VIETSTEEL</t>
  </si>
  <si>
    <t>5018004</t>
  </si>
  <si>
    <t>Công ty TNHH TMDV Cỏ May</t>
  </si>
  <si>
    <t>5018021</t>
  </si>
  <si>
    <t>Công ty TNHH SX TM Vinh Đạt</t>
  </si>
  <si>
    <t>5018031</t>
  </si>
  <si>
    <t>Công ty TNHH Inox Việt Na</t>
  </si>
  <si>
    <t>5018032</t>
  </si>
  <si>
    <t>Công Ty Thái An</t>
  </si>
  <si>
    <t>5018045</t>
  </si>
  <si>
    <t>Công ty LDSX Nút Nhựa Việt Thuận</t>
  </si>
  <si>
    <t>5018111</t>
  </si>
  <si>
    <t>Hoàng Kim Việt</t>
  </si>
  <si>
    <t>5018119</t>
  </si>
  <si>
    <t>Công ty TNHH TM DV Hà Long</t>
  </si>
  <si>
    <t>5018190</t>
  </si>
  <si>
    <t>CTY TNHH VIET THANG</t>
  </si>
  <si>
    <t>5018200</t>
  </si>
  <si>
    <t>Công ty TNHH Giao Nhận Ba Rôm</t>
  </si>
  <si>
    <t>5018232</t>
  </si>
  <si>
    <t>Cty TNHH SX-TM-IN Minh Mẫn</t>
  </si>
  <si>
    <t>5018244</t>
  </si>
  <si>
    <t>Công Ty TNHH A.D.V</t>
  </si>
  <si>
    <t>5018267</t>
  </si>
  <si>
    <t>Công Ty TNHH Một Thành Viên Thương Mại Dịch Vụ Hải Thạc</t>
  </si>
  <si>
    <t>5018277</t>
  </si>
  <si>
    <t>Công Ty TNHH Môi Trường Công Nghệ Công Thành</t>
  </si>
  <si>
    <t>5018279</t>
  </si>
  <si>
    <t>Công Ty TNHH Thành Hưng</t>
  </si>
  <si>
    <t>5018291</t>
  </si>
  <si>
    <t>CN Công Ty TNHH Quốc Tế Delta ( TP Hà Nội )</t>
  </si>
  <si>
    <t>5018306</t>
  </si>
  <si>
    <t>Công Ty TNHH VẬN TẢI PHÁT GIA MINH</t>
  </si>
  <si>
    <t>5018343</t>
  </si>
  <si>
    <t>Công Ty Lami</t>
  </si>
  <si>
    <t>5018357</t>
  </si>
  <si>
    <t>Công Ty TNHH DS International</t>
  </si>
  <si>
    <t>5018368</t>
  </si>
  <si>
    <t>Công Ty TNHH Hóa Chất Việt Á</t>
  </si>
  <si>
    <t>5018381</t>
  </si>
  <si>
    <t>Công Ty TNHH Đá Hoa Cương Quốc Tế</t>
  </si>
  <si>
    <t>5018384</t>
  </si>
  <si>
    <t>THE PRODUCT MAKERS VIỆT NAM</t>
  </si>
  <si>
    <t>5018395</t>
  </si>
  <si>
    <t>Công Ty CP May Thiên Hà</t>
  </si>
  <si>
    <t>5018400</t>
  </si>
  <si>
    <t>Công Ty CP Kỹ Thuật Bảo Sơn</t>
  </si>
  <si>
    <t>5018405</t>
  </si>
  <si>
    <t>Công Ty TNHH Quốc Tế Thiền Sinh Thái</t>
  </si>
  <si>
    <t>5018410</t>
  </si>
  <si>
    <t>Công Ty CP Thời Trang Kowil VN S</t>
  </si>
  <si>
    <t>5018411</t>
  </si>
  <si>
    <t xml:space="preserve">CTY TNHH DỊCH VỤ KẾT NỐI HÀNG KHÔNG </t>
  </si>
  <si>
    <t>5018413</t>
  </si>
  <si>
    <t>CN Công Ty TNHH -Vietrans EW (VN)-2 hàng quốc tế</t>
  </si>
  <si>
    <t>5018426</t>
  </si>
  <si>
    <t>CÔNG TY CP eSILICON VIỆT NAM</t>
  </si>
  <si>
    <t>5018433</t>
  </si>
  <si>
    <t>CÔNG TY TNHH TM DV XNK VIETTEL CN PHÍA NAM</t>
  </si>
  <si>
    <t>5018437</t>
  </si>
  <si>
    <t>CÔNG TY TNHH TM GIAO NHẬN VẬN TẢI ĐẠI SƠN</t>
  </si>
  <si>
    <t>5018464</t>
  </si>
  <si>
    <t>CÔNG TY TNHH DV GIAO VẬN</t>
  </si>
  <si>
    <t>5018472</t>
  </si>
  <si>
    <t>CÔNG TY TNHH TM DV PNK</t>
  </si>
  <si>
    <t>5018473</t>
  </si>
  <si>
    <t>CÔNG TY VNET</t>
  </si>
  <si>
    <t>5018476</t>
  </si>
  <si>
    <t>CÔNG TY TNHH CÔNG NGHIỆP NGUYỄN</t>
  </si>
  <si>
    <t>5018488</t>
  </si>
  <si>
    <t>CTY CPTV CÔNG NGHỆ &amp; THIẾT BỊ ( TECOTEC)</t>
  </si>
  <si>
    <t>5018491</t>
  </si>
  <si>
    <t>CTY TNHH SXTM HUỆ LINH</t>
  </si>
  <si>
    <t>5018506</t>
  </si>
  <si>
    <t>CTY TNHH SXTMDV PHÚ LÊ</t>
  </si>
  <si>
    <t>5018507</t>
  </si>
  <si>
    <t xml:space="preserve">CTY TNHH TIN HỌC NHẬT QUANG </t>
  </si>
  <si>
    <t>5018508</t>
  </si>
  <si>
    <t>CÔNG TY TNHH ASI LOGISTICS VIỆT NAM</t>
  </si>
  <si>
    <t>5018509</t>
  </si>
  <si>
    <t>CN CTY CP DƯỢC PHẨM ECO ( TP.HÀ NỘI )</t>
  </si>
  <si>
    <t>5018510</t>
  </si>
  <si>
    <t>5018511</t>
  </si>
  <si>
    <t>VPDD ECOLAB LTD</t>
  </si>
  <si>
    <t>5018516</t>
  </si>
  <si>
    <t xml:space="preserve">CTY TNHH TIẾP VẬN &amp; TM TOÀN CẦU </t>
  </si>
  <si>
    <t>5018520</t>
  </si>
  <si>
    <t xml:space="preserve">CTY TNHH TIFACO VIỆT NAM </t>
  </si>
  <si>
    <t>5018522</t>
  </si>
  <si>
    <t xml:space="preserve">CTY TNHH THIẾT BỊ CÔNG NGHIỆP CẤP ĐỘ </t>
  </si>
  <si>
    <t>5018523</t>
  </si>
  <si>
    <t xml:space="preserve">CTY TNHH SX THUN &amp; NGUYÊN LIỆU MAY PREMIER (VN) </t>
  </si>
  <si>
    <t>5018524</t>
  </si>
  <si>
    <t xml:space="preserve">VPDD IMPERIAL TOBACO INETRNATIONAL LIMITED TẠI HCM </t>
  </si>
  <si>
    <t>5018528</t>
  </si>
  <si>
    <t>CTY TNHH TMDVVTGN THIÊN KIM</t>
  </si>
  <si>
    <t>5018529</t>
  </si>
  <si>
    <t>Công ty TNHH XNK Mobell</t>
  </si>
  <si>
    <t>5018542</t>
  </si>
  <si>
    <t xml:space="preserve">CTY TNHH FUJIX VIỆT NAM </t>
  </si>
  <si>
    <t>5018544</t>
  </si>
  <si>
    <t xml:space="preserve">CTY TNHH PHI THƯỜNG </t>
  </si>
  <si>
    <t>5018546</t>
  </si>
  <si>
    <t xml:space="preserve">CTY TNHH CNTT ÁNH DƯƠNG </t>
  </si>
  <si>
    <t>5018548</t>
  </si>
  <si>
    <t>CÔNG TY TNHH MỘT THÀNH VIÊN HUÊ TÂM</t>
  </si>
  <si>
    <t>5018552</t>
  </si>
  <si>
    <t xml:space="preserve">CTY TNHH TRÁI TIM HẠNH PHÚC </t>
  </si>
  <si>
    <t>5018555</t>
  </si>
  <si>
    <t>CÔNG TY TNHH DOGGYMAN VIỆT NAM</t>
  </si>
  <si>
    <t>5018566</t>
  </si>
  <si>
    <t xml:space="preserve">CTY CỔ PHẦN LAI PHÚ </t>
  </si>
  <si>
    <t>5018569</t>
  </si>
  <si>
    <t xml:space="preserve">CTY TNHH VĂN KIM </t>
  </si>
  <si>
    <t>5018578</t>
  </si>
  <si>
    <t xml:space="preserve">CTY TNHH HẠT GIỐNG HOA VIỆT NAM </t>
  </si>
  <si>
    <t>5018579</t>
  </si>
  <si>
    <t>CTY Cổ Phần Công Nghệ Và Thương Mại  SYSTECH</t>
  </si>
  <si>
    <t>5018580</t>
  </si>
  <si>
    <t>CÔNG TY TNHH TIẾP VẬN VICÔ VIỆT NAM - CHI NHÁNH HỒ CHÍ MINH</t>
  </si>
  <si>
    <t>5018581</t>
  </si>
  <si>
    <t xml:space="preserve">CN CTY TNHH MTV ỨNG DỤNG CÔNG NGHỆ MỚI VÀ DU LỊCH </t>
  </si>
  <si>
    <t>5018582</t>
  </si>
  <si>
    <t>CÔNG TY TNHH THƯƠNG MẠI DỊCH VỤ CHÂU VĨNH CƯỜNG</t>
  </si>
  <si>
    <t>5018585</t>
  </si>
  <si>
    <t xml:space="preserve">CTY TNHH MORRISON EXPRESS VIỆT NAM </t>
  </si>
  <si>
    <t>5018589</t>
  </si>
  <si>
    <t>CN CTY TNHH DƯỢC PHẨM HOA LINH ( TP.HÀ NỘI 0</t>
  </si>
  <si>
    <t>5018591</t>
  </si>
  <si>
    <t>CTY TNHH TOA PERFORMANCECOATING ( VIỆT NAM )</t>
  </si>
  <si>
    <t>5018594</t>
  </si>
  <si>
    <t xml:space="preserve">CTY TNHH KIM LOẠI MÀU AN THỊNH PHÁT </t>
  </si>
  <si>
    <t>5018599</t>
  </si>
  <si>
    <t xml:space="preserve">CTY TNHH MTV VẬN TẢI VÀ CPN AN PHA </t>
  </si>
  <si>
    <t>5018600</t>
  </si>
  <si>
    <t>CTY TNHH YOKOGAWA VIỆT NAM</t>
  </si>
  <si>
    <t>5018619</t>
  </si>
  <si>
    <t xml:space="preserve">CTY CPSX&amp;CN BÁCH VIỆT </t>
  </si>
  <si>
    <t>5018629</t>
  </si>
  <si>
    <t>CTY TNHH WORLDWIDE GSA ( VIET NAM )</t>
  </si>
  <si>
    <t>5018639</t>
  </si>
  <si>
    <t>CTY CP CÀ PHÊ CHUYÊN NGHIỆP VÀ THIẾT BỊ THỰC PHẨM CHẤT LƯỢNG</t>
  </si>
  <si>
    <t>5018641</t>
  </si>
  <si>
    <t xml:space="preserve">CTY TNHH TIẾP VẬN LOGIWORLD VIỆT NAM </t>
  </si>
  <si>
    <t>5018646</t>
  </si>
  <si>
    <t>CTY TNHH VIỆT NAM SUZUKI (2 BÁNH )</t>
  </si>
  <si>
    <t>5018647</t>
  </si>
  <si>
    <t>Chi Nhánh Công Ty TNHH Kane-M Đà Nẵng tại TP. HCM</t>
  </si>
  <si>
    <t>5018664</t>
  </si>
  <si>
    <t>CTY TNHH VN SUZUKI ( 4 BÁNH )</t>
  </si>
  <si>
    <t>5018668</t>
  </si>
  <si>
    <t>CÔNG TY TNHH THỦY LỰC M.N.K</t>
  </si>
  <si>
    <t>5018669</t>
  </si>
  <si>
    <t>CÔNG TY CỔ PHẦN DỊCH VỤ HẬU CẦN BOXME VIỆT NAM</t>
  </si>
  <si>
    <t>5018686</t>
  </si>
  <si>
    <t>Công Ty TNHH Công Nghệ Mạng Thành Công</t>
  </si>
  <si>
    <t>5018687</t>
  </si>
  <si>
    <t>Công Ty TNHH SCJ TV Shopping</t>
  </si>
  <si>
    <t>5018688</t>
  </si>
  <si>
    <t>Công Ty TNHH Thương Mại Dịch Vụ Sản Xuất Việt Phát Nhanh</t>
  </si>
  <si>
    <t>5018689</t>
  </si>
  <si>
    <t>CÔNG TY TNHH XÂY DỰNG SƠN HẢI</t>
  </si>
  <si>
    <t>5018690</t>
  </si>
  <si>
    <t>CÔNG TY TNHH MAXPEED PHƯƠNG NAM ViỆT NAM</t>
  </si>
  <si>
    <t>5018693</t>
  </si>
  <si>
    <t>CÔNG TY TNHH THƯƠNG MẠI XuẤT NHẬP KHẨU PHA RAN QuỐC TẾ</t>
  </si>
  <si>
    <t>5018694</t>
  </si>
  <si>
    <t>CÔNG TY TNHH MỘT THÀNH VIÊN CƠ ĐiỆN LẠNH HUYNH ĐỆ</t>
  </si>
  <si>
    <t>5018698</t>
  </si>
  <si>
    <t>CÔNG TY TNHH ĐỘNG CƠ VÀ MÁY MÓC ELEKTRIM (ViỆT NAM)</t>
  </si>
  <si>
    <t>5018700</t>
  </si>
  <si>
    <t>CÔNG TY TNHH KỸ THUẬT KIM THIÊN PHÚ</t>
  </si>
  <si>
    <t>5018701</t>
  </si>
  <si>
    <t>VPĐD HABUFA MEUBELEN B.V ViỆT NAM</t>
  </si>
  <si>
    <t>5018703</t>
  </si>
  <si>
    <t>CÔNG TY TNHH THƯƠNG MẠI DỊCH VỤ SẢN XuẤT KỸ THUẬT CAO TÂN Ti</t>
  </si>
  <si>
    <t>5018706</t>
  </si>
  <si>
    <t>5018708</t>
  </si>
  <si>
    <t>CÔNG TY TNHH THƯƠNG MẠI VÀ DỊCH VỤ GIÓ ViỆT</t>
  </si>
  <si>
    <t>5018713</t>
  </si>
  <si>
    <t>CÔNG TY TNHH FLY TIGER</t>
  </si>
  <si>
    <t>5018714</t>
  </si>
  <si>
    <t>CÔNG TY TIKI (KHO)</t>
  </si>
  <si>
    <t>5018716</t>
  </si>
  <si>
    <t>CÔNG TY TNHH THƯƠNG MẠI - VẬN CHUYỂN TRUNG THÀNH</t>
  </si>
  <si>
    <t>5018717</t>
  </si>
  <si>
    <t>CÔNG TY TNHH TMDV NGUYỄN HUY HOÀNG</t>
  </si>
  <si>
    <t>5018725</t>
  </si>
  <si>
    <t>CÔNG TY CỔ PHẦN TRUYỀN THÔNG KHANG</t>
  </si>
  <si>
    <t>5018732</t>
  </si>
  <si>
    <t>CÔNG TY CỔ PHẦN DƯỢC PHẨM VÀ THIẾT BỊ Y TẾ ĐÔNG NAM Á</t>
  </si>
  <si>
    <t>5018734</t>
  </si>
  <si>
    <t>CÔNG TY TNHH CARGO-PARTINER LOGISTICS (ViỆT NAM)</t>
  </si>
  <si>
    <t>5018735</t>
  </si>
  <si>
    <t>CÔNG TY TNHH JOO CHUNG VINA</t>
  </si>
  <si>
    <t>5018737</t>
  </si>
  <si>
    <t>CHI NHÁNH CÔNG TY TNHH KGL ViỆT NAM TẠI TP HỒ CHÍ MINH</t>
  </si>
  <si>
    <t>5018738</t>
  </si>
  <si>
    <t>CÔNG TY TNHH S.F.EXPRESS</t>
  </si>
  <si>
    <t>5018739</t>
  </si>
  <si>
    <t>CÔNG TY INDITEX</t>
  </si>
  <si>
    <t>5018740</t>
  </si>
  <si>
    <t>CÔNG TY TNHH GIAO NHẬN VẬN TẢI ACS</t>
  </si>
  <si>
    <t>5018742</t>
  </si>
  <si>
    <t>CÔNG TY TNHH XÂY DỰNG VÀ THƯƠNG MẠI QUANG MINH</t>
  </si>
  <si>
    <t>5018743</t>
  </si>
  <si>
    <t>CÔNG TY TNHH IN THÀNH ĐÔ</t>
  </si>
  <si>
    <t>5018747</t>
  </si>
  <si>
    <t>CÔNG TY CỔ PHẦN FACO ViỆT NAM</t>
  </si>
  <si>
    <t>5018749</t>
  </si>
  <si>
    <t>CÔNG TY CP CHUYỂN PHÁT NHANH VÀ DVỤ HÀNG HÓA TÂN SƠN NHẤT</t>
  </si>
  <si>
    <t>5018752</t>
  </si>
  <si>
    <t>CÔNG TY TNHH ĐẦU TƯ &amp; THƯƠNG MẠI TOÀN CẦU (TP.HÀ NỘI)</t>
  </si>
  <si>
    <t>5018753</t>
  </si>
  <si>
    <t>CÔNG TY TNHH TM-DV QUANG PHÁT</t>
  </si>
  <si>
    <t>5018756</t>
  </si>
  <si>
    <t>5018763</t>
  </si>
  <si>
    <t>CÔNG TY TNHH MỘT THÀNH VIÊN THƯƠNG MẠI LIÊN HiỆP</t>
  </si>
  <si>
    <t>5018773</t>
  </si>
  <si>
    <t>CÔNG TY TNHH THƯƠNG MẠI GALAXY WATER SOLUTIONS</t>
  </si>
  <si>
    <t>5018785</t>
  </si>
  <si>
    <t>TRUNG TÂM NGHIÊN CỨU VÀ TƯ VẤN MÔI TRƯỜNG (REC)</t>
  </si>
  <si>
    <t>5018791</t>
  </si>
  <si>
    <t>CÔNG TY CỔ PHẦN ĐẦU TƯ CÔNG NGHỆ Á CHÂU(GỬI HÀNG)</t>
  </si>
  <si>
    <t>5018792</t>
  </si>
  <si>
    <t>5018793</t>
  </si>
  <si>
    <t>CÔNG TY CỔ PHẦN VT-DV-TM CHUYỂN PHÁT NHANH HQ</t>
  </si>
  <si>
    <t>5018796</t>
  </si>
  <si>
    <t>CÔNG TY TNHH S.F.EXPRESS (GỬI THƯ)</t>
  </si>
  <si>
    <t>5018801</t>
  </si>
  <si>
    <t>CÔNG TY TNHH HỆ THỐNG TỰ ĐỘNG ĐẠI DƯƠNG MỚI</t>
  </si>
  <si>
    <t>5018807</t>
  </si>
  <si>
    <t>CÔNG TY TNHH THIẾT BỊ Y TẾ NHẬT HÀ</t>
  </si>
  <si>
    <t>5018811</t>
  </si>
  <si>
    <t>CÔNG TY TNHH VẬN CHUYỂN QuỐC TẾ SI BANG</t>
  </si>
  <si>
    <t>5018812</t>
  </si>
  <si>
    <t>CÔNG TY TNHH MTV - TM - XNK ViỆT HUY</t>
  </si>
  <si>
    <t>5018814</t>
  </si>
  <si>
    <t>CHI NHÁNH TẠI TP HCM - CÔNG TY CỔ PHẦN HỢP NHẤT QuỐC TẾ</t>
  </si>
  <si>
    <t>5018815</t>
  </si>
  <si>
    <t>5018821</t>
  </si>
  <si>
    <t>ETON</t>
  </si>
  <si>
    <t>5018823</t>
  </si>
  <si>
    <t xml:space="preserve">CÔNG TY CỔ PHẦN GIAO NHẬN VẬN TẢI HÀNG HÓA TOÀN CẦU </t>
  </si>
  <si>
    <t>5018828</t>
  </si>
  <si>
    <t>5018829</t>
  </si>
  <si>
    <t>CÔNG TY TNHH SẢN XUẤT THƯƠNG MẠI DỊCH VỤ IUK</t>
  </si>
  <si>
    <t>5018830</t>
  </si>
  <si>
    <t>CÔNG TY TNHH THỦY TRIỀU ĐÔNG PHƯƠNG</t>
  </si>
  <si>
    <t>5018833</t>
  </si>
  <si>
    <t>CTY TNHH MTV KỸ THUẬT &amp; KHOA HỌC OPPO (bộ phận bảo hành)</t>
  </si>
  <si>
    <t>5018834</t>
  </si>
  <si>
    <t>CÔNG TY TNHH THƯƠNG MẠI DỊCH VỤ KỸ THUẬT PHÚ ĐẠT PHÁT</t>
  </si>
  <si>
    <t>5018835</t>
  </si>
  <si>
    <t>5018836</t>
  </si>
  <si>
    <t>CÔNG TY TNHH THƯƠNG MẠI -DỊCH VỤ DU LỊCH ĐẤT XANH</t>
  </si>
  <si>
    <t>5018837</t>
  </si>
  <si>
    <t>CÔNG TY CỔ PHẦN HỢP NHẤT QUỐC TẾ (LOA)</t>
  </si>
  <si>
    <t>5018838</t>
  </si>
  <si>
    <t>CÔNG TY TNHH LOGASIA SCM</t>
  </si>
  <si>
    <t>5018839</t>
  </si>
  <si>
    <t>CHI NHÁNH 515 - CÔNG TY CP SÔNG ĐÀ 505</t>
  </si>
  <si>
    <t>5018840</t>
  </si>
  <si>
    <t>CÔNG TY TNHH BRIGHT DIVA</t>
  </si>
  <si>
    <t>5019013</t>
  </si>
  <si>
    <t>CÔNG TY TNHH MTV THƯƠNG MẠI - DỊCH VỤ SẢN XUẤT HỢP PHONG</t>
  </si>
  <si>
    <t>5019067</t>
  </si>
  <si>
    <t xml:space="preserve">VPDD JAO VN </t>
  </si>
  <si>
    <t>5019068</t>
  </si>
  <si>
    <t>CÔNG TY TNHH GIA LẠC VINA</t>
  </si>
  <si>
    <t>5019080</t>
  </si>
  <si>
    <t>Công Ty CP CN Tự Động Đăng Khoa</t>
  </si>
  <si>
    <t>5019088</t>
  </si>
  <si>
    <t>CÔNG TY CP TM NAM CƯỜNG</t>
  </si>
  <si>
    <t>5019091</t>
  </si>
  <si>
    <t xml:space="preserve">CÔNG TY CP SXTM NGÔI SAO ĐẤT VIỆT </t>
  </si>
  <si>
    <t>5019092</t>
  </si>
  <si>
    <t>CÔNG TY TNHH ĐẦU TƯ SX - TM TIẾN LONG</t>
  </si>
  <si>
    <t>5019100</t>
  </si>
  <si>
    <t>CÔNG TY CỔ PHẦN ĐA QUỐC GIA TÂN PHÚ MINH</t>
  </si>
  <si>
    <t>5019103</t>
  </si>
  <si>
    <t xml:space="preserve">CTY TNHH TM HOÀNG KIM PHÁT </t>
  </si>
  <si>
    <t>5019104</t>
  </si>
  <si>
    <t>CTY TNHH TRÍ TÂN</t>
  </si>
  <si>
    <t>5019106</t>
  </si>
  <si>
    <t>CTY TNHH FALCON EXPRESS</t>
  </si>
  <si>
    <t>5019107</t>
  </si>
  <si>
    <t>CTY CỔ PHẦN TIẾP THỊ MINH CHIÊU ( MCM )</t>
  </si>
  <si>
    <t>5019114</t>
  </si>
  <si>
    <t xml:space="preserve">CTY CỔ PHẦN VINH NAM </t>
  </si>
  <si>
    <t>5019115</t>
  </si>
  <si>
    <t xml:space="preserve">CTY TNHH MTV VẢI PHỤ LIỆU VÀ THIẾT BỊ MAY THÁI BÌNH </t>
  </si>
  <si>
    <t>5019140</t>
  </si>
  <si>
    <t xml:space="preserve">CTY TNHH DV HOÀNG NAM </t>
  </si>
  <si>
    <t>5019143</t>
  </si>
  <si>
    <t xml:space="preserve">CTY TNHH LIÊN DOANH TRƯỜNG PHÁT </t>
  </si>
  <si>
    <t>5019144</t>
  </si>
  <si>
    <t xml:space="preserve">CTY TNHH TMDV VIỄN THÔNG MINH VIỆT </t>
  </si>
  <si>
    <t>5019152</t>
  </si>
  <si>
    <t xml:space="preserve">CTY TNHH NHÃN MÁC THIÊN PHÚC </t>
  </si>
  <si>
    <t>5019159</t>
  </si>
  <si>
    <t xml:space="preserve">CTY TNHH KOTITI VIỆT NAM </t>
  </si>
  <si>
    <t>5019162</t>
  </si>
  <si>
    <t xml:space="preserve">CTY TNHH 1TV TM TƯ VẤN DỊCH VỤ TOÀN ĐỨC </t>
  </si>
  <si>
    <t>5019167</t>
  </si>
  <si>
    <t>CÔNG TY TNHH THƯƠNG MẠI DỊCH VỤ MINH BẢO (CN MINH BẢO)</t>
  </si>
  <si>
    <t>5019168</t>
  </si>
  <si>
    <t>5019171</t>
  </si>
  <si>
    <t>Công Ty TNHH Thương Mại Dịch Vụ Dầu Nhớt Nhất Minh</t>
  </si>
  <si>
    <t>5019172</t>
  </si>
  <si>
    <t>Công Ty TNHH Thương Mại Dịch Vụ Đại Vũ Sơn</t>
  </si>
  <si>
    <t>5019174</t>
  </si>
  <si>
    <t>Công Ty TNHH Sản Xuất Thương Mại Dịch Vụ Nguyễn Phương</t>
  </si>
  <si>
    <t>5019176</t>
  </si>
  <si>
    <t>TIKI COMPANY</t>
  </si>
  <si>
    <t>5019181</t>
  </si>
  <si>
    <t>CÔNG TY CỔ PHẦN THƯƠNG MẠI DỊCH VỤ HOÀNG TiẾN THỊNH</t>
  </si>
  <si>
    <t>5019185</t>
  </si>
  <si>
    <t>CÔNG TY TNHH TMDV KỸ THUẬT CÔNG NGHỆ TOÀN THẮNG</t>
  </si>
  <si>
    <t>5019186</t>
  </si>
  <si>
    <t>CÔNG TY TNHH THIẾT BỊ Y TẾ NHẤT TÂM</t>
  </si>
  <si>
    <t>5019188</t>
  </si>
  <si>
    <t>CÔNG TY CỔ PHẦN SẢN XuẤT MỸ PHẨM TÂN NGỌC PHÁT</t>
  </si>
  <si>
    <t>5019191</t>
  </si>
  <si>
    <t>CÔNG TY TNHH THƯƠNG MẠI XÂY DỰNG CÔNG TRÌNH TRƯỜNG HỒNG</t>
  </si>
  <si>
    <t>5019196</t>
  </si>
  <si>
    <t>CÔNG TY CP CAPITAL SEAWEED CONSUMER ViỆT NAM</t>
  </si>
  <si>
    <t>5019206</t>
  </si>
  <si>
    <t>CÔNG TY TNHH SẢN XuẤT THƯƠNG MẠI S.D.A</t>
  </si>
  <si>
    <t>5019216</t>
  </si>
  <si>
    <t>CÔNG TY TNHH DỊCH VỤ KỸ THUẬT HAXU</t>
  </si>
  <si>
    <t>5019218</t>
  </si>
  <si>
    <t>CÔNG TY CỔ PHẦN THƯƠNG MẠI DỊCH VỤ QUẢNG CÁO LIÊN PHÁT</t>
  </si>
  <si>
    <t>5019221</t>
  </si>
  <si>
    <t>CÔNG TY TNHH TM - SX HẢI HiỆP PHONG</t>
  </si>
  <si>
    <t>5019224</t>
  </si>
  <si>
    <t>CÔNG TY TNHH HOA THIÊN NGỌC</t>
  </si>
  <si>
    <t>5019228</t>
  </si>
  <si>
    <t>CÔNG TY TNHH TM_DV GIA MẠNH</t>
  </si>
  <si>
    <t>5019232</t>
  </si>
  <si>
    <t>CÔNG TY TNHH THƯƠNG MẠI DỊCH VỤ CƯỜNG ĐẠI</t>
  </si>
  <si>
    <t>5019238</t>
  </si>
  <si>
    <t>CÔNG TY TNHH KAJI TECH ViỆT NAM</t>
  </si>
  <si>
    <t>5019241</t>
  </si>
  <si>
    <t>HỘ KINH DOANH LƯ Y LINH</t>
  </si>
  <si>
    <t>5019248</t>
  </si>
  <si>
    <t>LỮ MINH UYÊN</t>
  </si>
  <si>
    <t>5019249</t>
  </si>
  <si>
    <t>CN CÔNG TY TNHH TM VÀ DV DI ĐỘNG TOÀN PHÁT LẠI TẠI TP.HCM</t>
  </si>
  <si>
    <t>5019250</t>
  </si>
  <si>
    <t>CÔNG TY CỔ PHẦN HUẤN LUYỆN BLAIR SINGER TRAINING ACADEMY</t>
  </si>
  <si>
    <t>5019251</t>
  </si>
  <si>
    <t>CÔNG TY TNHH THƯƠNG MẠI DỊCH VỤ KỸ THUẬT TRƯƠNG NGUYỄN</t>
  </si>
  <si>
    <t>5019252</t>
  </si>
  <si>
    <t>CÔNG TY TNHH TRUNG ANH ĐÀO</t>
  </si>
  <si>
    <t>5019255</t>
  </si>
  <si>
    <t>CÔNG TY TNHH THƯƠNG MẠI CÔNG NGHIỆP THUẬN THIÊN</t>
  </si>
  <si>
    <t>5019256</t>
  </si>
  <si>
    <t>HỘ KINH DOANH DƯƠNG THANH TÙNG</t>
  </si>
  <si>
    <t>5019257</t>
  </si>
  <si>
    <t>CÔNG TY TNHH TPD FASHION</t>
  </si>
  <si>
    <t>5019258</t>
  </si>
  <si>
    <t>CÔNG TY TNHH HÓA CHẤT NAVY</t>
  </si>
  <si>
    <t>5019259</t>
  </si>
  <si>
    <t>CÔNG TY TNHH THƯƠNG MẠI THIẾT BỊ Y TẾ VÀ MỸ PHẨM HOA MAI</t>
  </si>
  <si>
    <t>5020032</t>
  </si>
  <si>
    <t>Công Ty May Mặc Quảng Việt</t>
  </si>
  <si>
    <t>5020041</t>
  </si>
  <si>
    <t>CÔNG TY TNHH MUA BÁN-SX GIẤY TÂN NHẬT DŨNG</t>
  </si>
  <si>
    <t>5020042</t>
  </si>
  <si>
    <t>CÔNG TY CP XÂY DỰNG NAM NGUYÊN</t>
  </si>
  <si>
    <t>5020048</t>
  </si>
  <si>
    <t xml:space="preserve">CÔNG TY TNHH QUỐC TẾ CAO NGUYÊN XANH </t>
  </si>
  <si>
    <t>5020051</t>
  </si>
  <si>
    <t>TRƯỜNG TRUNG CẤP BÁCH KHOA SÀI GÒN</t>
  </si>
  <si>
    <t>5020055</t>
  </si>
  <si>
    <t>Cty TNHH Bao Bì Giấy Dụ Thành</t>
  </si>
  <si>
    <t>5020060</t>
  </si>
  <si>
    <t>Công Ty TNHH Dệt - Phụ Liệu May Quốc Oai</t>
  </si>
  <si>
    <t>5020062</t>
  </si>
  <si>
    <t>CTY CP LIÊN NÔNG VIỆT NAM</t>
  </si>
  <si>
    <t>5020063</t>
  </si>
  <si>
    <t xml:space="preserve">CTY TNHH CÔNG NGHỆ CỰC TÍM </t>
  </si>
  <si>
    <t>5020077</t>
  </si>
  <si>
    <t xml:space="preserve">CN FPT SHOP CỦ CHI </t>
  </si>
  <si>
    <t>5020079</t>
  </si>
  <si>
    <t>CN TÂY NINH - CTY CP BÁN LẺ KTS FPT - FPT SHOP</t>
  </si>
  <si>
    <t>5020080</t>
  </si>
  <si>
    <t>CÔNG TY TNHH SẢN XuẤT - THƯƠNG MẠI - XuẤT NHẬP KHẨU THUẬN AN</t>
  </si>
  <si>
    <t>5020083</t>
  </si>
  <si>
    <t xml:space="preserve">CTY FPT SHOP CỦ CHI </t>
  </si>
  <si>
    <t>5020085</t>
  </si>
  <si>
    <t>CÔNG TY TNHH THƯƠNG MẠI DỊCH VỤ DHV</t>
  </si>
  <si>
    <t>5020086</t>
  </si>
  <si>
    <t>CÔNG TY CỔ PHẦN THIÊN PHÁT</t>
  </si>
  <si>
    <t>5020087</t>
  </si>
  <si>
    <t>CÔNG TY TNHH PARK CORP (ViỆT NAM)</t>
  </si>
  <si>
    <t>5020089</t>
  </si>
  <si>
    <t>CÔNG TY CỔ PHẦN ĐẦU TƯ BỆNH ViỆN XUYÊN Á</t>
  </si>
  <si>
    <t>5020094</t>
  </si>
  <si>
    <t>CÔNG TY TNHH VINADOSO SIGN</t>
  </si>
  <si>
    <t>5020096</t>
  </si>
  <si>
    <t>CÔNG TY TNHH CHẾ TẠO MÁY STV</t>
  </si>
  <si>
    <t>5021022</t>
  </si>
  <si>
    <t xml:space="preserve">CTY TNHH BOHSING </t>
  </si>
  <si>
    <t>5021027</t>
  </si>
  <si>
    <t>Công Ty TNHH Vườn Thú Thành Phố</t>
  </si>
  <si>
    <t>5021039</t>
  </si>
  <si>
    <t xml:space="preserve">CTY TNHH SX XNK MINH THÁI </t>
  </si>
  <si>
    <t>5021047</t>
  </si>
  <si>
    <t>Công Ty Tân Gia Phan</t>
  </si>
  <si>
    <t>5021106</t>
  </si>
  <si>
    <t>CÔNG TY CP THỰC PHẨM GIA ĐÌNH ANCO</t>
  </si>
  <si>
    <t>5021122</t>
  </si>
  <si>
    <t>Công Ty Cổ Phần Bán Lẻ Kỹ Thuật Số FPT</t>
  </si>
  <si>
    <t>5021129</t>
  </si>
  <si>
    <t>Công Ty CP Thương Mại Thế Giới Công Nghiệp</t>
  </si>
  <si>
    <t>5021131</t>
  </si>
  <si>
    <t>Công Ty TNHH Việt Shoe Materials</t>
  </si>
  <si>
    <t>5021133</t>
  </si>
  <si>
    <t>Công Ty TNHH Nhựa Kỹ Thuật SAKURA</t>
  </si>
  <si>
    <t>5021142</t>
  </si>
  <si>
    <t>CÔNG TY TNHH FITI TESTING &amp; REAEARCH INSTITUTE ViỆT NAM</t>
  </si>
  <si>
    <t>5021143</t>
  </si>
  <si>
    <t>CÔNG TY TNHH GIAO LỘ</t>
  </si>
  <si>
    <t>5021144</t>
  </si>
  <si>
    <t>CÔNG TY TNHH ANIMAID VIỆT NAM</t>
  </si>
  <si>
    <t>5021149</t>
  </si>
  <si>
    <t>CÔNG TY TNHH MTV NGUYÊN LiỆU CHANG YANG</t>
  </si>
  <si>
    <t>5021151</t>
  </si>
  <si>
    <t>FPT SHOP ĐỨC HÒA - LONG AN</t>
  </si>
  <si>
    <t>5021153</t>
  </si>
  <si>
    <t>CÔNG TY CỔ PHẦN THƯƠNG MẠI DỊCH VỤ ROCKET</t>
  </si>
  <si>
    <t>5021154</t>
  </si>
  <si>
    <t>CÔNG TY TNHH THẾ GiỚI ĐiỆN</t>
  </si>
  <si>
    <t>5021163</t>
  </si>
  <si>
    <t>CÔNG TY CỔ PHẦN ĐỒ HỘP TẤN PHÁT</t>
  </si>
  <si>
    <t>5021169</t>
  </si>
  <si>
    <t>CÔNG TY TNHH CREATZ3D ViỆT NAM</t>
  </si>
  <si>
    <t>5021171</t>
  </si>
  <si>
    <t>FPT SHOP BẾN LỨC - LONG AN</t>
  </si>
  <si>
    <t>5021183</t>
  </si>
  <si>
    <t>CÔNG TY TNHH TÂN MINH PHONG</t>
  </si>
  <si>
    <t>5021189</t>
  </si>
  <si>
    <t>CÔNG TY TNHH INKCUPS - VIETNAM</t>
  </si>
  <si>
    <t>5021190</t>
  </si>
  <si>
    <t>CÔNG TY CỔ PHẦN THỦY ĐẶC SẢN</t>
  </si>
  <si>
    <t>5021191</t>
  </si>
  <si>
    <t>5021192</t>
  </si>
  <si>
    <t>CÔNG TY TNHH SẢN XuẤT THƯƠNG MẠI DỊCH VỤ NÚT VP</t>
  </si>
  <si>
    <t>5021198</t>
  </si>
  <si>
    <t>CÔNG TY TNHH INTERNATIONAL PRESS SOFTCOM ViỆT NAM</t>
  </si>
  <si>
    <t>5021203</t>
  </si>
  <si>
    <t>CÔNG TY TNHH COSMO ViỆT NAM _CHI NHÁNH LONG AN</t>
  </si>
  <si>
    <t>5021217</t>
  </si>
  <si>
    <t>CÔNG TY TNHH THIỆN KHANG</t>
  </si>
  <si>
    <t>5021224</t>
  </si>
  <si>
    <t>CÔNG TY TNHH KỸ THUẬT VI AN</t>
  </si>
  <si>
    <t>5021227</t>
  </si>
  <si>
    <t>CÔNG TY TNHH ĐẦU TƯ THƯƠNG MẠI DỊCH VỤ HASA-TECHNOLOGY</t>
  </si>
  <si>
    <t>5021228</t>
  </si>
  <si>
    <t>CÔNG TY TNHH YAB</t>
  </si>
  <si>
    <t>5021229</t>
  </si>
  <si>
    <t>CÔNG TY TNHH HÓA CHẤT VÀ MÔI TRƯỜNG VŨ HOÀNG</t>
  </si>
  <si>
    <t>5021230</t>
  </si>
  <si>
    <t>CÔNG TY TNHH TIẾP VẬN LNC VIỆT NAM</t>
  </si>
  <si>
    <t>5022002</t>
  </si>
  <si>
    <t>CÔNG TY TNHH MỘT THÀNH VIÊN BAO BÌ VÀ THƯƠNG MẠI QUANG HUY</t>
  </si>
  <si>
    <t>5022003</t>
  </si>
  <si>
    <t>BỆNH VIỆN NHI ĐỒNG THÀNH PHỐ</t>
  </si>
  <si>
    <t>5023001</t>
  </si>
  <si>
    <t>CÔNG TY TNHH THƯƠNG MẠI THY LONG</t>
  </si>
  <si>
    <t>5024001</t>
  </si>
  <si>
    <t>CÔNG TY TNHH TEXCHEM FOOD MATERIALS (ViỆT NAM)</t>
  </si>
  <si>
    <t>5024002</t>
  </si>
  <si>
    <t>CÔNG TY TNHH INDO-TRANS KEPPEL LOGISTICS (VIỆT NAM)</t>
  </si>
  <si>
    <t>5025001</t>
  </si>
  <si>
    <t>CÔNG TY CỔ PHẦN INTERHOUSE LA</t>
  </si>
  <si>
    <t>5077777</t>
  </si>
  <si>
    <t>BILL FREE CN HỒ CHÍ MINH</t>
  </si>
  <si>
    <t>5081193</t>
  </si>
  <si>
    <t>5081195</t>
  </si>
  <si>
    <t>5081198</t>
  </si>
  <si>
    <t>5087860</t>
  </si>
  <si>
    <t>5087861</t>
  </si>
  <si>
    <t>5087862</t>
  </si>
  <si>
    <t>5087863</t>
  </si>
  <si>
    <t>5087864</t>
  </si>
  <si>
    <t>5087865</t>
  </si>
  <si>
    <t>5087866</t>
  </si>
  <si>
    <t>5087867</t>
  </si>
  <si>
    <t>5087868</t>
  </si>
  <si>
    <t>5087869</t>
  </si>
  <si>
    <t>5087870</t>
  </si>
  <si>
    <t>5087871</t>
  </si>
  <si>
    <t>5087872</t>
  </si>
  <si>
    <t>5087873</t>
  </si>
  <si>
    <t>5087874</t>
  </si>
  <si>
    <t>5087875</t>
  </si>
  <si>
    <t>5087876</t>
  </si>
  <si>
    <t>5087877</t>
  </si>
  <si>
    <t>5087878</t>
  </si>
  <si>
    <t>5087879</t>
  </si>
  <si>
    <t>5087880</t>
  </si>
  <si>
    <t>5087881</t>
  </si>
  <si>
    <t>5087882</t>
  </si>
  <si>
    <t>5087883</t>
  </si>
  <si>
    <t>5087884</t>
  </si>
  <si>
    <t>5087886</t>
  </si>
  <si>
    <t>5087887</t>
  </si>
  <si>
    <t>5087888</t>
  </si>
  <si>
    <t>5087889</t>
  </si>
  <si>
    <t>5087890</t>
  </si>
  <si>
    <t>5087891</t>
  </si>
  <si>
    <t>5087892</t>
  </si>
  <si>
    <t>5087893</t>
  </si>
  <si>
    <t>5087894</t>
  </si>
  <si>
    <t>5087895</t>
  </si>
  <si>
    <t>5087896</t>
  </si>
  <si>
    <t>5087897</t>
  </si>
  <si>
    <t>5087898</t>
  </si>
  <si>
    <t>5087899</t>
  </si>
  <si>
    <t>5087969</t>
  </si>
  <si>
    <t>5087970</t>
  </si>
  <si>
    <t>5087971</t>
  </si>
  <si>
    <t>5087972</t>
  </si>
  <si>
    <t>5099917</t>
  </si>
  <si>
    <t>CHUYỂN TIỀN SHIPCHUNG</t>
  </si>
  <si>
    <t>5099919</t>
  </si>
  <si>
    <t>chuyển tiền SCJ TV Shopping</t>
  </si>
  <si>
    <t>5099922</t>
  </si>
  <si>
    <t xml:space="preserve">CHUYỂN TIỀN TIKI </t>
  </si>
  <si>
    <t>5099923</t>
  </si>
  <si>
    <t>CHUYEN TIEN CTY BAYER</t>
  </si>
  <si>
    <t>5099926</t>
  </si>
  <si>
    <t>CHUYỂN TIỀN DI ĐỘNG MAI NGUYÊN</t>
  </si>
  <si>
    <t>5099930</t>
  </si>
  <si>
    <t>CHUYỂN TIỀN CÔNG TY CP TM DƯỢC HOÀNG LONG</t>
  </si>
  <si>
    <t>5099932</t>
  </si>
  <si>
    <t>CHUYEN TIEN SMARTCOM  5014146</t>
  </si>
  <si>
    <t>5099933</t>
  </si>
  <si>
    <t>CHUYỂN TIỀN S.F</t>
  </si>
  <si>
    <t>5099934</t>
  </si>
  <si>
    <t>CHUYỂN TiỀN TRANH GỖ CAO CẤP</t>
  </si>
  <si>
    <t>5099935</t>
  </si>
  <si>
    <t>CHUYỂN TiỀN CÔNG TY TNHH L'ORÉAL ViỆT NAM</t>
  </si>
  <si>
    <t>5099938</t>
  </si>
  <si>
    <t>CHUYỂN TIỀN VẠN THÀNH TÀI (SÁNG TÂM)</t>
  </si>
  <si>
    <t>5099942</t>
  </si>
  <si>
    <t>CHUYỂN TIỀN HADU</t>
  </si>
  <si>
    <t>5099944</t>
  </si>
  <si>
    <t>Chuyển tiền Đông Dương Sài Gòn</t>
  </si>
  <si>
    <t>5099947</t>
  </si>
  <si>
    <t>CHUYỂN TIỀN LINH HOUSE</t>
  </si>
  <si>
    <t>5099948</t>
  </si>
  <si>
    <t xml:space="preserve">CHUYỂN TiỀN DINH DƯỠNG 3A </t>
  </si>
  <si>
    <t>5099949</t>
  </si>
  <si>
    <t>CHUYỂN TiỀN LOTTE</t>
  </si>
  <si>
    <t>5099950</t>
  </si>
  <si>
    <t>Chuyển Tiền CTy Thủy Tinh</t>
  </si>
  <si>
    <t>5099951</t>
  </si>
  <si>
    <t>CHUYỂN TiỀN FAHASA</t>
  </si>
  <si>
    <t>5099991</t>
  </si>
  <si>
    <t xml:space="preserve">CHUYỂN TIỀN - CTY ZALORA </t>
  </si>
  <si>
    <t>6001002</t>
  </si>
  <si>
    <t>Công ty JUNMAY</t>
  </si>
  <si>
    <t>6001010</t>
  </si>
  <si>
    <t>Công Ty TNHH Viet Net</t>
  </si>
  <si>
    <t>6001020</t>
  </si>
  <si>
    <t>Công ty ABCD</t>
  </si>
  <si>
    <t>6001022</t>
  </si>
  <si>
    <t>Công ty TNHH Xích KMC Việt Nam</t>
  </si>
  <si>
    <t>6001062</t>
  </si>
  <si>
    <t>Cty Điện tử TCL</t>
  </si>
  <si>
    <t>6001073</t>
  </si>
  <si>
    <t>Công ty ATOTECH</t>
  </si>
  <si>
    <t>6001078</t>
  </si>
  <si>
    <t>Cty JINGMENG VN</t>
  </si>
  <si>
    <t>6001086</t>
  </si>
  <si>
    <t>Công Ty TNHH CN Nhựa Phú Lâm</t>
  </si>
  <si>
    <t>6002028</t>
  </si>
  <si>
    <t>CÔNG TY TNHH KSB VIỆT NAM</t>
  </si>
  <si>
    <t>6004024</t>
  </si>
  <si>
    <t>XÍ NGHIỆP TƯ DOANH ĐẠI NAM</t>
  </si>
  <si>
    <t>6004035</t>
  </si>
  <si>
    <t>CTY TNHH KUO YUEN VN</t>
  </si>
  <si>
    <t>6004052</t>
  </si>
  <si>
    <t>CTY TNHH TM HINO MOTORS VIỆT NAM</t>
  </si>
  <si>
    <t>6004055</t>
  </si>
  <si>
    <t>Nestle</t>
  </si>
  <si>
    <t>6004062</t>
  </si>
  <si>
    <t>CTY TNHH KAO VIỆT NAM</t>
  </si>
  <si>
    <t>6004071</t>
  </si>
  <si>
    <t>CTY CP BÁN LẺ KỸ THUẬT FPT</t>
  </si>
  <si>
    <t>6004078</t>
  </si>
  <si>
    <t>FPT BIÊN HÒA</t>
  </si>
  <si>
    <t>6004082</t>
  </si>
  <si>
    <t xml:space="preserve">CÔNG TY TNHH MTV DV GN VT TIẾT KIỆM </t>
  </si>
  <si>
    <t>6004083</t>
  </si>
  <si>
    <t>CÔNG TY TIETEX ASIA LTD</t>
  </si>
  <si>
    <t>6004090</t>
  </si>
  <si>
    <t>CTY TNHH KANE PACKAGE VIỆT NAM</t>
  </si>
  <si>
    <t>6004092</t>
  </si>
  <si>
    <t>CÔNG TY TNHH HITRANS</t>
  </si>
  <si>
    <t>6004097</t>
  </si>
  <si>
    <t>FPT TÂN BIÊN</t>
  </si>
  <si>
    <t>6004099</t>
  </si>
  <si>
    <t>CÔNG TY TNHH FARBEZ</t>
  </si>
  <si>
    <t>6004103</t>
  </si>
  <si>
    <t>CTY TNHH HANUL LINE VIỆT NAM</t>
  </si>
  <si>
    <t>6004105</t>
  </si>
  <si>
    <t>FPT LONG THÀNH</t>
  </si>
  <si>
    <t>6004107</t>
  </si>
  <si>
    <t>FPT LONG BÌNH TÂN</t>
  </si>
  <si>
    <t>6004108</t>
  </si>
  <si>
    <t>CÔNG TY MTV LỘC THÀNH</t>
  </si>
  <si>
    <t>6004109</t>
  </si>
  <si>
    <t>CTY TNHH TOMIYA SUMMIT GARMENT EXPORT</t>
  </si>
  <si>
    <t>6004114</t>
  </si>
  <si>
    <t>CÔNG TY TNHH FOUR NICE</t>
  </si>
  <si>
    <t>6004115</t>
  </si>
  <si>
    <t xml:space="preserve">CÔNG TY TNHH PERFECT VISION </t>
  </si>
  <si>
    <t>6004117</t>
  </si>
  <si>
    <t>CTY HONG WON VINA</t>
  </si>
  <si>
    <t>6004118</t>
  </si>
  <si>
    <t>FPT SHOP GIA KIỆM</t>
  </si>
  <si>
    <t>6004151</t>
  </si>
  <si>
    <t>FPT TAM HÒA</t>
  </si>
  <si>
    <t>6004153</t>
  </si>
  <si>
    <t>CÔNG TY TNHH QUADRILLE VIỆT NAM</t>
  </si>
  <si>
    <t>6004160</t>
  </si>
  <si>
    <t>CÔNG TY TNHH THỰC PHẨM AMANDA VIỆT NAM</t>
  </si>
  <si>
    <t>6004166</t>
  </si>
  <si>
    <t>CÔNG TY TNHH 2J VINA</t>
  </si>
  <si>
    <t>6004167</t>
  </si>
  <si>
    <t>CÔNG TY TNHH KOWIDE OUTDOORS</t>
  </si>
  <si>
    <t>6004169</t>
  </si>
  <si>
    <t xml:space="preserve">CÔNG TY TNHH MTV THÀNH DANH D.N </t>
  </si>
  <si>
    <t>6004171</t>
  </si>
  <si>
    <t>FPT SHOP TRẢNG BOM - ĐỒNG NAI</t>
  </si>
  <si>
    <t>6004174</t>
  </si>
  <si>
    <t>Công Ty TNHH Bao Bì Nhật Bản Đồng Nai (VN)</t>
  </si>
  <si>
    <t>6004181</t>
  </si>
  <si>
    <t>6004182</t>
  </si>
  <si>
    <t>CÔNG TY TNHH ĐẠT NAM</t>
  </si>
  <si>
    <t>6004186</t>
  </si>
  <si>
    <t>CÔNG TY TNHH QuỐC TẾ UY QuẦN</t>
  </si>
  <si>
    <t>6004188</t>
  </si>
  <si>
    <t>FPT SHOP BIÊN HÒA - ĐỒNG NAI</t>
  </si>
  <si>
    <t>6004189</t>
  </si>
  <si>
    <t>CÔNG TY TNHH SPICA ELASTIC ViỆT NAM</t>
  </si>
  <si>
    <t>6004197</t>
  </si>
  <si>
    <t>FPT SHOP TẠI ĐỒNG NAI</t>
  </si>
  <si>
    <t>6004198</t>
  </si>
  <si>
    <t>6004199</t>
  </si>
  <si>
    <t>6004201</t>
  </si>
  <si>
    <t>CÔNG TY TNHH TIN HỌC FPT</t>
  </si>
  <si>
    <t>6004209</t>
  </si>
  <si>
    <t>FPT SHOP</t>
  </si>
  <si>
    <t>6004212</t>
  </si>
  <si>
    <t>6004214</t>
  </si>
  <si>
    <t>CÔNG TY TNHH NAXIS ViỆT NAM</t>
  </si>
  <si>
    <t>6004222</t>
  </si>
  <si>
    <t>FPT SHOP ĐỒNG NAI</t>
  </si>
  <si>
    <t>6004226</t>
  </si>
  <si>
    <t>CHI NHÁNH CÔNG TY TNHH TRƯỜNG VINH HI-NÔ</t>
  </si>
  <si>
    <t>6004234</t>
  </si>
  <si>
    <t>FPT Shop Đông Hòa.</t>
  </si>
  <si>
    <t>6004237</t>
  </si>
  <si>
    <t>CÔNG TY TNHH GIA TÂM PHÁT</t>
  </si>
  <si>
    <t>6004238</t>
  </si>
  <si>
    <t>CÔNG TY TNHH HAPPYS WATER</t>
  </si>
  <si>
    <t>6004239</t>
  </si>
  <si>
    <t>FPT SHOP PHƯƠNG LÂM</t>
  </si>
  <si>
    <t>6004242</t>
  </si>
  <si>
    <t>FPT Shop Vĩnh Cửu</t>
  </si>
  <si>
    <t>6004245</t>
  </si>
  <si>
    <t>MOBIFONE PLUS CHI NHÁNH LONG THÀNH ĐỒNG NAI</t>
  </si>
  <si>
    <t>6004248</t>
  </si>
  <si>
    <t>CÔNG TY TNHH V.P.S</t>
  </si>
  <si>
    <t>6004249</t>
  </si>
  <si>
    <t>CÔNG TY TNHH MTV TM-DV VÀ XÂY DỰNG NGHIỆP HÒA</t>
  </si>
  <si>
    <t>6004250</t>
  </si>
  <si>
    <t>CÔNG TY TNHH MỘT THÀNH VIÊN TRẦN LÊ HUY</t>
  </si>
  <si>
    <t>6004253</t>
  </si>
  <si>
    <t>6004255</t>
  </si>
  <si>
    <t>CÔNG TY TNHH MEN-CHUEN ViỆT NAM</t>
  </si>
  <si>
    <t>6004259</t>
  </si>
  <si>
    <t>FPT ĐỨC TÀI,ĐỨC LINH, BÌNH THUẬN</t>
  </si>
  <si>
    <t>6004260</t>
  </si>
  <si>
    <t>CÔNG TY TNHH VẬN TẢI NAM QUỐC</t>
  </si>
  <si>
    <t>6004261</t>
  </si>
  <si>
    <t>FPT SHOP LONG KHÁNH</t>
  </si>
  <si>
    <t>6004264</t>
  </si>
  <si>
    <t>CÔNG TY TNHH THƯƠNG MẠI DỊCH VỤ KHOA MINH PHÁT</t>
  </si>
  <si>
    <t>6077777</t>
  </si>
  <si>
    <t>BILL FREE ĐỒNG NAI</t>
  </si>
  <si>
    <t>6087837</t>
  </si>
  <si>
    <t>6087838</t>
  </si>
  <si>
    <t>6087839</t>
  </si>
  <si>
    <t>6087840</t>
  </si>
  <si>
    <t>6087841</t>
  </si>
  <si>
    <t>6087842</t>
  </si>
  <si>
    <t>6087843</t>
  </si>
  <si>
    <t>6087844</t>
  </si>
  <si>
    <t>6087979</t>
  </si>
  <si>
    <t>6118020</t>
  </si>
  <si>
    <t>Công Ty TNHH MEINAN (Việt Nam)</t>
  </si>
  <si>
    <t>6118039</t>
  </si>
  <si>
    <t>Cty Samil Tong Sang</t>
  </si>
  <si>
    <t>6118089</t>
  </si>
  <si>
    <t>6118090</t>
  </si>
  <si>
    <t>Công Ty CP Xây Dựng Trang Trí Nội Thất TM Tín Thành</t>
  </si>
  <si>
    <t>6119002</t>
  </si>
  <si>
    <t>Công ty TNHH Song Tain VN</t>
  </si>
  <si>
    <t>6119026</t>
  </si>
  <si>
    <t>Công ty điện tử Sun Ching</t>
  </si>
  <si>
    <t>6119034</t>
  </si>
  <si>
    <t>Công ty TNHH Hữu Tín</t>
  </si>
  <si>
    <t>6119059</t>
  </si>
  <si>
    <t>Công ty TNHH Puratos</t>
  </si>
  <si>
    <t>6119069</t>
  </si>
  <si>
    <t>Công Ty TNHH Hariki Precision Việt Nam</t>
  </si>
  <si>
    <t>6119114</t>
  </si>
  <si>
    <t>CTY TNHH KOREA FOAM</t>
  </si>
  <si>
    <t>6119161</t>
  </si>
  <si>
    <t>Công Ty Messer</t>
  </si>
  <si>
    <t>6119168</t>
  </si>
  <si>
    <t>CTY TNHH IN GUO XIANG VN</t>
  </si>
  <si>
    <t>6119186</t>
  </si>
  <si>
    <t>Cty  TNHH Quốc Tế Nhựa HerChang</t>
  </si>
  <si>
    <t>6119199</t>
  </si>
  <si>
    <t>Công Ty TNHH Panalpina World Transport Việt Nam</t>
  </si>
  <si>
    <t>6119211</t>
  </si>
  <si>
    <t>CTY TNHH TOUNG LOONG TEXTILE MFG.(VN)</t>
  </si>
  <si>
    <t>6119213</t>
  </si>
  <si>
    <t>CTY TNHH TMV VINA</t>
  </si>
  <si>
    <t>6119234</t>
  </si>
  <si>
    <t>CTY TNHH SX-TM-DV TÂN CÔNG QUANG</t>
  </si>
  <si>
    <t>6119250</t>
  </si>
  <si>
    <t>CTY TNHH MỘT THÀNH VIÊN HERBALIFE VIỆT NAM</t>
  </si>
  <si>
    <t>6119257</t>
  </si>
  <si>
    <t>Công Ty Sơn Nam pao</t>
  </si>
  <si>
    <t>6119259</t>
  </si>
  <si>
    <t>Công Ty Sơn Hua Bang</t>
  </si>
  <si>
    <t>6119268</t>
  </si>
  <si>
    <t>Công Ty TNHH Quốc Tế Mâm Xe Hợp Kim Nhôm Sài Gòn</t>
  </si>
  <si>
    <t>6119272</t>
  </si>
  <si>
    <t>Cty TNHH Silsarang Asia</t>
  </si>
  <si>
    <t>6119285</t>
  </si>
  <si>
    <t>Cty TNHH Becker Industrial Coatings Việt Nam</t>
  </si>
  <si>
    <t>6119300</t>
  </si>
  <si>
    <t>CÔNG TY TNHH THƯƠNG MẠI VÀ SẢN XUẤT HỒ QUANG</t>
  </si>
  <si>
    <t>6119304</t>
  </si>
  <si>
    <t xml:space="preserve">Công Ty TNHH Jeong Việt Nam </t>
  </si>
  <si>
    <t>6119311</t>
  </si>
  <si>
    <t>Công Ty Logopla-ste</t>
  </si>
  <si>
    <t>6119317</t>
  </si>
  <si>
    <t>CN Công Ty TNHH Quốc Tế Delta Tại Bình Dương</t>
  </si>
  <si>
    <t>6119318</t>
  </si>
  <si>
    <t>Công Ty TNHH Nguyên Vật Liệu Đánh Bóng Xiang You</t>
  </si>
  <si>
    <t>6119319</t>
  </si>
  <si>
    <t>Công Ty TNHH Vastco Garments</t>
  </si>
  <si>
    <t>6119326</t>
  </si>
  <si>
    <t>Công Ty TNHH Kawasaki Heat Metal Việt Nam</t>
  </si>
  <si>
    <t>6119333</t>
  </si>
  <si>
    <t>Công Ty TNHH SX-TM Giấy Thuận Nam Thiên</t>
  </si>
  <si>
    <t>6119339</t>
  </si>
  <si>
    <t>Công Ty TNHH Hóa Học Ứng Dụng Base Vina</t>
  </si>
  <si>
    <t>6119374</t>
  </si>
  <si>
    <t>Công Ty TNHH Yoong Chang Vina</t>
  </si>
  <si>
    <t>6119375</t>
  </si>
  <si>
    <t>Công Ty TNHH Một Thành Viên Phản Xạ</t>
  </si>
  <si>
    <t>6119397</t>
  </si>
  <si>
    <t>Công Ty TNHH CN Trung Trấn</t>
  </si>
  <si>
    <t>6119399</t>
  </si>
  <si>
    <t>Công Ty TNHH Kerry Integated Logistics Việt Nam</t>
  </si>
  <si>
    <t>6119404</t>
  </si>
  <si>
    <t>Công Ty TNHH Hwasung Việt Nam</t>
  </si>
  <si>
    <t>6119405</t>
  </si>
  <si>
    <t>Công Ty TNHH Giấy Bao Bì Thành Phong</t>
  </si>
  <si>
    <t>6119408</t>
  </si>
  <si>
    <t>Công Ty Cổ Phần Việt Kim San</t>
  </si>
  <si>
    <t>6119411</t>
  </si>
  <si>
    <t>CÔNG TY TNHH JIN LONG PRINTING VIỆT NAM</t>
  </si>
  <si>
    <t>6119415</t>
  </si>
  <si>
    <t>Công Ty TNHH Hyun Dae SM Vina</t>
  </si>
  <si>
    <t>6119424</t>
  </si>
  <si>
    <t>Công Ty TNHH Semivina</t>
  </si>
  <si>
    <t>6119427</t>
  </si>
  <si>
    <t>CÔNG TY CỔ PHẦN MARUICHI SUN STEEL</t>
  </si>
  <si>
    <t>6119429</t>
  </si>
  <si>
    <t>6119433</t>
  </si>
  <si>
    <t>CÔNG TY TNHH KOMAX VIỆT NAM</t>
  </si>
  <si>
    <t>6119434</t>
  </si>
  <si>
    <t>CÔNG TY TNHH ORTHOLITE VIỆT NAM</t>
  </si>
  <si>
    <t>6119435</t>
  </si>
  <si>
    <t>CÔNG TY TNHH DID ELECTRONICS VIỆT NAM</t>
  </si>
  <si>
    <t>6119448</t>
  </si>
  <si>
    <t>CÔNG TY TNHH FLINT GROUP VIỆT NAM</t>
  </si>
  <si>
    <t>6119452</t>
  </si>
  <si>
    <t>Công Ty Cổ Phần Công Nghiệp Gỗ Kaiser (VN)</t>
  </si>
  <si>
    <t>6119455</t>
  </si>
  <si>
    <t>Công Ty TNHH Cơ Khí Và Dịch Vụ Liên Đoàn</t>
  </si>
  <si>
    <t>6119456</t>
  </si>
  <si>
    <t>CÔNG TY TNHH KỸ THUẬT DỊCH VỤ LIÊN SƠN QUỐC TẾ</t>
  </si>
  <si>
    <t>6119459</t>
  </si>
  <si>
    <t>CÔNG TY TNHH MERAKI FW</t>
  </si>
  <si>
    <t>6119460</t>
  </si>
  <si>
    <t>CÔNG TY TNHH NA RU VI NA</t>
  </si>
  <si>
    <t>6119461</t>
  </si>
  <si>
    <t>CÔNG TY TNHH PHÚ NGUYÊN</t>
  </si>
  <si>
    <t>6119462</t>
  </si>
  <si>
    <t>Công ty TNHH Plastic Intercon VN</t>
  </si>
  <si>
    <t>6119464</t>
  </si>
  <si>
    <t>Công Ty TNHH XD-TM_DV-SX Tân Đức Cường</t>
  </si>
  <si>
    <t>6119472</t>
  </si>
  <si>
    <t>CÔNG TY TNHH DỆT WEIDEAN (VIỆT NAM)</t>
  </si>
  <si>
    <t>6119475</t>
  </si>
  <si>
    <t>CÔNG TY TNHH TM DV BÁ HẰNG</t>
  </si>
  <si>
    <t>6119477</t>
  </si>
  <si>
    <t>Công Ty TNHH Sản Xuất - Thương Mại - Dịch Vụ Lan Hạnh</t>
  </si>
  <si>
    <t>6119478</t>
  </si>
  <si>
    <t xml:space="preserve">CÔNG TY TNHH  MTV XÂY DỰNG LÊ MINH-XƯỞNG CƠ KHÍ </t>
  </si>
  <si>
    <t>6119480</t>
  </si>
  <si>
    <t>CÔNG TY TNHH MTV PHỤ LiỆU MAY MẶC DAIHO</t>
  </si>
  <si>
    <t>6119483</t>
  </si>
  <si>
    <t>CÔNG TY TNHH SCHENKER VIET NAM</t>
  </si>
  <si>
    <t>6119485</t>
  </si>
  <si>
    <t xml:space="preserve">CÔNG TY TNHH MTV ĐiỆN TỬ KHOA HỌC VÀ CÔNG NGHỆ VIVO BD </t>
  </si>
  <si>
    <t>6119492</t>
  </si>
  <si>
    <t>CÔNG TY TNHH DNP ViỆT NAM</t>
  </si>
  <si>
    <t>6119494</t>
  </si>
  <si>
    <t>CÔNG TY CỔ PHẦN NỘI THẤT ĐÔNG SÀI GÒN</t>
  </si>
  <si>
    <t>6119496</t>
  </si>
  <si>
    <t>CÔNG TY TNHH NCL ViỆT NAM</t>
  </si>
  <si>
    <t>6119497</t>
  </si>
  <si>
    <t>GENERAL MOTORS VIET NAM CO.LTD</t>
  </si>
  <si>
    <t>6119508</t>
  </si>
  <si>
    <t>CÔNG TY TNHH DEIJE</t>
  </si>
  <si>
    <t>6119509</t>
  </si>
  <si>
    <t>CÔNG TY TNHH DỆT LIÊN CHÂU</t>
  </si>
  <si>
    <t>6119511</t>
  </si>
  <si>
    <t>CÔNG TY TNHH DV DU LỊCH PHÚC THIỆN NHÂN</t>
  </si>
  <si>
    <t>6119514</t>
  </si>
  <si>
    <t>CÔNG TY TNHH ViỆT KHẮC</t>
  </si>
  <si>
    <t>6119515</t>
  </si>
  <si>
    <t>CÔNG TY TNHH HÓA CHẤT LỤC GIÁC</t>
  </si>
  <si>
    <t>6119517</t>
  </si>
  <si>
    <t>CHI NHÁNH CÔNG TY CỔ PHẦN KỸ THUẬT VIJA</t>
  </si>
  <si>
    <t>6119522</t>
  </si>
  <si>
    <t>CÔNG TY TNHH SAE MYEONG VINA</t>
  </si>
  <si>
    <t>6119523</t>
  </si>
  <si>
    <t>CÔNG TY TNHH VĨNH SÁNG ViỆT NAM</t>
  </si>
  <si>
    <t>6119525</t>
  </si>
  <si>
    <t>CÔNG TY TNHH CYMMETRIK VIET NAM</t>
  </si>
  <si>
    <t>6119527</t>
  </si>
  <si>
    <t>CÔNG TY TNHH ELAND ViỆT NAM</t>
  </si>
  <si>
    <t>6119528</t>
  </si>
  <si>
    <t>CÔNG TY TNHH JDT ViỆT NAM</t>
  </si>
  <si>
    <t>6119530</t>
  </si>
  <si>
    <t>CÔNG TY TNHH SẢN XUẤT THƯƠNG MẠI DỊCH VỤ IN ẤN SONG KHÁNH</t>
  </si>
  <si>
    <t>6119531</t>
  </si>
  <si>
    <t>CÔNG TY TNHH THƯƠNG MẠI DỊCH VỤ THÉP NGỌC HỮU</t>
  </si>
  <si>
    <t>6119532</t>
  </si>
  <si>
    <t>CÔNG TY TNHH CHENYES ViỆT NAM</t>
  </si>
  <si>
    <t>6119534</t>
  </si>
  <si>
    <t>CÔNG TY TNHH MTV ViỆT GIAY</t>
  </si>
  <si>
    <t>6119536</t>
  </si>
  <si>
    <t>CÔNG TY CỔ PHẦN ĐỒ GỖ NGÔI NHÀ XANH</t>
  </si>
  <si>
    <t>6119538</t>
  </si>
  <si>
    <t>CÔNG TY TNHH MTV VẬN TẢI THƯƠNG MẠI THỊNH ĐẠI PHÁT</t>
  </si>
  <si>
    <t>6119539</t>
  </si>
  <si>
    <t>CÔNG TY TNHH ATLAS COPCO ViỆT NAM - CN BÌNH DƯƠNG</t>
  </si>
  <si>
    <t>6119543</t>
  </si>
  <si>
    <t>CÔNG TY TNHH TM VÀ DV LONG MEN</t>
  </si>
  <si>
    <t>6119546</t>
  </si>
  <si>
    <t>CÔNG TY TNHH FORGE AHEAD</t>
  </si>
  <si>
    <t>6119555</t>
  </si>
  <si>
    <t>CÔNG TY TNHH VINA SHOWA</t>
  </si>
  <si>
    <t>6119560</t>
  </si>
  <si>
    <t>CÔNG TY TNHH BAOSTEEL CAN MAKING (ViỆT NAM)</t>
  </si>
  <si>
    <t>6119561</t>
  </si>
  <si>
    <t>CÔNG TY TNHH KIN LONG ViỆT NAM</t>
  </si>
  <si>
    <t>6119563</t>
  </si>
  <si>
    <t>CÔNG TY TNHH SAKASIKI ViỆT NAM</t>
  </si>
  <si>
    <t>6119566</t>
  </si>
  <si>
    <t>VIETBEKO CO.,LTD</t>
  </si>
  <si>
    <t>6119567</t>
  </si>
  <si>
    <t xml:space="preserve">CÔNG TY TNHH HƯNG HOÀNG VIỆT </t>
  </si>
  <si>
    <t>6119568</t>
  </si>
  <si>
    <t>CÔNG TY TNHH NAN PAO MATERIALS ViỆT NAM</t>
  </si>
  <si>
    <t>6119570</t>
  </si>
  <si>
    <t>CÔNG TY TNHH XÂY DỰNG DỊCH VỤ KỸ THUẬT Á CHÂU</t>
  </si>
  <si>
    <t>6119571</t>
  </si>
  <si>
    <t>CHI NHÁNH CÔNG TY TNHH XUẤT NHẬP KHẨU ĐẠI HÂN PHÁT</t>
  </si>
  <si>
    <t>6119572</t>
  </si>
  <si>
    <t>CÔNG TY TNHH MTV CÔNG NGHỆ T.P VI NA</t>
  </si>
  <si>
    <t>6119573</t>
  </si>
  <si>
    <t>CÔNG TY TNHH SEEBEST</t>
  </si>
  <si>
    <t>6119576</t>
  </si>
  <si>
    <t>CÔNG TY TNHH JUWON ViỆT NAM</t>
  </si>
  <si>
    <t>6119578</t>
  </si>
  <si>
    <t>CÔNG TY TNHH MỘT THÀNH VIÊN PHÚ AN THỊNH</t>
  </si>
  <si>
    <t>6119581</t>
  </si>
  <si>
    <t>CÔNG TY TNHH SẢN XuẤT PHỤ LiỆU MAY MẶC KIM LONG</t>
  </si>
  <si>
    <t>6119584</t>
  </si>
  <si>
    <t>CÔNG TY TNHH TRUNG TÂM THÉP NSSB SÀI GÒN</t>
  </si>
  <si>
    <t>6119585</t>
  </si>
  <si>
    <t>CÔNG TY TNHH BANG ĐỨC</t>
  </si>
  <si>
    <t>6119586</t>
  </si>
  <si>
    <t>CÔNG TY CỔ PHẦN HSQ ViỆT NAM</t>
  </si>
  <si>
    <t>6119587</t>
  </si>
  <si>
    <t>CÔNG TY TNHH MỘT THÀNH VIÊN CHINH TƯỞNG</t>
  </si>
  <si>
    <t>6119589</t>
  </si>
  <si>
    <t>NHÀ PHÂN PHỐI MỸ PHẨM THANH THÚY</t>
  </si>
  <si>
    <t>6119590</t>
  </si>
  <si>
    <t>CÔNG TY TNHH CHUNSHIN PRECISION VINA</t>
  </si>
  <si>
    <t>6119591</t>
  </si>
  <si>
    <t>ĐÀO THẾ SƠN</t>
  </si>
  <si>
    <t>6119594</t>
  </si>
  <si>
    <t>CÔNG TY TNHH BOSTIK ViỆT NAM</t>
  </si>
  <si>
    <t>6119596</t>
  </si>
  <si>
    <t>CÔNG TY TNHH MỰC IN GREAT WORLD VIỆT NAM</t>
  </si>
  <si>
    <t>6119598</t>
  </si>
  <si>
    <t>CÔNG TY TNHH MAKITA ViỆT NAM</t>
  </si>
  <si>
    <t>6119599</t>
  </si>
  <si>
    <t>6119600</t>
  </si>
  <si>
    <t>CÔNG TY TNHH THƯƠNG MẠI - SẢN XUẤT HẠT CHỐNG ẨM</t>
  </si>
  <si>
    <t>6119603</t>
  </si>
  <si>
    <t>CÔNG TY TNHH VẠN HẢI TINH</t>
  </si>
  <si>
    <t>6119605</t>
  </si>
  <si>
    <t>CÔNG TY CỔ PHẦN KORIHOME ViỆT NAM</t>
  </si>
  <si>
    <t>6119606</t>
  </si>
  <si>
    <t>CÔNG TY TNHH MAY MẶC PREMIER GLOBAL VIỆT NAM</t>
  </si>
  <si>
    <t>6119608</t>
  </si>
  <si>
    <t>CTY JOTUN - BÌNH DƯƠNG</t>
  </si>
  <si>
    <t>6119609</t>
  </si>
  <si>
    <t>CHI NHÁNH CÔNG TY TNHH LONG HUEI</t>
  </si>
  <si>
    <t>6119610</t>
  </si>
  <si>
    <t>CÔNG TY TNHH MTV HONEST TECHNIC</t>
  </si>
  <si>
    <t>6119611</t>
  </si>
  <si>
    <t xml:space="preserve">CÔNG TY CỔ PHẦN BETON 6 </t>
  </si>
  <si>
    <t>6119613</t>
  </si>
  <si>
    <t>CÔNG TY TNHH BAIKSAN ViỆT NAM</t>
  </si>
  <si>
    <t>6119617</t>
  </si>
  <si>
    <t xml:space="preserve">CÔNG TY TNHH LIAN CHANG </t>
  </si>
  <si>
    <t>Hà Văn Thức</t>
  </si>
  <si>
    <t>Nguyễn Hữu Toàn</t>
  </si>
  <si>
    <t>6177777</t>
  </si>
  <si>
    <t>BILL FREE CN BÌNH DƯƠNG</t>
  </si>
  <si>
    <t>6187811</t>
  </si>
  <si>
    <t>6187812</t>
  </si>
  <si>
    <t>6187813</t>
  </si>
  <si>
    <t>6187814</t>
  </si>
  <si>
    <t>6187815</t>
  </si>
  <si>
    <t>6187816</t>
  </si>
  <si>
    <t>6187817</t>
  </si>
  <si>
    <t>6187818</t>
  </si>
  <si>
    <t>6187819</t>
  </si>
  <si>
    <t>6187820</t>
  </si>
  <si>
    <t>6187821</t>
  </si>
  <si>
    <t>6187822</t>
  </si>
  <si>
    <t>6187823</t>
  </si>
  <si>
    <t>6187824</t>
  </si>
  <si>
    <t>6187964</t>
  </si>
  <si>
    <t>6199992</t>
  </si>
  <si>
    <t>CHUYỂN TiỀN MINH LONG I</t>
  </si>
  <si>
    <t>6201007</t>
  </si>
  <si>
    <t>Chi Nhánh Long An - Công Ty Cổ Phần Bán Lẻ Kỹ Thuật Số FPT</t>
  </si>
  <si>
    <t>6201014</t>
  </si>
  <si>
    <t>FPT SHOP TẠI LONG AN</t>
  </si>
  <si>
    <t>6277777</t>
  </si>
  <si>
    <t>BILL FREE CN LONG AN</t>
  </si>
  <si>
    <t>6287915</t>
  </si>
  <si>
    <t>6287916</t>
  </si>
  <si>
    <t>6287917</t>
  </si>
  <si>
    <t>6287918</t>
  </si>
  <si>
    <t>6287919</t>
  </si>
  <si>
    <t>6287920</t>
  </si>
  <si>
    <t>6301006</t>
  </si>
  <si>
    <t>CHI NHÁNH  CTY CỔ PHẦN BÁN LẺ KỸ THUẬT SỐ FPT TẠI TIỀN GIANG</t>
  </si>
  <si>
    <t>6301012</t>
  </si>
  <si>
    <t>CN CÔNG TY TNHH TRƯỜNG VINH HINO</t>
  </si>
  <si>
    <t>6301013</t>
  </si>
  <si>
    <t>CÔNG TY CP RAU QUẢ TIỀN GIANG</t>
  </si>
  <si>
    <t>6301014</t>
  </si>
  <si>
    <t>CÔNG TY TNHH FREEVIEW INDUSTRIAL (VIỆT NAM)</t>
  </si>
  <si>
    <t>6301016</t>
  </si>
  <si>
    <t>CN Công ty Cổ Phần Bán Lẻ Kỹ Thuật Số FPT Tại Tiền Giang</t>
  </si>
  <si>
    <t>6301019</t>
  </si>
  <si>
    <t>CHI NHÁNH CÔNG TY CỔ PHẦN BÁN LẺ KỸ THUẬT SỐ FPT TẠI TIỀN GI</t>
  </si>
  <si>
    <t>6301020</t>
  </si>
  <si>
    <t>CHI NHÁNH CÔNG TY CỔ PHẦN BÁN LẺ KỸ THUẬT SỐ FPT</t>
  </si>
  <si>
    <t>6301025</t>
  </si>
  <si>
    <t>CÔNG TY CỔ PHẦN MAY TiỀN TiẾN</t>
  </si>
  <si>
    <t>6301026</t>
  </si>
  <si>
    <t>DOANH NGHIỆP TƯ NHÂN SD</t>
  </si>
  <si>
    <t>6301027</t>
  </si>
  <si>
    <t>TRUNG TÂM NUÔI TRỒNG NGHIÊN CỨU CHẾ BiẾN DƯỢC LiỆU QK9</t>
  </si>
  <si>
    <t>6301030</t>
  </si>
  <si>
    <t>DNTN NÓN BÀNG BUÔNG HƯNG THỊNH</t>
  </si>
  <si>
    <t>6301031</t>
  </si>
  <si>
    <t>ViỆN CÂY ĂN QuẢ MiỀN NAM</t>
  </si>
  <si>
    <t>6301032</t>
  </si>
  <si>
    <t>6301033</t>
  </si>
  <si>
    <t>6301034</t>
  </si>
  <si>
    <t>CÔNG TY TNHH HOA MAI</t>
  </si>
  <si>
    <t>6301035</t>
  </si>
  <si>
    <t>CÔNG TY TNHH TM DƯỢC PHẨM LONG GIANG</t>
  </si>
  <si>
    <t>6301036</t>
  </si>
  <si>
    <t>CÔNG TY TNHH GiẢI PHÁP XÂY DỰNG DHN</t>
  </si>
  <si>
    <t>6301037</t>
  </si>
  <si>
    <t>CN CÔNG TY CỔ PHẦN BÁN LẺ KỸ THUẬT SỐ FPT TẠI TIỀN GIANG</t>
  </si>
  <si>
    <t>6301039</t>
  </si>
  <si>
    <t>CÔNG TY TNHH MTV IN HÀO VIÊN</t>
  </si>
  <si>
    <t>6301041</t>
  </si>
  <si>
    <t>DNTN NÓN PHƯỚC THÀNH</t>
  </si>
  <si>
    <t>6301043</t>
  </si>
  <si>
    <t>FPT SHOP MY THO</t>
  </si>
  <si>
    <t>6301044</t>
  </si>
  <si>
    <t>Cửa hàng FPTSHOP Mỹ Tho 6</t>
  </si>
  <si>
    <t>6301045</t>
  </si>
  <si>
    <t>Cửa hàng FPTSHOP Đinh Bộ Lĩnh _ Mỹ Tho</t>
  </si>
  <si>
    <t>6377777</t>
  </si>
  <si>
    <t>BILL FREE CN TIỀN GIANG</t>
  </si>
  <si>
    <t>6387947</t>
  </si>
  <si>
    <t>6387948</t>
  </si>
  <si>
    <t>6387949</t>
  </si>
  <si>
    <t>6387950</t>
  </si>
  <si>
    <t>6402010</t>
  </si>
  <si>
    <t>CHI NHÁNH ĐỒNG THÁP- CTY CP BÁN LẺ KỸ THUẬT SỐ FPT</t>
  </si>
  <si>
    <t>6402012</t>
  </si>
  <si>
    <t>CHI NHÁNH VĨNH LONG - CÔNG TY CỔ PHẦN BÁN LẺ KỸ THUẬT SỐ FPT</t>
  </si>
  <si>
    <t>6402014</t>
  </si>
  <si>
    <t>CÔNG TY TNHH MTV THƯƠNG MẠI &amp; DỊCH VỤ THUẬN THÀNH PHÁT</t>
  </si>
  <si>
    <t>6402027</t>
  </si>
  <si>
    <t>CỬA HÀNG LƯU NiỆM PHẬT GIÁO VĨNH LONG</t>
  </si>
  <si>
    <t>6402028</t>
  </si>
  <si>
    <t>DOANH NGHIỆP TƯ NHÂN KỸ THUẬT CÔNG NGHỆ DƯƠNG LONG</t>
  </si>
  <si>
    <t>6402029</t>
  </si>
  <si>
    <t>FPT SHOP VĨNH LONG</t>
  </si>
  <si>
    <t>6402032</t>
  </si>
  <si>
    <t>ViỄN THÔNG A - CN VĨNH LONG</t>
  </si>
  <si>
    <t>6402036</t>
  </si>
  <si>
    <t>CÔNG TY TNHH HÓA MỸ PHẨM NGUYÊN LÊ</t>
  </si>
  <si>
    <t>6402037</t>
  </si>
  <si>
    <t>HỘ KINH DOANH HOA KiỂNG ANH ĐẠT</t>
  </si>
  <si>
    <t>6402039</t>
  </si>
  <si>
    <t>CỬA HÀNG ĐiỆN GIA DỤNG THẾ TÀI</t>
  </si>
  <si>
    <t>6402040</t>
  </si>
  <si>
    <t xml:space="preserve">CÔNG TY TNHH MỘT THÀNH VIÊN HÓA MỸ PHẨM HỒNG HUỆ </t>
  </si>
  <si>
    <t>6402049</t>
  </si>
  <si>
    <t>SHOP SƠN CA</t>
  </si>
  <si>
    <t>6402053</t>
  </si>
  <si>
    <t>CƠ SỞ CHẾ BiẾN BÁNH MỨT CHỊ MƯỜI</t>
  </si>
  <si>
    <t>6402054</t>
  </si>
  <si>
    <t>CỬA HÀNG BON SAI ANH BÌNH</t>
  </si>
  <si>
    <t>6402058</t>
  </si>
  <si>
    <t>CỞ SỞ CHẾ BiẾN CAFE TRẦN BI</t>
  </si>
  <si>
    <t>6402059</t>
  </si>
  <si>
    <t>CHI NHÁNH VĨNH LONG – CÔNG TY CỔ PHẦN BÁN LẺ KỸ THUẬT SỐ FPT</t>
  </si>
  <si>
    <t>6402060</t>
  </si>
  <si>
    <t>SHOP QUẦN ÁO ANH PHÚC</t>
  </si>
  <si>
    <t>6477777</t>
  </si>
  <si>
    <t>BILL FREE CN VĨNH LONG</t>
  </si>
  <si>
    <t>6487958</t>
  </si>
  <si>
    <t>6501012</t>
  </si>
  <si>
    <t>Công Ty TNHH Công Nghệ Di Động FPT-CN.Cần Thơ</t>
  </si>
  <si>
    <t>6501013</t>
  </si>
  <si>
    <t>CN Cty CP Ô Tô Tường Hải  TP.Cần Thơ</t>
  </si>
  <si>
    <t>6502044</t>
  </si>
  <si>
    <t>CÔNG TY TNHH DV TIN HỌC FPT (TPHN_VPDD TẠI TP CẦN THƠ)</t>
  </si>
  <si>
    <t>6502082</t>
  </si>
  <si>
    <t>MỸ PHẨM PHONG DOANH</t>
  </si>
  <si>
    <t>6502083</t>
  </si>
  <si>
    <t>CTY CP CB TP XK MIỀN TÂY</t>
  </si>
  <si>
    <t>6502095</t>
  </si>
  <si>
    <t>CTY TNHH XNK NGÀN HƯƠNG</t>
  </si>
  <si>
    <t>6503003</t>
  </si>
  <si>
    <t>DNTN MỸ PHẨM PHƯƠNG ĐÔNG</t>
  </si>
  <si>
    <t>6503019</t>
  </si>
  <si>
    <t>CÔNG TY TNHH MINH TÂN</t>
  </si>
  <si>
    <t>6503058</t>
  </si>
  <si>
    <t>CHI NHÁNH CÔNG TY TNHH DƯỢC KIM ĐÔ</t>
  </si>
  <si>
    <t>6503059</t>
  </si>
  <si>
    <t>CÔNG TY CP DỊCH VỤ PHÂN PHỐI TỔNG HỢP DẦU KHÍ</t>
  </si>
  <si>
    <t>6503062</t>
  </si>
  <si>
    <t>CTY TNHH MTV MỸ PHẨM HOÀNG GIA</t>
  </si>
  <si>
    <t>6503096</t>
  </si>
  <si>
    <t>CÔNG TY TNHH DƯỢC PHẨM THÀNH ĐẠT VN</t>
  </si>
  <si>
    <t>6504005</t>
  </si>
  <si>
    <t>CTY TNHH MỸ PHẨM OCSENNEWTODAY</t>
  </si>
  <si>
    <t>6504014</t>
  </si>
  <si>
    <t>CN CÔNG TY CỔ PHẦN BÁN LẺ KTS FPT TẠI CẦN THƠ</t>
  </si>
  <si>
    <t>6504051</t>
  </si>
  <si>
    <t xml:space="preserve">CN CTY CP BÁN LẺ KỸ THUẬT SỐ FPT TẠI CẦN THƠ </t>
  </si>
  <si>
    <t>6504053</t>
  </si>
  <si>
    <t>CN CTY CP BÁN LẺ KỸ THUẬT SỐ FPT TẠI CẦN THƠ</t>
  </si>
  <si>
    <t>6504061</t>
  </si>
  <si>
    <t>CN CTY CP BÁN LẺ KỸ THUẬT SỐ FPT TẠI THỐT NỐT</t>
  </si>
  <si>
    <t>6504066</t>
  </si>
  <si>
    <t>CÔNG TY CƠ KHÍ TRUNG ViỆT</t>
  </si>
  <si>
    <t>6504073</t>
  </si>
  <si>
    <t>6504077</t>
  </si>
  <si>
    <t>CTY HUAWEI - CN CẦN THƠ</t>
  </si>
  <si>
    <t>6504081</t>
  </si>
  <si>
    <t>CHI NHÁNH CÔNG TY TNHH MTV TM GIANG ANH TẠI CẦN THƠ</t>
  </si>
  <si>
    <t>6504095</t>
  </si>
  <si>
    <t>CỬA HÀNG DỤNG CỤ Y TẾ VÂN ANH</t>
  </si>
  <si>
    <t>6504097</t>
  </si>
  <si>
    <t>CỬA HÀNG HOÀNG NAM</t>
  </si>
  <si>
    <t>6504102</t>
  </si>
  <si>
    <t>CHI NHÁNH CÔNG TY CP BÁN LẺ KỸ THUẬT SỐ FPT TẠI CẦN THƠ</t>
  </si>
  <si>
    <t>6504103</t>
  </si>
  <si>
    <t>CỬA HÀNG SƠN MỸ XUÂN</t>
  </si>
  <si>
    <t>6504104</t>
  </si>
  <si>
    <t>CÔNG TY TNHH MTV HP</t>
  </si>
  <si>
    <t>6504106</t>
  </si>
  <si>
    <t>TTBH Samsung Hùng Vương - CN1 Cần Thơ (B2X ViỆT NAM)</t>
  </si>
  <si>
    <t>6504108</t>
  </si>
  <si>
    <t>BỆNH ViỆN PHỤ SẢN THÀNH PHỐ CẦN THƠ</t>
  </si>
  <si>
    <t>6504111</t>
  </si>
  <si>
    <t>CÔNG TY CỔ PHẦN DA TÂY ĐÔ</t>
  </si>
  <si>
    <t>6504112</t>
  </si>
  <si>
    <t>CHI NHÁNH CÔNG TY TNHH JOLLIBEE ViỆT NAM TẠI CẦN THƠ</t>
  </si>
  <si>
    <t>6504116</t>
  </si>
  <si>
    <t>CÔNG TY CỔ PHẦN THỦY SẢN HÀ NỘI - CẦN THƠ</t>
  </si>
  <si>
    <t>6504117</t>
  </si>
  <si>
    <t>CÔNG TY TNHH MTV THE FRUIT REPUBLIC CẦN THƠ</t>
  </si>
  <si>
    <t>6504119</t>
  </si>
  <si>
    <t>6504120</t>
  </si>
  <si>
    <t>CÔNG TY TNHH MTV TM &amp; DV HOÀNG HÂN</t>
  </si>
  <si>
    <t>6504121</t>
  </si>
  <si>
    <t>FPT SHOP CỜ ĐỎ</t>
  </si>
  <si>
    <t>6504122</t>
  </si>
  <si>
    <t>CÔNG TY TNHH DƯỢC PHẨM THÁI AN BẢO</t>
  </si>
  <si>
    <t>6504123</t>
  </si>
  <si>
    <t>CÔNG TY TNHH THINHMOBILE - CHI NHÁNH ĐÀ NẴNG</t>
  </si>
  <si>
    <t>6504125</t>
  </si>
  <si>
    <t>6504126</t>
  </si>
  <si>
    <t>TTBH Carlcare Cần Thơ</t>
  </si>
  <si>
    <t>6504127</t>
  </si>
  <si>
    <t>CÔNG TY TNHH MTV TM DV TRUNG NHÂN</t>
  </si>
  <si>
    <t>6504128</t>
  </si>
  <si>
    <t>CÔNG TY TNHH SẢN XUẤT THƯƠNG MẠI SÁU BÌNH MINH</t>
  </si>
  <si>
    <t>6504130</t>
  </si>
  <si>
    <t>CÔNG TY TNHH SẢN XUẤT THƯƠNG MẠI DỊCH VỤ THU LOAN</t>
  </si>
  <si>
    <t>6504132</t>
  </si>
  <si>
    <t>CÔNG TY TNHH SẢN XuẤT THƯƠNG MẠI MỸ PHẨM NEW ONE ViỆT NAM</t>
  </si>
  <si>
    <t>6577777</t>
  </si>
  <si>
    <t>BILL FREE CHI NHÁNH CẦN THƠ</t>
  </si>
  <si>
    <t>6587832</t>
  </si>
  <si>
    <t>6602001</t>
  </si>
  <si>
    <t>Chi nhánh Đồng Tháp – Công ty cổ phần bán lẻ kỹ thuật số FPT</t>
  </si>
  <si>
    <t>6602022</t>
  </si>
  <si>
    <t>FPT SHOP 72 HÙNG VƯƠNG, HỒNG NGỰ, ĐỒNG THÁP</t>
  </si>
  <si>
    <t>6602028</t>
  </si>
  <si>
    <t>FPT SHOP CAO LÃNH - ĐỒNG THÁP</t>
  </si>
  <si>
    <t>6602029</t>
  </si>
  <si>
    <t>FPT SHOP TAM NÔNG - ĐỒNG THÁP</t>
  </si>
  <si>
    <t>6602030</t>
  </si>
  <si>
    <t>TTBH Samsung Hùng Vương - CN1 Đồng Tháp (B2X ViỆT NAM)</t>
  </si>
  <si>
    <t>6602032</t>
  </si>
  <si>
    <t>CỞ SỞ 2 THUỐC ĐÔNG Y CỔ TRUYỀN</t>
  </si>
  <si>
    <t>6677777</t>
  </si>
  <si>
    <t>BILL FREE CN ĐỒNG THÁP</t>
  </si>
  <si>
    <t>6687845</t>
  </si>
  <si>
    <t>6687846</t>
  </si>
  <si>
    <t>6702012</t>
  </si>
  <si>
    <t>Công Ty Cổ Phần Dược AGIMEXPHARM</t>
  </si>
  <si>
    <t>6702013</t>
  </si>
  <si>
    <t>CN AN GIANG CÔNG TY CP BÁN LẺ KỸ THUẬT SỐ FPT</t>
  </si>
  <si>
    <t>6702014</t>
  </si>
  <si>
    <t>6702016</t>
  </si>
  <si>
    <t>CN An Giang - Công Ty CP Bán Lẻ kỹ Thuật Số FPT</t>
  </si>
  <si>
    <t>6702017</t>
  </si>
  <si>
    <t>CHI NHÁNH AN GIANG - CÔNG TY CP BÁN LẺ KỸ THUẬT SỐ FPT</t>
  </si>
  <si>
    <t>6702019</t>
  </si>
  <si>
    <t>CN AN GIANG - CTY CP BÁN LẺ KỸ THUẬT SỐ  FPT</t>
  </si>
  <si>
    <t>6702022</t>
  </si>
  <si>
    <t>CN An Giang - Công Ty Cổ Phần Bán Lẻ Kỹ Thuật Số Fpt</t>
  </si>
  <si>
    <t>6702025</t>
  </si>
  <si>
    <t>CN CTY CP BÁN LẺ KỸ THUẬT SỐ FPT TẠI AN GIANG</t>
  </si>
  <si>
    <t>6702026</t>
  </si>
  <si>
    <t xml:space="preserve">CHI NHÁNH AN GIANG-CTY CP BÁN  LẺ KỸ THUẬT  SỐ FPT </t>
  </si>
  <si>
    <t>6702029</t>
  </si>
  <si>
    <t>CHI NHÁNH AN GIANG-CTY CP BÁN LẺ KỸ THUẬT SỐ FPT</t>
  </si>
  <si>
    <t>6702036</t>
  </si>
  <si>
    <t>CÔNG TY TNHH NÔNG TRÍ</t>
  </si>
  <si>
    <t>6702038</t>
  </si>
  <si>
    <t>CƠ SỞ SẢN XuẤT BƠM NƯỚC HƯNG QUANG</t>
  </si>
  <si>
    <t>6702040</t>
  </si>
  <si>
    <t>6702041</t>
  </si>
  <si>
    <t>CỬA HÀNG ĐiỆN LẠNH LÊ DÂN</t>
  </si>
  <si>
    <t>6702042</t>
  </si>
  <si>
    <t>CỬA HÀNG THANH TÂM</t>
  </si>
  <si>
    <t>6777777</t>
  </si>
  <si>
    <t>BILL FREE AN GIANG</t>
  </si>
  <si>
    <t>6787800</t>
  </si>
  <si>
    <t>6801003</t>
  </si>
  <si>
    <t>6801005</t>
  </si>
  <si>
    <t>6801013</t>
  </si>
  <si>
    <t>CN KIÊN GIANG-CTY CỔ PHẦN BÁN LẺ KỶ THUẬT SỐ FPT</t>
  </si>
  <si>
    <t>6801014</t>
  </si>
  <si>
    <t>CN KIÊN GIANG - CÔNG TY CỔ PHẦN BÁN LẺ KỶ THUẬT SỐ FPT</t>
  </si>
  <si>
    <t>6801017</t>
  </si>
  <si>
    <t>CN KIÊN GIANG-CTY CỔ PHẦN BÁN LẺ KỶ THUẬT SỐ FPT</t>
  </si>
  <si>
    <t>6801018</t>
  </si>
  <si>
    <t>6801019</t>
  </si>
  <si>
    <t>6801020</t>
  </si>
  <si>
    <t>6801021</t>
  </si>
  <si>
    <t>6801023</t>
  </si>
  <si>
    <t>6801028</t>
  </si>
  <si>
    <t>6877777</t>
  </si>
  <si>
    <t>BILL FREE KIÊN GIANG</t>
  </si>
  <si>
    <t>6887905</t>
  </si>
  <si>
    <t>6887906</t>
  </si>
  <si>
    <t>6887907</t>
  </si>
  <si>
    <t>6902018</t>
  </si>
  <si>
    <t>CHI NHÁNH CÀ MAU-CÔNG TY CỔ PHẦN BÁN LẺ KTS FPT</t>
  </si>
  <si>
    <t>6902019</t>
  </si>
  <si>
    <t>6902026</t>
  </si>
  <si>
    <t>FPT SHOP TẠI CÀ MAU</t>
  </si>
  <si>
    <t>6902028</t>
  </si>
  <si>
    <t xml:space="preserve">CHI NHÁNH CÀ MAU-CTY CP BÁN  LẺ KỸ THUẬT  SỐ FPT </t>
  </si>
  <si>
    <t>6902033</t>
  </si>
  <si>
    <t>PHƯỚC SHOP</t>
  </si>
  <si>
    <t>6902034</t>
  </si>
  <si>
    <t>FPT SHOP 297 NGUYỄN TẤT THÀNH</t>
  </si>
  <si>
    <t>6977777</t>
  </si>
  <si>
    <t>BILL FREE CÀ MAU</t>
  </si>
  <si>
    <t>6987831</t>
  </si>
  <si>
    <t>6987966</t>
  </si>
  <si>
    <t>7000004</t>
  </si>
  <si>
    <t>CTY TNHH POUHUNG VIỆT NAM</t>
  </si>
  <si>
    <t>7000006</t>
  </si>
  <si>
    <t>CÔNG TY  CỔ PHẦN BÁN LẺ KỶ THUẬT SỐ FPT</t>
  </si>
  <si>
    <t>7000008</t>
  </si>
  <si>
    <t>CN TÂY NINH - CTY CP BÁN LẺ KỸ THUẬT SỐ FPT SHOP</t>
  </si>
  <si>
    <t>7000012</t>
  </si>
  <si>
    <t xml:space="preserve">CTY TNHH MAY MẶC MINH CHÂU </t>
  </si>
  <si>
    <t>7000017</t>
  </si>
  <si>
    <t>FPT SHOP TRẢNG BÀNG - TÂY NINH</t>
  </si>
  <si>
    <t>7000021</t>
  </si>
  <si>
    <t>CHI NHÁNH TÂY NINH - CÔNG TY CỔ PHẦN BÁN LẺ KỸ THUẬT SỐ FPT</t>
  </si>
  <si>
    <t>7000023</t>
  </si>
  <si>
    <t>FPT SHOP HÒA THÀNH TÂY NINH</t>
  </si>
  <si>
    <t>7000024</t>
  </si>
  <si>
    <t>FPT SHOP TÂY NINH</t>
  </si>
  <si>
    <t>7000025</t>
  </si>
  <si>
    <t>CÔNG TY TNHH ĐiỆN TỬ, KHOA HỌC VÀ CÔNG NGHỆ VIVO TÂY NINH</t>
  </si>
  <si>
    <t>7077777</t>
  </si>
  <si>
    <t>BILL FREE CN TÂY NINH</t>
  </si>
  <si>
    <t>7087938</t>
  </si>
  <si>
    <t>7101002</t>
  </si>
  <si>
    <t>CHI NHÁNH BẾN TRE - CÔNG TY CỔ PHẦN BÁN LẺ KỸ THUẬT SỐ FPT</t>
  </si>
  <si>
    <t>7102000</t>
  </si>
  <si>
    <t>Chi nhánh Bến Tre - Công ty Cổ Phân Bán Lẻ Kỹ Thuật số FPT</t>
  </si>
  <si>
    <t>7102008</t>
  </si>
  <si>
    <t>CÔNG TY TNHH CHẾ BiẾN SẢN PHẨM DỪA CỬU LONG</t>
  </si>
  <si>
    <t>7102010</t>
  </si>
  <si>
    <t>7177777</t>
  </si>
  <si>
    <t>BILL FREE BẾN TRE</t>
  </si>
  <si>
    <t>7187806</t>
  </si>
  <si>
    <t>7220019</t>
  </si>
  <si>
    <t>CTY CP LẠC VIỆT</t>
  </si>
  <si>
    <t>7220033</t>
  </si>
  <si>
    <t>CÔNG TY CP KỸ THUẬT SỐ BÁN LẺ FPT ( Vũng Tàu)</t>
  </si>
  <si>
    <t>7220043</t>
  </si>
  <si>
    <t>ÔNG BẠCH TÈO</t>
  </si>
  <si>
    <t>7220072</t>
  </si>
  <si>
    <t>FPT SHOP 155 NGUYỄN THÁI HỌC</t>
  </si>
  <si>
    <t>7220086</t>
  </si>
  <si>
    <t>CÔNG TY TNHH GT LINE Á CHÂU</t>
  </si>
  <si>
    <t>7220092</t>
  </si>
  <si>
    <t>7220098</t>
  </si>
  <si>
    <t>ĐẶNG THỊ MINH</t>
  </si>
  <si>
    <t>7220104</t>
  </si>
  <si>
    <t>CÔNG TY TNHH TE AN ViỆT NAM</t>
  </si>
  <si>
    <t>7220107</t>
  </si>
  <si>
    <t>CÔNG TY CP TONG HONG TANNERY ViỆT NAM</t>
  </si>
  <si>
    <t>7220109</t>
  </si>
  <si>
    <t>CÔNG TY TNHH HuỲNH TRẦN</t>
  </si>
  <si>
    <t>7220110</t>
  </si>
  <si>
    <t>FPT SHOP TÂN THÀNH - VŨNG TÀU</t>
  </si>
  <si>
    <t>7220111</t>
  </si>
  <si>
    <t>7220112</t>
  </si>
  <si>
    <t>CN CÔNG TY CỔ PHẦN DỊCH VỤ CÀ PHÊ CAO NGUYÊN</t>
  </si>
  <si>
    <t>7220113</t>
  </si>
  <si>
    <t>Chi nhánh Vũng Tàu -  Công ty cỔ PhẦn bán Lẻ Kỹ Thuật Số FPT</t>
  </si>
  <si>
    <t>7220119</t>
  </si>
  <si>
    <t>FPT SHOP CN VŨNG TÀU</t>
  </si>
  <si>
    <t>7220120</t>
  </si>
  <si>
    <t>7220122</t>
  </si>
  <si>
    <t>7220123</t>
  </si>
  <si>
    <t>CÔNG TY TNHH THIẾT BỊ DẦU KHÍ HOÀNG ĐĂNG</t>
  </si>
  <si>
    <t>7220124</t>
  </si>
  <si>
    <t>CÔNG TY TNHH SẢN XuẤT SƠN ViỆT</t>
  </si>
  <si>
    <t>7220125</t>
  </si>
  <si>
    <t>TRUNG TÂM MUA SẮM NGUYỄN KIM BÀ RỊA</t>
  </si>
  <si>
    <t>7220126</t>
  </si>
  <si>
    <t>CÔNG TY TNHH TM HOÀNG HẠC</t>
  </si>
  <si>
    <t>7220128</t>
  </si>
  <si>
    <t xml:space="preserve">FPT SHOP </t>
  </si>
  <si>
    <t>7220129</t>
  </si>
  <si>
    <t>TTBH Samsung Nam Kỳ Khởi Nghĩa - CN1 BRVT (B2X ViỆT NAM)</t>
  </si>
  <si>
    <t>7220131</t>
  </si>
  <si>
    <t>7220134</t>
  </si>
  <si>
    <t>Số 1912,Tổ 1,Ấp 1C,Xã Phước Thái,H. Long Thành, Tỉnh Đồng Na</t>
  </si>
  <si>
    <t>7220136</t>
  </si>
  <si>
    <t>Công ty cổ phần bán lẻ kỹ thuật số FPT</t>
  </si>
  <si>
    <t>7220137</t>
  </si>
  <si>
    <t>FPT SHOP LONG ĐiỀN - VŨNG TÀU</t>
  </si>
  <si>
    <t>7220138</t>
  </si>
  <si>
    <t>FPT Shop 247 CMT8</t>
  </si>
  <si>
    <t>7277777</t>
  </si>
  <si>
    <t>BILL FREE VŨNG TÀU</t>
  </si>
  <si>
    <t>7287973</t>
  </si>
  <si>
    <t>7287984</t>
  </si>
  <si>
    <t>7300006</t>
  </si>
  <si>
    <t>FPT SHOP QUẢNG BÌNH</t>
  </si>
  <si>
    <t>7300012</t>
  </si>
  <si>
    <t>FPT SHOP QuẢNG BÌNH 2</t>
  </si>
  <si>
    <t>7300013</t>
  </si>
  <si>
    <t>FPT LỆ THỦY - QuẢNG BÌNH</t>
  </si>
  <si>
    <t>7377777</t>
  </si>
  <si>
    <t>BILL FREE QUẢNG BÌNH</t>
  </si>
  <si>
    <t>7387928</t>
  </si>
  <si>
    <t>7387929</t>
  </si>
  <si>
    <t>7400006</t>
  </si>
  <si>
    <t>FPT SHOP QUẢNG TRỊ</t>
  </si>
  <si>
    <t>7400014</t>
  </si>
  <si>
    <t>FPT SHOP TẠI QuẢNG TRỊ</t>
  </si>
  <si>
    <t>7400016</t>
  </si>
  <si>
    <t>Công ty TNHH MTV In và Kỹ thuật Xuân Tiến</t>
  </si>
  <si>
    <t>7400018</t>
  </si>
  <si>
    <t>FPT SHOP TẠI VĨNH LINH QuẢNG TRỊ</t>
  </si>
  <si>
    <t>7400019</t>
  </si>
  <si>
    <t>7477777</t>
  </si>
  <si>
    <t>BILL FREE QUẢNG TRỊ</t>
  </si>
  <si>
    <t>7487934</t>
  </si>
  <si>
    <t>7487935</t>
  </si>
  <si>
    <t>7487976</t>
  </si>
  <si>
    <t>7500004</t>
  </si>
  <si>
    <t>CÔNG TY TNHH KHÁCH SẠN KINH THÀNH</t>
  </si>
  <si>
    <t>7500009</t>
  </si>
  <si>
    <t>Phòng văn thư - Dệt may Huế</t>
  </si>
  <si>
    <t>7500016</t>
  </si>
  <si>
    <t>Cty Cp chế biến gỗ thừa thiên Huế</t>
  </si>
  <si>
    <t>7500042</t>
  </si>
  <si>
    <t>CTY TNHH TM LINH NHÂN</t>
  </si>
  <si>
    <t>7500088</t>
  </si>
  <si>
    <t>CTY TNHH MTV THỰC PHẨM HUẾ</t>
  </si>
  <si>
    <t>7500097</t>
  </si>
  <si>
    <t>CTY CP TM DP KHÔI NGUYÊN</t>
  </si>
  <si>
    <t>7500099</t>
  </si>
  <si>
    <t>CÔNG TY CP LIÊN MINH</t>
  </si>
  <si>
    <t>7500109</t>
  </si>
  <si>
    <t>CÔNG TY TNHH QUẢNG CÁO VÀ HỘI CHỢ THƯƠNG MAI THÀNH CÔNG</t>
  </si>
  <si>
    <t>7500123</t>
  </si>
  <si>
    <t>CN CÔNG TY CP BÁN LẺ KÝ THUẬT SỐ FPT - HUẾ</t>
  </si>
  <si>
    <t>7500127</t>
  </si>
  <si>
    <t>CÔNG TY TNHH MSV</t>
  </si>
  <si>
    <t>7500130</t>
  </si>
  <si>
    <t xml:space="preserve">CÔNG TY TNHH KART (VIỆT NAM) </t>
  </si>
  <si>
    <t>7500132</t>
  </si>
  <si>
    <t>CÔNG TY CỔ PHẦN SỢI PHÚ BÀI II</t>
  </si>
  <si>
    <t>7500134</t>
  </si>
  <si>
    <t>CÔNG TY TNHH IN QUANG PHÁT</t>
  </si>
  <si>
    <t>7500136</t>
  </si>
  <si>
    <t>CÔNG TY CỔ PHẦN DU LỊCH HUẾ</t>
  </si>
  <si>
    <t>7500142</t>
  </si>
  <si>
    <t>TRƯỜNG ĐẠI HỌC Y DƯỢC HUẾ</t>
  </si>
  <si>
    <t>7500144</t>
  </si>
  <si>
    <t>CÔNG TY CỔ PHẦN CHĂN NUÔI C.P VIỆT NAM- CN ĐÔNG LẠNH TT HUẾ</t>
  </si>
  <si>
    <t>7500145</t>
  </si>
  <si>
    <t>CÔNG TY CỔ PHẦN VƯỜN XƯA</t>
  </si>
  <si>
    <t>7500149</t>
  </si>
  <si>
    <t>CHI NHÁNH CÔNG TY CỔ PHẦN SÓNG VIỆT TẠI HUẾ</t>
  </si>
  <si>
    <t>7500150</t>
  </si>
  <si>
    <t>CÔNG TY CỔ PHẦN HÀNG KHÔNG JETSTAR PACIFIC AIRLINES</t>
  </si>
  <si>
    <t>7500162</t>
  </si>
  <si>
    <t>CÔNG TY BÁN LẺ KỸ THUẬT SỐ FPT - HÙNG VƯƠNG</t>
  </si>
  <si>
    <t>7500173</t>
  </si>
  <si>
    <t>DNTN VẠN THÀNH</t>
  </si>
  <si>
    <t>7500175</t>
  </si>
  <si>
    <t>CÔNG TY TNHH DỊCH VỤ VÀ DU LỊCH THIÊN ĐƯỜNG</t>
  </si>
  <si>
    <t>7500176</t>
  </si>
  <si>
    <t>SHOP FPT 87 AN DƯƠNG VƯƠNG</t>
  </si>
  <si>
    <t>7500178</t>
  </si>
  <si>
    <t>CN Công Ty TNHH MTV Kĩ Thuật &amp; Khoa Học OPPO Tại Huế</t>
  </si>
  <si>
    <t>7500180</t>
  </si>
  <si>
    <t>Công Ty TNHH MTV Nông Sản Hữu Cơ Quế Lâm</t>
  </si>
  <si>
    <t>7500181</t>
  </si>
  <si>
    <t>Công Ty TNHH Một Thành Viên Nghệ Thuật Trúc Chi Việt Nam</t>
  </si>
  <si>
    <t>7500183</t>
  </si>
  <si>
    <t>XÍ NGHIỆP THÀNH LỢI (DNTN)</t>
  </si>
  <si>
    <t>7500188</t>
  </si>
  <si>
    <t>CÔNG TY TNHH THIÊN TÂN</t>
  </si>
  <si>
    <t>7500189</t>
  </si>
  <si>
    <t>CÔNG TY TNHH MỘT THÀNH VIÊN NGHỆ NHÂN ViỆT</t>
  </si>
  <si>
    <t>7500191</t>
  </si>
  <si>
    <t>FPT SHOP PHÚ BÀI - HuẾ</t>
  </si>
  <si>
    <t>7500192</t>
  </si>
  <si>
    <t>CÔNG TY TNHH THƯƠNG MẠI SAITA</t>
  </si>
  <si>
    <t>7500194</t>
  </si>
  <si>
    <t>FPT SHOP CN TẠI HuẾ</t>
  </si>
  <si>
    <t>7500195</t>
  </si>
  <si>
    <t>CÔNG TY TNHH MTV HANEX HuẾ</t>
  </si>
  <si>
    <t>7500196</t>
  </si>
  <si>
    <t>CÔNG TY CỔ PHẦN SỢI PHÚ GIA</t>
  </si>
  <si>
    <t>7500197</t>
  </si>
  <si>
    <t>CÔNG TY TNHH THƯƠNG MẠI VÀ QuẢNG CÁO ĐA TRUYỀN THÔNG ĐẠI HỮU</t>
  </si>
  <si>
    <t>7500198</t>
  </si>
  <si>
    <t>CÔNG TY CỔ PHẦN DU LỊCH XANH HUẾ_VNECO</t>
  </si>
  <si>
    <t>7500201</t>
  </si>
  <si>
    <t>DOANH NGHIỆP TƯ NHÂN THƯƠNG MẠI HG</t>
  </si>
  <si>
    <t>7500202</t>
  </si>
  <si>
    <t>CÔNG TY TNHH MTV TÂN NGUYÊN</t>
  </si>
  <si>
    <t>7500204</t>
  </si>
  <si>
    <t>Công ty TNHH Thái Hưng</t>
  </si>
  <si>
    <t>7500205</t>
  </si>
  <si>
    <t>Công ty TNHH Sản xuất thương mại và dịch vụ Nguyễn Triều</t>
  </si>
  <si>
    <t>7500206</t>
  </si>
  <si>
    <t>Công ty TNHH MTV Hóa Chất và Thiết Bị Việt Á</t>
  </si>
  <si>
    <t>7500208</t>
  </si>
  <si>
    <t>Công ty TNHH Thiên Ấn MEDIOIL</t>
  </si>
  <si>
    <t>7500209</t>
  </si>
  <si>
    <t>Công ty TNHH TM Dược Phẩm và Thiết Bị Y Tế Thanh Minh</t>
  </si>
  <si>
    <t>7500211</t>
  </si>
  <si>
    <t>Công ty TNHH Đầu tư và Sản xuất Ngọc Việt</t>
  </si>
  <si>
    <t>7500212</t>
  </si>
  <si>
    <t>Công ty LACTION</t>
  </si>
  <si>
    <t>7500213</t>
  </si>
  <si>
    <t>Công ty TNHH Quốc tế VINAMASK</t>
  </si>
  <si>
    <t>7500214</t>
  </si>
  <si>
    <t>CÔNG TY TNHH BAOSTEEL CAN MAKING (HUẾ VIỆT NAM)</t>
  </si>
  <si>
    <t>7500215</t>
  </si>
  <si>
    <t>HỘ KINH DOANH ĐẸP VÀ ĐỘC ĐÁO (BELLO AND VNICO)</t>
  </si>
  <si>
    <t>7500216</t>
  </si>
  <si>
    <t>CÔNG TY TRÁCH NHIỆM HỮU HẠN MTV BH HOÀNG LONG THỊNH</t>
  </si>
  <si>
    <t>7500217</t>
  </si>
  <si>
    <t>CÔNG TY TNHH Á CHÂU</t>
  </si>
  <si>
    <t>7577777</t>
  </si>
  <si>
    <t>BILL FREE CN HUẾ</t>
  </si>
  <si>
    <t>7587145</t>
  </si>
  <si>
    <t>7587951</t>
  </si>
  <si>
    <t>7587952</t>
  </si>
  <si>
    <t>7587953</t>
  </si>
  <si>
    <t>7600084</t>
  </si>
  <si>
    <t>Công ty TNHH TH &amp; CGCN CiVip</t>
  </si>
  <si>
    <t>7600091</t>
  </si>
  <si>
    <t>XI NGHIỆP MAY ĐÔNG THÀNH II</t>
  </si>
  <si>
    <t>7600101</t>
  </si>
  <si>
    <t>Chi nhánh Công ty CP Bán lẻ Kỹ thuật Số FPT tại Quảng Ngãi</t>
  </si>
  <si>
    <t>7600108</t>
  </si>
  <si>
    <t>7600118</t>
  </si>
  <si>
    <t>Công ty TNHH sản xuất và thương mại Thu Ba</t>
  </si>
  <si>
    <t>7600119</t>
  </si>
  <si>
    <t>Công ty TNHH MTV Thủy Canh Gia Viên</t>
  </si>
  <si>
    <t>7600121</t>
  </si>
  <si>
    <t>Công ty TNHH Điện tử FOSTER (Quảng Ngãi)</t>
  </si>
  <si>
    <t>7600125</t>
  </si>
  <si>
    <t>7600129</t>
  </si>
  <si>
    <t>Hồ Duy Quang</t>
  </si>
  <si>
    <t>7600132</t>
  </si>
  <si>
    <t>Nguyễn Công Phương</t>
  </si>
  <si>
    <t>7600134</t>
  </si>
  <si>
    <t>MOBIFONE PLUS CHI NHÁNH QUẢNG NGÃI</t>
  </si>
  <si>
    <t>7600136</t>
  </si>
  <si>
    <t>CN công ty CP bán lẻ kỹ thuật số FPT tại Quảng Ngãi</t>
  </si>
  <si>
    <t>7600137</t>
  </si>
  <si>
    <t>7600138</t>
  </si>
  <si>
    <t>Công ty TNHH Công Nghệ Thông Tin ITCON</t>
  </si>
  <si>
    <t>7600140</t>
  </si>
  <si>
    <t>Công ty TNHH Hoàn Vũ</t>
  </si>
  <si>
    <t>7600141</t>
  </si>
  <si>
    <t>CÔNG TY TNHH MTV BONGTILES</t>
  </si>
  <si>
    <t>7600142</t>
  </si>
  <si>
    <t>ĐINH THỊ THƠM</t>
  </si>
  <si>
    <t>7600143</t>
  </si>
  <si>
    <t>Bệnh Viện Sản - Nhi Tỉnh Quảng Ngãi</t>
  </si>
  <si>
    <t>7600144</t>
  </si>
  <si>
    <t>CÔNG TY TNHH XÂY DỰNG - SẢN XUẤT VÀ THƯƠNG MẠI PHƯỚC AN</t>
  </si>
  <si>
    <t>7600145</t>
  </si>
  <si>
    <t>CÔNG TY TNHH TƯ VẤN VÀ XÂY DỰNG CHÂU TRUNG</t>
  </si>
  <si>
    <t>7600148</t>
  </si>
  <si>
    <t xml:space="preserve">CÔNG TY TNHH TOÀN AN PHÚC </t>
  </si>
  <si>
    <t>7677777</t>
  </si>
  <si>
    <t>BILL FREE KERRY QUẢNG NGÃI</t>
  </si>
  <si>
    <t>7687931</t>
  </si>
  <si>
    <t>7687932</t>
  </si>
  <si>
    <t>7700007</t>
  </si>
  <si>
    <t>CN cty GNVT Miền Trung tại Quy Nhơn</t>
  </si>
  <si>
    <t>7700030</t>
  </si>
  <si>
    <t>Chi nhánh Bình Định-Công ty CP Bán Lẻ KTS FPT</t>
  </si>
  <si>
    <t>7700037</t>
  </si>
  <si>
    <t>Chi nhánh Bình Định - Công ty cổ phần bán lẻ kỹ thuật số FPT</t>
  </si>
  <si>
    <t>7700040</t>
  </si>
  <si>
    <t>Công ty TNHH MTV Kỹ Thuật và khoa học Oppo chi nhánh Đà Nẵng</t>
  </si>
  <si>
    <t>7700043</t>
  </si>
  <si>
    <t>CN công ty TNHH DeHeus tại Bình Định</t>
  </si>
  <si>
    <t>7700045</t>
  </si>
  <si>
    <t>Chi nhánh Bình Định - Công ty CP Bán lẻ Kỹ Thuật Số FPT</t>
  </si>
  <si>
    <t>7700048</t>
  </si>
  <si>
    <t>Chi nhánh Bình Định- Công ty CP Bán lẻ Kỹ Thuật Số FPT</t>
  </si>
  <si>
    <t>7700050</t>
  </si>
  <si>
    <t>7700055</t>
  </si>
  <si>
    <t>Công ty TNHH NN MTV Yến Sào Khánh Hòa</t>
  </si>
  <si>
    <t>7700056</t>
  </si>
  <si>
    <t>Công ty TNHH Bảo hiểm Xuân Thành Nam Trung Bộ</t>
  </si>
  <si>
    <t>7700058</t>
  </si>
  <si>
    <t>Công ty TNHH Thái Bảo</t>
  </si>
  <si>
    <t>7700071</t>
  </si>
  <si>
    <t>Công ty TNHH TMDV Phước Thành</t>
  </si>
  <si>
    <t>7700073</t>
  </si>
  <si>
    <t>Cơ sở Mỹ Nghệ Thế Hoàn</t>
  </si>
  <si>
    <t>7777777</t>
  </si>
  <si>
    <t>BILL FREE KERRY BÌNH ĐỊNH</t>
  </si>
  <si>
    <t>7787807</t>
  </si>
  <si>
    <t>7787808</t>
  </si>
  <si>
    <t>7787809</t>
  </si>
  <si>
    <t>7787810</t>
  </si>
  <si>
    <t>7787981</t>
  </si>
  <si>
    <t>7800010</t>
  </si>
  <si>
    <t>DNTN THANH VÂN</t>
  </si>
  <si>
    <t>7800025</t>
  </si>
  <si>
    <t>ĐỖ MẠNH HÙNG</t>
  </si>
  <si>
    <t>7800029</t>
  </si>
  <si>
    <t>CTY CP AN HƯNG</t>
  </si>
  <si>
    <t>7800030</t>
  </si>
  <si>
    <t>DNTN AN PHÁT</t>
  </si>
  <si>
    <t>7800034</t>
  </si>
  <si>
    <t>CN CTY TNHH SX TM HỒNG ĐÀI VIỆT</t>
  </si>
  <si>
    <t>7800041</t>
  </si>
  <si>
    <t>TÂN HOÀN CẦU</t>
  </si>
  <si>
    <t>7800044</t>
  </si>
  <si>
    <t>CHI CỤC DÂN SỐ &amp; KHH GIA ĐÌNH</t>
  </si>
  <si>
    <t>7800053</t>
  </si>
  <si>
    <t>CÔNG TY CỔ PHẦN PYMEPHARCO</t>
  </si>
  <si>
    <t>7800054</t>
  </si>
  <si>
    <t xml:space="preserve">CÀ PHÊ HƯƠNG HƯƠNG </t>
  </si>
  <si>
    <t>7800056</t>
  </si>
  <si>
    <t>CN CTY TNHH MTV BÁN LẺ FPT TẠI PHÚ YÊN</t>
  </si>
  <si>
    <t>7800059</t>
  </si>
  <si>
    <t>CTY CP KỸ NGHỆ THỰC PHẨM</t>
  </si>
  <si>
    <t>7800061</t>
  </si>
  <si>
    <t>CTY TNHH TMDV PHÚ THU</t>
  </si>
  <si>
    <t>7800064</t>
  </si>
  <si>
    <t>CTY CP CN GỖ TRƯỜNG THÀNH</t>
  </si>
  <si>
    <t>7800068</t>
  </si>
  <si>
    <t>BÙI TƯỞNG - HỘI CÂY CẢNH</t>
  </si>
  <si>
    <t>7800079</t>
  </si>
  <si>
    <t>SHOWROOM TUY HÒA</t>
  </si>
  <si>
    <t>7800080</t>
  </si>
  <si>
    <t>FPT SHOP TẠI PHÚ YÊN</t>
  </si>
  <si>
    <t>7800083</t>
  </si>
  <si>
    <t>7800085</t>
  </si>
  <si>
    <t>CÔNG TY CỔ PHẦN VL XD PHÚ YÊN</t>
  </si>
  <si>
    <t>7800086</t>
  </si>
  <si>
    <t>CÔNG TY TNHH CCIPY ViỆT NAM</t>
  </si>
  <si>
    <t>7800087</t>
  </si>
  <si>
    <t>CHI CỤC QUẢN LÝ CHẤT LƯỢNG NÔNG LÂM SẢN &amp; THỦY SẢN PHÚ YÊN</t>
  </si>
  <si>
    <t>7800089</t>
  </si>
  <si>
    <t>CÔNG TY TNHH THUỶ SẢN HỒNG NGỌC</t>
  </si>
  <si>
    <t>7800090</t>
  </si>
  <si>
    <t>CÔNG TY TNHH THUỶ SẢN PHÚC NGUYÊN</t>
  </si>
  <si>
    <t>7800091</t>
  </si>
  <si>
    <t>CHI NHÁNH CÔNG NGHIỆP HÓA CHẤT MỎ PHÚ YÊN</t>
  </si>
  <si>
    <t>7800092</t>
  </si>
  <si>
    <t>CÔNG TY TNHH PHÁT TRIỂN CÔNG NGHỆ ITD</t>
  </si>
  <si>
    <t>7800093</t>
  </si>
  <si>
    <t>NGUYỄN PHÚC NGUYÊN</t>
  </si>
  <si>
    <t>7800094</t>
  </si>
  <si>
    <t>CÔNG TY TNHH PHÁT MỸ HƯNG</t>
  </si>
  <si>
    <t>7800095</t>
  </si>
  <si>
    <t>CÔNG TY BẢO HIỂM PVI KHÁNH HÒA</t>
  </si>
  <si>
    <t>7800097</t>
  </si>
  <si>
    <t>CN CTy TNHH MTV Nhiên Liệu Hàng Không VN (Skypec) Tại PhúYên</t>
  </si>
  <si>
    <t>7800098</t>
  </si>
  <si>
    <t>CÔNG TY TNHH SẢN XUẤT VÀ THƯƠNG MẠI MỘC HƯƠNG</t>
  </si>
  <si>
    <t>7877777</t>
  </si>
  <si>
    <t>BILL FREE PHÚ YÊN</t>
  </si>
  <si>
    <t>7887927</t>
  </si>
  <si>
    <t>7900025</t>
  </si>
  <si>
    <t>7900053</t>
  </si>
  <si>
    <t>Cty TNHH kỹ thuật địa chất An Bình</t>
  </si>
  <si>
    <t>7900148</t>
  </si>
  <si>
    <t>CTY TT ĐIỆN 3(P.ĐẤU THẦU)</t>
  </si>
  <si>
    <t>7900152</t>
  </si>
  <si>
    <t>XÍ NGHIỆP BAO BÌ KHATOCO</t>
  </si>
  <si>
    <t>7900169</t>
  </si>
  <si>
    <t>CTY TNHH SAO MAI ANH</t>
  </si>
  <si>
    <t>7900170</t>
  </si>
  <si>
    <t>CÔNG TY QUẢN LÝ ĐƯỜNG SẮT PHÚ KHÁNH</t>
  </si>
  <si>
    <t>7900187</t>
  </si>
  <si>
    <t>CTY TNHH DLTM PHƯƠNG THẮNG</t>
  </si>
  <si>
    <t>7900193</t>
  </si>
  <si>
    <t>CTY TNHH TAISHO VN</t>
  </si>
  <si>
    <t>7900208</t>
  </si>
  <si>
    <t>CTY VACXIN VÀ SINH PHẨM SỐ 2</t>
  </si>
  <si>
    <t>7900210</t>
  </si>
  <si>
    <t>CTY CP TAM NGUYÊN - KS PARAGON</t>
  </si>
  <si>
    <t>7900227</t>
  </si>
  <si>
    <t>Cty TNHH Ponaga</t>
  </si>
  <si>
    <t>7900232</t>
  </si>
  <si>
    <t>CÀ PHÊ ĐẤT VIỆT</t>
  </si>
  <si>
    <t>7900249</t>
  </si>
  <si>
    <t>Nhà Hàng Nha Trang View</t>
  </si>
  <si>
    <t>7900266</t>
  </si>
  <si>
    <t>DNTN TM &amp; DV MINH NHẬT</t>
  </si>
  <si>
    <t>7900269</t>
  </si>
  <si>
    <t>Cty TNHH Thắng Lợi</t>
  </si>
  <si>
    <t>7900291</t>
  </si>
  <si>
    <t>CTY THUỐC LÁ NGUYÊN LIỆU KHATOCO</t>
  </si>
  <si>
    <t>7900306</t>
  </si>
  <si>
    <t>CTY TNHH NHẬT TÂN</t>
  </si>
  <si>
    <t>7900350</t>
  </si>
  <si>
    <t>ACB PHÒNG GIAO DỊCH PHƯƠNG SƠN</t>
  </si>
  <si>
    <t>7900481</t>
  </si>
  <si>
    <t>NGÂN HÀNG SHB</t>
  </si>
  <si>
    <t>7900489</t>
  </si>
  <si>
    <t>CTY CP ĐƯỜNG KHÁNH HÒA</t>
  </si>
  <si>
    <t>7900522</t>
  </si>
  <si>
    <t>CN CTY TNHH TM SX THÉP VIỆT</t>
  </si>
  <si>
    <t>7900655</t>
  </si>
  <si>
    <t>DNTN TƯỜNG NGHI</t>
  </si>
  <si>
    <t>7900660</t>
  </si>
  <si>
    <t>CTY TNHH MTV ATC TRẦM HƯƠNG KH</t>
  </si>
  <si>
    <t>7900670</t>
  </si>
  <si>
    <t>CTY TNHH HOÀN CẦU</t>
  </si>
  <si>
    <t>7900698</t>
  </si>
  <si>
    <t>CTY CP TM &amp; DL QUỐC TẾ</t>
  </si>
  <si>
    <t>7900706</t>
  </si>
  <si>
    <t>VPĐD ANH NGUYỄN NT</t>
  </si>
  <si>
    <t>7900779</t>
  </si>
  <si>
    <t>CTY CP PT ĐÔ THỊ VĨNH THÁI</t>
  </si>
  <si>
    <t>7900844</t>
  </si>
  <si>
    <t>Cửa Hàng Thanh Xuân</t>
  </si>
  <si>
    <t>7900849</t>
  </si>
  <si>
    <t>DNTN Hoàng Huy Phát</t>
  </si>
  <si>
    <t>7900889</t>
  </si>
  <si>
    <t>Cty TNHH Hưng Long</t>
  </si>
  <si>
    <t>7900905</t>
  </si>
  <si>
    <t>CN Cty CP xi măng Hà Tiên I-Trạm Nghiền Cam Ranh</t>
  </si>
  <si>
    <t>7900925</t>
  </si>
  <si>
    <t>CTY TNHH MTV CÀ PHÊ ĐỨC SƠN</t>
  </si>
  <si>
    <t>7900933</t>
  </si>
  <si>
    <t>CTY TNHH THU HÀ</t>
  </si>
  <si>
    <t>7900947</t>
  </si>
  <si>
    <t>CN CTY CP KD KHÍ HÓA LỎNG MIỀN NAM</t>
  </si>
  <si>
    <t>7900952</t>
  </si>
  <si>
    <t>Cảng Cam Ranh</t>
  </si>
  <si>
    <t>7900961</t>
  </si>
  <si>
    <t>CN DNTN XD Số 1 tỉnh Điện Biên - KS Mường Thanh NT</t>
  </si>
  <si>
    <t>7900963</t>
  </si>
  <si>
    <t>Cty REE</t>
  </si>
  <si>
    <t>7901064</t>
  </si>
  <si>
    <t>CÁ TẦM VIỆT NAM</t>
  </si>
  <si>
    <t>7901105</t>
  </si>
  <si>
    <t>CAM RANH SEAFOODS CO ., LTD -CAM RANH</t>
  </si>
  <si>
    <t>7901179</t>
  </si>
  <si>
    <t>TT KN,KN,kiểm định NTTS-VP Miền Trung &amp; Tây Nguyên</t>
  </si>
  <si>
    <t>7901201</t>
  </si>
  <si>
    <t>Cty TNHH Quốc Anh NT</t>
  </si>
  <si>
    <t>7901210</t>
  </si>
  <si>
    <t>Maritime Hotel</t>
  </si>
  <si>
    <t>7901279</t>
  </si>
  <si>
    <t>CN CTY CP BÁN LẺ KỸ THUẬT SỐ FPT TẠI KHÁNH HÒA</t>
  </si>
  <si>
    <t>7901288</t>
  </si>
  <si>
    <t>Công ty TNHH Amway Việt Nam Chi Nhánh Tại Khánh Hòa</t>
  </si>
  <si>
    <t>7901310</t>
  </si>
  <si>
    <t>Công Ty Cp Xuất Nhập Khẩu Cà Phê Intimex</t>
  </si>
  <si>
    <t>7901312</t>
  </si>
  <si>
    <t xml:space="preserve">CÔNG TY TNHH DESIPER VIỆT NAM </t>
  </si>
  <si>
    <t>7901333</t>
  </si>
  <si>
    <t>Khách sạn InterContinental Nha Trang</t>
  </si>
  <si>
    <t>7901353</t>
  </si>
  <si>
    <t>7901360</t>
  </si>
  <si>
    <t>CÔNG TY TNHH MTV OTO SAO MAI ANH</t>
  </si>
  <si>
    <t>7901365</t>
  </si>
  <si>
    <t>CÔNG TY BẢO MINH KHÁNH HÒA</t>
  </si>
  <si>
    <t>7901369</t>
  </si>
  <si>
    <t>CHI CỤC ĐĂNG KIỂM SỐ 5</t>
  </si>
  <si>
    <t>7901371</t>
  </si>
  <si>
    <t>CÔNG TY TNHH MTV KỸ THUẬT &amp; KHOA HỌC OPPO</t>
  </si>
  <si>
    <t>7901386</t>
  </si>
  <si>
    <t>CTY TNHH RONG BIỂN VN</t>
  </si>
  <si>
    <t>7901392</t>
  </si>
  <si>
    <t>Công ty TNHH 71</t>
  </si>
  <si>
    <t>7901399</t>
  </si>
  <si>
    <t>CAM RANH RIVIERA BEACH RESORTSPA</t>
  </si>
  <si>
    <t>7901406</t>
  </si>
  <si>
    <t>Trung tâm phối hợp TKCN hàng hải khu vực IV</t>
  </si>
  <si>
    <t>7901409</t>
  </si>
  <si>
    <t>CÔNG TY CP NHIÊN LIỆU BAY PETROLIMEX – CN CAM RANH</t>
  </si>
  <si>
    <t>7901420</t>
  </si>
  <si>
    <t>Công ty TNHH TM DV - XD Khánh Vĩnh</t>
  </si>
  <si>
    <t>7901430</t>
  </si>
  <si>
    <t>CN CÔNG TY CP VINA LÁ SẮT CỨNG TẠI NHA TRANG</t>
  </si>
  <si>
    <t>7901437</t>
  </si>
  <si>
    <t xml:space="preserve">Công Ty TNHH Cơ Khí –Xây Dựng Khatoco    </t>
  </si>
  <si>
    <t>7901441</t>
  </si>
  <si>
    <t>CN CÔNG TY TNHH MTV XĂNG DẦU HÀNG KHÔNG VN</t>
  </si>
  <si>
    <t>7901442</t>
  </si>
  <si>
    <t>CÔNG TY TNHH Ô TÔ BOY</t>
  </si>
  <si>
    <t>7901446</t>
  </si>
  <si>
    <t>NGÂN HÀNG LIÊN DOANH VIỆT NGA CHI NHÁNH KHÁNH HÒA</t>
  </si>
  <si>
    <t>7901452</t>
  </si>
  <si>
    <t>CÔNG TY TNHH MTV NƯỚC GIẢI KHÁT SANNA KHÁNH HÒA</t>
  </si>
  <si>
    <t>7901454</t>
  </si>
  <si>
    <t>FPT SHOP NHA TRANG</t>
  </si>
  <si>
    <t>7901456</t>
  </si>
  <si>
    <t>CÔNG TY TNHH TÀI THÀNH CÔNG</t>
  </si>
  <si>
    <t>7901458</t>
  </si>
  <si>
    <t>7901462</t>
  </si>
  <si>
    <t>CÔNG TY CP TƯ VẤN T27</t>
  </si>
  <si>
    <t>7901469</t>
  </si>
  <si>
    <t>CÔNG TY TNHH THÀNH NGUYÊN PHÁT</t>
  </si>
  <si>
    <t>7901471</t>
  </si>
  <si>
    <t>CÔNG TY TNHH  VẬN CHUYỂN QuỐC TÊ MINH ANH</t>
  </si>
  <si>
    <t>7901475</t>
  </si>
  <si>
    <t xml:space="preserve">CÔNG TY TNHH G&amp;G </t>
  </si>
  <si>
    <t>7901480</t>
  </si>
  <si>
    <t>FPT SHOP CAM RANH</t>
  </si>
  <si>
    <t>7901482</t>
  </si>
  <si>
    <t>CÔNG TY TNHH SX &amp; TM HUCAFOOD</t>
  </si>
  <si>
    <t>7901487</t>
  </si>
  <si>
    <t>CÔNG TY TNHH DƯỢC PHẨM HOÀNG KIM</t>
  </si>
  <si>
    <t>7901489</t>
  </si>
  <si>
    <t>CÔNG TY TNHH TRÚC KHÁNH HƯNG VÀ CỘNG SỰ</t>
  </si>
  <si>
    <t>7901490</t>
  </si>
  <si>
    <t>CÔNG TY TNHH LONG SINH</t>
  </si>
  <si>
    <t>7901492</t>
  </si>
  <si>
    <t>CÔNG TY TNHH THƯƠNG MẠI DỊCH VỤ TRI GIAO</t>
  </si>
  <si>
    <t>7901501</t>
  </si>
  <si>
    <t>CÔNG TY TNHH SX-TM-XNK D&amp;T</t>
  </si>
  <si>
    <t>7901503</t>
  </si>
  <si>
    <t>CÔNG TY CỔ PHẦN QUẢN LÝ VÀ XÂY DỰNG  ĐƯỜNG BỘ KHÁNH HÒA</t>
  </si>
  <si>
    <t>7901504</t>
  </si>
  <si>
    <t>CÔNG TY TNHH MTV ĐiỆN TỬ VIVO KHÁNH HÒA</t>
  </si>
  <si>
    <t>7901506</t>
  </si>
  <si>
    <t>CÔNG TY CỔ PHẦN  ĐẦU TƯ XÂY DỰNG VỊNH NHA TRANG</t>
  </si>
  <si>
    <t>7901508</t>
  </si>
  <si>
    <t>CÔNG TY TNHH MỘT THÀNH VIÊN SEN ViỆT NHA TRANG</t>
  </si>
  <si>
    <t>7901510</t>
  </si>
  <si>
    <t>DNTN  DU LỊCH THƯƠNG MẠI HƯNG PHÚ</t>
  </si>
  <si>
    <t>7901512</t>
  </si>
  <si>
    <t>7901519</t>
  </si>
  <si>
    <t>CÔNG TY CỔ PHẦN QuẢN LÝ VÀ XÂY DỰNG  GIAO THÔNG KHÁNH HÒA</t>
  </si>
  <si>
    <t>7901523</t>
  </si>
  <si>
    <t>CÔNG TY TNHH THANH YẾN</t>
  </si>
  <si>
    <t>7901526</t>
  </si>
  <si>
    <t>Công Ty TNHH Dịch Vụ Tin Học FPT - CN NHA TRANG</t>
  </si>
  <si>
    <t>7901530</t>
  </si>
  <si>
    <t>CÔNG TY CỔ PHẦN DỊCH VỤ MẶT ĐẤT SÀI GÒN - CAM RANH</t>
  </si>
  <si>
    <t>7901531</t>
  </si>
  <si>
    <t>NGÂN HÀNG TMCP BẢN ViỆT - CN NHA TRANG</t>
  </si>
  <si>
    <t>7901533</t>
  </si>
  <si>
    <t>CÔNG TY TNHH SẢN XuẤT - THƯƠNG MẠI H.T.H</t>
  </si>
  <si>
    <t>7901535</t>
  </si>
  <si>
    <t>CÔNG TY CỔ PHẦN ONSEN</t>
  </si>
  <si>
    <t>7901537</t>
  </si>
  <si>
    <t>CÔNG TY TNHH ÁO DÀI ViỆT NAM</t>
  </si>
  <si>
    <t>7901540</t>
  </si>
  <si>
    <t>CÔNG TY TNHH TÂN THỊNH PHÁT</t>
  </si>
  <si>
    <t>7901541</t>
  </si>
  <si>
    <t>HỘ KINH DOANH ANAM (LATEX FACTORY)</t>
  </si>
  <si>
    <t>7901545</t>
  </si>
  <si>
    <t>CN KHÁNH HÒA - CÔNG TY CỔ PHẦN DAIKIN AIR CONDITIONING (VIET</t>
  </si>
  <si>
    <t>7901546</t>
  </si>
  <si>
    <t>CÔNG TY CỔ PHẦN CÀ PHÊ HOÀNG TuẤN</t>
  </si>
  <si>
    <t>7901550</t>
  </si>
  <si>
    <t>CÔNG TY CỔ PHẦN TM&amp;DV CƠ ĐiỆN LẠNH ĐỨC TuẤN</t>
  </si>
  <si>
    <t>7901563</t>
  </si>
  <si>
    <t>CÔNG TY CP ĐẤT XANH NHA TRANG</t>
  </si>
  <si>
    <t>7901564</t>
  </si>
  <si>
    <t>CHI NHÁNH CÔNG TY TNHH TRƯỜNG VINH HI-NO</t>
  </si>
  <si>
    <t>7901567</t>
  </si>
  <si>
    <t>VÕ NHẬT QUANG</t>
  </si>
  <si>
    <t>7901568</t>
  </si>
  <si>
    <t>CÔNG TY TNHH THÉP ViỆT AN</t>
  </si>
  <si>
    <t>7901569</t>
  </si>
  <si>
    <t>CÔNG TY CỔ PHẦN  ĐẦU TƯ XÂY DỰNG VỊNH NHA TRANG (TRẦN THÁI)</t>
  </si>
  <si>
    <t>7901570</t>
  </si>
  <si>
    <t>HỘ KINH DOANH LIÊN Á TP</t>
  </si>
  <si>
    <t>7901571</t>
  </si>
  <si>
    <t>CÔNG TY CỔ PHẦN ĐẦU TƯ GEDOSICO</t>
  </si>
  <si>
    <t>7901572</t>
  </si>
  <si>
    <t>CÔNG TY TNHH VINH HỒNG HƯNG</t>
  </si>
  <si>
    <t>7901576</t>
  </si>
  <si>
    <t>CÔNG TY TNHH DU LỊCH ÂU ViỆT</t>
  </si>
  <si>
    <t>7901577</t>
  </si>
  <si>
    <t>CÔNG TY TNHH MỘT THÀNH VIÊN XÂY DỰNG TRUNG HiẾU</t>
  </si>
  <si>
    <t>7901578</t>
  </si>
  <si>
    <t>NGUYỄN THANH BÌNH</t>
  </si>
  <si>
    <t>7901579</t>
  </si>
  <si>
    <t>CÔNG TY TNHH THƯƠNG MẠI DỊCH VỤ XÂY DỰNG AN THÀNH PHÁT</t>
  </si>
  <si>
    <t>7901580</t>
  </si>
  <si>
    <t>CÔNG TY TNHH QUEEN ANN NHA TRANG</t>
  </si>
  <si>
    <t>7901581</t>
  </si>
  <si>
    <t>CHI NHÁNH CÔNG TY CỔ PHẦN MON.TE.CA TẠI NHA TRANG</t>
  </si>
  <si>
    <t>7901585</t>
  </si>
  <si>
    <t>CÔNG TY TNHH THƯƠNG MẠ DỊCH VỤ XÂY DỰNG VĨNH HƯNG PHÁT</t>
  </si>
  <si>
    <t>7901586</t>
  </si>
  <si>
    <t xml:space="preserve">KHÁCH SẠN IMPERIAL-CÔNG TY TNHH DU LỊCH VÀ TM CÔNG THẮNG </t>
  </si>
  <si>
    <t>7901587</t>
  </si>
  <si>
    <t>7901588</t>
  </si>
  <si>
    <t>CÔNG TY TNHH DỊCH VỤ PHÂN PHỐI TỔNG HỢP VIỆT NAM</t>
  </si>
  <si>
    <t>7901591</t>
  </si>
  <si>
    <t>CÔNG TY CỔ PHẦN SỰ KiỆN GiẢI TRÍ VÀ TRUYỀN THÔNG HUY LONG</t>
  </si>
  <si>
    <t>7901592</t>
  </si>
  <si>
    <t>CÔNG TY TNHH THỦY SẢN AUSTRALIS ViỆT NAM</t>
  </si>
  <si>
    <t>7901593</t>
  </si>
  <si>
    <t>CÔNG TY TNHH M&amp;E AN PHÚ GIA</t>
  </si>
  <si>
    <t>7901595</t>
  </si>
  <si>
    <t>CTY CP TM THANH THANH CONG- CN MIỀN TRUNG</t>
  </si>
  <si>
    <t>7901596</t>
  </si>
  <si>
    <t>CÔNG TY TNHH LỢI THÀNH PHÁT</t>
  </si>
  <si>
    <t>7901599</t>
  </si>
  <si>
    <t>CÔNG TY TNHH QUẢNG CÁO &amp; SỰ KIỆN SÔNG NGÂN</t>
  </si>
  <si>
    <t>7901600</t>
  </si>
  <si>
    <t>CÔNG TY TNHH MTV GON SA MIỀN TRUNG</t>
  </si>
  <si>
    <t>7901601</t>
  </si>
  <si>
    <t>CÔNG TY KINH DOANH ĐÀ ĐIỂU – CÁ  SẤU KHATOCO</t>
  </si>
  <si>
    <t>7901605</t>
  </si>
  <si>
    <t>CHI NHÁNH CÔNG TY CỔ PHẦN ACC-  243 TẠI NHA TRANG</t>
  </si>
  <si>
    <t>7901607</t>
  </si>
  <si>
    <t>CÔNG TY TNHH THỰC PHẨM MÃI TÍN</t>
  </si>
  <si>
    <t>7901608</t>
  </si>
  <si>
    <t>CÔNG TY CỔ PHẦN MAY CAM RANH</t>
  </si>
  <si>
    <t>7901609</t>
  </si>
  <si>
    <t>CÔNG TY TNHH MÃI TÍN VIỆT NAM</t>
  </si>
  <si>
    <t>7901610</t>
  </si>
  <si>
    <t xml:space="preserve">NGÂN HÀNG TMCP Á CHÂU - PGD PHƯỚC LONG </t>
  </si>
  <si>
    <t>7901611</t>
  </si>
  <si>
    <t>PHẠM THỊ LOAN</t>
  </si>
  <si>
    <t>7901612</t>
  </si>
  <si>
    <t>SHOP THẮNG NGUYỄN</t>
  </si>
  <si>
    <t>7901613</t>
  </si>
  <si>
    <t>NGÂN HÀNG THƯƠNG MẠI CỔ PHẦN BẮC Á- CHI NHÁNH KHÁNH HÒA</t>
  </si>
  <si>
    <t>7901615</t>
  </si>
  <si>
    <t>CTY CP TẬP ĐOÀN ĐÈO CẢ</t>
  </si>
  <si>
    <t>7901616</t>
  </si>
  <si>
    <t>CÔNG TY TNHH NGUYÊN PHƯƠNG</t>
  </si>
  <si>
    <t>7901617</t>
  </si>
  <si>
    <t>TRUNG TÂM QUẢN LÝ CHẤT LƯỢNG  NÔNG LÂM THỦY SẢN VÙNG 3</t>
  </si>
  <si>
    <t>7901618</t>
  </si>
  <si>
    <t>CÔNG TY TNHH TM-DV HÒA THUẬN PHÁT</t>
  </si>
  <si>
    <t>7901619</t>
  </si>
  <si>
    <t>CÔNG TY TNHH QUỐC LINH NHA TRANG</t>
  </si>
  <si>
    <t>7901621</t>
  </si>
  <si>
    <t>CÔNG TY TNHH CARLCARE SERVICE VN (CN KHÁNH HÒA)</t>
  </si>
  <si>
    <t>7901623</t>
  </si>
  <si>
    <t>CÔNG TY TNHH MẶT TRỜI VÀNG</t>
  </si>
  <si>
    <t>7901624</t>
  </si>
  <si>
    <t>CHI CỤC QUẢN LÝ ĐƯỜNG BỘ III.3</t>
  </si>
  <si>
    <t>7977777</t>
  </si>
  <si>
    <t>BILL FREE NHA TRANG</t>
  </si>
  <si>
    <t>7987900</t>
  </si>
  <si>
    <t>7987901</t>
  </si>
  <si>
    <t>7987902</t>
  </si>
  <si>
    <t>7987903</t>
  </si>
  <si>
    <t>7987904</t>
  </si>
  <si>
    <t>8100007</t>
  </si>
  <si>
    <t>8100014</t>
  </si>
  <si>
    <t xml:space="preserve">CAO VĂN MINH </t>
  </si>
  <si>
    <t>8100021</t>
  </si>
  <si>
    <t>Công Ty TNHH Một Thành Viên Kỹ Thuật &amp; Khoa Học OPPO</t>
  </si>
  <si>
    <t>8100022</t>
  </si>
  <si>
    <t>FPT SHOP Gia Lai (2)</t>
  </si>
  <si>
    <t>8100031</t>
  </si>
  <si>
    <t>8100034</t>
  </si>
  <si>
    <t>8100035</t>
  </si>
  <si>
    <t>8177777</t>
  </si>
  <si>
    <t>BILL FREE CN GIA LAI</t>
  </si>
  <si>
    <t>8187847</t>
  </si>
  <si>
    <t>8187848</t>
  </si>
  <si>
    <t>8187849</t>
  </si>
  <si>
    <t>8187983</t>
  </si>
  <si>
    <t>8200003</t>
  </si>
  <si>
    <t>CN KONTUM - CTY CP BÁN LẺ KTS FPT</t>
  </si>
  <si>
    <t>8277777</t>
  </si>
  <si>
    <t>BILL FREE CN KONTUM</t>
  </si>
  <si>
    <t>8287908</t>
  </si>
  <si>
    <t>8302005</t>
  </si>
  <si>
    <t>CN Sóc Trăng - Công Ty Cổ Phần  Bán Lẻ Kỹ Thuật Số FPT</t>
  </si>
  <si>
    <t>8302008</t>
  </si>
  <si>
    <t>CƠ SỞ SẢN XUẤT ĐŨA TRƯỜNG THÀNH</t>
  </si>
  <si>
    <t>8302017</t>
  </si>
  <si>
    <t>Công Ty Cổ Phần Dược S.PHARM</t>
  </si>
  <si>
    <t>8302019</t>
  </si>
  <si>
    <t>CÔNG TY TNHH HỒNG SINH PHÚC</t>
  </si>
  <si>
    <t>8302021</t>
  </si>
  <si>
    <t>CƠ SỞ LẠP XƯỞNG - BÁNH PÍA MỸ ANH</t>
  </si>
  <si>
    <t>8302023</t>
  </si>
  <si>
    <t>Chi nhánh Sóc Trăng - Công Ty Cổ Phần Bán Lẻ Kỹ Thuật Số FPT</t>
  </si>
  <si>
    <t>8302024</t>
  </si>
  <si>
    <t>CÔNG TY TNHH TUNTEX SÓC TRĂNG ViỆT NAM</t>
  </si>
  <si>
    <t>8377777</t>
  </si>
  <si>
    <t>BILL FREE SÓC TRĂNG</t>
  </si>
  <si>
    <t>8387936</t>
  </si>
  <si>
    <t>8401002</t>
  </si>
  <si>
    <t>CN TRÀ VINH - CÔNG TY CP BÁN LẼ KỸ THUẬT SỐ FPT</t>
  </si>
  <si>
    <t>8401003</t>
  </si>
  <si>
    <t>CÔNG TY TNHH MTV CY VINA</t>
  </si>
  <si>
    <t>8401007</t>
  </si>
  <si>
    <t xml:space="preserve">CHI NHÁNH TRÀ VINH- CTY CP BÁN LẺ KỸ THUẬT SỐ FPT </t>
  </si>
  <si>
    <t>8477777</t>
  </si>
  <si>
    <t>BILL FREE TRÀ VINH</t>
  </si>
  <si>
    <t>8487954</t>
  </si>
  <si>
    <t>8500009</t>
  </si>
  <si>
    <t>CN CÔNG TY CỔ PHẦN BÁN LẺ KỸ THUẬT SỐ FPT TẠI NINH THUẬN</t>
  </si>
  <si>
    <t>8500013</t>
  </si>
  <si>
    <t>FPT SHOP NGÔ GIA TỰ - NINH THUẬN</t>
  </si>
  <si>
    <t>8500014</t>
  </si>
  <si>
    <t>FPT SHOP ĐƯỜNG 21/8- NINH THUẬN</t>
  </si>
  <si>
    <t>8500015</t>
  </si>
  <si>
    <t>CÔNG TY CỔ PHẨN MAY TÂN TiẾN</t>
  </si>
  <si>
    <t>8500017</t>
  </si>
  <si>
    <t>MOBIFONE PLUS CHI NHÁNH NINH THUẬN</t>
  </si>
  <si>
    <t>8500018</t>
  </si>
  <si>
    <t>CÔNG TY CỔ PHẦN NĂNG LƯỢNG VÀNG</t>
  </si>
  <si>
    <t>8500019</t>
  </si>
  <si>
    <t>Chi nhánh công ty cổ phần bán lẻ kỹ thuật số FPT tại Ninh Th</t>
  </si>
  <si>
    <t>8500020</t>
  </si>
  <si>
    <t>CÔNG TY CỔ PHẦN THỰC PHẨM CÁNH ĐỒNG ViỆT</t>
  </si>
  <si>
    <t>8500022</t>
  </si>
  <si>
    <t>VƯỜN BONSAI &amp; SVC LONG</t>
  </si>
  <si>
    <t>8577777</t>
  </si>
  <si>
    <t>BILL FREE NINH THUẬN</t>
  </si>
  <si>
    <t>8587925</t>
  </si>
  <si>
    <t>8600002</t>
  </si>
  <si>
    <t>Công Ty BERNECKER VN</t>
  </si>
  <si>
    <t>8600005</t>
  </si>
  <si>
    <t>CTY CP BÁN LẺ KTS FPT</t>
  </si>
  <si>
    <t>8600008</t>
  </si>
  <si>
    <t xml:space="preserve">CTY TNHH DV SÀI GÒN - PHAN THIẾT </t>
  </si>
  <si>
    <t>8600014</t>
  </si>
  <si>
    <t>8600016</t>
  </si>
  <si>
    <t>FPT Shop Bình Thuận</t>
  </si>
  <si>
    <t>8600017</t>
  </si>
  <si>
    <t>8600020</t>
  </si>
  <si>
    <t>CÔNG TY CO.OPMART LAGI BÌNH THUẬN</t>
  </si>
  <si>
    <t>8600024</t>
  </si>
  <si>
    <t>CÔNG TY CP BÁN LẺ KỸ THUẬT SỐ FPT</t>
  </si>
  <si>
    <t>8600025</t>
  </si>
  <si>
    <t>8600026</t>
  </si>
  <si>
    <t>MOBIFONE PLUS CHI NHÁNH BÌNH THUẬN</t>
  </si>
  <si>
    <t>8600027</t>
  </si>
  <si>
    <t>CÔNG TY CP BÁN LẺ KỸ THUẬT SỐ FPT TẠI HÀM THUẬN</t>
  </si>
  <si>
    <t>8600028</t>
  </si>
  <si>
    <t>CHI NHÁNH BÌNH THUẬN - CÔNG TY CP BÁN LẺ KỸ THUẬT SỐ FPT</t>
  </si>
  <si>
    <t>8677777</t>
  </si>
  <si>
    <t>BILL FREE BÌNH THUẬN</t>
  </si>
  <si>
    <t>8687826</t>
  </si>
  <si>
    <t>8687827</t>
  </si>
  <si>
    <t>8687965</t>
  </si>
  <si>
    <t>8800005</t>
  </si>
  <si>
    <t>Chi nhánh Vĩnh Phúc-Công ty CP bán lẻ kỹ thuật số FPT</t>
  </si>
  <si>
    <t>8800007</t>
  </si>
  <si>
    <t>CN Công ty CP bán lẻ kỹ thuật số FPT Shop tại Vĩnh Phúc</t>
  </si>
  <si>
    <t>8800008</t>
  </si>
  <si>
    <t>Công ty CP RUBY PHAR MA</t>
  </si>
  <si>
    <t>8800010</t>
  </si>
  <si>
    <t>CHI NHÁNH VĨNH PHUC-CÔNG TY CỔ PHẦN BÁN LẺ KỸ THUẬT SỐ FPT</t>
  </si>
  <si>
    <t>8800020</t>
  </si>
  <si>
    <t>CÔNG TY CP XÂY DỰNG VÀ PHÁT TRIỂN HẠ TẦNG TÂY HỒ</t>
  </si>
  <si>
    <t>8800023</t>
  </si>
  <si>
    <t>CÔNG TY TNHH GIA LỘC VIỆT NAM</t>
  </si>
  <si>
    <t>8800025</t>
  </si>
  <si>
    <t>CÔNG TY TNHH CÔNG NGHIỆP HAOHSING VIỆT NAM</t>
  </si>
  <si>
    <t>8800028</t>
  </si>
  <si>
    <t>CÔNG TY TNHH THƯƠNG MẠI VIVO VĨNH PHÚC</t>
  </si>
  <si>
    <t>8800031</t>
  </si>
  <si>
    <t>CÔNG TY TNHH HOÀN MỸ</t>
  </si>
  <si>
    <t>8800032</t>
  </si>
  <si>
    <t>CN CÔNG TY  CP BÁN LẺ KỸ THUẬT SỐ FPT TẠI VĨNH PHÚC</t>
  </si>
  <si>
    <t>8800033</t>
  </si>
  <si>
    <t>CÔNG TY TNHH LIÊN KẾT SINH THÁI  VIỆT NAM</t>
  </si>
  <si>
    <t>8800034</t>
  </si>
  <si>
    <t>CÔGN TY CỔ PHẦN SẢN XUẤT VÀ THƯƠNG MẠI MENDO</t>
  </si>
  <si>
    <t>8800036</t>
  </si>
  <si>
    <t>CÔNG TY TNHH THƯƠNG MẠI VÀ LOGISTICS 3X</t>
  </si>
  <si>
    <t>8800039</t>
  </si>
  <si>
    <t>CÔNG TY TNHH CÔNG NGHIỆP DEZEN</t>
  </si>
  <si>
    <t>8800040</t>
  </si>
  <si>
    <t>CÔNG TY TNHH MTV ĐẦU TƯ THƯƠNG MẠI VÀ DỊCH VỤ THIÊN MỸ</t>
  </si>
  <si>
    <t>8800046</t>
  </si>
  <si>
    <t>CÔNG TY TNHH THƯƠNG MẠI TAM HẢO</t>
  </si>
  <si>
    <t>8877777</t>
  </si>
  <si>
    <t>VẬN ĐƠN FREE VĨNH PHÚC</t>
  </si>
  <si>
    <t>8887959</t>
  </si>
  <si>
    <t>8887960</t>
  </si>
  <si>
    <t>8887961</t>
  </si>
  <si>
    <t>8887962</t>
  </si>
  <si>
    <t>8887963</t>
  </si>
  <si>
    <t>8900003</t>
  </si>
  <si>
    <t>Chi nhánh Hưng Yên-Công ty cổ phần bán lẻ kỹ thuật số FPT</t>
  </si>
  <si>
    <t>8900016</t>
  </si>
  <si>
    <t>Công ty Cổ Phần SƠN HT</t>
  </si>
  <si>
    <t>8900017</t>
  </si>
  <si>
    <t>CN HƯNG YÊN-CÔNG TY CỔ PHẦN BÁN  KỸ THUẬT SỐ FPT</t>
  </si>
  <si>
    <t>8900023</t>
  </si>
  <si>
    <t>CÔNG TY CỔ PHẦN LOGISTICS QUỐC TẾ RYOBI VIỆT NAM</t>
  </si>
  <si>
    <t>8900026</t>
  </si>
  <si>
    <t>CÔNG TY TNHH AN PHONG</t>
  </si>
  <si>
    <t>8900027</t>
  </si>
  <si>
    <t>CÔG TY TNHH DAPCO</t>
  </si>
  <si>
    <t>8900032</t>
  </si>
  <si>
    <t>CÔNG TY CỔ PHẦN HÓA MỸ PHẨM TỰ NHIÊN</t>
  </si>
  <si>
    <t>8900034</t>
  </si>
  <si>
    <t>CÔNG TY TNHH VẬT LIỆU ĐỒNG CƯỜNG ĐÔNG</t>
  </si>
  <si>
    <t>8900038</t>
  </si>
  <si>
    <t>CÔNG TY TNHH ĐIỆN TỬ VIỆT NHẬT</t>
  </si>
  <si>
    <t>8900040</t>
  </si>
  <si>
    <t>CÔNG TY TNHH DAINICHI VIỆT NAM</t>
  </si>
  <si>
    <t>8900041</t>
  </si>
  <si>
    <t>CÔNG TY CỔ PHẦN KAROFI VIỆT NAM</t>
  </si>
  <si>
    <t>8900043</t>
  </si>
  <si>
    <t>CÔNG TY TNHH SHL ASEAN</t>
  </si>
  <si>
    <t>8900044</t>
  </si>
  <si>
    <t>CÔNG TY TNHH CƠ ĐIỆN TỰ ĐỘNG HÓA MEP VINA</t>
  </si>
  <si>
    <t>8900046</t>
  </si>
  <si>
    <t>CÔNG TY CỔ PHẦN THIẾT BỊ THÀNH THÁI</t>
  </si>
  <si>
    <t>8900048</t>
  </si>
  <si>
    <t>CÔNG TY TNHH HANSUNG HARAM VIỆT NAM</t>
  </si>
  <si>
    <t>8900049</t>
  </si>
  <si>
    <t>CÔNG TY CỔ PHẦN XUẤT NHẬP KHẨU SUWON VINA</t>
  </si>
  <si>
    <t>8900051</t>
  </si>
  <si>
    <t>CÔNG TY TNHH THƯƠNG MẠI DỊCH VỤ HƯNG ĐẠI THÀNH</t>
  </si>
  <si>
    <t>8900052</t>
  </si>
  <si>
    <t>CN CÔNG TY TNHH SƠN HÒA BÌNH TẠI HƯNG YÊN</t>
  </si>
  <si>
    <t>8900053</t>
  </si>
  <si>
    <t>CÔNG TY TNHH JP CORELEX</t>
  </si>
  <si>
    <t>8900055</t>
  </si>
  <si>
    <t>CÔNG TY CỔ PHẦN THỰC PHẨM XUẤT KHẨU TRUNG SƠN HƯNG YÊN</t>
  </si>
  <si>
    <t>8900058</t>
  </si>
  <si>
    <t>CÔGN TY CỔ PHẦN THÀNH AN HƯNG YÊN</t>
  </si>
  <si>
    <t>8900059</t>
  </si>
  <si>
    <t>CÔNG TY TNHH LAM SOON VIỆT NAM</t>
  </si>
  <si>
    <t>8900060</t>
  </si>
  <si>
    <t>CÔNG TY CỔ PHẦN KORIHOME VIỆT NAM</t>
  </si>
  <si>
    <t>8900061</t>
  </si>
  <si>
    <t>CÔNG TY TNHH TANPLAS VIỆT NAM</t>
  </si>
  <si>
    <t>8900062</t>
  </si>
  <si>
    <t>8900063</t>
  </si>
  <si>
    <t>CÔNG TY TNHH KERRY INTEGRATED LOGISTICS (HƯNG YÊN)</t>
  </si>
  <si>
    <t>8977777</t>
  </si>
  <si>
    <t>VẬN ĐƠN FREE HƯNG YÊN</t>
  </si>
  <si>
    <t>9000002</t>
  </si>
  <si>
    <t>Chi nhánh Hà Nam-Công ty CP bán lẻ kỹ thuật số FPT</t>
  </si>
  <si>
    <t>9000006</t>
  </si>
  <si>
    <t>CN HÀ NAM-CÔNG TY CỔ PHẦN BÁN LẺ KỸ THUẬT SỐ FPT</t>
  </si>
  <si>
    <t>9000007</t>
  </si>
  <si>
    <t>CN Hà Nam- Công ty Cổ Phần Bán Lẻ Kỹ Thuật Số FPT</t>
  </si>
  <si>
    <t>9000011</t>
  </si>
  <si>
    <t>CN HÀ NAM- CTY CP BÁN LẺ KỸ THUẬT SỐ FPT- TT BÁN LẺ ĐỒNG VĂN</t>
  </si>
  <si>
    <t>9077777</t>
  </si>
  <si>
    <t>VẬN ĐƠN FREE HÀ NAM</t>
  </si>
  <si>
    <t>9087852</t>
  </si>
  <si>
    <t>9087853</t>
  </si>
  <si>
    <t>9087854</t>
  </si>
  <si>
    <t>9200021</t>
  </si>
  <si>
    <t>Cty LD DACOTEX Hải Âu Xanh</t>
  </si>
  <si>
    <t>9200024</t>
  </si>
  <si>
    <t>Công ty CP DỊch vụ Phú Nhuận</t>
  </si>
  <si>
    <t>9200032</t>
  </si>
  <si>
    <t>Công ty TNHH Liên Doanh May Như Thành</t>
  </si>
  <si>
    <t>9200034</t>
  </si>
  <si>
    <t>Công ty TNHH 1 thành viên VT-GN-PP Ôtô Chu Lai Trường Hải</t>
  </si>
  <si>
    <t>9200044</t>
  </si>
  <si>
    <t>Công ty CP may Núi Thành</t>
  </si>
  <si>
    <t>9200077</t>
  </si>
  <si>
    <t>Công ty TNHH UTech Việt Nam</t>
  </si>
  <si>
    <t>9200080</t>
  </si>
  <si>
    <t>Công ty TNHH Thành Xuân Phú</t>
  </si>
  <si>
    <t>9200083</t>
  </si>
  <si>
    <t>Văn Phòng KV Miền Trung - Tổng Công Ty Hàng Không Việt Nam</t>
  </si>
  <si>
    <t>9200088</t>
  </si>
  <si>
    <t>Công ty cổ phần Gạch Men Anh Em DIC</t>
  </si>
  <si>
    <t>9200106</t>
  </si>
  <si>
    <t>Chi nhánh công ty CP bán lẻ kỹ thuật số FPT tại Quảng Nam</t>
  </si>
  <si>
    <t>9200107</t>
  </si>
  <si>
    <t>Công ty TNHH MTV VAST APPAREL VIỆT NAM</t>
  </si>
  <si>
    <t>9200111</t>
  </si>
  <si>
    <t>Công ty TNHH MTV VT-GN-PP Ô tô Chu Lai Trường Hải</t>
  </si>
  <si>
    <t>9200112</t>
  </si>
  <si>
    <t>Công ty TNHH MTV Bảo Hiểm Quảng Ngãi</t>
  </si>
  <si>
    <t>9200114</t>
  </si>
  <si>
    <t>Công ty TNHH MTV Quốc Tế Sơn Hà Chu Lai</t>
  </si>
  <si>
    <t>9200119</t>
  </si>
  <si>
    <t>9200120</t>
  </si>
  <si>
    <t>CN Công ty CP bán lẻ kỹ thuật số FPT tại Quảng Ngãi</t>
  </si>
  <si>
    <t>9200121</t>
  </si>
  <si>
    <t>Công ty Nông Lâm Sản Quảng Nam</t>
  </si>
  <si>
    <t>9277777</t>
  </si>
  <si>
    <t>BILL FREE KERRY QUẢNG NAM</t>
  </si>
  <si>
    <t>9287930</t>
  </si>
  <si>
    <t>9300004</t>
  </si>
  <si>
    <t>CN BÌNH PHƯỚC -CÔNG TY CP BÁN LẺ KỸ THUẬT SỐ FPT</t>
  </si>
  <si>
    <t>9300006</t>
  </si>
  <si>
    <t>CN BÌNH PHƯỚC-CTY CP BÁN LẺ KỸ THUẬT SỐ FPT</t>
  </si>
  <si>
    <t>9300011</t>
  </si>
  <si>
    <t>FPT SHOP TẠI BÌNH PHƯỚC</t>
  </si>
  <si>
    <t>9300013</t>
  </si>
  <si>
    <t>FPT SHOP BÌNH PHƯỚC</t>
  </si>
  <si>
    <t>9300014</t>
  </si>
  <si>
    <t>CÔNG TY TNHH BUFFALO</t>
  </si>
  <si>
    <t>9300016</t>
  </si>
  <si>
    <t>CÔNG TY TNHH PHÚ MỸ BÌNH PHƯỚC</t>
  </si>
  <si>
    <t>9300018</t>
  </si>
  <si>
    <t>CÔNG TY TNHH MỘT THÀNH VIÊN BAZAN</t>
  </si>
  <si>
    <t>9300019</t>
  </si>
  <si>
    <t>HỘI TRỢ GIÚP NGƯỜI KHUYẾT TẬT ViỆT NAM (VNAH) - CHƯƠNGTRÌNH</t>
  </si>
  <si>
    <t>9300020</t>
  </si>
  <si>
    <t>CÔNG TY TNHH THƯƠNG MẠI DỊCH VỤ HƯNG PHÚ CƯỜNG</t>
  </si>
  <si>
    <t>93009</t>
  </si>
  <si>
    <t>Trần Quang Vỹ</t>
  </si>
  <si>
    <t>9377777</t>
  </si>
  <si>
    <t>BILL FREE POST BÌNH PHƯỚC</t>
  </si>
  <si>
    <t>9387825</t>
  </si>
  <si>
    <t>9401003</t>
  </si>
  <si>
    <t xml:space="preserve">CHI NHÁNH BẠC LIÊU - CÔNG TY CP BÁN LẼ KỸ THUẬT SỐ FPT </t>
  </si>
  <si>
    <t>9401004</t>
  </si>
  <si>
    <t>FPT SHOP HỘ PHÒNG – BẠC LIÊU</t>
  </si>
  <si>
    <t>9401007</t>
  </si>
  <si>
    <t>CHI NHÁNH BẠC LIÊU-CÔNG TY CỔ PHẦN BÁN LẺ KỸ THUẬT FPT</t>
  </si>
  <si>
    <t>9401013</t>
  </si>
  <si>
    <t xml:space="preserve">CN CTY CP TRUYỀN HÌNH CÁP NTH_ TRUNG TÂM GiẢI TRÍ STARLIGHT </t>
  </si>
  <si>
    <t>9401015</t>
  </si>
  <si>
    <t>9401016</t>
  </si>
  <si>
    <t>CÔNG TY TNHH THƯƠNG MẠI DỊCH VỤ MỸ THU BẠC LIÊU</t>
  </si>
  <si>
    <t>9477777</t>
  </si>
  <si>
    <t>BILL FREE BẠC LIÊU</t>
  </si>
  <si>
    <t>9487803</t>
  </si>
  <si>
    <t>9501012</t>
  </si>
  <si>
    <t>CHI NHÁNH HẬU GIANG - CTY CP BÁN LẺ KỸ THUẬT SỐ FPT</t>
  </si>
  <si>
    <t>9577777</t>
  </si>
  <si>
    <t>BILL FREE HẬU GIANG</t>
  </si>
  <si>
    <t>9700002</t>
  </si>
  <si>
    <t>CN Bắc Kạn-Công ty cổ phần bán lẻ kỹ thuật số FPT</t>
  </si>
  <si>
    <t>9777777</t>
  </si>
  <si>
    <t>VÂN ĐƠN FREE BẮC CẠN</t>
  </si>
  <si>
    <t>9787802</t>
  </si>
  <si>
    <t>9800004</t>
  </si>
  <si>
    <t>Công ty CP bán lẻ kỹ thuật số FPT-CN Bắc Giang</t>
  </si>
  <si>
    <t>9800006</t>
  </si>
  <si>
    <t>CÔNG TY CP BÁN LẺ KỸ THUẬT SỐ FPT -CN BẮC GIANG</t>
  </si>
  <si>
    <t>9800007</t>
  </si>
  <si>
    <t>9800008</t>
  </si>
  <si>
    <t>CN CÔNG TY CP BÁN LẺ KỸ THUẬT SỐ FPT TẠI BẮC GIANG</t>
  </si>
  <si>
    <t>9800010</t>
  </si>
  <si>
    <t>CTY CP BÁN LẺ KỸ THUẬT SỐ FPT-CN BẮC GIANG</t>
  </si>
  <si>
    <t>9800014</t>
  </si>
  <si>
    <t>9800016</t>
  </si>
  <si>
    <t>CTY CP BÁN LẺ KỸ THUẬT SỐ FPT-CN BẮC GIANG-TTBL FOXCONN BG</t>
  </si>
  <si>
    <t>9800017</t>
  </si>
  <si>
    <t>9877777</t>
  </si>
  <si>
    <t>VẬN ĐƠN FREE BẮC GIANG</t>
  </si>
  <si>
    <t>9887801</t>
  </si>
  <si>
    <t>9900011</t>
  </si>
  <si>
    <t>CÔNG TY CP BÁN LẺ KỸ THUẬT SỐ FPT-CN BẮC NINH</t>
  </si>
  <si>
    <t>9900012</t>
  </si>
  <si>
    <t>9900016</t>
  </si>
  <si>
    <t>CÔNG TY TNHH THƯƠNG MẠI VÀ DỊCH VỤ KỸ THUẬT VINA COLD</t>
  </si>
  <si>
    <t>9900017</t>
  </si>
  <si>
    <t>CN CÔNG TY CP BÁN LẺ KỸ THUẬT SỐ FPT TẠI BẮC NINH</t>
  </si>
  <si>
    <t>9900018</t>
  </si>
  <si>
    <t>9900019</t>
  </si>
  <si>
    <t>CN CTY CP BÁN LẺ KỸ THUẬT SỐ FPT TẠI BẮC NINH</t>
  </si>
  <si>
    <t>9900022</t>
  </si>
  <si>
    <t>CÔNG TY TNHH NEFAB VIỆT NAM</t>
  </si>
  <si>
    <t>9900025</t>
  </si>
  <si>
    <t>CÔNG TY TNHH THƯƠNG MẠI VÀ DỊCH VỤ SETUP</t>
  </si>
  <si>
    <t>9900026</t>
  </si>
  <si>
    <t>CÔNG TY TNHH CƠ KHÍ SEIKI VIỆT NAM</t>
  </si>
  <si>
    <t>9900027</t>
  </si>
  <si>
    <t>9900029</t>
  </si>
  <si>
    <t>9900030</t>
  </si>
  <si>
    <t>9900033</t>
  </si>
  <si>
    <t>9900035</t>
  </si>
  <si>
    <t>9900036</t>
  </si>
  <si>
    <t>9900038</t>
  </si>
  <si>
    <t>9900039</t>
  </si>
  <si>
    <t>CÔNG TY TNHH MỘT THÀNH VIÊN TƯ VẤN VÀ THƯƠNG MẠI XNK Á CHÂU</t>
  </si>
  <si>
    <t>9900040</t>
  </si>
  <si>
    <t>CÔNG TY TNHH MISUMI VIỆT NAM</t>
  </si>
  <si>
    <t>9977777</t>
  </si>
  <si>
    <t>VẬN ĐƠN FREE BẮC NINH</t>
  </si>
  <si>
    <t>9987804</t>
  </si>
  <si>
    <t>9987805</t>
  </si>
</sst>
</file>

<file path=xl/styles.xml><?xml version="1.0" encoding="utf-8"?>
<styleSheet xmlns="http://schemas.openxmlformats.org/spreadsheetml/2006/main">
  <numFmts count="3">
    <numFmt numFmtId="164" formatCode="dd\-mm\-yyyy"/>
    <numFmt numFmtId="165" formatCode="_(* #,##0_);_(* \(#,##0\);_(* &quot;-&quot;??_);_(@_)"/>
    <numFmt numFmtId="166" formatCode="0.0%"/>
  </numFmts>
  <fonts count="8">
    <font>
      <sz val="11"/>
      <name val="Calibri"/>
      <family val="2"/>
      <scheme val="minor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0"/>
      <name val="Calibri"/>
      <scheme val="minor"/>
    </font>
    <font>
      <sz val="10"/>
      <color theme="1"/>
      <name val="Calibri"/>
      <scheme val="minor"/>
    </font>
    <font>
      <sz val="11"/>
      <color theme="1"/>
      <name val="Calibri"/>
      <scheme val="minor"/>
    </font>
    <font>
      <b/>
      <sz val="10"/>
      <name val="Calibri"/>
      <scheme val="minor"/>
    </font>
    <font>
      <sz val="10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9"/>
        <bgColor theme="9"/>
      </patternFill>
    </fill>
    <fill>
      <patternFill patternType="solid">
        <fgColor rgb="FFDBE5F1"/>
      </patternFill>
    </fill>
    <fill>
      <patternFill patternType="solid">
        <fgColor rgb="FFF2DCDB"/>
      </patternFill>
    </fill>
    <fill>
      <patternFill patternType="solid">
        <fgColor rgb="FFEBF1DD"/>
      </patternFill>
    </fill>
    <fill>
      <patternFill patternType="solid">
        <fgColor rgb="FFDBEEE3"/>
      </patternFill>
    </fill>
    <fill>
      <patternFill patternType="solid">
        <fgColor rgb="FFFFFF00"/>
      </patternFill>
    </fill>
  </fills>
  <borders count="13">
    <border>
      <left/>
      <right/>
      <top/>
      <bottom/>
      <diagonal/>
    </border>
    <border>
      <left style="thin">
        <color rgb="FFF79646"/>
      </left>
      <right style="dotted">
        <color rgb="FFF79646"/>
      </right>
      <top style="thin">
        <color rgb="FFF79646"/>
      </top>
      <bottom/>
      <diagonal/>
    </border>
    <border>
      <left style="dotted">
        <color rgb="FFF79646"/>
      </left>
      <right style="dotted">
        <color rgb="FFF79646"/>
      </right>
      <top style="thin">
        <color rgb="FFF79646"/>
      </top>
      <bottom style="dotted">
        <color rgb="FFF79646"/>
      </bottom>
      <diagonal/>
    </border>
    <border>
      <left style="dotted">
        <color rgb="FFF79646"/>
      </left>
      <right style="thin">
        <color rgb="FFF79646"/>
      </right>
      <top style="thin">
        <color rgb="FFF79646"/>
      </top>
      <bottom style="dotted">
        <color rgb="FFF79646"/>
      </bottom>
      <diagonal/>
    </border>
    <border>
      <left style="thin">
        <color rgb="FFF79646"/>
      </left>
      <right style="dotted">
        <color rgb="FFF79646"/>
      </right>
      <top style="thin">
        <color rgb="FFF79646"/>
      </top>
      <bottom style="thin">
        <color rgb="FFF79646"/>
      </bottom>
      <diagonal/>
    </border>
    <border>
      <left style="dotted">
        <color rgb="FFF79646"/>
      </left>
      <right style="dotted">
        <color rgb="FFF79646"/>
      </right>
      <top style="dotted">
        <color rgb="FFF79646"/>
      </top>
      <bottom style="thin">
        <color rgb="FFF79646"/>
      </bottom>
      <diagonal/>
    </border>
    <border>
      <left style="dotted">
        <color rgb="FFF79646"/>
      </left>
      <right style="thin">
        <color rgb="FFF79646"/>
      </right>
      <top style="dotted">
        <color rgb="FFF79646"/>
      </top>
      <bottom style="thin">
        <color rgb="FFF79646"/>
      </bottom>
      <diagonal/>
    </border>
    <border>
      <left style="thin">
        <color rgb="FFF79646"/>
      </left>
      <right style="hair">
        <color rgb="FFF79646"/>
      </right>
      <top style="thin">
        <color rgb="FFF79646"/>
      </top>
      <bottom style="hair">
        <color rgb="FFF79646"/>
      </bottom>
      <diagonal/>
    </border>
    <border>
      <left style="hair">
        <color rgb="FFF79646"/>
      </left>
      <right style="hair">
        <color rgb="FFF79646"/>
      </right>
      <top style="thin">
        <color rgb="FFF79646"/>
      </top>
      <bottom style="hair">
        <color rgb="FFF79646"/>
      </bottom>
      <diagonal/>
    </border>
    <border>
      <left style="hair">
        <color rgb="FFF79646"/>
      </left>
      <right style="thin">
        <color rgb="FFF79646"/>
      </right>
      <top style="thin">
        <color rgb="FFF79646"/>
      </top>
      <bottom style="hair">
        <color rgb="FFF79646"/>
      </bottom>
      <diagonal/>
    </border>
    <border>
      <left style="thin">
        <color rgb="FFF79646"/>
      </left>
      <right style="hair">
        <color rgb="FFF79646"/>
      </right>
      <top style="hair">
        <color rgb="FFF79646"/>
      </top>
      <bottom style="thin">
        <color rgb="FFF79646"/>
      </bottom>
      <diagonal/>
    </border>
    <border>
      <left style="hair">
        <color rgb="FFF79646"/>
      </left>
      <right style="hair">
        <color rgb="FFF79646"/>
      </right>
      <top style="hair">
        <color rgb="FFF79646"/>
      </top>
      <bottom style="thin">
        <color rgb="FFF79646"/>
      </bottom>
      <diagonal/>
    </border>
    <border>
      <left style="hair">
        <color rgb="FFF79646"/>
      </left>
      <right style="thin">
        <color rgb="FFF79646"/>
      </right>
      <top style="hair">
        <color rgb="FFF79646"/>
      </top>
      <bottom style="thin">
        <color rgb="FFF79646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164" fontId="2" fillId="0" borderId="0" xfId="0" applyNumberFormat="1" applyFont="1" applyAlignment="1"/>
    <xf numFmtId="0" fontId="1" fillId="0" borderId="0" xfId="0" applyFont="1" applyBorder="1" applyAlignment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0" fontId="0" fillId="0" borderId="0" xfId="0" applyBorder="1"/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/>
    </xf>
    <xf numFmtId="0" fontId="4" fillId="0" borderId="4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166" fontId="5" fillId="0" borderId="5" xfId="0" applyNumberFormat="1" applyFont="1" applyBorder="1" applyAlignment="1">
      <alignment vertical="center"/>
    </xf>
    <xf numFmtId="165" fontId="5" fillId="0" borderId="5" xfId="0" applyNumberFormat="1" applyFont="1" applyBorder="1" applyAlignment="1">
      <alignment vertical="center"/>
    </xf>
    <xf numFmtId="9" fontId="5" fillId="0" borderId="5" xfId="0" applyNumberFormat="1" applyFont="1" applyBorder="1" applyAlignment="1">
      <alignment vertical="center"/>
    </xf>
    <xf numFmtId="165" fontId="0" fillId="0" borderId="0" xfId="0" applyNumberFormat="1"/>
    <xf numFmtId="0" fontId="1" fillId="2" borderId="5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165" fontId="2" fillId="0" borderId="6" xfId="0" applyNumberFormat="1" applyFont="1" applyBorder="1" applyAlignment="1"/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6" fillId="8" borderId="8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/>
    </xf>
    <xf numFmtId="0" fontId="6" fillId="7" borderId="8" xfId="0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164" fontId="7" fillId="0" borderId="11" xfId="0" applyNumberFormat="1" applyFont="1" applyBorder="1" applyAlignment="1">
      <alignment horizontal="center" vertical="center"/>
    </xf>
    <xf numFmtId="165" fontId="7" fillId="0" borderId="11" xfId="0" applyNumberFormat="1" applyFont="1" applyBorder="1" applyAlignment="1">
      <alignment horizontal="right" vertical="center"/>
    </xf>
    <xf numFmtId="164" fontId="7" fillId="0" borderId="11" xfId="0" applyNumberFormat="1" applyFont="1" applyBorder="1" applyAlignment="1">
      <alignment vertical="center"/>
    </xf>
    <xf numFmtId="166" fontId="7" fillId="8" borderId="11" xfId="0" applyNumberFormat="1" applyFont="1" applyFill="1" applyBorder="1" applyAlignment="1">
      <alignment vertical="center"/>
    </xf>
    <xf numFmtId="165" fontId="7" fillId="2" borderId="11" xfId="0" applyNumberFormat="1" applyFont="1" applyFill="1" applyBorder="1" applyAlignment="1">
      <alignment horizontal="right" vertical="center"/>
    </xf>
    <xf numFmtId="166" fontId="7" fillId="2" borderId="11" xfId="0" applyNumberFormat="1" applyFont="1" applyFill="1" applyBorder="1" applyAlignment="1">
      <alignment vertical="center"/>
    </xf>
    <xf numFmtId="165" fontId="7" fillId="4" borderId="11" xfId="0" applyNumberFormat="1" applyFont="1" applyFill="1" applyBorder="1" applyAlignment="1">
      <alignment vertical="center"/>
    </xf>
    <xf numFmtId="165" fontId="7" fillId="4" borderId="11" xfId="0" applyNumberFormat="1" applyFont="1" applyFill="1" applyBorder="1" applyAlignment="1">
      <alignment horizontal="right" vertical="center"/>
    </xf>
    <xf numFmtId="165" fontId="7" fillId="5" borderId="11" xfId="0" applyNumberFormat="1" applyFont="1" applyFill="1" applyBorder="1" applyAlignment="1">
      <alignment horizontal="right" vertical="center"/>
    </xf>
    <xf numFmtId="165" fontId="7" fillId="6" borderId="11" xfId="0" applyNumberFormat="1" applyFont="1" applyFill="1" applyBorder="1" applyAlignment="1">
      <alignment vertical="center"/>
    </xf>
    <xf numFmtId="165" fontId="7" fillId="7" borderId="11" xfId="0" applyNumberFormat="1" applyFont="1" applyFill="1" applyBorder="1" applyAlignment="1">
      <alignment vertical="center"/>
    </xf>
    <xf numFmtId="165" fontId="6" fillId="0" borderId="12" xfId="0" applyNumberFormat="1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3747"/>
  <sheetViews>
    <sheetView tabSelected="1" workbookViewId="0"/>
  </sheetViews>
  <sheetFormatPr defaultRowHeight="15"/>
  <cols>
    <col min="1" max="1" width="2.5703125" customWidth="1"/>
    <col min="2" max="2" width="6.7109375" customWidth="1"/>
    <col min="3" max="3" width="7.140625" customWidth="1"/>
    <col min="4" max="4" width="14.7109375" customWidth="1"/>
    <col min="5" max="5" width="11.42578125" customWidth="1"/>
    <col min="6" max="6" width="10.85546875" customWidth="1"/>
    <col min="7" max="7" width="7.140625" customWidth="1"/>
    <col min="8" max="9" width="10.85546875" customWidth="1"/>
    <col min="10" max="11" width="17.5703125" customWidth="1"/>
    <col min="12" max="12" width="10.28515625" customWidth="1"/>
    <col min="13" max="14" width="14.85546875" customWidth="1"/>
    <col min="15" max="15" width="5.7109375" customWidth="1"/>
    <col min="16" max="17" width="16.28515625" customWidth="1"/>
    <col min="18" max="18" width="6.42578125" bestFit="1" customWidth="1"/>
    <col min="19" max="19" width="5.28515625" bestFit="1" customWidth="1"/>
    <col min="20" max="21" width="13.85546875" customWidth="1"/>
    <col min="22" max="25" width="13.7109375" customWidth="1"/>
    <col min="26" max="26" width="9.85546875" customWidth="1"/>
    <col min="27" max="27" width="13.7109375" customWidth="1"/>
    <col min="28" max="28" width="9.85546875" customWidth="1"/>
    <col min="29" max="30" width="13.7109375" customWidth="1"/>
  </cols>
  <sheetData>
    <row r="1" spans="1:30">
      <c r="A1" s="1" t="s">
        <v>0</v>
      </c>
      <c r="B1" s="1"/>
      <c r="J1" s="1" t="s">
        <v>1</v>
      </c>
    </row>
    <row r="2" spans="1:30">
      <c r="C2" s="2"/>
      <c r="D2" s="2"/>
    </row>
    <row r="3" spans="1:30">
      <c r="C3" s="2"/>
      <c r="D3" s="2"/>
    </row>
    <row r="4" spans="1:30">
      <c r="A4" s="3" t="s">
        <v>2</v>
      </c>
      <c r="B4" s="3"/>
      <c r="C4" s="3"/>
      <c r="D4" s="4" t="s">
        <v>3</v>
      </c>
      <c r="E4" s="5"/>
      <c r="F4" s="5"/>
      <c r="G4" s="5"/>
      <c r="H4" s="5"/>
      <c r="I4" s="6" t="s">
        <v>4</v>
      </c>
      <c r="J4" s="7">
        <f>SUMIF(B:B,"?????",M:M)</f>
        <v>307246984.3539995</v>
      </c>
      <c r="K4" s="5"/>
      <c r="L4" s="5"/>
      <c r="M4" s="5"/>
      <c r="N4" s="5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23.25" customHeight="1">
      <c r="B5" s="9" t="s">
        <v>5</v>
      </c>
      <c r="C5" s="10" t="s">
        <v>6</v>
      </c>
      <c r="D5" s="10"/>
      <c r="E5" s="11" t="s">
        <v>7</v>
      </c>
      <c r="F5" s="11" t="s">
        <v>8</v>
      </c>
      <c r="G5" s="11" t="s">
        <v>9</v>
      </c>
      <c r="H5" s="11" t="s">
        <v>10</v>
      </c>
      <c r="I5" s="11" t="s">
        <v>11</v>
      </c>
      <c r="J5" s="11" t="s">
        <v>12</v>
      </c>
      <c r="K5" s="11" t="s">
        <v>13</v>
      </c>
      <c r="L5" s="11" t="s">
        <v>14</v>
      </c>
      <c r="M5" s="11" t="s">
        <v>15</v>
      </c>
      <c r="N5" s="11" t="s">
        <v>16</v>
      </c>
      <c r="O5" s="11" t="s">
        <v>17</v>
      </c>
      <c r="P5" s="12" t="s">
        <v>18</v>
      </c>
      <c r="Q5" s="11" t="s">
        <v>19</v>
      </c>
      <c r="R5" s="11"/>
      <c r="S5" s="10" t="s">
        <v>20</v>
      </c>
      <c r="T5" s="10"/>
      <c r="U5" s="10"/>
      <c r="V5" s="10"/>
      <c r="W5" s="10"/>
      <c r="X5" s="10"/>
      <c r="Y5" s="10"/>
      <c r="Z5" s="10"/>
      <c r="AA5" s="10"/>
      <c r="AB5" s="10"/>
      <c r="AC5" s="10"/>
      <c r="AD5" s="13"/>
    </row>
    <row r="6" spans="1:30">
      <c r="B6" s="14" t="s">
        <v>21</v>
      </c>
      <c r="C6" s="15" t="str">
        <f>"Nguyễn"&amp;" " &amp; "Bảo Minh Khoa"</f>
        <v>Nguyễn Bảo Minh Khoa</v>
      </c>
      <c r="D6" s="15"/>
      <c r="E6" s="16" t="s">
        <v>22</v>
      </c>
      <c r="F6" s="16" t="s">
        <v>23</v>
      </c>
      <c r="G6" s="17" t="s">
        <v>24</v>
      </c>
      <c r="H6" s="16" t="s">
        <v>25</v>
      </c>
      <c r="I6" s="18">
        <v>0</v>
      </c>
      <c r="J6" s="19">
        <v>2100000000</v>
      </c>
      <c r="K6" s="19">
        <f>IFERROR(IF(N6&lt;4,Q6,SUM(Sheet3!J8:J17)),0)</f>
        <v>1688894341</v>
      </c>
      <c r="L6" s="20">
        <f>IFERROR(K6/J6,0)</f>
        <v>0.80423540047619047</v>
      </c>
      <c r="M6" s="19">
        <f>IFERROR(IF(OR(N6=3,N6=4),SUM(Sheet3!AD8:AD17)+AD6,IF(N6=1,0.6%,IF(N6=2,0.65%,IF(N6=3,0.6%,0)))*IF(L6&lt;0.8,0,IF(L6&lt;1,L6,1))*IF(RIGHT("2018-09",2)="03",1,0)),0)</f>
        <v>0</v>
      </c>
      <c r="N6" s="19">
        <v>1</v>
      </c>
      <c r="O6" s="18">
        <f>IF(N6=4,0.5%,IF(N6=5,0.3%,0))</f>
        <v>0</v>
      </c>
      <c r="P6" s="21">
        <f>IFERROR(SUM(Sheet3!P8:P17),0)</f>
        <v>0</v>
      </c>
      <c r="Q6" s="19">
        <f>SUMIF($G:$G,B6,$K:$K)</f>
        <v>1688894341</v>
      </c>
      <c r="R6" s="22"/>
      <c r="S6" s="23" t="s">
        <v>26</v>
      </c>
      <c r="T6" s="23"/>
      <c r="U6" s="24" t="s">
        <v>27</v>
      </c>
      <c r="V6" s="24"/>
      <c r="W6" s="24"/>
      <c r="X6" s="25" t="s">
        <v>28</v>
      </c>
      <c r="Y6" s="25"/>
      <c r="Z6" s="26" t="s">
        <v>29</v>
      </c>
      <c r="AA6" s="26"/>
      <c r="AB6" s="27" t="s">
        <v>30</v>
      </c>
      <c r="AC6" s="27"/>
      <c r="AD6" s="28">
        <f>IF(IFERROR(SUM(Sheet3!Y8:Y17)*O6,0)&gt;2000000,2000000,IFERROR(SUM(Sheet3!Y8:Y17)*O6,0))</f>
        <v>0</v>
      </c>
    </row>
    <row r="7" spans="1:30" ht="25.5">
      <c r="C7" s="29" t="s">
        <v>31</v>
      </c>
      <c r="D7" s="30" t="s">
        <v>32</v>
      </c>
      <c r="E7" s="30"/>
      <c r="F7" s="31" t="s">
        <v>33</v>
      </c>
      <c r="G7" s="31" t="s">
        <v>34</v>
      </c>
      <c r="H7" s="32" t="s">
        <v>35</v>
      </c>
      <c r="I7" s="32" t="s">
        <v>36</v>
      </c>
      <c r="J7" s="31" t="s">
        <v>37</v>
      </c>
      <c r="K7" s="31" t="s">
        <v>38</v>
      </c>
      <c r="L7" s="31" t="s">
        <v>39</v>
      </c>
      <c r="M7" s="31" t="s">
        <v>40</v>
      </c>
      <c r="N7" s="31" t="s">
        <v>41</v>
      </c>
      <c r="O7" s="33" t="s">
        <v>42</v>
      </c>
      <c r="P7" s="32" t="s">
        <v>43</v>
      </c>
      <c r="Q7" s="32" t="s">
        <v>44</v>
      </c>
      <c r="R7" s="34" t="s">
        <v>45</v>
      </c>
      <c r="S7" s="34" t="s">
        <v>46</v>
      </c>
      <c r="T7" s="34" t="s">
        <v>47</v>
      </c>
      <c r="U7" s="35" t="s">
        <v>48</v>
      </c>
      <c r="V7" s="36" t="s">
        <v>47</v>
      </c>
      <c r="W7" s="36" t="s">
        <v>49</v>
      </c>
      <c r="X7" s="37" t="s">
        <v>50</v>
      </c>
      <c r="Y7" s="37" t="s">
        <v>51</v>
      </c>
      <c r="Z7" s="38" t="s">
        <v>48</v>
      </c>
      <c r="AA7" s="39" t="s">
        <v>47</v>
      </c>
      <c r="AB7" s="40" t="s">
        <v>48</v>
      </c>
      <c r="AC7" s="41" t="s">
        <v>47</v>
      </c>
      <c r="AD7" s="42" t="s">
        <v>52</v>
      </c>
    </row>
    <row r="8" spans="1:30">
      <c r="C8" s="43" t="s">
        <v>53</v>
      </c>
      <c r="D8" s="44" t="s">
        <v>54</v>
      </c>
      <c r="E8" s="44"/>
      <c r="F8" s="45">
        <v>42584.163981481477</v>
      </c>
      <c r="G8" s="46">
        <v>25</v>
      </c>
      <c r="H8" s="47">
        <v>43386</v>
      </c>
      <c r="I8" s="47">
        <v>43395</v>
      </c>
      <c r="J8" s="46">
        <v>864811</v>
      </c>
      <c r="K8" s="46">
        <v>0</v>
      </c>
      <c r="L8" s="46">
        <v>0</v>
      </c>
      <c r="M8" s="46">
        <f t="shared" ref="M8:M17" si="0">IFERROR(J8-K8-L8,0)</f>
        <v>864811</v>
      </c>
      <c r="N8" s="46">
        <v>864811</v>
      </c>
      <c r="O8" s="48">
        <f t="shared" ref="O8:O17" si="1">IFERROR(IF(1 - M8/N8&lt;0,0,1-M8/N8),0)</f>
        <v>0</v>
      </c>
      <c r="P8" s="46">
        <v>0</v>
      </c>
      <c r="Q8" s="46">
        <v>864811</v>
      </c>
      <c r="R8" s="49">
        <f t="shared" ref="R8:R17" si="2">IF(F8&lt;DATEVALUE("2018-07-01"),1,0)</f>
        <v>1</v>
      </c>
      <c r="S8" s="50">
        <f t="shared" ref="S8:S17" si="3">IF(R8=1,1%,0)</f>
        <v>0.01</v>
      </c>
      <c r="T8" s="49">
        <f t="shared" ref="T8:T17" si="4">IFERROR(S8*M8,0)</f>
        <v>8648.11</v>
      </c>
      <c r="U8" s="51">
        <f t="shared" ref="U8:U17" si="5">IF(O8&lt;=0.12,1,0)*(1-R8)*M8</f>
        <v>0</v>
      </c>
      <c r="V8" s="52">
        <f>IF(0&lt;0.8,0,IF(0&lt;1,Sheet3!L6,1))*IF(G8&lt;3,0.12 - O8,0.01) *U8</f>
        <v>0</v>
      </c>
      <c r="W8" s="52">
        <f t="shared" ref="W8:W17" si="6">IF(0&gt;1,IF(0&lt;=1.1,1,IF(0&lt;=1.2,2,IF(0&lt;=1.5,3,5))),0) * 1000000</f>
        <v>0</v>
      </c>
      <c r="X8" s="53">
        <f t="shared" ref="X8:X17" si="7">IF(AND(P8&gt;=150000000,P8&lt;300000000),5000000,IF(AND(P8&gt;=300000000,P8&lt;500000000),10000000,IF(AND(P8&gt;=300000000,P8&lt;500000000),15000000,IF(AND(P8&gt;=500000000,P8&lt;3000000000),20000000,IF(P8&gt;=30000000000,35000000,0))))) * (1-R8)</f>
        <v>0</v>
      </c>
      <c r="Y8" s="53">
        <f t="shared" ref="Y8:Y17" si="8">IFERROR(Q8 * (1-R8),0)</f>
        <v>0</v>
      </c>
      <c r="Z8" s="54">
        <f t="shared" ref="Z8:Z17" si="9">IF(R8=1,0,0)</f>
        <v>0</v>
      </c>
      <c r="AA8" s="54">
        <f t="shared" ref="AA8:AA17" si="10">IFERROR((1-R8) * Z8 * 2%,0)</f>
        <v>0</v>
      </c>
      <c r="AB8" s="55">
        <f t="shared" ref="AB8:AB17" si="11">IF(R8=0,0,0)</f>
        <v>0</v>
      </c>
      <c r="AC8" s="55">
        <f t="shared" ref="AC8:AC17" si="12">IFERROR(AB8 * (1-R8) * 2%,0)</f>
        <v>0</v>
      </c>
      <c r="AD8" s="56">
        <f t="shared" ref="AD8:AD17" si="13">T8+V8+W8+X8+AA8+AC8</f>
        <v>8648.11</v>
      </c>
    </row>
    <row r="9" spans="1:30">
      <c r="C9" s="43" t="s">
        <v>55</v>
      </c>
      <c r="D9" s="44" t="s">
        <v>56</v>
      </c>
      <c r="E9" s="44"/>
      <c r="F9" s="45">
        <v>42600.161215277774</v>
      </c>
      <c r="G9" s="46">
        <v>25</v>
      </c>
      <c r="H9" s="47">
        <v>43388</v>
      </c>
      <c r="I9" s="47">
        <v>43417</v>
      </c>
      <c r="J9" s="46">
        <v>101543008</v>
      </c>
      <c r="K9" s="46">
        <v>16383450</v>
      </c>
      <c r="L9" s="46">
        <v>0</v>
      </c>
      <c r="M9" s="46">
        <f t="shared" si="0"/>
        <v>85159558</v>
      </c>
      <c r="N9" s="46">
        <v>138504769</v>
      </c>
      <c r="O9" s="48">
        <f t="shared" si="1"/>
        <v>0.38515071636269793</v>
      </c>
      <c r="P9" s="46">
        <v>0</v>
      </c>
      <c r="Q9" s="46">
        <v>108176008</v>
      </c>
      <c r="R9" s="49">
        <f t="shared" si="2"/>
        <v>1</v>
      </c>
      <c r="S9" s="50">
        <f t="shared" si="3"/>
        <v>0.01</v>
      </c>
      <c r="T9" s="49">
        <f t="shared" si="4"/>
        <v>851595.58000000007</v>
      </c>
      <c r="U9" s="51">
        <f t="shared" si="5"/>
        <v>0</v>
      </c>
      <c r="V9" s="52">
        <f>IF(0&lt;0.8,0,IF(0&lt;1,Sheet3!L6,1))*IF(G9&lt;3,0.12 - O9,0.01) *U9</f>
        <v>0</v>
      </c>
      <c r="W9" s="52">
        <f t="shared" si="6"/>
        <v>0</v>
      </c>
      <c r="X9" s="53">
        <f t="shared" si="7"/>
        <v>0</v>
      </c>
      <c r="Y9" s="53">
        <f t="shared" si="8"/>
        <v>0</v>
      </c>
      <c r="Z9" s="54">
        <f t="shared" si="9"/>
        <v>0</v>
      </c>
      <c r="AA9" s="54">
        <f t="shared" si="10"/>
        <v>0</v>
      </c>
      <c r="AB9" s="55">
        <f t="shared" si="11"/>
        <v>0</v>
      </c>
      <c r="AC9" s="55">
        <f t="shared" si="12"/>
        <v>0</v>
      </c>
      <c r="AD9" s="56">
        <f t="shared" si="13"/>
        <v>851595.58000000007</v>
      </c>
    </row>
    <row r="10" spans="1:30">
      <c r="C10" s="43" t="s">
        <v>57</v>
      </c>
      <c r="D10" s="44" t="s">
        <v>58</v>
      </c>
      <c r="E10" s="44"/>
      <c r="F10" s="45">
        <v>42814.30395833333</v>
      </c>
      <c r="G10" s="46">
        <v>18</v>
      </c>
      <c r="H10" s="47">
        <v>43392</v>
      </c>
      <c r="I10" s="47">
        <v>43403</v>
      </c>
      <c r="J10" s="46">
        <v>154780684</v>
      </c>
      <c r="K10" s="46">
        <v>5744783</v>
      </c>
      <c r="L10" s="46">
        <v>0</v>
      </c>
      <c r="M10" s="46">
        <f t="shared" si="0"/>
        <v>149035901</v>
      </c>
      <c r="N10" s="46">
        <v>195268489</v>
      </c>
      <c r="O10" s="48">
        <f t="shared" si="1"/>
        <v>0.23676420213401661</v>
      </c>
      <c r="P10" s="46">
        <v>0</v>
      </c>
      <c r="Q10" s="46">
        <v>154780684</v>
      </c>
      <c r="R10" s="49">
        <f t="shared" si="2"/>
        <v>1</v>
      </c>
      <c r="S10" s="50">
        <f t="shared" si="3"/>
        <v>0.01</v>
      </c>
      <c r="T10" s="49">
        <f t="shared" si="4"/>
        <v>1490359.01</v>
      </c>
      <c r="U10" s="51">
        <f t="shared" si="5"/>
        <v>0</v>
      </c>
      <c r="V10" s="52">
        <f>IF(0&lt;0.8,0,IF(0&lt;1,Sheet3!L6,1))*IF(G10&lt;3,0.12 - O10,0.01) *U10</f>
        <v>0</v>
      </c>
      <c r="W10" s="52">
        <f t="shared" si="6"/>
        <v>0</v>
      </c>
      <c r="X10" s="53">
        <f t="shared" si="7"/>
        <v>0</v>
      </c>
      <c r="Y10" s="53">
        <f t="shared" si="8"/>
        <v>0</v>
      </c>
      <c r="Z10" s="54">
        <f t="shared" si="9"/>
        <v>0</v>
      </c>
      <c r="AA10" s="54">
        <f t="shared" si="10"/>
        <v>0</v>
      </c>
      <c r="AB10" s="55">
        <f t="shared" si="11"/>
        <v>0</v>
      </c>
      <c r="AC10" s="55">
        <f t="shared" si="12"/>
        <v>0</v>
      </c>
      <c r="AD10" s="56">
        <f t="shared" si="13"/>
        <v>1490359.01</v>
      </c>
    </row>
    <row r="11" spans="1:30">
      <c r="C11" s="43" t="s">
        <v>59</v>
      </c>
      <c r="D11" s="44" t="s">
        <v>60</v>
      </c>
      <c r="E11" s="44"/>
      <c r="F11" s="45">
        <v>38960.63826388889</v>
      </c>
      <c r="G11" s="46">
        <v>145</v>
      </c>
      <c r="H11" s="47">
        <v>43404</v>
      </c>
      <c r="I11" s="47">
        <v>43434</v>
      </c>
      <c r="J11" s="46">
        <v>73482703</v>
      </c>
      <c r="K11" s="46">
        <v>0</v>
      </c>
      <c r="L11" s="46">
        <v>0</v>
      </c>
      <c r="M11" s="46">
        <f t="shared" si="0"/>
        <v>73482703</v>
      </c>
      <c r="N11" s="46">
        <v>81097488</v>
      </c>
      <c r="O11" s="48">
        <f t="shared" si="1"/>
        <v>9.3896681485374778E-2</v>
      </c>
      <c r="P11" s="46">
        <v>0</v>
      </c>
      <c r="Q11" s="46">
        <v>73985531</v>
      </c>
      <c r="R11" s="49">
        <f t="shared" si="2"/>
        <v>1</v>
      </c>
      <c r="S11" s="50">
        <f t="shared" si="3"/>
        <v>0.01</v>
      </c>
      <c r="T11" s="49">
        <f t="shared" si="4"/>
        <v>734827.03</v>
      </c>
      <c r="U11" s="51">
        <f t="shared" si="5"/>
        <v>0</v>
      </c>
      <c r="V11" s="52">
        <f>IF(0&lt;0.8,0,IF(0&lt;1,Sheet3!L6,1))*IF(G11&lt;3,0.12 - O11,0.01) *U11</f>
        <v>0</v>
      </c>
      <c r="W11" s="52">
        <f t="shared" si="6"/>
        <v>0</v>
      </c>
      <c r="X11" s="53">
        <f t="shared" si="7"/>
        <v>0</v>
      </c>
      <c r="Y11" s="53">
        <f t="shared" si="8"/>
        <v>0</v>
      </c>
      <c r="Z11" s="54">
        <f t="shared" si="9"/>
        <v>0</v>
      </c>
      <c r="AA11" s="54">
        <f t="shared" si="10"/>
        <v>0</v>
      </c>
      <c r="AB11" s="55">
        <f t="shared" si="11"/>
        <v>0</v>
      </c>
      <c r="AC11" s="55">
        <f t="shared" si="12"/>
        <v>0</v>
      </c>
      <c r="AD11" s="56">
        <f t="shared" si="13"/>
        <v>734827.03</v>
      </c>
    </row>
    <row r="12" spans="1:30">
      <c r="C12" s="43" t="s">
        <v>61</v>
      </c>
      <c r="D12" s="44" t="s">
        <v>62</v>
      </c>
      <c r="E12" s="44"/>
      <c r="F12" s="45">
        <v>42786.16170138889</v>
      </c>
      <c r="G12" s="46">
        <v>19</v>
      </c>
      <c r="H12" s="47">
        <v>43396</v>
      </c>
      <c r="I12" s="47">
        <v>43427</v>
      </c>
      <c r="J12" s="46">
        <v>6819000</v>
      </c>
      <c r="K12" s="46">
        <v>0</v>
      </c>
      <c r="L12" s="46">
        <v>0</v>
      </c>
      <c r="M12" s="46">
        <f t="shared" si="0"/>
        <v>6819000</v>
      </c>
      <c r="N12" s="46">
        <v>9207584</v>
      </c>
      <c r="O12" s="48">
        <f t="shared" si="1"/>
        <v>0.25941484758651134</v>
      </c>
      <c r="P12" s="46">
        <v>0</v>
      </c>
      <c r="Q12" s="46">
        <v>6819000</v>
      </c>
      <c r="R12" s="49">
        <f t="shared" si="2"/>
        <v>1</v>
      </c>
      <c r="S12" s="50">
        <f t="shared" si="3"/>
        <v>0.01</v>
      </c>
      <c r="T12" s="49">
        <f t="shared" si="4"/>
        <v>68190</v>
      </c>
      <c r="U12" s="51">
        <f t="shared" si="5"/>
        <v>0</v>
      </c>
      <c r="V12" s="52">
        <f>IF(0&lt;0.8,0,IF(0&lt;1,Sheet3!L6,1))*IF(G12&lt;3,0.12 - O12,0.01) *U12</f>
        <v>0</v>
      </c>
      <c r="W12" s="52">
        <f t="shared" si="6"/>
        <v>0</v>
      </c>
      <c r="X12" s="53">
        <f t="shared" si="7"/>
        <v>0</v>
      </c>
      <c r="Y12" s="53">
        <f t="shared" si="8"/>
        <v>0</v>
      </c>
      <c r="Z12" s="54">
        <f t="shared" si="9"/>
        <v>0</v>
      </c>
      <c r="AA12" s="54">
        <f t="shared" si="10"/>
        <v>0</v>
      </c>
      <c r="AB12" s="55">
        <f t="shared" si="11"/>
        <v>0</v>
      </c>
      <c r="AC12" s="55">
        <f t="shared" si="12"/>
        <v>0</v>
      </c>
      <c r="AD12" s="56">
        <f t="shared" si="13"/>
        <v>68190</v>
      </c>
    </row>
    <row r="13" spans="1:30">
      <c r="C13" s="43" t="s">
        <v>63</v>
      </c>
      <c r="D13" s="44" t="s">
        <v>64</v>
      </c>
      <c r="E13" s="44"/>
      <c r="F13" s="45">
        <v>42591.380787037036</v>
      </c>
      <c r="G13" s="46">
        <v>25</v>
      </c>
      <c r="H13" s="47">
        <v>43412</v>
      </c>
      <c r="I13" s="47">
        <v>43472</v>
      </c>
      <c r="J13" s="46">
        <v>39930</v>
      </c>
      <c r="K13" s="46">
        <v>0</v>
      </c>
      <c r="L13" s="46">
        <v>0</v>
      </c>
      <c r="M13" s="46">
        <f t="shared" si="0"/>
        <v>39930</v>
      </c>
      <c r="N13" s="46">
        <v>39930</v>
      </c>
      <c r="O13" s="48">
        <f t="shared" si="1"/>
        <v>0</v>
      </c>
      <c r="P13" s="46">
        <v>0</v>
      </c>
      <c r="Q13" s="46">
        <v>39930</v>
      </c>
      <c r="R13" s="49">
        <f t="shared" si="2"/>
        <v>1</v>
      </c>
      <c r="S13" s="50">
        <f t="shared" si="3"/>
        <v>0.01</v>
      </c>
      <c r="T13" s="49">
        <f t="shared" si="4"/>
        <v>399.3</v>
      </c>
      <c r="U13" s="51">
        <f t="shared" si="5"/>
        <v>0</v>
      </c>
      <c r="V13" s="52">
        <f>IF(0&lt;0.8,0,IF(0&lt;1,Sheet3!L6,1))*IF(G13&lt;3,0.12 - O13,0.01) *U13</f>
        <v>0</v>
      </c>
      <c r="W13" s="52">
        <f t="shared" si="6"/>
        <v>0</v>
      </c>
      <c r="X13" s="53">
        <f t="shared" si="7"/>
        <v>0</v>
      </c>
      <c r="Y13" s="53">
        <f t="shared" si="8"/>
        <v>0</v>
      </c>
      <c r="Z13" s="54">
        <f t="shared" si="9"/>
        <v>0</v>
      </c>
      <c r="AA13" s="54">
        <f t="shared" si="10"/>
        <v>0</v>
      </c>
      <c r="AB13" s="55">
        <f t="shared" si="11"/>
        <v>0</v>
      </c>
      <c r="AC13" s="55">
        <f t="shared" si="12"/>
        <v>0</v>
      </c>
      <c r="AD13" s="56">
        <f t="shared" si="13"/>
        <v>399.3</v>
      </c>
    </row>
    <row r="14" spans="1:30">
      <c r="C14" s="43" t="s">
        <v>65</v>
      </c>
      <c r="D14" s="44" t="s">
        <v>66</v>
      </c>
      <c r="E14" s="44"/>
      <c r="F14" s="45">
        <v>41256.597245370365</v>
      </c>
      <c r="G14" s="46">
        <v>69</v>
      </c>
      <c r="H14" s="47">
        <v>43376</v>
      </c>
      <c r="I14" s="47">
        <v>43487</v>
      </c>
      <c r="J14" s="46">
        <v>91296463</v>
      </c>
      <c r="K14" s="46">
        <v>5791500</v>
      </c>
      <c r="L14" s="46">
        <v>0</v>
      </c>
      <c r="M14" s="46">
        <f t="shared" si="0"/>
        <v>85504963</v>
      </c>
      <c r="N14" s="46">
        <v>122234309</v>
      </c>
      <c r="O14" s="48">
        <f t="shared" si="1"/>
        <v>0.30048311558745755</v>
      </c>
      <c r="P14" s="46">
        <v>0</v>
      </c>
      <c r="Q14" s="46">
        <v>91296463</v>
      </c>
      <c r="R14" s="49">
        <f t="shared" si="2"/>
        <v>1</v>
      </c>
      <c r="S14" s="50">
        <f t="shared" si="3"/>
        <v>0.01</v>
      </c>
      <c r="T14" s="49">
        <f t="shared" si="4"/>
        <v>855049.63</v>
      </c>
      <c r="U14" s="51">
        <f t="shared" si="5"/>
        <v>0</v>
      </c>
      <c r="V14" s="52">
        <f>IF(0&lt;0.8,0,IF(0&lt;1,Sheet3!L6,1))*IF(G14&lt;3,0.12 - O14,0.01) *U14</f>
        <v>0</v>
      </c>
      <c r="W14" s="52">
        <f t="shared" si="6"/>
        <v>0</v>
      </c>
      <c r="X14" s="53">
        <f t="shared" si="7"/>
        <v>0</v>
      </c>
      <c r="Y14" s="53">
        <f t="shared" si="8"/>
        <v>0</v>
      </c>
      <c r="Z14" s="54">
        <f t="shared" si="9"/>
        <v>0</v>
      </c>
      <c r="AA14" s="54">
        <f t="shared" si="10"/>
        <v>0</v>
      </c>
      <c r="AB14" s="55">
        <f t="shared" si="11"/>
        <v>0</v>
      </c>
      <c r="AC14" s="55">
        <f t="shared" si="12"/>
        <v>0</v>
      </c>
      <c r="AD14" s="56">
        <f t="shared" si="13"/>
        <v>855049.63</v>
      </c>
    </row>
    <row r="15" spans="1:30">
      <c r="C15" s="43" t="s">
        <v>67</v>
      </c>
      <c r="D15" s="44" t="s">
        <v>68</v>
      </c>
      <c r="E15" s="44"/>
      <c r="F15" s="45">
        <v>42721.34065972222</v>
      </c>
      <c r="G15" s="46">
        <v>21</v>
      </c>
      <c r="H15" s="47">
        <v>43382</v>
      </c>
      <c r="I15" s="47">
        <v>43392</v>
      </c>
      <c r="J15" s="46">
        <v>1949300</v>
      </c>
      <c r="K15" s="46">
        <v>0</v>
      </c>
      <c r="L15" s="46">
        <v>0</v>
      </c>
      <c r="M15" s="46">
        <f t="shared" si="0"/>
        <v>1949300</v>
      </c>
      <c r="N15" s="46">
        <v>2163830</v>
      </c>
      <c r="O15" s="48">
        <f t="shared" si="1"/>
        <v>9.9143648068471202E-2</v>
      </c>
      <c r="P15" s="46">
        <v>0</v>
      </c>
      <c r="Q15" s="46">
        <v>1949300</v>
      </c>
      <c r="R15" s="49">
        <f t="shared" si="2"/>
        <v>1</v>
      </c>
      <c r="S15" s="50">
        <f t="shared" si="3"/>
        <v>0.01</v>
      </c>
      <c r="T15" s="49">
        <f t="shared" si="4"/>
        <v>19493</v>
      </c>
      <c r="U15" s="51">
        <f t="shared" si="5"/>
        <v>0</v>
      </c>
      <c r="V15" s="52">
        <f>IF(0&lt;0.8,0,IF(0&lt;1,Sheet3!L6,1))*IF(G15&lt;3,0.12 - O15,0.01) *U15</f>
        <v>0</v>
      </c>
      <c r="W15" s="52">
        <f t="shared" si="6"/>
        <v>0</v>
      </c>
      <c r="X15" s="53">
        <f t="shared" si="7"/>
        <v>0</v>
      </c>
      <c r="Y15" s="53">
        <f t="shared" si="8"/>
        <v>0</v>
      </c>
      <c r="Z15" s="54">
        <f t="shared" si="9"/>
        <v>0</v>
      </c>
      <c r="AA15" s="54">
        <f t="shared" si="10"/>
        <v>0</v>
      </c>
      <c r="AB15" s="55">
        <f t="shared" si="11"/>
        <v>0</v>
      </c>
      <c r="AC15" s="55">
        <f t="shared" si="12"/>
        <v>0</v>
      </c>
      <c r="AD15" s="56">
        <f t="shared" si="13"/>
        <v>19493</v>
      </c>
    </row>
    <row r="16" spans="1:30">
      <c r="C16" s="43" t="s">
        <v>69</v>
      </c>
      <c r="D16" s="44" t="s">
        <v>70</v>
      </c>
      <c r="E16" s="44"/>
      <c r="F16" s="45">
        <v>41167.421585648146</v>
      </c>
      <c r="G16" s="46">
        <v>72</v>
      </c>
      <c r="H16" s="47">
        <v>43370</v>
      </c>
      <c r="I16" s="47">
        <v>43381</v>
      </c>
      <c r="J16" s="46">
        <v>47547005</v>
      </c>
      <c r="K16" s="46">
        <v>0</v>
      </c>
      <c r="L16" s="46">
        <v>0</v>
      </c>
      <c r="M16" s="46">
        <f t="shared" si="0"/>
        <v>47547005</v>
      </c>
      <c r="N16" s="46">
        <v>37430261</v>
      </c>
      <c r="O16" s="48">
        <f t="shared" si="1"/>
        <v>0</v>
      </c>
      <c r="P16" s="46">
        <v>0</v>
      </c>
      <c r="Q16" s="46">
        <v>47547005</v>
      </c>
      <c r="R16" s="49">
        <f t="shared" si="2"/>
        <v>1</v>
      </c>
      <c r="S16" s="50">
        <f t="shared" si="3"/>
        <v>0.01</v>
      </c>
      <c r="T16" s="49">
        <f t="shared" si="4"/>
        <v>475470.05</v>
      </c>
      <c r="U16" s="51">
        <f t="shared" si="5"/>
        <v>0</v>
      </c>
      <c r="V16" s="52">
        <f>IF(0&lt;0.8,0,IF(0&lt;1,Sheet3!L6,1))*IF(G16&lt;3,0.12 - O16,0.01) *U16</f>
        <v>0</v>
      </c>
      <c r="W16" s="52">
        <f t="shared" si="6"/>
        <v>0</v>
      </c>
      <c r="X16" s="53">
        <f t="shared" si="7"/>
        <v>0</v>
      </c>
      <c r="Y16" s="53">
        <f t="shared" si="8"/>
        <v>0</v>
      </c>
      <c r="Z16" s="54">
        <f t="shared" si="9"/>
        <v>0</v>
      </c>
      <c r="AA16" s="54">
        <f t="shared" si="10"/>
        <v>0</v>
      </c>
      <c r="AB16" s="55">
        <f t="shared" si="11"/>
        <v>0</v>
      </c>
      <c r="AC16" s="55">
        <f t="shared" si="12"/>
        <v>0</v>
      </c>
      <c r="AD16" s="56">
        <f t="shared" si="13"/>
        <v>475470.05</v>
      </c>
    </row>
    <row r="17" spans="2:30">
      <c r="C17" s="43" t="s">
        <v>71</v>
      </c>
      <c r="D17" s="44" t="s">
        <v>72</v>
      </c>
      <c r="E17" s="44"/>
      <c r="F17" s="45">
        <v>42947.432233796295</v>
      </c>
      <c r="G17" s="46">
        <v>14</v>
      </c>
      <c r="H17" s="47">
        <v>43390</v>
      </c>
      <c r="I17" s="47">
        <v>43398</v>
      </c>
      <c r="J17" s="46">
        <v>21268978</v>
      </c>
      <c r="K17" s="46">
        <v>0</v>
      </c>
      <c r="L17" s="46">
        <v>0</v>
      </c>
      <c r="M17" s="46">
        <f t="shared" si="0"/>
        <v>21268978</v>
      </c>
      <c r="N17" s="46">
        <v>22255841</v>
      </c>
      <c r="O17" s="48">
        <f t="shared" si="1"/>
        <v>4.4341752800983847E-2</v>
      </c>
      <c r="P17" s="46">
        <v>0</v>
      </c>
      <c r="Q17" s="46">
        <v>21268978</v>
      </c>
      <c r="R17" s="49">
        <f t="shared" si="2"/>
        <v>1</v>
      </c>
      <c r="S17" s="50">
        <f t="shared" si="3"/>
        <v>0.01</v>
      </c>
      <c r="T17" s="49">
        <f t="shared" si="4"/>
        <v>212689.78</v>
      </c>
      <c r="U17" s="51">
        <f t="shared" si="5"/>
        <v>0</v>
      </c>
      <c r="V17" s="52">
        <f>IF(0&lt;0.8,0,IF(0&lt;1,Sheet3!L6,1))*IF(G17&lt;3,0.12 - O17,0.01) *U17</f>
        <v>0</v>
      </c>
      <c r="W17" s="52">
        <f t="shared" si="6"/>
        <v>0</v>
      </c>
      <c r="X17" s="53">
        <f t="shared" si="7"/>
        <v>0</v>
      </c>
      <c r="Y17" s="53">
        <f t="shared" si="8"/>
        <v>0</v>
      </c>
      <c r="Z17" s="54">
        <f t="shared" si="9"/>
        <v>0</v>
      </c>
      <c r="AA17" s="54">
        <f t="shared" si="10"/>
        <v>0</v>
      </c>
      <c r="AB17" s="55">
        <f t="shared" si="11"/>
        <v>0</v>
      </c>
      <c r="AC17" s="55">
        <f t="shared" si="12"/>
        <v>0</v>
      </c>
      <c r="AD17" s="56">
        <f t="shared" si="13"/>
        <v>212689.78</v>
      </c>
    </row>
    <row r="18" spans="2:30" ht="23.25" customHeight="1">
      <c r="B18" s="9" t="s">
        <v>5</v>
      </c>
      <c r="C18" s="10" t="s">
        <v>6</v>
      </c>
      <c r="D18" s="10"/>
      <c r="E18" s="11" t="s">
        <v>7</v>
      </c>
      <c r="F18" s="11" t="s">
        <v>8</v>
      </c>
      <c r="G18" s="11" t="s">
        <v>9</v>
      </c>
      <c r="H18" s="11" t="s">
        <v>10</v>
      </c>
      <c r="I18" s="11" t="s">
        <v>11</v>
      </c>
      <c r="J18" s="11" t="s">
        <v>12</v>
      </c>
      <c r="K18" s="11" t="s">
        <v>13</v>
      </c>
      <c r="L18" s="11" t="s">
        <v>14</v>
      </c>
      <c r="M18" s="11" t="s">
        <v>15</v>
      </c>
      <c r="N18" s="11" t="s">
        <v>16</v>
      </c>
      <c r="O18" s="11" t="s">
        <v>17</v>
      </c>
      <c r="P18" s="12" t="s">
        <v>18</v>
      </c>
      <c r="Q18" s="11" t="s">
        <v>19</v>
      </c>
      <c r="R18" s="11"/>
      <c r="S18" s="10" t="s">
        <v>20</v>
      </c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3"/>
    </row>
    <row r="19" spans="2:30">
      <c r="B19" s="14" t="s">
        <v>73</v>
      </c>
      <c r="C19" s="15" t="str">
        <f>"Trần"&amp;" " &amp; "Xuân Trung Dũng"</f>
        <v>Trần Xuân Trung Dũng</v>
      </c>
      <c r="D19" s="15"/>
      <c r="E19" s="16" t="s">
        <v>74</v>
      </c>
      <c r="F19" s="16" t="s">
        <v>75</v>
      </c>
      <c r="G19" s="17" t="s">
        <v>24</v>
      </c>
      <c r="H19" s="16" t="s">
        <v>76</v>
      </c>
      <c r="I19" s="18">
        <v>0</v>
      </c>
      <c r="J19" s="19">
        <v>315000000</v>
      </c>
      <c r="K19" s="19">
        <f>IFERROR(IF(N19&lt;4,Q19,SUM(#VALUE!)),0)</f>
        <v>47417156</v>
      </c>
      <c r="L19" s="20">
        <f>IFERROR(K19/J19,0)</f>
        <v>0.15053065396825396</v>
      </c>
      <c r="M19" s="19">
        <f>IFERROR(IF(OR(N19=3,N19=4),SUM(#VALUE!)+AD19,IF(N19=1,0.6%,IF(N19=2,0.65%,IF(N19=3,0.6%,0)))*IF(L19&lt;0.8,0,IF(L19&lt;1,L19,1))*IF(RIGHT("2018-09",2)="03",1,0)),0)</f>
        <v>0</v>
      </c>
      <c r="N19" s="19">
        <v>2</v>
      </c>
      <c r="O19" s="18">
        <f>IF(N19=4,0.5%,IF(N19=5,0.3%,0))</f>
        <v>0</v>
      </c>
      <c r="P19" s="21">
        <f>IFERROR(SUM(#VALUE!),0)</f>
        <v>0</v>
      </c>
      <c r="Q19" s="19">
        <f>SUMIF($G:$G,B19,$K:$K)</f>
        <v>47417156</v>
      </c>
      <c r="R19" s="22"/>
      <c r="S19" s="23" t="s">
        <v>26</v>
      </c>
      <c r="T19" s="23"/>
      <c r="U19" s="24" t="s">
        <v>27</v>
      </c>
      <c r="V19" s="24"/>
      <c r="W19" s="24"/>
      <c r="X19" s="25" t="s">
        <v>28</v>
      </c>
      <c r="Y19" s="25"/>
      <c r="Z19" s="26" t="s">
        <v>29</v>
      </c>
      <c r="AA19" s="26"/>
      <c r="AB19" s="27" t="s">
        <v>30</v>
      </c>
      <c r="AC19" s="27"/>
      <c r="AD19" s="28">
        <f>IF(IFERROR(SUM(#VALUE!)*O19,0)&gt;2000000,2000000,IFERROR(SUM(#VALUE!)*O19,0))</f>
        <v>0</v>
      </c>
    </row>
    <row r="20" spans="2:30" ht="25.5">
      <c r="C20" s="29" t="s">
        <v>31</v>
      </c>
      <c r="D20" s="30" t="s">
        <v>32</v>
      </c>
      <c r="E20" s="30"/>
      <c r="F20" s="31" t="s">
        <v>33</v>
      </c>
      <c r="G20" s="31" t="s">
        <v>34</v>
      </c>
      <c r="H20" s="32" t="s">
        <v>35</v>
      </c>
      <c r="I20" s="32" t="s">
        <v>36</v>
      </c>
      <c r="J20" s="31" t="s">
        <v>37</v>
      </c>
      <c r="K20" s="31" t="s">
        <v>38</v>
      </c>
      <c r="L20" s="31" t="s">
        <v>39</v>
      </c>
      <c r="M20" s="31" t="s">
        <v>40</v>
      </c>
      <c r="N20" s="31" t="s">
        <v>41</v>
      </c>
      <c r="O20" s="33" t="s">
        <v>42</v>
      </c>
      <c r="P20" s="32" t="s">
        <v>43</v>
      </c>
      <c r="Q20" s="32" t="s">
        <v>44</v>
      </c>
      <c r="R20" s="34" t="s">
        <v>45</v>
      </c>
      <c r="S20" s="34" t="s">
        <v>46</v>
      </c>
      <c r="T20" s="34" t="s">
        <v>47</v>
      </c>
      <c r="U20" s="35" t="s">
        <v>48</v>
      </c>
      <c r="V20" s="36" t="s">
        <v>47</v>
      </c>
      <c r="W20" s="36" t="s">
        <v>49</v>
      </c>
      <c r="X20" s="37" t="s">
        <v>50</v>
      </c>
      <c r="Y20" s="37" t="s">
        <v>51</v>
      </c>
      <c r="Z20" s="38" t="s">
        <v>48</v>
      </c>
      <c r="AA20" s="39" t="s">
        <v>47</v>
      </c>
      <c r="AB20" s="40" t="s">
        <v>48</v>
      </c>
      <c r="AC20" s="41" t="s">
        <v>47</v>
      </c>
      <c r="AD20" s="42" t="s">
        <v>52</v>
      </c>
    </row>
    <row r="21" spans="2:30" ht="23.25" customHeight="1">
      <c r="B21" s="9" t="s">
        <v>5</v>
      </c>
      <c r="C21" s="10" t="s">
        <v>6</v>
      </c>
      <c r="D21" s="10"/>
      <c r="E21" s="11" t="s">
        <v>7</v>
      </c>
      <c r="F21" s="11" t="s">
        <v>8</v>
      </c>
      <c r="G21" s="11" t="s">
        <v>9</v>
      </c>
      <c r="H21" s="11" t="s">
        <v>10</v>
      </c>
      <c r="I21" s="11" t="s">
        <v>11</v>
      </c>
      <c r="J21" s="11" t="s">
        <v>12</v>
      </c>
      <c r="K21" s="11" t="s">
        <v>13</v>
      </c>
      <c r="L21" s="11" t="s">
        <v>14</v>
      </c>
      <c r="M21" s="11" t="s">
        <v>15</v>
      </c>
      <c r="N21" s="11" t="s">
        <v>16</v>
      </c>
      <c r="O21" s="11" t="s">
        <v>17</v>
      </c>
      <c r="P21" s="12" t="s">
        <v>18</v>
      </c>
      <c r="Q21" s="11" t="s">
        <v>19</v>
      </c>
      <c r="R21" s="11"/>
      <c r="S21" s="10" t="s">
        <v>20</v>
      </c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3"/>
    </row>
    <row r="22" spans="2:30">
      <c r="B22" s="14" t="s">
        <v>77</v>
      </c>
      <c r="C22" s="15" t="str">
        <f>"Nguyễn"&amp;" " &amp; "Hồng Thúy"</f>
        <v>Nguyễn Hồng Thúy</v>
      </c>
      <c r="D22" s="15"/>
      <c r="E22" s="16" t="s">
        <v>74</v>
      </c>
      <c r="F22" s="16" t="s">
        <v>23</v>
      </c>
      <c r="G22" s="17" t="s">
        <v>21</v>
      </c>
      <c r="H22" s="16" t="s">
        <v>78</v>
      </c>
      <c r="I22" s="18">
        <v>0</v>
      </c>
      <c r="J22" s="19">
        <v>1155000000</v>
      </c>
      <c r="K22" s="19">
        <f>IFERROR(IF(N22&lt;4,Q22,SUM(Sheet3!J24:J47)),0)</f>
        <v>1688894341</v>
      </c>
      <c r="L22" s="20">
        <f>IFERROR(K22/J22,0)</f>
        <v>1.4622461826839828</v>
      </c>
      <c r="M22" s="19">
        <f>IFERROR(IF(OR(N22=3,N22=4),SUM(Sheet3!AD24:AD47)+AD22,IF(N22=1,0.6%,IF(N22=2,0.65%,IF(N22=3,0.6%,0)))*IF(L22&lt;0.8,0,IF(L22&lt;1,L22,1))*IF(RIGHT("2018-09",2)="03",1,0)),0)</f>
        <v>0</v>
      </c>
      <c r="N22" s="19">
        <v>2</v>
      </c>
      <c r="O22" s="18">
        <f>IF(N22=4,0.5%,IF(N22=5,0.3%,0))</f>
        <v>0</v>
      </c>
      <c r="P22" s="21">
        <f>IFERROR(SUM(Sheet3!P24:P47),0)</f>
        <v>0</v>
      </c>
      <c r="Q22" s="19">
        <f>SUMIF($G:$G,B22,$K:$K)</f>
        <v>1688894341</v>
      </c>
      <c r="R22" s="22"/>
      <c r="S22" s="23" t="s">
        <v>26</v>
      </c>
      <c r="T22" s="23"/>
      <c r="U22" s="24" t="s">
        <v>27</v>
      </c>
      <c r="V22" s="24"/>
      <c r="W22" s="24"/>
      <c r="X22" s="25" t="s">
        <v>28</v>
      </c>
      <c r="Y22" s="25"/>
      <c r="Z22" s="26" t="s">
        <v>29</v>
      </c>
      <c r="AA22" s="26"/>
      <c r="AB22" s="27" t="s">
        <v>30</v>
      </c>
      <c r="AC22" s="27"/>
      <c r="AD22" s="28">
        <f>IF(IFERROR(SUM(Sheet3!Y24:Y47)*O22,0)&gt;2000000,2000000,IFERROR(SUM(Sheet3!Y24:Y47)*O22,0))</f>
        <v>0</v>
      </c>
    </row>
    <row r="23" spans="2:30" ht="25.5">
      <c r="C23" s="29" t="s">
        <v>31</v>
      </c>
      <c r="D23" s="30" t="s">
        <v>32</v>
      </c>
      <c r="E23" s="30"/>
      <c r="F23" s="31" t="s">
        <v>33</v>
      </c>
      <c r="G23" s="31" t="s">
        <v>34</v>
      </c>
      <c r="H23" s="32" t="s">
        <v>35</v>
      </c>
      <c r="I23" s="32" t="s">
        <v>36</v>
      </c>
      <c r="J23" s="31" t="s">
        <v>37</v>
      </c>
      <c r="K23" s="31" t="s">
        <v>38</v>
      </c>
      <c r="L23" s="31" t="s">
        <v>39</v>
      </c>
      <c r="M23" s="31" t="s">
        <v>40</v>
      </c>
      <c r="N23" s="31" t="s">
        <v>41</v>
      </c>
      <c r="O23" s="33" t="s">
        <v>42</v>
      </c>
      <c r="P23" s="32" t="s">
        <v>43</v>
      </c>
      <c r="Q23" s="32" t="s">
        <v>44</v>
      </c>
      <c r="R23" s="34" t="s">
        <v>45</v>
      </c>
      <c r="S23" s="34" t="s">
        <v>46</v>
      </c>
      <c r="T23" s="34" t="s">
        <v>47</v>
      </c>
      <c r="U23" s="35" t="s">
        <v>48</v>
      </c>
      <c r="V23" s="36" t="s">
        <v>47</v>
      </c>
      <c r="W23" s="36" t="s">
        <v>49</v>
      </c>
      <c r="X23" s="37" t="s">
        <v>50</v>
      </c>
      <c r="Y23" s="37" t="s">
        <v>51</v>
      </c>
      <c r="Z23" s="38" t="s">
        <v>48</v>
      </c>
      <c r="AA23" s="39" t="s">
        <v>47</v>
      </c>
      <c r="AB23" s="40" t="s">
        <v>48</v>
      </c>
      <c r="AC23" s="41" t="s">
        <v>47</v>
      </c>
      <c r="AD23" s="42" t="s">
        <v>52</v>
      </c>
    </row>
    <row r="24" spans="2:30">
      <c r="C24" s="43" t="s">
        <v>79</v>
      </c>
      <c r="D24" s="44" t="s">
        <v>80</v>
      </c>
      <c r="E24" s="44"/>
      <c r="F24" s="45">
        <v>40158.405532407407</v>
      </c>
      <c r="G24" s="46">
        <v>105</v>
      </c>
      <c r="H24" s="47">
        <v>43372</v>
      </c>
      <c r="I24" s="47">
        <v>43397</v>
      </c>
      <c r="J24" s="46">
        <v>177822</v>
      </c>
      <c r="K24" s="46">
        <v>0</v>
      </c>
      <c r="L24" s="46">
        <v>0</v>
      </c>
      <c r="M24" s="46">
        <f t="shared" ref="M24:M47" si="14">IFERROR(J24-K24-L24,0)</f>
        <v>177822</v>
      </c>
      <c r="N24" s="46">
        <v>177822</v>
      </c>
      <c r="O24" s="48">
        <f t="shared" ref="O24:O47" si="15">IFERROR(IF(1 - M24/N24&lt;0,0,1-M24/N24),0)</f>
        <v>0</v>
      </c>
      <c r="P24" s="46">
        <v>0</v>
      </c>
      <c r="Q24" s="46">
        <v>177822</v>
      </c>
      <c r="R24" s="49">
        <f t="shared" ref="R24:R47" si="16">IF(F24&lt;DATEVALUE("2018-07-01"),1,0)</f>
        <v>1</v>
      </c>
      <c r="S24" s="50">
        <f t="shared" ref="S24:S47" si="17">IF(R24=1,1%,0)</f>
        <v>0.01</v>
      </c>
      <c r="T24" s="49">
        <f t="shared" ref="T24:T47" si="18">IFERROR(S24*M24,0)</f>
        <v>1778.22</v>
      </c>
      <c r="U24" s="51">
        <f t="shared" ref="U24:U47" si="19">IF(O24&lt;=0.12,1,0)*(1-R24)*M24</f>
        <v>0</v>
      </c>
      <c r="V24" s="52">
        <f>IF(0&lt;0.8,0,IF(0&lt;1,Sheet3!L22,1))*IF(G24&lt;3,0.12 - O24,0.01) *U24</f>
        <v>0</v>
      </c>
      <c r="W24" s="52">
        <f t="shared" ref="W24:W47" si="20">IF(0&gt;1,IF(0&lt;=1.1,1,IF(0&lt;=1.2,2,IF(0&lt;=1.5,3,5))),0) * 1000000</f>
        <v>0</v>
      </c>
      <c r="X24" s="53">
        <f t="shared" ref="X24:X47" si="21">IF(AND(P24&gt;=150000000,P24&lt;300000000),5000000,IF(AND(P24&gt;=300000000,P24&lt;500000000),10000000,IF(AND(P24&gt;=300000000,P24&lt;500000000),15000000,IF(AND(P24&gt;=500000000,P24&lt;3000000000),20000000,IF(P24&gt;=30000000000,35000000,0))))) * (1-R24)</f>
        <v>0</v>
      </c>
      <c r="Y24" s="53">
        <f t="shared" ref="Y24:Y47" si="22">IFERROR(Q24 * (1-R24),0)</f>
        <v>0</v>
      </c>
      <c r="Z24" s="54">
        <f t="shared" ref="Z24:Z47" si="23">IF(R24=1,0,0)</f>
        <v>0</v>
      </c>
      <c r="AA24" s="54">
        <f t="shared" ref="AA24:AA47" si="24">IFERROR((1-R24) * Z24 * 2%,0)</f>
        <v>0</v>
      </c>
      <c r="AB24" s="55">
        <f t="shared" ref="AB24:AB47" si="25">IF(R24=0,0,0)</f>
        <v>0</v>
      </c>
      <c r="AC24" s="55">
        <f t="shared" ref="AC24:AC47" si="26">IFERROR(AB24 * (1-R24) * 2%,0)</f>
        <v>0</v>
      </c>
      <c r="AD24" s="56">
        <f t="shared" ref="AD24:AD47" si="27">T24+V24+W24+X24+AA24+AC24</f>
        <v>1778.22</v>
      </c>
    </row>
    <row r="25" spans="2:30">
      <c r="C25" s="43" t="s">
        <v>81</v>
      </c>
      <c r="D25" s="44" t="s">
        <v>82</v>
      </c>
      <c r="E25" s="44"/>
      <c r="F25" s="45">
        <v>40817.419872685183</v>
      </c>
      <c r="G25" s="46">
        <v>83</v>
      </c>
      <c r="H25" s="47">
        <v>43379</v>
      </c>
      <c r="I25" s="47">
        <v>43405</v>
      </c>
      <c r="J25" s="46">
        <v>14578897</v>
      </c>
      <c r="K25" s="46">
        <v>0</v>
      </c>
      <c r="L25" s="46">
        <v>0</v>
      </c>
      <c r="M25" s="46">
        <f t="shared" si="14"/>
        <v>14578897</v>
      </c>
      <c r="N25" s="46">
        <v>14578897</v>
      </c>
      <c r="O25" s="48">
        <f t="shared" si="15"/>
        <v>0</v>
      </c>
      <c r="P25" s="46">
        <v>0</v>
      </c>
      <c r="Q25" s="46">
        <v>14578897</v>
      </c>
      <c r="R25" s="49">
        <f t="shared" si="16"/>
        <v>1</v>
      </c>
      <c r="S25" s="50">
        <f t="shared" si="17"/>
        <v>0.01</v>
      </c>
      <c r="T25" s="49">
        <f t="shared" si="18"/>
        <v>145788.97</v>
      </c>
      <c r="U25" s="51">
        <f t="shared" si="19"/>
        <v>0</v>
      </c>
      <c r="V25" s="52">
        <f>IF(0&lt;0.8,0,IF(0&lt;1,Sheet3!L22,1))*IF(G25&lt;3,0.12 - O25,0.01) *U25</f>
        <v>0</v>
      </c>
      <c r="W25" s="52">
        <f t="shared" si="20"/>
        <v>0</v>
      </c>
      <c r="X25" s="53">
        <f t="shared" si="21"/>
        <v>0</v>
      </c>
      <c r="Y25" s="53">
        <f t="shared" si="22"/>
        <v>0</v>
      </c>
      <c r="Z25" s="54">
        <f t="shared" si="23"/>
        <v>0</v>
      </c>
      <c r="AA25" s="54">
        <f t="shared" si="24"/>
        <v>0</v>
      </c>
      <c r="AB25" s="55">
        <f t="shared" si="25"/>
        <v>0</v>
      </c>
      <c r="AC25" s="55">
        <f t="shared" si="26"/>
        <v>0</v>
      </c>
      <c r="AD25" s="56">
        <f t="shared" si="27"/>
        <v>145788.97</v>
      </c>
    </row>
    <row r="26" spans="2:30">
      <c r="C26" s="43" t="s">
        <v>83</v>
      </c>
      <c r="D26" s="44" t="s">
        <v>84</v>
      </c>
      <c r="E26" s="44"/>
      <c r="F26" s="45">
        <v>41074.362858796296</v>
      </c>
      <c r="G26" s="46">
        <v>75</v>
      </c>
      <c r="H26" s="47">
        <v>43376</v>
      </c>
      <c r="I26" s="47">
        <v>43397</v>
      </c>
      <c r="J26" s="46">
        <v>3701879</v>
      </c>
      <c r="K26" s="46">
        <v>0</v>
      </c>
      <c r="L26" s="46">
        <v>0</v>
      </c>
      <c r="M26" s="46">
        <f t="shared" si="14"/>
        <v>3701879</v>
      </c>
      <c r="N26" s="46">
        <v>3701879</v>
      </c>
      <c r="O26" s="48">
        <f t="shared" si="15"/>
        <v>0</v>
      </c>
      <c r="P26" s="46">
        <v>0</v>
      </c>
      <c r="Q26" s="46">
        <v>3701879</v>
      </c>
      <c r="R26" s="49">
        <f t="shared" si="16"/>
        <v>1</v>
      </c>
      <c r="S26" s="50">
        <f t="shared" si="17"/>
        <v>0.01</v>
      </c>
      <c r="T26" s="49">
        <f t="shared" si="18"/>
        <v>37018.79</v>
      </c>
      <c r="U26" s="51">
        <f t="shared" si="19"/>
        <v>0</v>
      </c>
      <c r="V26" s="52">
        <f>IF(0&lt;0.8,0,IF(0&lt;1,Sheet3!L22,1))*IF(G26&lt;3,0.12 - O26,0.01) *U26</f>
        <v>0</v>
      </c>
      <c r="W26" s="52">
        <f t="shared" si="20"/>
        <v>0</v>
      </c>
      <c r="X26" s="53">
        <f t="shared" si="21"/>
        <v>0</v>
      </c>
      <c r="Y26" s="53">
        <f t="shared" si="22"/>
        <v>0</v>
      </c>
      <c r="Z26" s="54">
        <f t="shared" si="23"/>
        <v>0</v>
      </c>
      <c r="AA26" s="54">
        <f t="shared" si="24"/>
        <v>0</v>
      </c>
      <c r="AB26" s="55">
        <f t="shared" si="25"/>
        <v>0</v>
      </c>
      <c r="AC26" s="55">
        <f t="shared" si="26"/>
        <v>0</v>
      </c>
      <c r="AD26" s="56">
        <f t="shared" si="27"/>
        <v>37018.79</v>
      </c>
    </row>
    <row r="27" spans="2:30">
      <c r="C27" s="43" t="s">
        <v>85</v>
      </c>
      <c r="D27" s="44" t="s">
        <v>86</v>
      </c>
      <c r="E27" s="44"/>
      <c r="F27" s="45">
        <v>41141.650729166664</v>
      </c>
      <c r="G27" s="46">
        <v>73</v>
      </c>
      <c r="H27" s="47">
        <v>43404</v>
      </c>
      <c r="I27" s="47">
        <v>43434</v>
      </c>
      <c r="J27" s="46">
        <v>39930</v>
      </c>
      <c r="K27" s="46">
        <v>0</v>
      </c>
      <c r="L27" s="46">
        <v>0</v>
      </c>
      <c r="M27" s="46">
        <f t="shared" si="14"/>
        <v>39930</v>
      </c>
      <c r="N27" s="46">
        <v>39930</v>
      </c>
      <c r="O27" s="48">
        <f t="shared" si="15"/>
        <v>0</v>
      </c>
      <c r="P27" s="46">
        <v>0</v>
      </c>
      <c r="Q27" s="46">
        <v>39930</v>
      </c>
      <c r="R27" s="49">
        <f t="shared" si="16"/>
        <v>1</v>
      </c>
      <c r="S27" s="50">
        <f t="shared" si="17"/>
        <v>0.01</v>
      </c>
      <c r="T27" s="49">
        <f t="shared" si="18"/>
        <v>399.3</v>
      </c>
      <c r="U27" s="51">
        <f t="shared" si="19"/>
        <v>0</v>
      </c>
      <c r="V27" s="52">
        <f>IF(0&lt;0.8,0,IF(0&lt;1,Sheet3!L22,1))*IF(G27&lt;3,0.12 - O27,0.01) *U27</f>
        <v>0</v>
      </c>
      <c r="W27" s="52">
        <f t="shared" si="20"/>
        <v>0</v>
      </c>
      <c r="X27" s="53">
        <f t="shared" si="21"/>
        <v>0</v>
      </c>
      <c r="Y27" s="53">
        <f t="shared" si="22"/>
        <v>0</v>
      </c>
      <c r="Z27" s="54">
        <f t="shared" si="23"/>
        <v>0</v>
      </c>
      <c r="AA27" s="54">
        <f t="shared" si="24"/>
        <v>0</v>
      </c>
      <c r="AB27" s="55">
        <f t="shared" si="25"/>
        <v>0</v>
      </c>
      <c r="AC27" s="55">
        <f t="shared" si="26"/>
        <v>0</v>
      </c>
      <c r="AD27" s="56">
        <f t="shared" si="27"/>
        <v>399.3</v>
      </c>
    </row>
    <row r="28" spans="2:30">
      <c r="C28" s="43" t="s">
        <v>87</v>
      </c>
      <c r="D28" s="44" t="s">
        <v>88</v>
      </c>
      <c r="E28" s="44"/>
      <c r="F28" s="45">
        <v>41348.600462962961</v>
      </c>
      <c r="G28" s="46">
        <v>66</v>
      </c>
      <c r="H28" s="47">
        <v>43377</v>
      </c>
      <c r="I28" s="47">
        <v>43391</v>
      </c>
      <c r="J28" s="46">
        <v>153670</v>
      </c>
      <c r="K28" s="46">
        <v>0</v>
      </c>
      <c r="L28" s="46">
        <v>0</v>
      </c>
      <c r="M28" s="46">
        <f t="shared" si="14"/>
        <v>153670</v>
      </c>
      <c r="N28" s="46">
        <v>153670</v>
      </c>
      <c r="O28" s="48">
        <f t="shared" si="15"/>
        <v>0</v>
      </c>
      <c r="P28" s="46">
        <v>0</v>
      </c>
      <c r="Q28" s="46">
        <v>153670</v>
      </c>
      <c r="R28" s="49">
        <f t="shared" si="16"/>
        <v>1</v>
      </c>
      <c r="S28" s="50">
        <f t="shared" si="17"/>
        <v>0.01</v>
      </c>
      <c r="T28" s="49">
        <f t="shared" si="18"/>
        <v>1536.7</v>
      </c>
      <c r="U28" s="51">
        <f t="shared" si="19"/>
        <v>0</v>
      </c>
      <c r="V28" s="52">
        <f>IF(0&lt;0.8,0,IF(0&lt;1,Sheet3!L22,1))*IF(G28&lt;3,0.12 - O28,0.01) *U28</f>
        <v>0</v>
      </c>
      <c r="W28" s="52">
        <f t="shared" si="20"/>
        <v>0</v>
      </c>
      <c r="X28" s="53">
        <f t="shared" si="21"/>
        <v>0</v>
      </c>
      <c r="Y28" s="53">
        <f t="shared" si="22"/>
        <v>0</v>
      </c>
      <c r="Z28" s="54">
        <f t="shared" si="23"/>
        <v>0</v>
      </c>
      <c r="AA28" s="54">
        <f t="shared" si="24"/>
        <v>0</v>
      </c>
      <c r="AB28" s="55">
        <f t="shared" si="25"/>
        <v>0</v>
      </c>
      <c r="AC28" s="55">
        <f t="shared" si="26"/>
        <v>0</v>
      </c>
      <c r="AD28" s="56">
        <f t="shared" si="27"/>
        <v>1536.7</v>
      </c>
    </row>
    <row r="29" spans="2:30">
      <c r="C29" s="43" t="s">
        <v>89</v>
      </c>
      <c r="D29" s="44" t="s">
        <v>90</v>
      </c>
      <c r="E29" s="44"/>
      <c r="F29" s="45">
        <v>42114.598749999997</v>
      </c>
      <c r="G29" s="46">
        <v>41</v>
      </c>
      <c r="H29" s="47">
        <v>43376</v>
      </c>
      <c r="I29" s="47">
        <v>43427</v>
      </c>
      <c r="J29" s="46">
        <v>107484</v>
      </c>
      <c r="K29" s="46">
        <v>0</v>
      </c>
      <c r="L29" s="46">
        <v>0</v>
      </c>
      <c r="M29" s="46">
        <f t="shared" si="14"/>
        <v>107484</v>
      </c>
      <c r="N29" s="46">
        <v>107484</v>
      </c>
      <c r="O29" s="48">
        <f t="shared" si="15"/>
        <v>0</v>
      </c>
      <c r="P29" s="46">
        <v>0</v>
      </c>
      <c r="Q29" s="46">
        <v>107484</v>
      </c>
      <c r="R29" s="49">
        <f t="shared" si="16"/>
        <v>1</v>
      </c>
      <c r="S29" s="50">
        <f t="shared" si="17"/>
        <v>0.01</v>
      </c>
      <c r="T29" s="49">
        <f t="shared" si="18"/>
        <v>1074.8399999999999</v>
      </c>
      <c r="U29" s="51">
        <f t="shared" si="19"/>
        <v>0</v>
      </c>
      <c r="V29" s="52">
        <f>IF(0&lt;0.8,0,IF(0&lt;1,Sheet3!L22,1))*IF(G29&lt;3,0.12 - O29,0.01) *U29</f>
        <v>0</v>
      </c>
      <c r="W29" s="52">
        <f t="shared" si="20"/>
        <v>0</v>
      </c>
      <c r="X29" s="53">
        <f t="shared" si="21"/>
        <v>0</v>
      </c>
      <c r="Y29" s="53">
        <f t="shared" si="22"/>
        <v>0</v>
      </c>
      <c r="Z29" s="54">
        <f t="shared" si="23"/>
        <v>0</v>
      </c>
      <c r="AA29" s="54">
        <f t="shared" si="24"/>
        <v>0</v>
      </c>
      <c r="AB29" s="55">
        <f t="shared" si="25"/>
        <v>0</v>
      </c>
      <c r="AC29" s="55">
        <f t="shared" si="26"/>
        <v>0</v>
      </c>
      <c r="AD29" s="56">
        <f t="shared" si="27"/>
        <v>1074.8399999999999</v>
      </c>
    </row>
    <row r="30" spans="2:30">
      <c r="C30" s="43" t="s">
        <v>91</v>
      </c>
      <c r="D30" s="44" t="s">
        <v>92</v>
      </c>
      <c r="E30" s="44"/>
      <c r="F30" s="45">
        <v>42154.458414351851</v>
      </c>
      <c r="G30" s="46">
        <v>40</v>
      </c>
      <c r="H30" s="47">
        <v>43398</v>
      </c>
      <c r="I30" s="47">
        <v>43430</v>
      </c>
      <c r="J30" s="46">
        <v>3796631</v>
      </c>
      <c r="K30" s="46">
        <v>0</v>
      </c>
      <c r="L30" s="46">
        <v>0</v>
      </c>
      <c r="M30" s="46">
        <f t="shared" si="14"/>
        <v>3796631</v>
      </c>
      <c r="N30" s="46">
        <v>3575550</v>
      </c>
      <c r="O30" s="48">
        <f t="shared" si="15"/>
        <v>0</v>
      </c>
      <c r="P30" s="46">
        <v>0</v>
      </c>
      <c r="Q30" s="46">
        <v>3796631</v>
      </c>
      <c r="R30" s="49">
        <f t="shared" si="16"/>
        <v>1</v>
      </c>
      <c r="S30" s="50">
        <f t="shared" si="17"/>
        <v>0.01</v>
      </c>
      <c r="T30" s="49">
        <f t="shared" si="18"/>
        <v>37966.31</v>
      </c>
      <c r="U30" s="51">
        <f t="shared" si="19"/>
        <v>0</v>
      </c>
      <c r="V30" s="52">
        <f>IF(0&lt;0.8,0,IF(0&lt;1,Sheet3!L22,1))*IF(G30&lt;3,0.12 - O30,0.01) *U30</f>
        <v>0</v>
      </c>
      <c r="W30" s="52">
        <f t="shared" si="20"/>
        <v>0</v>
      </c>
      <c r="X30" s="53">
        <f t="shared" si="21"/>
        <v>0</v>
      </c>
      <c r="Y30" s="53">
        <f t="shared" si="22"/>
        <v>0</v>
      </c>
      <c r="Z30" s="54">
        <f t="shared" si="23"/>
        <v>0</v>
      </c>
      <c r="AA30" s="54">
        <f t="shared" si="24"/>
        <v>0</v>
      </c>
      <c r="AB30" s="55">
        <f t="shared" si="25"/>
        <v>0</v>
      </c>
      <c r="AC30" s="55">
        <f t="shared" si="26"/>
        <v>0</v>
      </c>
      <c r="AD30" s="56">
        <f t="shared" si="27"/>
        <v>37966.31</v>
      </c>
    </row>
    <row r="31" spans="2:30">
      <c r="C31" s="43" t="s">
        <v>93</v>
      </c>
      <c r="D31" s="44" t="s">
        <v>94</v>
      </c>
      <c r="E31" s="44"/>
      <c r="F31" s="45">
        <v>42159.665590277778</v>
      </c>
      <c r="G31" s="46">
        <v>39</v>
      </c>
      <c r="H31" s="47">
        <v>43372</v>
      </c>
      <c r="I31" s="47">
        <v>43403</v>
      </c>
      <c r="J31" s="46">
        <v>942501</v>
      </c>
      <c r="K31" s="46">
        <v>0</v>
      </c>
      <c r="L31" s="46">
        <v>0</v>
      </c>
      <c r="M31" s="46">
        <f t="shared" si="14"/>
        <v>942501</v>
      </c>
      <c r="N31" s="46">
        <v>942501</v>
      </c>
      <c r="O31" s="48">
        <f t="shared" si="15"/>
        <v>0</v>
      </c>
      <c r="P31" s="46">
        <v>0</v>
      </c>
      <c r="Q31" s="46">
        <v>942501</v>
      </c>
      <c r="R31" s="49">
        <f t="shared" si="16"/>
        <v>1</v>
      </c>
      <c r="S31" s="50">
        <f t="shared" si="17"/>
        <v>0.01</v>
      </c>
      <c r="T31" s="49">
        <f t="shared" si="18"/>
        <v>9425.01</v>
      </c>
      <c r="U31" s="51">
        <f t="shared" si="19"/>
        <v>0</v>
      </c>
      <c r="V31" s="52">
        <f>IF(0&lt;0.8,0,IF(0&lt;1,Sheet3!L22,1))*IF(G31&lt;3,0.12 - O31,0.01) *U31</f>
        <v>0</v>
      </c>
      <c r="W31" s="52">
        <f t="shared" si="20"/>
        <v>0</v>
      </c>
      <c r="X31" s="53">
        <f t="shared" si="21"/>
        <v>0</v>
      </c>
      <c r="Y31" s="53">
        <f t="shared" si="22"/>
        <v>0</v>
      </c>
      <c r="Z31" s="54">
        <f t="shared" si="23"/>
        <v>0</v>
      </c>
      <c r="AA31" s="54">
        <f t="shared" si="24"/>
        <v>0</v>
      </c>
      <c r="AB31" s="55">
        <f t="shared" si="25"/>
        <v>0</v>
      </c>
      <c r="AC31" s="55">
        <f t="shared" si="26"/>
        <v>0</v>
      </c>
      <c r="AD31" s="56">
        <f t="shared" si="27"/>
        <v>9425.01</v>
      </c>
    </row>
    <row r="32" spans="2:30">
      <c r="C32" s="43" t="s">
        <v>95</v>
      </c>
      <c r="D32" s="44" t="s">
        <v>96</v>
      </c>
      <c r="E32" s="44"/>
      <c r="F32" s="45">
        <v>42185.692407407405</v>
      </c>
      <c r="G32" s="46">
        <v>39</v>
      </c>
      <c r="H32" s="47">
        <v>43376</v>
      </c>
      <c r="I32" s="47">
        <v>43395</v>
      </c>
      <c r="J32" s="46">
        <v>227480</v>
      </c>
      <c r="K32" s="46">
        <v>0</v>
      </c>
      <c r="L32" s="46">
        <v>0</v>
      </c>
      <c r="M32" s="46">
        <f t="shared" si="14"/>
        <v>227480</v>
      </c>
      <c r="N32" s="46">
        <v>227480</v>
      </c>
      <c r="O32" s="48">
        <f t="shared" si="15"/>
        <v>0</v>
      </c>
      <c r="P32" s="46">
        <v>0</v>
      </c>
      <c r="Q32" s="46">
        <v>227480</v>
      </c>
      <c r="R32" s="49">
        <f t="shared" si="16"/>
        <v>1</v>
      </c>
      <c r="S32" s="50">
        <f t="shared" si="17"/>
        <v>0.01</v>
      </c>
      <c r="T32" s="49">
        <f t="shared" si="18"/>
        <v>2274.8000000000002</v>
      </c>
      <c r="U32" s="51">
        <f t="shared" si="19"/>
        <v>0</v>
      </c>
      <c r="V32" s="52">
        <f>IF(0&lt;0.8,0,IF(0&lt;1,Sheet3!L22,1))*IF(G32&lt;3,0.12 - O32,0.01) *U32</f>
        <v>0</v>
      </c>
      <c r="W32" s="52">
        <f t="shared" si="20"/>
        <v>0</v>
      </c>
      <c r="X32" s="53">
        <f t="shared" si="21"/>
        <v>0</v>
      </c>
      <c r="Y32" s="53">
        <f t="shared" si="22"/>
        <v>0</v>
      </c>
      <c r="Z32" s="54">
        <f t="shared" si="23"/>
        <v>0</v>
      </c>
      <c r="AA32" s="54">
        <f t="shared" si="24"/>
        <v>0</v>
      </c>
      <c r="AB32" s="55">
        <f t="shared" si="25"/>
        <v>0</v>
      </c>
      <c r="AC32" s="55">
        <f t="shared" si="26"/>
        <v>0</v>
      </c>
      <c r="AD32" s="56">
        <f t="shared" si="27"/>
        <v>2274.8000000000002</v>
      </c>
    </row>
    <row r="33" spans="2:30">
      <c r="C33" s="43" t="s">
        <v>97</v>
      </c>
      <c r="D33" s="44" t="s">
        <v>98</v>
      </c>
      <c r="E33" s="44"/>
      <c r="F33" s="45">
        <v>42185.691145833334</v>
      </c>
      <c r="G33" s="46">
        <v>39</v>
      </c>
      <c r="H33" s="47">
        <v>43439</v>
      </c>
      <c r="I33" s="47">
        <v>43462</v>
      </c>
      <c r="J33" s="46">
        <v>12331</v>
      </c>
      <c r="K33" s="46">
        <v>0</v>
      </c>
      <c r="L33" s="46">
        <v>0</v>
      </c>
      <c r="M33" s="46">
        <f t="shared" si="14"/>
        <v>12331</v>
      </c>
      <c r="N33" s="46">
        <v>15806</v>
      </c>
      <c r="O33" s="48">
        <f t="shared" si="15"/>
        <v>0.21985322029609011</v>
      </c>
      <c r="P33" s="46">
        <v>0</v>
      </c>
      <c r="Q33" s="46">
        <v>12331</v>
      </c>
      <c r="R33" s="49">
        <f t="shared" si="16"/>
        <v>1</v>
      </c>
      <c r="S33" s="50">
        <f t="shared" si="17"/>
        <v>0.01</v>
      </c>
      <c r="T33" s="49">
        <f t="shared" si="18"/>
        <v>123.31</v>
      </c>
      <c r="U33" s="51">
        <f t="shared" si="19"/>
        <v>0</v>
      </c>
      <c r="V33" s="52">
        <f>IF(0&lt;0.8,0,IF(0&lt;1,Sheet3!L22,1))*IF(G33&lt;3,0.12 - O33,0.01) *U33</f>
        <v>0</v>
      </c>
      <c r="W33" s="52">
        <f t="shared" si="20"/>
        <v>0</v>
      </c>
      <c r="X33" s="53">
        <f t="shared" si="21"/>
        <v>0</v>
      </c>
      <c r="Y33" s="53">
        <f t="shared" si="22"/>
        <v>0</v>
      </c>
      <c r="Z33" s="54">
        <f t="shared" si="23"/>
        <v>0</v>
      </c>
      <c r="AA33" s="54">
        <f t="shared" si="24"/>
        <v>0</v>
      </c>
      <c r="AB33" s="55">
        <f t="shared" si="25"/>
        <v>0</v>
      </c>
      <c r="AC33" s="55">
        <f t="shared" si="26"/>
        <v>0</v>
      </c>
      <c r="AD33" s="56">
        <f t="shared" si="27"/>
        <v>123.31</v>
      </c>
    </row>
    <row r="34" spans="2:30">
      <c r="C34" s="43" t="s">
        <v>99</v>
      </c>
      <c r="D34" s="44" t="s">
        <v>100</v>
      </c>
      <c r="E34" s="44"/>
      <c r="F34" s="45">
        <v>42268.429652777777</v>
      </c>
      <c r="G34" s="46">
        <v>36</v>
      </c>
      <c r="H34" s="47">
        <v>43372</v>
      </c>
      <c r="I34" s="47">
        <v>43392</v>
      </c>
      <c r="J34" s="46">
        <v>343277</v>
      </c>
      <c r="K34" s="46">
        <v>0</v>
      </c>
      <c r="L34" s="46">
        <v>0</v>
      </c>
      <c r="M34" s="46">
        <f t="shared" si="14"/>
        <v>343277</v>
      </c>
      <c r="N34" s="46">
        <v>343277</v>
      </c>
      <c r="O34" s="48">
        <f t="shared" si="15"/>
        <v>0</v>
      </c>
      <c r="P34" s="46">
        <v>0</v>
      </c>
      <c r="Q34" s="46">
        <v>343277</v>
      </c>
      <c r="R34" s="49">
        <f t="shared" si="16"/>
        <v>1</v>
      </c>
      <c r="S34" s="50">
        <f t="shared" si="17"/>
        <v>0.01</v>
      </c>
      <c r="T34" s="49">
        <f t="shared" si="18"/>
        <v>3432.77</v>
      </c>
      <c r="U34" s="51">
        <f t="shared" si="19"/>
        <v>0</v>
      </c>
      <c r="V34" s="52">
        <f>IF(0&lt;0.8,0,IF(0&lt;1,Sheet3!L22,1))*IF(G34&lt;3,0.12 - O34,0.01) *U34</f>
        <v>0</v>
      </c>
      <c r="W34" s="52">
        <f t="shared" si="20"/>
        <v>0</v>
      </c>
      <c r="X34" s="53">
        <f t="shared" si="21"/>
        <v>0</v>
      </c>
      <c r="Y34" s="53">
        <f t="shared" si="22"/>
        <v>0</v>
      </c>
      <c r="Z34" s="54">
        <f t="shared" si="23"/>
        <v>0</v>
      </c>
      <c r="AA34" s="54">
        <f t="shared" si="24"/>
        <v>0</v>
      </c>
      <c r="AB34" s="55">
        <f t="shared" si="25"/>
        <v>0</v>
      </c>
      <c r="AC34" s="55">
        <f t="shared" si="26"/>
        <v>0</v>
      </c>
      <c r="AD34" s="56">
        <f t="shared" si="27"/>
        <v>3432.77</v>
      </c>
    </row>
    <row r="35" spans="2:30">
      <c r="C35" s="43" t="s">
        <v>101</v>
      </c>
      <c r="D35" s="44" t="s">
        <v>102</v>
      </c>
      <c r="E35" s="44"/>
      <c r="F35" s="45">
        <v>42291.674270833333</v>
      </c>
      <c r="G35" s="46">
        <v>35</v>
      </c>
      <c r="H35" s="47">
        <v>43372</v>
      </c>
      <c r="I35" s="47">
        <v>43384</v>
      </c>
      <c r="J35" s="46">
        <v>450343</v>
      </c>
      <c r="K35" s="46">
        <v>0</v>
      </c>
      <c r="L35" s="46">
        <v>0</v>
      </c>
      <c r="M35" s="46">
        <f t="shared" si="14"/>
        <v>450343</v>
      </c>
      <c r="N35" s="46">
        <v>450343</v>
      </c>
      <c r="O35" s="48">
        <f t="shared" si="15"/>
        <v>0</v>
      </c>
      <c r="P35" s="46">
        <v>0</v>
      </c>
      <c r="Q35" s="46">
        <v>450343</v>
      </c>
      <c r="R35" s="49">
        <f t="shared" si="16"/>
        <v>1</v>
      </c>
      <c r="S35" s="50">
        <f t="shared" si="17"/>
        <v>0.01</v>
      </c>
      <c r="T35" s="49">
        <f t="shared" si="18"/>
        <v>4503.43</v>
      </c>
      <c r="U35" s="51">
        <f t="shared" si="19"/>
        <v>0</v>
      </c>
      <c r="V35" s="52">
        <f>IF(0&lt;0.8,0,IF(0&lt;1,Sheet3!L22,1))*IF(G35&lt;3,0.12 - O35,0.01) *U35</f>
        <v>0</v>
      </c>
      <c r="W35" s="52">
        <f t="shared" si="20"/>
        <v>0</v>
      </c>
      <c r="X35" s="53">
        <f t="shared" si="21"/>
        <v>0</v>
      </c>
      <c r="Y35" s="53">
        <f t="shared" si="22"/>
        <v>0</v>
      </c>
      <c r="Z35" s="54">
        <f t="shared" si="23"/>
        <v>0</v>
      </c>
      <c r="AA35" s="54">
        <f t="shared" si="24"/>
        <v>0</v>
      </c>
      <c r="AB35" s="55">
        <f t="shared" si="25"/>
        <v>0</v>
      </c>
      <c r="AC35" s="55">
        <f t="shared" si="26"/>
        <v>0</v>
      </c>
      <c r="AD35" s="56">
        <f t="shared" si="27"/>
        <v>4503.43</v>
      </c>
    </row>
    <row r="36" spans="2:30">
      <c r="C36" s="43" t="s">
        <v>103</v>
      </c>
      <c r="D36" s="44" t="s">
        <v>104</v>
      </c>
      <c r="E36" s="44"/>
      <c r="F36" s="45">
        <v>42434.385787037034</v>
      </c>
      <c r="G36" s="46">
        <v>30</v>
      </c>
      <c r="H36" s="47">
        <v>43388</v>
      </c>
      <c r="I36" s="47">
        <v>43425</v>
      </c>
      <c r="J36" s="46">
        <v>2168940</v>
      </c>
      <c r="K36" s="46">
        <v>0</v>
      </c>
      <c r="L36" s="46">
        <v>0</v>
      </c>
      <c r="M36" s="46">
        <f t="shared" si="14"/>
        <v>2168940</v>
      </c>
      <c r="N36" s="46">
        <v>3581530</v>
      </c>
      <c r="O36" s="48">
        <f t="shared" si="15"/>
        <v>0.39440965174101572</v>
      </c>
      <c r="P36" s="46">
        <v>0</v>
      </c>
      <c r="Q36" s="46">
        <v>2168940</v>
      </c>
      <c r="R36" s="49">
        <f t="shared" si="16"/>
        <v>1</v>
      </c>
      <c r="S36" s="50">
        <f t="shared" si="17"/>
        <v>0.01</v>
      </c>
      <c r="T36" s="49">
        <f t="shared" si="18"/>
        <v>21689.4</v>
      </c>
      <c r="U36" s="51">
        <f t="shared" si="19"/>
        <v>0</v>
      </c>
      <c r="V36" s="52">
        <f>IF(0&lt;0.8,0,IF(0&lt;1,Sheet3!L22,1))*IF(G36&lt;3,0.12 - O36,0.01) *U36</f>
        <v>0</v>
      </c>
      <c r="W36" s="52">
        <f t="shared" si="20"/>
        <v>0</v>
      </c>
      <c r="X36" s="53">
        <f t="shared" si="21"/>
        <v>0</v>
      </c>
      <c r="Y36" s="53">
        <f t="shared" si="22"/>
        <v>0</v>
      </c>
      <c r="Z36" s="54">
        <f t="shared" si="23"/>
        <v>0</v>
      </c>
      <c r="AA36" s="54">
        <f t="shared" si="24"/>
        <v>0</v>
      </c>
      <c r="AB36" s="55">
        <f t="shared" si="25"/>
        <v>0</v>
      </c>
      <c r="AC36" s="55">
        <f t="shared" si="26"/>
        <v>0</v>
      </c>
      <c r="AD36" s="56">
        <f t="shared" si="27"/>
        <v>21689.4</v>
      </c>
    </row>
    <row r="37" spans="2:30">
      <c r="C37" s="43" t="s">
        <v>105</v>
      </c>
      <c r="D37" s="44" t="s">
        <v>106</v>
      </c>
      <c r="E37" s="44"/>
      <c r="F37" s="45">
        <v>42471.616215277776</v>
      </c>
      <c r="G37" s="46">
        <v>29</v>
      </c>
      <c r="H37" s="47">
        <v>43419</v>
      </c>
      <c r="I37" s="47">
        <v>43479</v>
      </c>
      <c r="J37" s="46">
        <v>2425406</v>
      </c>
      <c r="K37" s="46">
        <v>0</v>
      </c>
      <c r="L37" s="46">
        <v>0</v>
      </c>
      <c r="M37" s="46">
        <f t="shared" si="14"/>
        <v>2425406</v>
      </c>
      <c r="N37" s="46">
        <v>5624048</v>
      </c>
      <c r="O37" s="48">
        <f t="shared" si="15"/>
        <v>0.56874372338216173</v>
      </c>
      <c r="P37" s="46">
        <v>0</v>
      </c>
      <c r="Q37" s="46">
        <v>3275406</v>
      </c>
      <c r="R37" s="49">
        <f t="shared" si="16"/>
        <v>1</v>
      </c>
      <c r="S37" s="50">
        <f t="shared" si="17"/>
        <v>0.01</v>
      </c>
      <c r="T37" s="49">
        <f t="shared" si="18"/>
        <v>24254.06</v>
      </c>
      <c r="U37" s="51">
        <f t="shared" si="19"/>
        <v>0</v>
      </c>
      <c r="V37" s="52">
        <f>IF(0&lt;0.8,0,IF(0&lt;1,Sheet3!L22,1))*IF(G37&lt;3,0.12 - O37,0.01) *U37</f>
        <v>0</v>
      </c>
      <c r="W37" s="52">
        <f t="shared" si="20"/>
        <v>0</v>
      </c>
      <c r="X37" s="53">
        <f t="shared" si="21"/>
        <v>0</v>
      </c>
      <c r="Y37" s="53">
        <f t="shared" si="22"/>
        <v>0</v>
      </c>
      <c r="Z37" s="54">
        <f t="shared" si="23"/>
        <v>0</v>
      </c>
      <c r="AA37" s="54">
        <f t="shared" si="24"/>
        <v>0</v>
      </c>
      <c r="AB37" s="55">
        <f t="shared" si="25"/>
        <v>0</v>
      </c>
      <c r="AC37" s="55">
        <f t="shared" si="26"/>
        <v>0</v>
      </c>
      <c r="AD37" s="56">
        <f t="shared" si="27"/>
        <v>24254.06</v>
      </c>
    </row>
    <row r="38" spans="2:30">
      <c r="C38" s="43" t="s">
        <v>107</v>
      </c>
      <c r="D38" s="44" t="s">
        <v>108</v>
      </c>
      <c r="E38" s="44"/>
      <c r="F38" s="45">
        <v>42475.445613425924</v>
      </c>
      <c r="G38" s="46">
        <v>29</v>
      </c>
      <c r="H38" s="47">
        <v>43384</v>
      </c>
      <c r="I38" s="47">
        <v>43433</v>
      </c>
      <c r="J38" s="46">
        <v>193696</v>
      </c>
      <c r="K38" s="46">
        <v>0</v>
      </c>
      <c r="L38" s="46">
        <v>0</v>
      </c>
      <c r="M38" s="46">
        <f t="shared" si="14"/>
        <v>193696</v>
      </c>
      <c r="N38" s="46">
        <v>278780</v>
      </c>
      <c r="O38" s="48">
        <f t="shared" si="15"/>
        <v>0.30520123394791587</v>
      </c>
      <c r="P38" s="46">
        <v>0</v>
      </c>
      <c r="Q38" s="46">
        <v>193696</v>
      </c>
      <c r="R38" s="49">
        <f t="shared" si="16"/>
        <v>1</v>
      </c>
      <c r="S38" s="50">
        <f t="shared" si="17"/>
        <v>0.01</v>
      </c>
      <c r="T38" s="49">
        <f t="shared" si="18"/>
        <v>1936.96</v>
      </c>
      <c r="U38" s="51">
        <f t="shared" si="19"/>
        <v>0</v>
      </c>
      <c r="V38" s="52">
        <f>IF(0&lt;0.8,0,IF(0&lt;1,Sheet3!L22,1))*IF(G38&lt;3,0.12 - O38,0.01) *U38</f>
        <v>0</v>
      </c>
      <c r="W38" s="52">
        <f t="shared" si="20"/>
        <v>0</v>
      </c>
      <c r="X38" s="53">
        <f t="shared" si="21"/>
        <v>0</v>
      </c>
      <c r="Y38" s="53">
        <f t="shared" si="22"/>
        <v>0</v>
      </c>
      <c r="Z38" s="54">
        <f t="shared" si="23"/>
        <v>0</v>
      </c>
      <c r="AA38" s="54">
        <f t="shared" si="24"/>
        <v>0</v>
      </c>
      <c r="AB38" s="55">
        <f t="shared" si="25"/>
        <v>0</v>
      </c>
      <c r="AC38" s="55">
        <f t="shared" si="26"/>
        <v>0</v>
      </c>
      <c r="AD38" s="56">
        <f t="shared" si="27"/>
        <v>1936.96</v>
      </c>
    </row>
    <row r="39" spans="2:30">
      <c r="C39" s="43" t="s">
        <v>109</v>
      </c>
      <c r="D39" s="44" t="s">
        <v>110</v>
      </c>
      <c r="E39" s="44"/>
      <c r="F39" s="45">
        <v>42483.42288194444</v>
      </c>
      <c r="G39" s="46">
        <v>29</v>
      </c>
      <c r="H39" s="47">
        <v>43376</v>
      </c>
      <c r="I39" s="47">
        <v>43390</v>
      </c>
      <c r="J39" s="46">
        <v>669748</v>
      </c>
      <c r="K39" s="46">
        <v>0</v>
      </c>
      <c r="L39" s="46">
        <v>0</v>
      </c>
      <c r="M39" s="46">
        <f t="shared" si="14"/>
        <v>669748</v>
      </c>
      <c r="N39" s="46">
        <v>669748</v>
      </c>
      <c r="O39" s="48">
        <f t="shared" si="15"/>
        <v>0</v>
      </c>
      <c r="P39" s="46">
        <v>0</v>
      </c>
      <c r="Q39" s="46">
        <v>669748</v>
      </c>
      <c r="R39" s="49">
        <f t="shared" si="16"/>
        <v>1</v>
      </c>
      <c r="S39" s="50">
        <f t="shared" si="17"/>
        <v>0.01</v>
      </c>
      <c r="T39" s="49">
        <f t="shared" si="18"/>
        <v>6697.4800000000005</v>
      </c>
      <c r="U39" s="51">
        <f t="shared" si="19"/>
        <v>0</v>
      </c>
      <c r="V39" s="52">
        <f>IF(0&lt;0.8,0,IF(0&lt;1,Sheet3!L22,1))*IF(G39&lt;3,0.12 - O39,0.01) *U39</f>
        <v>0</v>
      </c>
      <c r="W39" s="52">
        <f t="shared" si="20"/>
        <v>0</v>
      </c>
      <c r="X39" s="53">
        <f t="shared" si="21"/>
        <v>0</v>
      </c>
      <c r="Y39" s="53">
        <f t="shared" si="22"/>
        <v>0</v>
      </c>
      <c r="Z39" s="54">
        <f t="shared" si="23"/>
        <v>0</v>
      </c>
      <c r="AA39" s="54">
        <f t="shared" si="24"/>
        <v>0</v>
      </c>
      <c r="AB39" s="55">
        <f t="shared" si="25"/>
        <v>0</v>
      </c>
      <c r="AC39" s="55">
        <f t="shared" si="26"/>
        <v>0</v>
      </c>
      <c r="AD39" s="56">
        <f t="shared" si="27"/>
        <v>6697.4800000000005</v>
      </c>
    </row>
    <row r="40" spans="2:30">
      <c r="C40" s="43" t="s">
        <v>111</v>
      </c>
      <c r="D40" s="44" t="s">
        <v>112</v>
      </c>
      <c r="E40" s="44"/>
      <c r="F40" s="45">
        <v>42537.152118055557</v>
      </c>
      <c r="G40" s="46">
        <v>27</v>
      </c>
      <c r="H40" s="47">
        <v>43376</v>
      </c>
      <c r="I40" s="47">
        <v>43441</v>
      </c>
      <c r="J40" s="46">
        <v>978025</v>
      </c>
      <c r="K40" s="46">
        <v>0</v>
      </c>
      <c r="L40" s="46">
        <v>0</v>
      </c>
      <c r="M40" s="46">
        <f t="shared" si="14"/>
        <v>978025</v>
      </c>
      <c r="N40" s="46">
        <v>978025</v>
      </c>
      <c r="O40" s="48">
        <f t="shared" si="15"/>
        <v>0</v>
      </c>
      <c r="P40" s="46">
        <v>0</v>
      </c>
      <c r="Q40" s="46">
        <v>978025</v>
      </c>
      <c r="R40" s="49">
        <f t="shared" si="16"/>
        <v>1</v>
      </c>
      <c r="S40" s="50">
        <f t="shared" si="17"/>
        <v>0.01</v>
      </c>
      <c r="T40" s="49">
        <f t="shared" si="18"/>
        <v>9780.25</v>
      </c>
      <c r="U40" s="51">
        <f t="shared" si="19"/>
        <v>0</v>
      </c>
      <c r="V40" s="52">
        <f>IF(0&lt;0.8,0,IF(0&lt;1,Sheet3!L22,1))*IF(G40&lt;3,0.12 - O40,0.01) *U40</f>
        <v>0</v>
      </c>
      <c r="W40" s="52">
        <f t="shared" si="20"/>
        <v>0</v>
      </c>
      <c r="X40" s="53">
        <f t="shared" si="21"/>
        <v>0</v>
      </c>
      <c r="Y40" s="53">
        <f t="shared" si="22"/>
        <v>0</v>
      </c>
      <c r="Z40" s="54">
        <f t="shared" si="23"/>
        <v>0</v>
      </c>
      <c r="AA40" s="54">
        <f t="shared" si="24"/>
        <v>0</v>
      </c>
      <c r="AB40" s="55">
        <f t="shared" si="25"/>
        <v>0</v>
      </c>
      <c r="AC40" s="55">
        <f t="shared" si="26"/>
        <v>0</v>
      </c>
      <c r="AD40" s="56">
        <f t="shared" si="27"/>
        <v>9780.25</v>
      </c>
    </row>
    <row r="41" spans="2:30">
      <c r="C41" s="43" t="s">
        <v>113</v>
      </c>
      <c r="D41" s="44" t="s">
        <v>114</v>
      </c>
      <c r="E41" s="44"/>
      <c r="F41" s="45">
        <v>42558.273101851853</v>
      </c>
      <c r="G41" s="46">
        <v>26</v>
      </c>
      <c r="H41" s="47">
        <v>43378</v>
      </c>
      <c r="I41" s="47">
        <v>43397</v>
      </c>
      <c r="J41" s="46">
        <v>665765</v>
      </c>
      <c r="K41" s="46">
        <v>0</v>
      </c>
      <c r="L41" s="46">
        <v>0</v>
      </c>
      <c r="M41" s="46">
        <f t="shared" si="14"/>
        <v>665765</v>
      </c>
      <c r="N41" s="46">
        <v>665765</v>
      </c>
      <c r="O41" s="48">
        <f t="shared" si="15"/>
        <v>0</v>
      </c>
      <c r="P41" s="46">
        <v>0</v>
      </c>
      <c r="Q41" s="46">
        <v>665765</v>
      </c>
      <c r="R41" s="49">
        <f t="shared" si="16"/>
        <v>1</v>
      </c>
      <c r="S41" s="50">
        <f t="shared" si="17"/>
        <v>0.01</v>
      </c>
      <c r="T41" s="49">
        <f t="shared" si="18"/>
        <v>6657.6500000000005</v>
      </c>
      <c r="U41" s="51">
        <f t="shared" si="19"/>
        <v>0</v>
      </c>
      <c r="V41" s="52">
        <f>IF(0&lt;0.8,0,IF(0&lt;1,Sheet3!L22,1))*IF(G41&lt;3,0.12 - O41,0.01) *U41</f>
        <v>0</v>
      </c>
      <c r="W41" s="52">
        <f t="shared" si="20"/>
        <v>0</v>
      </c>
      <c r="X41" s="53">
        <f t="shared" si="21"/>
        <v>0</v>
      </c>
      <c r="Y41" s="53">
        <f t="shared" si="22"/>
        <v>0</v>
      </c>
      <c r="Z41" s="54">
        <f t="shared" si="23"/>
        <v>0</v>
      </c>
      <c r="AA41" s="54">
        <f t="shared" si="24"/>
        <v>0</v>
      </c>
      <c r="AB41" s="55">
        <f t="shared" si="25"/>
        <v>0</v>
      </c>
      <c r="AC41" s="55">
        <f t="shared" si="26"/>
        <v>0</v>
      </c>
      <c r="AD41" s="56">
        <f t="shared" si="27"/>
        <v>6657.6500000000005</v>
      </c>
    </row>
    <row r="42" spans="2:30">
      <c r="C42" s="43" t="s">
        <v>115</v>
      </c>
      <c r="D42" s="44" t="s">
        <v>116</v>
      </c>
      <c r="E42" s="44"/>
      <c r="F42" s="45">
        <v>42571.266516203701</v>
      </c>
      <c r="G42" s="46">
        <v>26</v>
      </c>
      <c r="H42" s="47">
        <v>43381</v>
      </c>
      <c r="I42" s="47">
        <v>43414</v>
      </c>
      <c r="J42" s="46">
        <v>53240</v>
      </c>
      <c r="K42" s="46">
        <v>0</v>
      </c>
      <c r="L42" s="46">
        <v>0</v>
      </c>
      <c r="M42" s="46">
        <f t="shared" si="14"/>
        <v>53240</v>
      </c>
      <c r="N42" s="46">
        <v>53240</v>
      </c>
      <c r="O42" s="48">
        <f t="shared" si="15"/>
        <v>0</v>
      </c>
      <c r="P42" s="46">
        <v>0</v>
      </c>
      <c r="Q42" s="46">
        <v>53240</v>
      </c>
      <c r="R42" s="49">
        <f t="shared" si="16"/>
        <v>1</v>
      </c>
      <c r="S42" s="50">
        <f t="shared" si="17"/>
        <v>0.01</v>
      </c>
      <c r="T42" s="49">
        <f t="shared" si="18"/>
        <v>532.4</v>
      </c>
      <c r="U42" s="51">
        <f t="shared" si="19"/>
        <v>0</v>
      </c>
      <c r="V42" s="52">
        <f>IF(0&lt;0.8,0,IF(0&lt;1,Sheet3!L22,1))*IF(G42&lt;3,0.12 - O42,0.01) *U42</f>
        <v>0</v>
      </c>
      <c r="W42" s="52">
        <f t="shared" si="20"/>
        <v>0</v>
      </c>
      <c r="X42" s="53">
        <f t="shared" si="21"/>
        <v>0</v>
      </c>
      <c r="Y42" s="53">
        <f t="shared" si="22"/>
        <v>0</v>
      </c>
      <c r="Z42" s="54">
        <f t="shared" si="23"/>
        <v>0</v>
      </c>
      <c r="AA42" s="54">
        <f t="shared" si="24"/>
        <v>0</v>
      </c>
      <c r="AB42" s="55">
        <f t="shared" si="25"/>
        <v>0</v>
      </c>
      <c r="AC42" s="55">
        <f t="shared" si="26"/>
        <v>0</v>
      </c>
      <c r="AD42" s="56">
        <f t="shared" si="27"/>
        <v>532.4</v>
      </c>
    </row>
    <row r="43" spans="2:30">
      <c r="C43" s="43" t="s">
        <v>117</v>
      </c>
      <c r="D43" s="44" t="s">
        <v>118</v>
      </c>
      <c r="E43" s="44"/>
      <c r="F43" s="45">
        <v>42824.073541666665</v>
      </c>
      <c r="G43" s="46">
        <v>18</v>
      </c>
      <c r="H43" s="47">
        <v>43378</v>
      </c>
      <c r="I43" s="47">
        <v>43425</v>
      </c>
      <c r="J43" s="46">
        <v>42426</v>
      </c>
      <c r="K43" s="46">
        <v>0</v>
      </c>
      <c r="L43" s="46">
        <v>0</v>
      </c>
      <c r="M43" s="46">
        <f t="shared" si="14"/>
        <v>42426</v>
      </c>
      <c r="N43" s="46">
        <v>42426</v>
      </c>
      <c r="O43" s="48">
        <f t="shared" si="15"/>
        <v>0</v>
      </c>
      <c r="P43" s="46">
        <v>0</v>
      </c>
      <c r="Q43" s="46">
        <v>42426</v>
      </c>
      <c r="R43" s="49">
        <f t="shared" si="16"/>
        <v>1</v>
      </c>
      <c r="S43" s="50">
        <f t="shared" si="17"/>
        <v>0.01</v>
      </c>
      <c r="T43" s="49">
        <f t="shared" si="18"/>
        <v>424.26</v>
      </c>
      <c r="U43" s="51">
        <f t="shared" si="19"/>
        <v>0</v>
      </c>
      <c r="V43" s="52">
        <f>IF(0&lt;0.8,0,IF(0&lt;1,Sheet3!L22,1))*IF(G43&lt;3,0.12 - O43,0.01) *U43</f>
        <v>0</v>
      </c>
      <c r="W43" s="52">
        <f t="shared" si="20"/>
        <v>0</v>
      </c>
      <c r="X43" s="53">
        <f t="shared" si="21"/>
        <v>0</v>
      </c>
      <c r="Y43" s="53">
        <f t="shared" si="22"/>
        <v>0</v>
      </c>
      <c r="Z43" s="54">
        <f t="shared" si="23"/>
        <v>0</v>
      </c>
      <c r="AA43" s="54">
        <f t="shared" si="24"/>
        <v>0</v>
      </c>
      <c r="AB43" s="55">
        <f t="shared" si="25"/>
        <v>0</v>
      </c>
      <c r="AC43" s="55">
        <f t="shared" si="26"/>
        <v>0</v>
      </c>
      <c r="AD43" s="56">
        <f t="shared" si="27"/>
        <v>424.26</v>
      </c>
    </row>
    <row r="44" spans="2:30">
      <c r="C44" s="43" t="s">
        <v>119</v>
      </c>
      <c r="D44" s="44" t="s">
        <v>120</v>
      </c>
      <c r="E44" s="44"/>
      <c r="F44" s="45">
        <v>42830.322210648148</v>
      </c>
      <c r="G44" s="46">
        <v>17</v>
      </c>
      <c r="H44" s="47">
        <v>43377</v>
      </c>
      <c r="I44" s="47">
        <v>43391</v>
      </c>
      <c r="J44" s="46">
        <v>352440</v>
      </c>
      <c r="K44" s="46">
        <v>0</v>
      </c>
      <c r="L44" s="46">
        <v>0</v>
      </c>
      <c r="M44" s="46">
        <f t="shared" si="14"/>
        <v>352440</v>
      </c>
      <c r="N44" s="46">
        <v>461869</v>
      </c>
      <c r="O44" s="48">
        <f t="shared" si="15"/>
        <v>0.23692648781364412</v>
      </c>
      <c r="P44" s="46">
        <v>0</v>
      </c>
      <c r="Q44" s="46">
        <v>352440</v>
      </c>
      <c r="R44" s="49">
        <f t="shared" si="16"/>
        <v>1</v>
      </c>
      <c r="S44" s="50">
        <f t="shared" si="17"/>
        <v>0.01</v>
      </c>
      <c r="T44" s="49">
        <f t="shared" si="18"/>
        <v>3524.4</v>
      </c>
      <c r="U44" s="51">
        <f t="shared" si="19"/>
        <v>0</v>
      </c>
      <c r="V44" s="52">
        <f>IF(0&lt;0.8,0,IF(0&lt;1,Sheet3!L22,1))*IF(G44&lt;3,0.12 - O44,0.01) *U44</f>
        <v>0</v>
      </c>
      <c r="W44" s="52">
        <f t="shared" si="20"/>
        <v>0</v>
      </c>
      <c r="X44" s="53">
        <f t="shared" si="21"/>
        <v>0</v>
      </c>
      <c r="Y44" s="53">
        <f t="shared" si="22"/>
        <v>0</v>
      </c>
      <c r="Z44" s="54">
        <f t="shared" si="23"/>
        <v>0</v>
      </c>
      <c r="AA44" s="54">
        <f t="shared" si="24"/>
        <v>0</v>
      </c>
      <c r="AB44" s="55">
        <f t="shared" si="25"/>
        <v>0</v>
      </c>
      <c r="AC44" s="55">
        <f t="shared" si="26"/>
        <v>0</v>
      </c>
      <c r="AD44" s="56">
        <f t="shared" si="27"/>
        <v>3524.4</v>
      </c>
    </row>
    <row r="45" spans="2:30">
      <c r="C45" s="43" t="s">
        <v>121</v>
      </c>
      <c r="D45" s="44" t="s">
        <v>122</v>
      </c>
      <c r="E45" s="44"/>
      <c r="F45" s="45">
        <v>42906.310185185182</v>
      </c>
      <c r="G45" s="46">
        <v>15</v>
      </c>
      <c r="H45" s="47">
        <v>43372</v>
      </c>
      <c r="I45" s="47">
        <v>43419</v>
      </c>
      <c r="J45" s="46">
        <v>4727214</v>
      </c>
      <c r="K45" s="46">
        <v>0</v>
      </c>
      <c r="L45" s="46">
        <v>0</v>
      </c>
      <c r="M45" s="46">
        <f t="shared" si="14"/>
        <v>4727214</v>
      </c>
      <c r="N45" s="46">
        <v>5186959</v>
      </c>
      <c r="O45" s="48">
        <f t="shared" si="15"/>
        <v>8.863478581573514E-2</v>
      </c>
      <c r="P45" s="46">
        <v>0</v>
      </c>
      <c r="Q45" s="46">
        <v>4727214</v>
      </c>
      <c r="R45" s="49">
        <f t="shared" si="16"/>
        <v>1</v>
      </c>
      <c r="S45" s="50">
        <f t="shared" si="17"/>
        <v>0.01</v>
      </c>
      <c r="T45" s="49">
        <f t="shared" si="18"/>
        <v>47272.14</v>
      </c>
      <c r="U45" s="51">
        <f t="shared" si="19"/>
        <v>0</v>
      </c>
      <c r="V45" s="52">
        <f>IF(0&lt;0.8,0,IF(0&lt;1,Sheet3!L22,1))*IF(G45&lt;3,0.12 - O45,0.01) *U45</f>
        <v>0</v>
      </c>
      <c r="W45" s="52">
        <f t="shared" si="20"/>
        <v>0</v>
      </c>
      <c r="X45" s="53">
        <f t="shared" si="21"/>
        <v>0</v>
      </c>
      <c r="Y45" s="53">
        <f t="shared" si="22"/>
        <v>0</v>
      </c>
      <c r="Z45" s="54">
        <f t="shared" si="23"/>
        <v>0</v>
      </c>
      <c r="AA45" s="54">
        <f t="shared" si="24"/>
        <v>0</v>
      </c>
      <c r="AB45" s="55">
        <f t="shared" si="25"/>
        <v>0</v>
      </c>
      <c r="AC45" s="55">
        <f t="shared" si="26"/>
        <v>0</v>
      </c>
      <c r="AD45" s="56">
        <f t="shared" si="27"/>
        <v>47272.14</v>
      </c>
    </row>
    <row r="46" spans="2:30">
      <c r="C46" s="43" t="s">
        <v>123</v>
      </c>
      <c r="D46" s="44" t="s">
        <v>124</v>
      </c>
      <c r="E46" s="44"/>
      <c r="F46" s="45">
        <v>43075.169224537036</v>
      </c>
      <c r="G46" s="46">
        <v>9</v>
      </c>
      <c r="H46" s="47">
        <v>43376</v>
      </c>
      <c r="I46" s="47">
        <v>43390</v>
      </c>
      <c r="J46" s="46">
        <v>264114</v>
      </c>
      <c r="K46" s="46">
        <v>0</v>
      </c>
      <c r="L46" s="46">
        <v>0</v>
      </c>
      <c r="M46" s="46">
        <f t="shared" si="14"/>
        <v>264114</v>
      </c>
      <c r="N46" s="46">
        <v>264114</v>
      </c>
      <c r="O46" s="48">
        <f t="shared" si="15"/>
        <v>0</v>
      </c>
      <c r="P46" s="46">
        <v>0</v>
      </c>
      <c r="Q46" s="46">
        <v>264114</v>
      </c>
      <c r="R46" s="49">
        <f t="shared" si="16"/>
        <v>1</v>
      </c>
      <c r="S46" s="50">
        <f t="shared" si="17"/>
        <v>0.01</v>
      </c>
      <c r="T46" s="49">
        <f t="shared" si="18"/>
        <v>2641.14</v>
      </c>
      <c r="U46" s="51">
        <f t="shared" si="19"/>
        <v>0</v>
      </c>
      <c r="V46" s="52">
        <f>IF(0&lt;0.8,0,IF(0&lt;1,Sheet3!L22,1))*IF(G46&lt;3,0.12 - O46,0.01) *U46</f>
        <v>0</v>
      </c>
      <c r="W46" s="52">
        <f t="shared" si="20"/>
        <v>0</v>
      </c>
      <c r="X46" s="53">
        <f t="shared" si="21"/>
        <v>0</v>
      </c>
      <c r="Y46" s="53">
        <f t="shared" si="22"/>
        <v>0</v>
      </c>
      <c r="Z46" s="54">
        <f t="shared" si="23"/>
        <v>0</v>
      </c>
      <c r="AA46" s="54">
        <f t="shared" si="24"/>
        <v>0</v>
      </c>
      <c r="AB46" s="55">
        <f t="shared" si="25"/>
        <v>0</v>
      </c>
      <c r="AC46" s="55">
        <f t="shared" si="26"/>
        <v>0</v>
      </c>
      <c r="AD46" s="56">
        <f t="shared" si="27"/>
        <v>2641.14</v>
      </c>
    </row>
    <row r="47" spans="2:30">
      <c r="C47" s="43" t="s">
        <v>125</v>
      </c>
      <c r="D47" s="44" t="s">
        <v>126</v>
      </c>
      <c r="E47" s="44"/>
      <c r="F47" s="45">
        <v>42685.271122685182</v>
      </c>
      <c r="G47" s="46">
        <v>22</v>
      </c>
      <c r="H47" s="47">
        <v>43372</v>
      </c>
      <c r="I47" s="47">
        <v>43420</v>
      </c>
      <c r="J47" s="46">
        <v>3762284</v>
      </c>
      <c r="K47" s="46">
        <v>0</v>
      </c>
      <c r="L47" s="46">
        <v>0</v>
      </c>
      <c r="M47" s="46">
        <f t="shared" si="14"/>
        <v>3762284</v>
      </c>
      <c r="N47" s="46">
        <v>3762284</v>
      </c>
      <c r="O47" s="48">
        <f t="shared" si="15"/>
        <v>0</v>
      </c>
      <c r="P47" s="46">
        <v>0</v>
      </c>
      <c r="Q47" s="46">
        <v>3762284</v>
      </c>
      <c r="R47" s="49">
        <f t="shared" si="16"/>
        <v>1</v>
      </c>
      <c r="S47" s="50">
        <f t="shared" si="17"/>
        <v>0.01</v>
      </c>
      <c r="T47" s="49">
        <f t="shared" si="18"/>
        <v>37622.840000000004</v>
      </c>
      <c r="U47" s="51">
        <f t="shared" si="19"/>
        <v>0</v>
      </c>
      <c r="V47" s="52">
        <f>IF(0&lt;0.8,0,IF(0&lt;1,Sheet3!L22,1))*IF(G47&lt;3,0.12 - O47,0.01) *U47</f>
        <v>0</v>
      </c>
      <c r="W47" s="52">
        <f t="shared" si="20"/>
        <v>0</v>
      </c>
      <c r="X47" s="53">
        <f t="shared" si="21"/>
        <v>0</v>
      </c>
      <c r="Y47" s="53">
        <f t="shared" si="22"/>
        <v>0</v>
      </c>
      <c r="Z47" s="54">
        <f t="shared" si="23"/>
        <v>0</v>
      </c>
      <c r="AA47" s="54">
        <f t="shared" si="24"/>
        <v>0</v>
      </c>
      <c r="AB47" s="55">
        <f t="shared" si="25"/>
        <v>0</v>
      </c>
      <c r="AC47" s="55">
        <f t="shared" si="26"/>
        <v>0</v>
      </c>
      <c r="AD47" s="56">
        <f t="shared" si="27"/>
        <v>37622.840000000004</v>
      </c>
    </row>
    <row r="48" spans="2:30" ht="23.25" customHeight="1">
      <c r="B48" s="9" t="s">
        <v>5</v>
      </c>
      <c r="C48" s="10" t="s">
        <v>6</v>
      </c>
      <c r="D48" s="10"/>
      <c r="E48" s="11" t="s">
        <v>7</v>
      </c>
      <c r="F48" s="11" t="s">
        <v>8</v>
      </c>
      <c r="G48" s="11" t="s">
        <v>9</v>
      </c>
      <c r="H48" s="11" t="s">
        <v>10</v>
      </c>
      <c r="I48" s="11" t="s">
        <v>11</v>
      </c>
      <c r="J48" s="11" t="s">
        <v>12</v>
      </c>
      <c r="K48" s="11" t="s">
        <v>13</v>
      </c>
      <c r="L48" s="11" t="s">
        <v>14</v>
      </c>
      <c r="M48" s="11" t="s">
        <v>15</v>
      </c>
      <c r="N48" s="11" t="s">
        <v>16</v>
      </c>
      <c r="O48" s="11" t="s">
        <v>17</v>
      </c>
      <c r="P48" s="12" t="s">
        <v>18</v>
      </c>
      <c r="Q48" s="11" t="s">
        <v>19</v>
      </c>
      <c r="R48" s="11"/>
      <c r="S48" s="10" t="s">
        <v>20</v>
      </c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3"/>
    </row>
    <row r="49" spans="2:30">
      <c r="B49" s="14" t="s">
        <v>127</v>
      </c>
      <c r="C49" s="15" t="str">
        <f>"James"&amp;" " &amp; "Chung"</f>
        <v>James Chung</v>
      </c>
      <c r="D49" s="15"/>
      <c r="E49" s="16" t="s">
        <v>74</v>
      </c>
      <c r="F49" s="16" t="s">
        <v>128</v>
      </c>
      <c r="G49" s="17" t="s">
        <v>24</v>
      </c>
      <c r="H49" s="16" t="s">
        <v>78</v>
      </c>
      <c r="I49" s="18">
        <v>0</v>
      </c>
      <c r="J49" s="19">
        <v>420000000</v>
      </c>
      <c r="K49" s="19">
        <f>IFERROR(IF(N49&lt;4,Q49,SUM(#VALUE!)),0)</f>
        <v>46082128</v>
      </c>
      <c r="L49" s="20">
        <f>IFERROR(K49/J49,0)</f>
        <v>0.10971935238095239</v>
      </c>
      <c r="M49" s="19">
        <f>IFERROR(IF(OR(N49=3,N49=4),SUM(#VALUE!)+AD49,IF(N49=1,0.6%,IF(N49=2,0.65%,IF(N49=3,0.6%,0)))*IF(L49&lt;0.8,0,IF(L49&lt;1,L49,1))*IF(RIGHT("2018-09",2)="03",1,0)),0)</f>
        <v>0</v>
      </c>
      <c r="N49" s="19">
        <v>2</v>
      </c>
      <c r="O49" s="18">
        <f>IF(N49=4,0.5%,IF(N49=5,0.3%,0))</f>
        <v>0</v>
      </c>
      <c r="P49" s="21">
        <f>IFERROR(SUM(#VALUE!),0)</f>
        <v>0</v>
      </c>
      <c r="Q49" s="19">
        <f>SUMIF($G:$G,B49,$K:$K)</f>
        <v>46082128</v>
      </c>
      <c r="R49" s="22"/>
      <c r="S49" s="23" t="s">
        <v>26</v>
      </c>
      <c r="T49" s="23"/>
      <c r="U49" s="24" t="s">
        <v>27</v>
      </c>
      <c r="V49" s="24"/>
      <c r="W49" s="24"/>
      <c r="X49" s="25" t="s">
        <v>28</v>
      </c>
      <c r="Y49" s="25"/>
      <c r="Z49" s="26" t="s">
        <v>29</v>
      </c>
      <c r="AA49" s="26"/>
      <c r="AB49" s="27" t="s">
        <v>30</v>
      </c>
      <c r="AC49" s="27"/>
      <c r="AD49" s="28">
        <f>IF(IFERROR(SUM(#VALUE!)*O49,0)&gt;2000000,2000000,IFERROR(SUM(#VALUE!)*O49,0))</f>
        <v>0</v>
      </c>
    </row>
    <row r="50" spans="2:30" ht="25.5">
      <c r="C50" s="29" t="s">
        <v>31</v>
      </c>
      <c r="D50" s="30" t="s">
        <v>32</v>
      </c>
      <c r="E50" s="30"/>
      <c r="F50" s="31" t="s">
        <v>33</v>
      </c>
      <c r="G50" s="31" t="s">
        <v>34</v>
      </c>
      <c r="H50" s="32" t="s">
        <v>35</v>
      </c>
      <c r="I50" s="32" t="s">
        <v>36</v>
      </c>
      <c r="J50" s="31" t="s">
        <v>37</v>
      </c>
      <c r="K50" s="31" t="s">
        <v>38</v>
      </c>
      <c r="L50" s="31" t="s">
        <v>39</v>
      </c>
      <c r="M50" s="31" t="s">
        <v>40</v>
      </c>
      <c r="N50" s="31" t="s">
        <v>41</v>
      </c>
      <c r="O50" s="33" t="s">
        <v>42</v>
      </c>
      <c r="P50" s="32" t="s">
        <v>43</v>
      </c>
      <c r="Q50" s="32" t="s">
        <v>44</v>
      </c>
      <c r="R50" s="34" t="s">
        <v>45</v>
      </c>
      <c r="S50" s="34" t="s">
        <v>46</v>
      </c>
      <c r="T50" s="34" t="s">
        <v>47</v>
      </c>
      <c r="U50" s="35" t="s">
        <v>48</v>
      </c>
      <c r="V50" s="36" t="s">
        <v>47</v>
      </c>
      <c r="W50" s="36" t="s">
        <v>49</v>
      </c>
      <c r="X50" s="37" t="s">
        <v>50</v>
      </c>
      <c r="Y50" s="37" t="s">
        <v>51</v>
      </c>
      <c r="Z50" s="38" t="s">
        <v>48</v>
      </c>
      <c r="AA50" s="39" t="s">
        <v>47</v>
      </c>
      <c r="AB50" s="40" t="s">
        <v>48</v>
      </c>
      <c r="AC50" s="41" t="s">
        <v>47</v>
      </c>
      <c r="AD50" s="42" t="s">
        <v>52</v>
      </c>
    </row>
    <row r="51" spans="2:30" ht="23.25" customHeight="1">
      <c r="B51" s="9" t="s">
        <v>5</v>
      </c>
      <c r="C51" s="10" t="s">
        <v>6</v>
      </c>
      <c r="D51" s="10"/>
      <c r="E51" s="11" t="s">
        <v>7</v>
      </c>
      <c r="F51" s="11" t="s">
        <v>8</v>
      </c>
      <c r="G51" s="11" t="s">
        <v>9</v>
      </c>
      <c r="H51" s="11" t="s">
        <v>10</v>
      </c>
      <c r="I51" s="11" t="s">
        <v>11</v>
      </c>
      <c r="J51" s="11" t="s">
        <v>12</v>
      </c>
      <c r="K51" s="11" t="s">
        <v>13</v>
      </c>
      <c r="L51" s="11" t="s">
        <v>14</v>
      </c>
      <c r="M51" s="11" t="s">
        <v>15</v>
      </c>
      <c r="N51" s="11" t="s">
        <v>16</v>
      </c>
      <c r="O51" s="11" t="s">
        <v>17</v>
      </c>
      <c r="P51" s="12" t="s">
        <v>18</v>
      </c>
      <c r="Q51" s="11" t="s">
        <v>19</v>
      </c>
      <c r="R51" s="11"/>
      <c r="S51" s="10" t="s">
        <v>20</v>
      </c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3"/>
    </row>
    <row r="52" spans="2:30">
      <c r="B52" s="14" t="s">
        <v>129</v>
      </c>
      <c r="C52" s="15" t="str">
        <f>"Phạm"&amp;" " &amp; "Lê Thùy Trang"</f>
        <v>Phạm Lê Thùy Trang</v>
      </c>
      <c r="D52" s="15"/>
      <c r="E52" s="16" t="s">
        <v>130</v>
      </c>
      <c r="F52" s="16" t="s">
        <v>131</v>
      </c>
      <c r="G52" s="17" t="s">
        <v>73</v>
      </c>
      <c r="H52" s="16" t="s">
        <v>132</v>
      </c>
      <c r="I52" s="18">
        <v>0</v>
      </c>
      <c r="J52" s="19">
        <v>157500000</v>
      </c>
      <c r="K52" s="19">
        <f>IFERROR(IF(N52&lt;4,Q52,SUM(#VALUE!)),0)</f>
        <v>0</v>
      </c>
      <c r="L52" s="20">
        <f>IFERROR(K52/J52,0)</f>
        <v>0</v>
      </c>
      <c r="M52" s="19">
        <f>IFERROR(IF(OR(N52=3,N52=4),SUM(#VALUE!)+AD52,IF(N52=1,0.6%,IF(N52=2,0.65%,IF(N52=3,0.6%,0)))*IF(L52&lt;0.8,0,IF(L52&lt;1,L52,1))*IF(RIGHT("2018-09",2)="03",1,0)),0)</f>
        <v>0</v>
      </c>
      <c r="N52" s="19">
        <v>3</v>
      </c>
      <c r="O52" s="18">
        <f>IF(N52=4,0.5%,IF(N52=5,0.3%,0))</f>
        <v>0</v>
      </c>
      <c r="P52" s="21">
        <f>IFERROR(SUM(#VALUE!),0)</f>
        <v>0</v>
      </c>
      <c r="Q52" s="19">
        <f>SUMIF($G:$G,B52,$K:$K)</f>
        <v>0</v>
      </c>
      <c r="R52" s="22"/>
      <c r="S52" s="23" t="s">
        <v>26</v>
      </c>
      <c r="T52" s="23"/>
      <c r="U52" s="24" t="s">
        <v>27</v>
      </c>
      <c r="V52" s="24"/>
      <c r="W52" s="24"/>
      <c r="X52" s="25" t="s">
        <v>28</v>
      </c>
      <c r="Y52" s="25"/>
      <c r="Z52" s="26" t="s">
        <v>29</v>
      </c>
      <c r="AA52" s="26"/>
      <c r="AB52" s="27" t="s">
        <v>30</v>
      </c>
      <c r="AC52" s="27"/>
      <c r="AD52" s="28">
        <f>IF(IFERROR(SUM(#VALUE!)*O52,0)&gt;2000000,2000000,IFERROR(SUM(#VALUE!)*O52,0))</f>
        <v>0</v>
      </c>
    </row>
    <row r="53" spans="2:30" ht="25.5">
      <c r="C53" s="29" t="s">
        <v>31</v>
      </c>
      <c r="D53" s="30" t="s">
        <v>32</v>
      </c>
      <c r="E53" s="30"/>
      <c r="F53" s="31" t="s">
        <v>33</v>
      </c>
      <c r="G53" s="31" t="s">
        <v>34</v>
      </c>
      <c r="H53" s="32" t="s">
        <v>35</v>
      </c>
      <c r="I53" s="32" t="s">
        <v>36</v>
      </c>
      <c r="J53" s="31" t="s">
        <v>37</v>
      </c>
      <c r="K53" s="31" t="s">
        <v>38</v>
      </c>
      <c r="L53" s="31" t="s">
        <v>39</v>
      </c>
      <c r="M53" s="31" t="s">
        <v>40</v>
      </c>
      <c r="N53" s="31" t="s">
        <v>41</v>
      </c>
      <c r="O53" s="33" t="s">
        <v>42</v>
      </c>
      <c r="P53" s="32" t="s">
        <v>43</v>
      </c>
      <c r="Q53" s="32" t="s">
        <v>44</v>
      </c>
      <c r="R53" s="34" t="s">
        <v>45</v>
      </c>
      <c r="S53" s="34" t="s">
        <v>46</v>
      </c>
      <c r="T53" s="34" t="s">
        <v>47</v>
      </c>
      <c r="U53" s="35" t="s">
        <v>48</v>
      </c>
      <c r="V53" s="36" t="s">
        <v>47</v>
      </c>
      <c r="W53" s="36" t="s">
        <v>49</v>
      </c>
      <c r="X53" s="37" t="s">
        <v>50</v>
      </c>
      <c r="Y53" s="37" t="s">
        <v>51</v>
      </c>
      <c r="Z53" s="38" t="s">
        <v>48</v>
      </c>
      <c r="AA53" s="39" t="s">
        <v>47</v>
      </c>
      <c r="AB53" s="40" t="s">
        <v>48</v>
      </c>
      <c r="AC53" s="41" t="s">
        <v>47</v>
      </c>
      <c r="AD53" s="42" t="s">
        <v>52</v>
      </c>
    </row>
    <row r="54" spans="2:30" ht="23.25" customHeight="1">
      <c r="B54" s="9" t="s">
        <v>5</v>
      </c>
      <c r="C54" s="10" t="s">
        <v>6</v>
      </c>
      <c r="D54" s="10"/>
      <c r="E54" s="11" t="s">
        <v>7</v>
      </c>
      <c r="F54" s="11" t="s">
        <v>8</v>
      </c>
      <c r="G54" s="11" t="s">
        <v>9</v>
      </c>
      <c r="H54" s="11" t="s">
        <v>10</v>
      </c>
      <c r="I54" s="11" t="s">
        <v>11</v>
      </c>
      <c r="J54" s="11" t="s">
        <v>12</v>
      </c>
      <c r="K54" s="11" t="s">
        <v>13</v>
      </c>
      <c r="L54" s="11" t="s">
        <v>14</v>
      </c>
      <c r="M54" s="11" t="s">
        <v>15</v>
      </c>
      <c r="N54" s="11" t="s">
        <v>16</v>
      </c>
      <c r="O54" s="11" t="s">
        <v>17</v>
      </c>
      <c r="P54" s="12" t="s">
        <v>18</v>
      </c>
      <c r="Q54" s="11" t="s">
        <v>19</v>
      </c>
      <c r="R54" s="11"/>
      <c r="S54" s="10" t="s">
        <v>20</v>
      </c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3"/>
    </row>
    <row r="55" spans="2:30">
      <c r="B55" s="14" t="s">
        <v>133</v>
      </c>
      <c r="C55" s="15" t="str">
        <f>"Nguyễn"&amp;" " &amp; "Đình Cường"</f>
        <v>Nguyễn Đình Cường</v>
      </c>
      <c r="D55" s="15"/>
      <c r="E55" s="16" t="s">
        <v>130</v>
      </c>
      <c r="F55" s="16" t="s">
        <v>134</v>
      </c>
      <c r="G55" s="17" t="s">
        <v>77</v>
      </c>
      <c r="H55" s="16" t="s">
        <v>135</v>
      </c>
      <c r="I55" s="18">
        <v>0</v>
      </c>
      <c r="J55" s="19">
        <v>693000000</v>
      </c>
      <c r="K55" s="19">
        <f>IFERROR(IF(N55&lt;4,Q55,SUM(Sheet3!J57:J145)),0)</f>
        <v>1688894341</v>
      </c>
      <c r="L55" s="20">
        <f>IFERROR(K55/J55,0)</f>
        <v>2.4370769711399713</v>
      </c>
      <c r="M55" s="19">
        <f>IFERROR(IF(OR(N55=3,N55=4),SUM(Sheet3!AD57:AD145)+AD55,IF(N55=1,0.6%,IF(N55=2,0.65%,IF(N55=3,0.6%,0)))*IF(L55&lt;0.8,0,IF(L55&lt;1,L55,1))*IF(RIGHT("2018-09",2)="03",1,0)),0)</f>
        <v>7251289.290000001</v>
      </c>
      <c r="N55" s="19">
        <v>3</v>
      </c>
      <c r="O55" s="18">
        <f>IF(N55=4,0.5%,IF(N55=5,0.3%,0))</f>
        <v>0</v>
      </c>
      <c r="P55" s="21">
        <f>IFERROR(SUM(Sheet3!P57:P145),0)</f>
        <v>11722249</v>
      </c>
      <c r="Q55" s="19">
        <f>SUMIF($G:$G,B55,$K:$K)</f>
        <v>1688894341</v>
      </c>
      <c r="R55" s="22"/>
      <c r="S55" s="23" t="s">
        <v>26</v>
      </c>
      <c r="T55" s="23"/>
      <c r="U55" s="24" t="s">
        <v>27</v>
      </c>
      <c r="V55" s="24"/>
      <c r="W55" s="24"/>
      <c r="X55" s="25" t="s">
        <v>28</v>
      </c>
      <c r="Y55" s="25"/>
      <c r="Z55" s="26" t="s">
        <v>29</v>
      </c>
      <c r="AA55" s="26"/>
      <c r="AB55" s="27" t="s">
        <v>30</v>
      </c>
      <c r="AC55" s="27"/>
      <c r="AD55" s="28">
        <f>IF(IFERROR(SUM(Sheet3!Y57:Y145)*O55,0)&gt;2000000,2000000,IFERROR(SUM(Sheet3!Y57:Y145)*O55,0))</f>
        <v>0</v>
      </c>
    </row>
    <row r="56" spans="2:30" ht="25.5">
      <c r="C56" s="29" t="s">
        <v>31</v>
      </c>
      <c r="D56" s="30" t="s">
        <v>32</v>
      </c>
      <c r="E56" s="30"/>
      <c r="F56" s="31" t="s">
        <v>33</v>
      </c>
      <c r="G56" s="31" t="s">
        <v>34</v>
      </c>
      <c r="H56" s="32" t="s">
        <v>35</v>
      </c>
      <c r="I56" s="32" t="s">
        <v>36</v>
      </c>
      <c r="J56" s="31" t="s">
        <v>37</v>
      </c>
      <c r="K56" s="31" t="s">
        <v>38</v>
      </c>
      <c r="L56" s="31" t="s">
        <v>39</v>
      </c>
      <c r="M56" s="31" t="s">
        <v>40</v>
      </c>
      <c r="N56" s="31" t="s">
        <v>41</v>
      </c>
      <c r="O56" s="33" t="s">
        <v>42</v>
      </c>
      <c r="P56" s="32" t="s">
        <v>43</v>
      </c>
      <c r="Q56" s="32" t="s">
        <v>44</v>
      </c>
      <c r="R56" s="34" t="s">
        <v>45</v>
      </c>
      <c r="S56" s="34" t="s">
        <v>46</v>
      </c>
      <c r="T56" s="34" t="s">
        <v>47</v>
      </c>
      <c r="U56" s="35" t="s">
        <v>48</v>
      </c>
      <c r="V56" s="36" t="s">
        <v>47</v>
      </c>
      <c r="W56" s="36" t="s">
        <v>49</v>
      </c>
      <c r="X56" s="37" t="s">
        <v>50</v>
      </c>
      <c r="Y56" s="37" t="s">
        <v>51</v>
      </c>
      <c r="Z56" s="38" t="s">
        <v>48</v>
      </c>
      <c r="AA56" s="39" t="s">
        <v>47</v>
      </c>
      <c r="AB56" s="40" t="s">
        <v>48</v>
      </c>
      <c r="AC56" s="41" t="s">
        <v>47</v>
      </c>
      <c r="AD56" s="42" t="s">
        <v>52</v>
      </c>
    </row>
    <row r="57" spans="2:30">
      <c r="C57" s="43" t="s">
        <v>136</v>
      </c>
      <c r="D57" s="44" t="s">
        <v>137</v>
      </c>
      <c r="E57" s="44"/>
      <c r="F57" s="45">
        <v>39394.394201388888</v>
      </c>
      <c r="G57" s="46">
        <v>130</v>
      </c>
      <c r="H57" s="47">
        <v>43375</v>
      </c>
      <c r="I57" s="47">
        <v>43392</v>
      </c>
      <c r="J57" s="46">
        <v>5590573</v>
      </c>
      <c r="K57" s="46">
        <v>0</v>
      </c>
      <c r="L57" s="46">
        <v>0</v>
      </c>
      <c r="M57" s="46">
        <f t="shared" ref="M57:M120" si="28">IFERROR(J57-K57-L57,0)</f>
        <v>5590573</v>
      </c>
      <c r="N57" s="46">
        <v>5590573</v>
      </c>
      <c r="O57" s="48">
        <f t="shared" ref="O57:O120" si="29">IFERROR(IF(1 - M57/N57&lt;0,0,1-M57/N57),0)</f>
        <v>0</v>
      </c>
      <c r="P57" s="46">
        <v>0</v>
      </c>
      <c r="Q57" s="46">
        <v>5590573</v>
      </c>
      <c r="R57" s="49">
        <f t="shared" ref="R57:R120" si="30">IF(F57&lt;DATEVALUE("2018-07-01"),1,0)</f>
        <v>1</v>
      </c>
      <c r="S57" s="50">
        <f t="shared" ref="S57:S120" si="31">IF(R57=1,1%,0)</f>
        <v>0.01</v>
      </c>
      <c r="T57" s="49">
        <f t="shared" ref="T57:T120" si="32">IFERROR(S57*M57,0)</f>
        <v>55905.73</v>
      </c>
      <c r="U57" s="51">
        <f t="shared" ref="U57:U120" si="33">IF(O57&lt;=0.12,1,0)*(1-R57)*M57</f>
        <v>0</v>
      </c>
      <c r="V57" s="52">
        <f>IF(0&lt;0.8,0,IF(0&lt;1,Sheet3!L55,1))*IF(G57&lt;3,0.12 - O57,0.01) *U57</f>
        <v>0</v>
      </c>
      <c r="W57" s="52">
        <f t="shared" ref="W57:W120" si="34">IF(0&gt;1,IF(0&lt;=1.1,1,IF(0&lt;=1.2,2,IF(0&lt;=1.5,3,5))),0) * 1000000</f>
        <v>0</v>
      </c>
      <c r="X57" s="53">
        <f t="shared" ref="X57:X120" si="35">IF(AND(P57&gt;=150000000,P57&lt;300000000),5000000,IF(AND(P57&gt;=300000000,P57&lt;500000000),10000000,IF(AND(P57&gt;=300000000,P57&lt;500000000),15000000,IF(AND(P57&gt;=500000000,P57&lt;3000000000),20000000,IF(P57&gt;=30000000000,35000000,0))))) * (1-R57)</f>
        <v>0</v>
      </c>
      <c r="Y57" s="53">
        <f t="shared" ref="Y57:Y120" si="36">IFERROR(Q57 * (1-R57),0)</f>
        <v>0</v>
      </c>
      <c r="Z57" s="54">
        <f>IF(R57=1,0,0)</f>
        <v>0</v>
      </c>
      <c r="AA57" s="54">
        <f t="shared" ref="AA57:AA120" si="37">IFERROR((1-R57) * Z57 * 2%,0)</f>
        <v>0</v>
      </c>
      <c r="AB57" s="55">
        <f>IF(R57=0,0,0)</f>
        <v>0</v>
      </c>
      <c r="AC57" s="55">
        <f t="shared" ref="AC57:AC120" si="38">IFERROR(AB57 * (1-R57) * 2%,0)</f>
        <v>0</v>
      </c>
      <c r="AD57" s="56">
        <f t="shared" ref="AD57:AD120" si="39">T57+V57+W57+X57+AA57+AC57</f>
        <v>55905.73</v>
      </c>
    </row>
    <row r="58" spans="2:30">
      <c r="C58" s="43" t="s">
        <v>138</v>
      </c>
      <c r="D58" s="44" t="s">
        <v>139</v>
      </c>
      <c r="E58" s="44"/>
      <c r="F58" s="45">
        <v>41041.597962962958</v>
      </c>
      <c r="G58" s="46">
        <v>76</v>
      </c>
      <c r="H58" s="47" t="s">
        <v>24</v>
      </c>
      <c r="I58" s="47" t="s">
        <v>24</v>
      </c>
      <c r="J58" s="46">
        <v>863940</v>
      </c>
      <c r="K58" s="46">
        <v>0</v>
      </c>
      <c r="L58" s="46">
        <v>0</v>
      </c>
      <c r="M58" s="46">
        <f t="shared" si="28"/>
        <v>863940</v>
      </c>
      <c r="N58" s="46" t="s">
        <v>24</v>
      </c>
      <c r="O58" s="48">
        <f t="shared" si="29"/>
        <v>0</v>
      </c>
      <c r="P58" s="46">
        <v>0</v>
      </c>
      <c r="Q58" s="46">
        <v>0</v>
      </c>
      <c r="R58" s="49">
        <f t="shared" si="30"/>
        <v>1</v>
      </c>
      <c r="S58" s="50">
        <f t="shared" si="31"/>
        <v>0.01</v>
      </c>
      <c r="T58" s="49">
        <f t="shared" si="32"/>
        <v>8639.4</v>
      </c>
      <c r="U58" s="51">
        <f t="shared" si="33"/>
        <v>0</v>
      </c>
      <c r="V58" s="52">
        <f>IF(0&lt;0.8,0,IF(0&lt;1,Sheet3!L55,1))*IF(G58&lt;3,0.12 - O58,0.01) *U58</f>
        <v>0</v>
      </c>
      <c r="W58" s="52">
        <f t="shared" si="34"/>
        <v>0</v>
      </c>
      <c r="X58" s="53">
        <f t="shared" si="35"/>
        <v>0</v>
      </c>
      <c r="Y58" s="53">
        <f t="shared" si="36"/>
        <v>0</v>
      </c>
      <c r="Z58" s="54">
        <f>IF(R58=1,0,"")</f>
        <v>0</v>
      </c>
      <c r="AA58" s="54">
        <f t="shared" si="37"/>
        <v>0</v>
      </c>
      <c r="AB58" s="55">
        <f>IF(R58=0,"",0)</f>
        <v>0</v>
      </c>
      <c r="AC58" s="55">
        <f t="shared" si="38"/>
        <v>0</v>
      </c>
      <c r="AD58" s="56">
        <f t="shared" si="39"/>
        <v>8639.4</v>
      </c>
    </row>
    <row r="59" spans="2:30">
      <c r="C59" s="43" t="s">
        <v>140</v>
      </c>
      <c r="D59" s="44" t="s">
        <v>141</v>
      </c>
      <c r="E59" s="44"/>
      <c r="F59" s="45">
        <v>40215.441446759258</v>
      </c>
      <c r="G59" s="46">
        <v>103</v>
      </c>
      <c r="H59" s="47">
        <v>43384</v>
      </c>
      <c r="I59" s="47">
        <v>43405</v>
      </c>
      <c r="J59" s="46">
        <v>19237327</v>
      </c>
      <c r="K59" s="46">
        <v>0</v>
      </c>
      <c r="L59" s="46">
        <v>0</v>
      </c>
      <c r="M59" s="46">
        <f t="shared" si="28"/>
        <v>19237327</v>
      </c>
      <c r="N59" s="46">
        <v>18096575</v>
      </c>
      <c r="O59" s="48">
        <f t="shared" si="29"/>
        <v>0</v>
      </c>
      <c r="P59" s="46">
        <v>0</v>
      </c>
      <c r="Q59" s="46">
        <v>19237327</v>
      </c>
      <c r="R59" s="49">
        <f t="shared" si="30"/>
        <v>1</v>
      </c>
      <c r="S59" s="50">
        <f t="shared" si="31"/>
        <v>0.01</v>
      </c>
      <c r="T59" s="49">
        <f t="shared" si="32"/>
        <v>192373.27</v>
      </c>
      <c r="U59" s="51">
        <f t="shared" si="33"/>
        <v>0</v>
      </c>
      <c r="V59" s="52">
        <f>IF(0&lt;0.8,0,IF(0&lt;1,Sheet3!L55,1))*IF(G59&lt;3,0.12 - O59,0.01) *U59</f>
        <v>0</v>
      </c>
      <c r="W59" s="52">
        <f t="shared" si="34"/>
        <v>0</v>
      </c>
      <c r="X59" s="53">
        <f t="shared" si="35"/>
        <v>0</v>
      </c>
      <c r="Y59" s="53">
        <f t="shared" si="36"/>
        <v>0</v>
      </c>
      <c r="Z59" s="54">
        <f t="shared" ref="Z59:Z122" si="40">IF(R59=1,0,0)</f>
        <v>0</v>
      </c>
      <c r="AA59" s="54">
        <f t="shared" si="37"/>
        <v>0</v>
      </c>
      <c r="AB59" s="55">
        <f t="shared" ref="AB59:AB122" si="41">IF(R59=0,0,0)</f>
        <v>0</v>
      </c>
      <c r="AC59" s="55">
        <f t="shared" si="38"/>
        <v>0</v>
      </c>
      <c r="AD59" s="56">
        <f t="shared" si="39"/>
        <v>192373.27</v>
      </c>
    </row>
    <row r="60" spans="2:30">
      <c r="C60" s="43" t="s">
        <v>142</v>
      </c>
      <c r="D60" s="44" t="s">
        <v>143</v>
      </c>
      <c r="E60" s="44"/>
      <c r="F60" s="45">
        <v>40766.375625000001</v>
      </c>
      <c r="G60" s="46">
        <v>85</v>
      </c>
      <c r="H60" s="47">
        <v>43384</v>
      </c>
      <c r="I60" s="47">
        <v>43405</v>
      </c>
      <c r="J60" s="46">
        <v>4644973</v>
      </c>
      <c r="K60" s="46">
        <v>0</v>
      </c>
      <c r="L60" s="46">
        <v>0</v>
      </c>
      <c r="M60" s="46">
        <f t="shared" si="28"/>
        <v>4644973</v>
      </c>
      <c r="N60" s="46">
        <v>3808500</v>
      </c>
      <c r="O60" s="48">
        <f t="shared" si="29"/>
        <v>0</v>
      </c>
      <c r="P60" s="46">
        <v>0</v>
      </c>
      <c r="Q60" s="46">
        <v>4644973</v>
      </c>
      <c r="R60" s="49">
        <f t="shared" si="30"/>
        <v>1</v>
      </c>
      <c r="S60" s="50">
        <f t="shared" si="31"/>
        <v>0.01</v>
      </c>
      <c r="T60" s="49">
        <f t="shared" si="32"/>
        <v>46449.73</v>
      </c>
      <c r="U60" s="51">
        <f t="shared" si="33"/>
        <v>0</v>
      </c>
      <c r="V60" s="52">
        <f>IF(0&lt;0.8,0,IF(0&lt;1,Sheet3!L55,1))*IF(G60&lt;3,0.12 - O60,0.01) *U60</f>
        <v>0</v>
      </c>
      <c r="W60" s="52">
        <f t="shared" si="34"/>
        <v>0</v>
      </c>
      <c r="X60" s="53">
        <f t="shared" si="35"/>
        <v>0</v>
      </c>
      <c r="Y60" s="53">
        <f t="shared" si="36"/>
        <v>0</v>
      </c>
      <c r="Z60" s="54">
        <f t="shared" si="40"/>
        <v>0</v>
      </c>
      <c r="AA60" s="54">
        <f t="shared" si="37"/>
        <v>0</v>
      </c>
      <c r="AB60" s="55">
        <f t="shared" si="41"/>
        <v>0</v>
      </c>
      <c r="AC60" s="55">
        <f t="shared" si="38"/>
        <v>0</v>
      </c>
      <c r="AD60" s="56">
        <f t="shared" si="39"/>
        <v>46449.73</v>
      </c>
    </row>
    <row r="61" spans="2:30">
      <c r="C61" s="43" t="s">
        <v>144</v>
      </c>
      <c r="D61" s="44" t="s">
        <v>145</v>
      </c>
      <c r="E61" s="44"/>
      <c r="F61" s="45">
        <v>41370.741168981476</v>
      </c>
      <c r="G61" s="46">
        <v>65</v>
      </c>
      <c r="H61" s="47">
        <v>43384</v>
      </c>
      <c r="I61" s="47">
        <v>43413</v>
      </c>
      <c r="J61" s="46">
        <v>37120628</v>
      </c>
      <c r="K61" s="46">
        <v>3352330</v>
      </c>
      <c r="L61" s="46">
        <v>0</v>
      </c>
      <c r="M61" s="46">
        <f t="shared" si="28"/>
        <v>33768298</v>
      </c>
      <c r="N61" s="46">
        <v>37092218</v>
      </c>
      <c r="O61" s="48">
        <f t="shared" si="29"/>
        <v>8.9612327847312878E-2</v>
      </c>
      <c r="P61" s="46">
        <v>0</v>
      </c>
      <c r="Q61" s="46">
        <v>37120628</v>
      </c>
      <c r="R61" s="49">
        <f t="shared" si="30"/>
        <v>1</v>
      </c>
      <c r="S61" s="50">
        <f t="shared" si="31"/>
        <v>0.01</v>
      </c>
      <c r="T61" s="49">
        <f t="shared" si="32"/>
        <v>337682.98</v>
      </c>
      <c r="U61" s="51">
        <f t="shared" si="33"/>
        <v>0</v>
      </c>
      <c r="V61" s="52">
        <f>IF(0&lt;0.8,0,IF(0&lt;1,Sheet3!L55,1))*IF(G61&lt;3,0.12 - O61,0.01) *U61</f>
        <v>0</v>
      </c>
      <c r="W61" s="52">
        <f t="shared" si="34"/>
        <v>0</v>
      </c>
      <c r="X61" s="53">
        <f t="shared" si="35"/>
        <v>0</v>
      </c>
      <c r="Y61" s="53">
        <f t="shared" si="36"/>
        <v>0</v>
      </c>
      <c r="Z61" s="54">
        <f t="shared" si="40"/>
        <v>0</v>
      </c>
      <c r="AA61" s="54">
        <f t="shared" si="37"/>
        <v>0</v>
      </c>
      <c r="AB61" s="55">
        <f t="shared" si="41"/>
        <v>0</v>
      </c>
      <c r="AC61" s="55">
        <f t="shared" si="38"/>
        <v>0</v>
      </c>
      <c r="AD61" s="56">
        <f t="shared" si="39"/>
        <v>337682.98</v>
      </c>
    </row>
    <row r="62" spans="2:30">
      <c r="C62" s="43" t="s">
        <v>146</v>
      </c>
      <c r="D62" s="44" t="s">
        <v>147</v>
      </c>
      <c r="E62" s="44"/>
      <c r="F62" s="45">
        <v>41823.372719907406</v>
      </c>
      <c r="G62" s="46">
        <v>50</v>
      </c>
      <c r="H62" s="47">
        <v>43385</v>
      </c>
      <c r="I62" s="47">
        <v>43390</v>
      </c>
      <c r="J62" s="46">
        <v>6614492</v>
      </c>
      <c r="K62" s="46">
        <v>0</v>
      </c>
      <c r="L62" s="46">
        <v>0</v>
      </c>
      <c r="M62" s="46">
        <f t="shared" si="28"/>
        <v>6614492</v>
      </c>
      <c r="N62" s="46">
        <v>6614912</v>
      </c>
      <c r="O62" s="48">
        <f t="shared" si="29"/>
        <v>6.349290814455788E-5</v>
      </c>
      <c r="P62" s="46">
        <v>0</v>
      </c>
      <c r="Q62" s="46">
        <v>6614492</v>
      </c>
      <c r="R62" s="49">
        <f t="shared" si="30"/>
        <v>1</v>
      </c>
      <c r="S62" s="50">
        <f t="shared" si="31"/>
        <v>0.01</v>
      </c>
      <c r="T62" s="49">
        <f t="shared" si="32"/>
        <v>66144.92</v>
      </c>
      <c r="U62" s="51">
        <f t="shared" si="33"/>
        <v>0</v>
      </c>
      <c r="V62" s="52">
        <f>IF(0&lt;0.8,0,IF(0&lt;1,Sheet3!L55,1))*IF(G62&lt;3,0.12 - O62,0.01) *U62</f>
        <v>0</v>
      </c>
      <c r="W62" s="52">
        <f t="shared" si="34"/>
        <v>0</v>
      </c>
      <c r="X62" s="53">
        <f t="shared" si="35"/>
        <v>0</v>
      </c>
      <c r="Y62" s="53">
        <f t="shared" si="36"/>
        <v>0</v>
      </c>
      <c r="Z62" s="54">
        <f t="shared" si="40"/>
        <v>0</v>
      </c>
      <c r="AA62" s="54">
        <f t="shared" si="37"/>
        <v>0</v>
      </c>
      <c r="AB62" s="55">
        <f t="shared" si="41"/>
        <v>0</v>
      </c>
      <c r="AC62" s="55">
        <f t="shared" si="38"/>
        <v>0</v>
      </c>
      <c r="AD62" s="56">
        <f t="shared" si="39"/>
        <v>66144.92</v>
      </c>
    </row>
    <row r="63" spans="2:30">
      <c r="C63" s="43" t="s">
        <v>148</v>
      </c>
      <c r="D63" s="44" t="s">
        <v>149</v>
      </c>
      <c r="E63" s="44"/>
      <c r="F63" s="45">
        <v>42726.365370370368</v>
      </c>
      <c r="G63" s="46">
        <v>21</v>
      </c>
      <c r="H63" s="47">
        <v>43376</v>
      </c>
      <c r="I63" s="47">
        <v>43395</v>
      </c>
      <c r="J63" s="46">
        <v>7264876</v>
      </c>
      <c r="K63" s="46">
        <v>0</v>
      </c>
      <c r="L63" s="46">
        <v>0</v>
      </c>
      <c r="M63" s="46">
        <f t="shared" si="28"/>
        <v>7264876</v>
      </c>
      <c r="N63" s="46">
        <v>7264186</v>
      </c>
      <c r="O63" s="48">
        <f t="shared" si="29"/>
        <v>0</v>
      </c>
      <c r="P63" s="46">
        <v>0</v>
      </c>
      <c r="Q63" s="46">
        <v>7264876</v>
      </c>
      <c r="R63" s="49">
        <f t="shared" si="30"/>
        <v>1</v>
      </c>
      <c r="S63" s="50">
        <f t="shared" si="31"/>
        <v>0.01</v>
      </c>
      <c r="T63" s="49">
        <f t="shared" si="32"/>
        <v>72648.759999999995</v>
      </c>
      <c r="U63" s="51">
        <f t="shared" si="33"/>
        <v>0</v>
      </c>
      <c r="V63" s="52">
        <f>IF(0&lt;0.8,0,IF(0&lt;1,Sheet3!L55,1))*IF(G63&lt;3,0.12 - O63,0.01) *U63</f>
        <v>0</v>
      </c>
      <c r="W63" s="52">
        <f t="shared" si="34"/>
        <v>0</v>
      </c>
      <c r="X63" s="53">
        <f t="shared" si="35"/>
        <v>0</v>
      </c>
      <c r="Y63" s="53">
        <f t="shared" si="36"/>
        <v>0</v>
      </c>
      <c r="Z63" s="54">
        <f t="shared" si="40"/>
        <v>0</v>
      </c>
      <c r="AA63" s="54">
        <f t="shared" si="37"/>
        <v>0</v>
      </c>
      <c r="AB63" s="55">
        <f t="shared" si="41"/>
        <v>0</v>
      </c>
      <c r="AC63" s="55">
        <f t="shared" si="38"/>
        <v>0</v>
      </c>
      <c r="AD63" s="56">
        <f t="shared" si="39"/>
        <v>72648.759999999995</v>
      </c>
    </row>
    <row r="64" spans="2:30">
      <c r="C64" s="43" t="s">
        <v>150</v>
      </c>
      <c r="D64" s="44" t="s">
        <v>151</v>
      </c>
      <c r="E64" s="44"/>
      <c r="F64" s="45">
        <v>43304.07508101852</v>
      </c>
      <c r="G64" s="46">
        <v>2</v>
      </c>
      <c r="H64" s="47">
        <v>43388</v>
      </c>
      <c r="I64" s="47">
        <v>43409</v>
      </c>
      <c r="J64" s="46">
        <v>2389819</v>
      </c>
      <c r="K64" s="46">
        <v>0</v>
      </c>
      <c r="L64" s="46">
        <v>0</v>
      </c>
      <c r="M64" s="46">
        <f t="shared" si="28"/>
        <v>2389819</v>
      </c>
      <c r="N64" s="46">
        <v>2577556</v>
      </c>
      <c r="O64" s="48">
        <f t="shared" si="29"/>
        <v>7.2835274965897923E-2</v>
      </c>
      <c r="P64" s="46">
        <v>2389819</v>
      </c>
      <c r="Q64" s="46">
        <v>0</v>
      </c>
      <c r="R64" s="49">
        <f t="shared" si="30"/>
        <v>0</v>
      </c>
      <c r="S64" s="50">
        <f t="shared" si="31"/>
        <v>0</v>
      </c>
      <c r="T64" s="49">
        <f t="shared" si="32"/>
        <v>0</v>
      </c>
      <c r="U64" s="51">
        <f t="shared" si="33"/>
        <v>2389819</v>
      </c>
      <c r="V64" s="52">
        <f>IF(0&lt;0.8,0,IF(0&lt;1,Sheet3!L55,1))*IF(G64&lt;3,0.12 - O64,0.01) *U64</f>
        <v>0</v>
      </c>
      <c r="W64" s="52">
        <f t="shared" si="34"/>
        <v>0</v>
      </c>
      <c r="X64" s="53">
        <f t="shared" si="35"/>
        <v>0</v>
      </c>
      <c r="Y64" s="53">
        <f t="shared" si="36"/>
        <v>0</v>
      </c>
      <c r="Z64" s="54">
        <f t="shared" si="40"/>
        <v>0</v>
      </c>
      <c r="AA64" s="54">
        <f t="shared" si="37"/>
        <v>0</v>
      </c>
      <c r="AB64" s="55">
        <f t="shared" si="41"/>
        <v>0</v>
      </c>
      <c r="AC64" s="55">
        <f t="shared" si="38"/>
        <v>0</v>
      </c>
      <c r="AD64" s="56">
        <f t="shared" si="39"/>
        <v>0</v>
      </c>
    </row>
    <row r="65" spans="3:30">
      <c r="C65" s="43" t="s">
        <v>152</v>
      </c>
      <c r="D65" s="44" t="s">
        <v>153</v>
      </c>
      <c r="E65" s="44"/>
      <c r="F65" s="45">
        <v>42227.406851851847</v>
      </c>
      <c r="G65" s="46">
        <v>37</v>
      </c>
      <c r="H65" s="47">
        <v>43396</v>
      </c>
      <c r="I65" s="47">
        <v>43416</v>
      </c>
      <c r="J65" s="46">
        <v>2109333</v>
      </c>
      <c r="K65" s="46">
        <v>0</v>
      </c>
      <c r="L65" s="46">
        <v>0</v>
      </c>
      <c r="M65" s="46">
        <f t="shared" si="28"/>
        <v>2109333</v>
      </c>
      <c r="N65" s="46">
        <v>2109333</v>
      </c>
      <c r="O65" s="48">
        <f t="shared" si="29"/>
        <v>0</v>
      </c>
      <c r="P65" s="46">
        <v>0</v>
      </c>
      <c r="Q65" s="46">
        <v>2109333</v>
      </c>
      <c r="R65" s="49">
        <f t="shared" si="30"/>
        <v>1</v>
      </c>
      <c r="S65" s="50">
        <f t="shared" si="31"/>
        <v>0.01</v>
      </c>
      <c r="T65" s="49">
        <f t="shared" si="32"/>
        <v>21093.33</v>
      </c>
      <c r="U65" s="51">
        <f t="shared" si="33"/>
        <v>0</v>
      </c>
      <c r="V65" s="52">
        <f>IF(0&lt;0.8,0,IF(0&lt;1,Sheet3!L55,1))*IF(G65&lt;3,0.12 - O65,0.01) *U65</f>
        <v>0</v>
      </c>
      <c r="W65" s="52">
        <f t="shared" si="34"/>
        <v>0</v>
      </c>
      <c r="X65" s="53">
        <f t="shared" si="35"/>
        <v>0</v>
      </c>
      <c r="Y65" s="53">
        <f t="shared" si="36"/>
        <v>0</v>
      </c>
      <c r="Z65" s="54">
        <f t="shared" si="40"/>
        <v>0</v>
      </c>
      <c r="AA65" s="54">
        <f t="shared" si="37"/>
        <v>0</v>
      </c>
      <c r="AB65" s="55">
        <f t="shared" si="41"/>
        <v>0</v>
      </c>
      <c r="AC65" s="55">
        <f t="shared" si="38"/>
        <v>0</v>
      </c>
      <c r="AD65" s="56">
        <f t="shared" si="39"/>
        <v>21093.33</v>
      </c>
    </row>
    <row r="66" spans="3:30">
      <c r="C66" s="43" t="s">
        <v>154</v>
      </c>
      <c r="D66" s="44" t="s">
        <v>155</v>
      </c>
      <c r="E66" s="44"/>
      <c r="F66" s="45">
        <v>42243.530844907407</v>
      </c>
      <c r="G66" s="46">
        <v>37</v>
      </c>
      <c r="H66" s="47">
        <v>43396</v>
      </c>
      <c r="I66" s="47">
        <v>43410</v>
      </c>
      <c r="J66" s="46">
        <v>1281614</v>
      </c>
      <c r="K66" s="46">
        <v>0</v>
      </c>
      <c r="L66" s="46">
        <v>0</v>
      </c>
      <c r="M66" s="46">
        <f t="shared" si="28"/>
        <v>1281614</v>
      </c>
      <c r="N66" s="46">
        <v>1281614</v>
      </c>
      <c r="O66" s="48">
        <f t="shared" si="29"/>
        <v>0</v>
      </c>
      <c r="P66" s="46">
        <v>0</v>
      </c>
      <c r="Q66" s="46">
        <v>1281614</v>
      </c>
      <c r="R66" s="49">
        <f t="shared" si="30"/>
        <v>1</v>
      </c>
      <c r="S66" s="50">
        <f t="shared" si="31"/>
        <v>0.01</v>
      </c>
      <c r="T66" s="49">
        <f t="shared" si="32"/>
        <v>12816.14</v>
      </c>
      <c r="U66" s="51">
        <f t="shared" si="33"/>
        <v>0</v>
      </c>
      <c r="V66" s="52">
        <f>IF(0&lt;0.8,0,IF(0&lt;1,Sheet3!L55,1))*IF(G66&lt;3,0.12 - O66,0.01) *U66</f>
        <v>0</v>
      </c>
      <c r="W66" s="52">
        <f t="shared" si="34"/>
        <v>0</v>
      </c>
      <c r="X66" s="53">
        <f t="shared" si="35"/>
        <v>0</v>
      </c>
      <c r="Y66" s="53">
        <f t="shared" si="36"/>
        <v>0</v>
      </c>
      <c r="Z66" s="54">
        <f t="shared" si="40"/>
        <v>0</v>
      </c>
      <c r="AA66" s="54">
        <f t="shared" si="37"/>
        <v>0</v>
      </c>
      <c r="AB66" s="55">
        <f t="shared" si="41"/>
        <v>0</v>
      </c>
      <c r="AC66" s="55">
        <f t="shared" si="38"/>
        <v>0</v>
      </c>
      <c r="AD66" s="56">
        <f t="shared" si="39"/>
        <v>12816.14</v>
      </c>
    </row>
    <row r="67" spans="3:30">
      <c r="C67" s="43" t="s">
        <v>156</v>
      </c>
      <c r="D67" s="44" t="s">
        <v>157</v>
      </c>
      <c r="E67" s="44"/>
      <c r="F67" s="45">
        <v>42243.53398148148</v>
      </c>
      <c r="G67" s="46">
        <v>37</v>
      </c>
      <c r="H67" s="47">
        <v>43391</v>
      </c>
      <c r="I67" s="47">
        <v>43424</v>
      </c>
      <c r="J67" s="46">
        <v>3308315</v>
      </c>
      <c r="K67" s="46">
        <v>0</v>
      </c>
      <c r="L67" s="46">
        <v>0</v>
      </c>
      <c r="M67" s="46">
        <f t="shared" si="28"/>
        <v>3308315</v>
      </c>
      <c r="N67" s="46">
        <v>3119499</v>
      </c>
      <c r="O67" s="48">
        <f t="shared" si="29"/>
        <v>0</v>
      </c>
      <c r="P67" s="46">
        <v>0</v>
      </c>
      <c r="Q67" s="46">
        <v>3308315</v>
      </c>
      <c r="R67" s="49">
        <f t="shared" si="30"/>
        <v>1</v>
      </c>
      <c r="S67" s="50">
        <f t="shared" si="31"/>
        <v>0.01</v>
      </c>
      <c r="T67" s="49">
        <f t="shared" si="32"/>
        <v>33083.15</v>
      </c>
      <c r="U67" s="51">
        <f t="shared" si="33"/>
        <v>0</v>
      </c>
      <c r="V67" s="52">
        <f>IF(0&lt;0.8,0,IF(0&lt;1,Sheet3!L55,1))*IF(G67&lt;3,0.12 - O67,0.01) *U67</f>
        <v>0</v>
      </c>
      <c r="W67" s="52">
        <f t="shared" si="34"/>
        <v>0</v>
      </c>
      <c r="X67" s="53">
        <f t="shared" si="35"/>
        <v>0</v>
      </c>
      <c r="Y67" s="53">
        <f t="shared" si="36"/>
        <v>0</v>
      </c>
      <c r="Z67" s="54">
        <f t="shared" si="40"/>
        <v>0</v>
      </c>
      <c r="AA67" s="54">
        <f t="shared" si="37"/>
        <v>0</v>
      </c>
      <c r="AB67" s="55">
        <f t="shared" si="41"/>
        <v>0</v>
      </c>
      <c r="AC67" s="55">
        <f t="shared" si="38"/>
        <v>0</v>
      </c>
      <c r="AD67" s="56">
        <f t="shared" si="39"/>
        <v>33083.15</v>
      </c>
    </row>
    <row r="68" spans="3:30">
      <c r="C68" s="43" t="s">
        <v>158</v>
      </c>
      <c r="D68" s="44" t="s">
        <v>159</v>
      </c>
      <c r="E68" s="44"/>
      <c r="F68" s="45">
        <v>42263.606759259259</v>
      </c>
      <c r="G68" s="46">
        <v>36</v>
      </c>
      <c r="H68" s="47">
        <v>43396</v>
      </c>
      <c r="I68" s="47">
        <v>43410</v>
      </c>
      <c r="J68" s="46">
        <v>404987</v>
      </c>
      <c r="K68" s="46">
        <v>0</v>
      </c>
      <c r="L68" s="46">
        <v>0</v>
      </c>
      <c r="M68" s="46">
        <f t="shared" si="28"/>
        <v>404987</v>
      </c>
      <c r="N68" s="46">
        <v>404987</v>
      </c>
      <c r="O68" s="48">
        <f t="shared" si="29"/>
        <v>0</v>
      </c>
      <c r="P68" s="46">
        <v>0</v>
      </c>
      <c r="Q68" s="46">
        <v>404987</v>
      </c>
      <c r="R68" s="49">
        <f t="shared" si="30"/>
        <v>1</v>
      </c>
      <c r="S68" s="50">
        <f t="shared" si="31"/>
        <v>0.01</v>
      </c>
      <c r="T68" s="49">
        <f t="shared" si="32"/>
        <v>4049.87</v>
      </c>
      <c r="U68" s="51">
        <f t="shared" si="33"/>
        <v>0</v>
      </c>
      <c r="V68" s="52">
        <f>IF(0&lt;0.8,0,IF(0&lt;1,Sheet3!L55,1))*IF(G68&lt;3,0.12 - O68,0.01) *U68</f>
        <v>0</v>
      </c>
      <c r="W68" s="52">
        <f t="shared" si="34"/>
        <v>0</v>
      </c>
      <c r="X68" s="53">
        <f t="shared" si="35"/>
        <v>0</v>
      </c>
      <c r="Y68" s="53">
        <f t="shared" si="36"/>
        <v>0</v>
      </c>
      <c r="Z68" s="54">
        <f t="shared" si="40"/>
        <v>0</v>
      </c>
      <c r="AA68" s="54">
        <f t="shared" si="37"/>
        <v>0</v>
      </c>
      <c r="AB68" s="55">
        <f t="shared" si="41"/>
        <v>0</v>
      </c>
      <c r="AC68" s="55">
        <f t="shared" si="38"/>
        <v>0</v>
      </c>
      <c r="AD68" s="56">
        <f t="shared" si="39"/>
        <v>4049.87</v>
      </c>
    </row>
    <row r="69" spans="3:30">
      <c r="C69" s="43" t="s">
        <v>160</v>
      </c>
      <c r="D69" s="44" t="s">
        <v>161</v>
      </c>
      <c r="E69" s="44"/>
      <c r="F69" s="45">
        <v>42264.405729166661</v>
      </c>
      <c r="G69" s="46">
        <v>36</v>
      </c>
      <c r="H69" s="47">
        <v>43396</v>
      </c>
      <c r="I69" s="47">
        <v>43412</v>
      </c>
      <c r="J69" s="46">
        <v>717989</v>
      </c>
      <c r="K69" s="46">
        <v>0</v>
      </c>
      <c r="L69" s="46">
        <v>0</v>
      </c>
      <c r="M69" s="46">
        <f t="shared" si="28"/>
        <v>717989</v>
      </c>
      <c r="N69" s="46">
        <v>717989</v>
      </c>
      <c r="O69" s="48">
        <f t="shared" si="29"/>
        <v>0</v>
      </c>
      <c r="P69" s="46">
        <v>0</v>
      </c>
      <c r="Q69" s="46">
        <v>717989</v>
      </c>
      <c r="R69" s="49">
        <f t="shared" si="30"/>
        <v>1</v>
      </c>
      <c r="S69" s="50">
        <f t="shared" si="31"/>
        <v>0.01</v>
      </c>
      <c r="T69" s="49">
        <f t="shared" si="32"/>
        <v>7179.89</v>
      </c>
      <c r="U69" s="51">
        <f t="shared" si="33"/>
        <v>0</v>
      </c>
      <c r="V69" s="52">
        <f>IF(0&lt;0.8,0,IF(0&lt;1,Sheet3!L55,1))*IF(G69&lt;3,0.12 - O69,0.01) *U69</f>
        <v>0</v>
      </c>
      <c r="W69" s="52">
        <f t="shared" si="34"/>
        <v>0</v>
      </c>
      <c r="X69" s="53">
        <f t="shared" si="35"/>
        <v>0</v>
      </c>
      <c r="Y69" s="53">
        <f t="shared" si="36"/>
        <v>0</v>
      </c>
      <c r="Z69" s="54">
        <f t="shared" si="40"/>
        <v>0</v>
      </c>
      <c r="AA69" s="54">
        <f t="shared" si="37"/>
        <v>0</v>
      </c>
      <c r="AB69" s="55">
        <f t="shared" si="41"/>
        <v>0</v>
      </c>
      <c r="AC69" s="55">
        <f t="shared" si="38"/>
        <v>0</v>
      </c>
      <c r="AD69" s="56">
        <f t="shared" si="39"/>
        <v>7179.89</v>
      </c>
    </row>
    <row r="70" spans="3:30">
      <c r="C70" s="43" t="s">
        <v>162</v>
      </c>
      <c r="D70" s="44" t="s">
        <v>163</v>
      </c>
      <c r="E70" s="44"/>
      <c r="F70" s="45">
        <v>42314.563101851847</v>
      </c>
      <c r="G70" s="46">
        <v>34</v>
      </c>
      <c r="H70" s="47">
        <v>43391</v>
      </c>
      <c r="I70" s="47">
        <v>43420</v>
      </c>
      <c r="J70" s="46">
        <v>1606850</v>
      </c>
      <c r="K70" s="46">
        <v>0</v>
      </c>
      <c r="L70" s="46">
        <v>0</v>
      </c>
      <c r="M70" s="46">
        <f t="shared" si="28"/>
        <v>1606850</v>
      </c>
      <c r="N70" s="46">
        <v>1565720</v>
      </c>
      <c r="O70" s="48">
        <f t="shared" si="29"/>
        <v>0</v>
      </c>
      <c r="P70" s="46">
        <v>0</v>
      </c>
      <c r="Q70" s="46">
        <v>1606850</v>
      </c>
      <c r="R70" s="49">
        <f t="shared" si="30"/>
        <v>1</v>
      </c>
      <c r="S70" s="50">
        <f t="shared" si="31"/>
        <v>0.01</v>
      </c>
      <c r="T70" s="49">
        <f t="shared" si="32"/>
        <v>16068.5</v>
      </c>
      <c r="U70" s="51">
        <f t="shared" si="33"/>
        <v>0</v>
      </c>
      <c r="V70" s="52">
        <f>IF(0&lt;0.8,0,IF(0&lt;1,Sheet3!L55,1))*IF(G70&lt;3,0.12 - O70,0.01) *U70</f>
        <v>0</v>
      </c>
      <c r="W70" s="52">
        <f t="shared" si="34"/>
        <v>0</v>
      </c>
      <c r="X70" s="53">
        <f t="shared" si="35"/>
        <v>0</v>
      </c>
      <c r="Y70" s="53">
        <f t="shared" si="36"/>
        <v>0</v>
      </c>
      <c r="Z70" s="54">
        <f t="shared" si="40"/>
        <v>0</v>
      </c>
      <c r="AA70" s="54">
        <f t="shared" si="37"/>
        <v>0</v>
      </c>
      <c r="AB70" s="55">
        <f t="shared" si="41"/>
        <v>0</v>
      </c>
      <c r="AC70" s="55">
        <f t="shared" si="38"/>
        <v>0</v>
      </c>
      <c r="AD70" s="56">
        <f t="shared" si="39"/>
        <v>16068.5</v>
      </c>
    </row>
    <row r="71" spans="3:30">
      <c r="C71" s="43" t="s">
        <v>164</v>
      </c>
      <c r="D71" s="44" t="s">
        <v>165</v>
      </c>
      <c r="E71" s="44"/>
      <c r="F71" s="45">
        <v>42314.564942129626</v>
      </c>
      <c r="G71" s="46">
        <v>34</v>
      </c>
      <c r="H71" s="47">
        <v>43376</v>
      </c>
      <c r="I71" s="47">
        <v>43404</v>
      </c>
      <c r="J71" s="46">
        <v>693330</v>
      </c>
      <c r="K71" s="46">
        <v>0</v>
      </c>
      <c r="L71" s="46">
        <v>0</v>
      </c>
      <c r="M71" s="46">
        <f t="shared" si="28"/>
        <v>693330</v>
      </c>
      <c r="N71" s="46">
        <v>693330</v>
      </c>
      <c r="O71" s="48">
        <f t="shared" si="29"/>
        <v>0</v>
      </c>
      <c r="P71" s="46">
        <v>0</v>
      </c>
      <c r="Q71" s="46">
        <v>693330</v>
      </c>
      <c r="R71" s="49">
        <f t="shared" si="30"/>
        <v>1</v>
      </c>
      <c r="S71" s="50">
        <f t="shared" si="31"/>
        <v>0.01</v>
      </c>
      <c r="T71" s="49">
        <f t="shared" si="32"/>
        <v>6933.3</v>
      </c>
      <c r="U71" s="51">
        <f t="shared" si="33"/>
        <v>0</v>
      </c>
      <c r="V71" s="52">
        <f>IF(0&lt;0.8,0,IF(0&lt;1,Sheet3!L55,1))*IF(G71&lt;3,0.12 - O71,0.01) *U71</f>
        <v>0</v>
      </c>
      <c r="W71" s="52">
        <f t="shared" si="34"/>
        <v>0</v>
      </c>
      <c r="X71" s="53">
        <f t="shared" si="35"/>
        <v>0</v>
      </c>
      <c r="Y71" s="53">
        <f t="shared" si="36"/>
        <v>0</v>
      </c>
      <c r="Z71" s="54">
        <f t="shared" si="40"/>
        <v>0</v>
      </c>
      <c r="AA71" s="54">
        <f t="shared" si="37"/>
        <v>0</v>
      </c>
      <c r="AB71" s="55">
        <f t="shared" si="41"/>
        <v>0</v>
      </c>
      <c r="AC71" s="55">
        <f t="shared" si="38"/>
        <v>0</v>
      </c>
      <c r="AD71" s="56">
        <f t="shared" si="39"/>
        <v>6933.3</v>
      </c>
    </row>
    <row r="72" spans="3:30">
      <c r="C72" s="43" t="s">
        <v>166</v>
      </c>
      <c r="D72" s="44" t="s">
        <v>167</v>
      </c>
      <c r="E72" s="44"/>
      <c r="F72" s="45">
        <v>42579.348182870366</v>
      </c>
      <c r="G72" s="46">
        <v>26</v>
      </c>
      <c r="H72" s="47">
        <v>43391</v>
      </c>
      <c r="I72" s="47">
        <v>43427</v>
      </c>
      <c r="J72" s="46">
        <v>4184992</v>
      </c>
      <c r="K72" s="46">
        <v>0</v>
      </c>
      <c r="L72" s="46">
        <v>0</v>
      </c>
      <c r="M72" s="46">
        <f t="shared" si="28"/>
        <v>4184992</v>
      </c>
      <c r="N72" s="46">
        <v>4170048</v>
      </c>
      <c r="O72" s="48">
        <f t="shared" si="29"/>
        <v>0</v>
      </c>
      <c r="P72" s="46">
        <v>0</v>
      </c>
      <c r="Q72" s="46">
        <v>4184992</v>
      </c>
      <c r="R72" s="49">
        <f t="shared" si="30"/>
        <v>1</v>
      </c>
      <c r="S72" s="50">
        <f t="shared" si="31"/>
        <v>0.01</v>
      </c>
      <c r="T72" s="49">
        <f t="shared" si="32"/>
        <v>41849.919999999998</v>
      </c>
      <c r="U72" s="51">
        <f t="shared" si="33"/>
        <v>0</v>
      </c>
      <c r="V72" s="52">
        <f>IF(0&lt;0.8,0,IF(0&lt;1,Sheet3!L55,1))*IF(G72&lt;3,0.12 - O72,0.01) *U72</f>
        <v>0</v>
      </c>
      <c r="W72" s="52">
        <f t="shared" si="34"/>
        <v>0</v>
      </c>
      <c r="X72" s="53">
        <f t="shared" si="35"/>
        <v>0</v>
      </c>
      <c r="Y72" s="53">
        <f t="shared" si="36"/>
        <v>0</v>
      </c>
      <c r="Z72" s="54">
        <f t="shared" si="40"/>
        <v>0</v>
      </c>
      <c r="AA72" s="54">
        <f t="shared" si="37"/>
        <v>0</v>
      </c>
      <c r="AB72" s="55">
        <f t="shared" si="41"/>
        <v>0</v>
      </c>
      <c r="AC72" s="55">
        <f t="shared" si="38"/>
        <v>0</v>
      </c>
      <c r="AD72" s="56">
        <f t="shared" si="39"/>
        <v>41849.919999999998</v>
      </c>
    </row>
    <row r="73" spans="3:30">
      <c r="C73" s="43" t="s">
        <v>168</v>
      </c>
      <c r="D73" s="44" t="s">
        <v>169</v>
      </c>
      <c r="E73" s="44"/>
      <c r="F73" s="45">
        <v>42586.123518518514</v>
      </c>
      <c r="G73" s="46">
        <v>25</v>
      </c>
      <c r="H73" s="47">
        <v>43391</v>
      </c>
      <c r="I73" s="47">
        <v>43404</v>
      </c>
      <c r="J73" s="46">
        <v>949850</v>
      </c>
      <c r="K73" s="46">
        <v>0</v>
      </c>
      <c r="L73" s="46">
        <v>0</v>
      </c>
      <c r="M73" s="46">
        <f t="shared" si="28"/>
        <v>949850</v>
      </c>
      <c r="N73" s="46">
        <v>1311178</v>
      </c>
      <c r="O73" s="48">
        <f t="shared" si="29"/>
        <v>0.27557509354183796</v>
      </c>
      <c r="P73" s="46">
        <v>0</v>
      </c>
      <c r="Q73" s="46">
        <v>949850</v>
      </c>
      <c r="R73" s="49">
        <f t="shared" si="30"/>
        <v>1</v>
      </c>
      <c r="S73" s="50">
        <f t="shared" si="31"/>
        <v>0.01</v>
      </c>
      <c r="T73" s="49">
        <f t="shared" si="32"/>
        <v>9498.5</v>
      </c>
      <c r="U73" s="51">
        <f t="shared" si="33"/>
        <v>0</v>
      </c>
      <c r="V73" s="52">
        <f>IF(0&lt;0.8,0,IF(0&lt;1,Sheet3!L55,1))*IF(G73&lt;3,0.12 - O73,0.01) *U73</f>
        <v>0</v>
      </c>
      <c r="W73" s="52">
        <f t="shared" si="34"/>
        <v>0</v>
      </c>
      <c r="X73" s="53">
        <f t="shared" si="35"/>
        <v>0</v>
      </c>
      <c r="Y73" s="53">
        <f t="shared" si="36"/>
        <v>0</v>
      </c>
      <c r="Z73" s="54">
        <f t="shared" si="40"/>
        <v>0</v>
      </c>
      <c r="AA73" s="54">
        <f t="shared" si="37"/>
        <v>0</v>
      </c>
      <c r="AB73" s="55">
        <f t="shared" si="41"/>
        <v>0</v>
      </c>
      <c r="AC73" s="55">
        <f t="shared" si="38"/>
        <v>0</v>
      </c>
      <c r="AD73" s="56">
        <f t="shared" si="39"/>
        <v>9498.5</v>
      </c>
    </row>
    <row r="74" spans="3:30">
      <c r="C74" s="43" t="s">
        <v>170</v>
      </c>
      <c r="D74" s="44" t="s">
        <v>171</v>
      </c>
      <c r="E74" s="44"/>
      <c r="F74" s="45">
        <v>42592.131412037037</v>
      </c>
      <c r="G74" s="46">
        <v>25</v>
      </c>
      <c r="H74" s="47">
        <v>43396</v>
      </c>
      <c r="I74" s="47">
        <v>43405</v>
      </c>
      <c r="J74" s="46">
        <v>1116294</v>
      </c>
      <c r="K74" s="46">
        <v>0</v>
      </c>
      <c r="L74" s="46">
        <v>0</v>
      </c>
      <c r="M74" s="46">
        <f t="shared" si="28"/>
        <v>1116294</v>
      </c>
      <c r="N74" s="46">
        <v>1116294</v>
      </c>
      <c r="O74" s="48">
        <f t="shared" si="29"/>
        <v>0</v>
      </c>
      <c r="P74" s="46">
        <v>0</v>
      </c>
      <c r="Q74" s="46">
        <v>1116294</v>
      </c>
      <c r="R74" s="49">
        <f t="shared" si="30"/>
        <v>1</v>
      </c>
      <c r="S74" s="50">
        <f t="shared" si="31"/>
        <v>0.01</v>
      </c>
      <c r="T74" s="49">
        <f t="shared" si="32"/>
        <v>11162.94</v>
      </c>
      <c r="U74" s="51">
        <f t="shared" si="33"/>
        <v>0</v>
      </c>
      <c r="V74" s="52">
        <f>IF(0&lt;0.8,0,IF(0&lt;1,Sheet3!L55,1))*IF(G74&lt;3,0.12 - O74,0.01) *U74</f>
        <v>0</v>
      </c>
      <c r="W74" s="52">
        <f t="shared" si="34"/>
        <v>0</v>
      </c>
      <c r="X74" s="53">
        <f t="shared" si="35"/>
        <v>0</v>
      </c>
      <c r="Y74" s="53">
        <f t="shared" si="36"/>
        <v>0</v>
      </c>
      <c r="Z74" s="54">
        <f t="shared" si="40"/>
        <v>0</v>
      </c>
      <c r="AA74" s="54">
        <f t="shared" si="37"/>
        <v>0</v>
      </c>
      <c r="AB74" s="55">
        <f t="shared" si="41"/>
        <v>0</v>
      </c>
      <c r="AC74" s="55">
        <f t="shared" si="38"/>
        <v>0</v>
      </c>
      <c r="AD74" s="56">
        <f t="shared" si="39"/>
        <v>11162.94</v>
      </c>
    </row>
    <row r="75" spans="3:30">
      <c r="C75" s="43" t="s">
        <v>172</v>
      </c>
      <c r="D75" s="44" t="s">
        <v>173</v>
      </c>
      <c r="E75" s="44"/>
      <c r="F75" s="45">
        <v>42609.139837962961</v>
      </c>
      <c r="G75" s="46">
        <v>25</v>
      </c>
      <c r="H75" s="47">
        <v>43391</v>
      </c>
      <c r="I75" s="47">
        <v>43402</v>
      </c>
      <c r="J75" s="46">
        <v>226222</v>
      </c>
      <c r="K75" s="46">
        <v>0</v>
      </c>
      <c r="L75" s="46">
        <v>0</v>
      </c>
      <c r="M75" s="46">
        <f t="shared" si="28"/>
        <v>226222</v>
      </c>
      <c r="N75" s="46">
        <v>226222</v>
      </c>
      <c r="O75" s="48">
        <f t="shared" si="29"/>
        <v>0</v>
      </c>
      <c r="P75" s="46">
        <v>0</v>
      </c>
      <c r="Q75" s="46">
        <v>226222</v>
      </c>
      <c r="R75" s="49">
        <f t="shared" si="30"/>
        <v>1</v>
      </c>
      <c r="S75" s="50">
        <f t="shared" si="31"/>
        <v>0.01</v>
      </c>
      <c r="T75" s="49">
        <f t="shared" si="32"/>
        <v>2262.2200000000003</v>
      </c>
      <c r="U75" s="51">
        <f t="shared" si="33"/>
        <v>0</v>
      </c>
      <c r="V75" s="52">
        <f>IF(0&lt;0.8,0,IF(0&lt;1,Sheet3!L55,1))*IF(G75&lt;3,0.12 - O75,0.01) *U75</f>
        <v>0</v>
      </c>
      <c r="W75" s="52">
        <f t="shared" si="34"/>
        <v>0</v>
      </c>
      <c r="X75" s="53">
        <f t="shared" si="35"/>
        <v>0</v>
      </c>
      <c r="Y75" s="53">
        <f t="shared" si="36"/>
        <v>0</v>
      </c>
      <c r="Z75" s="54">
        <f t="shared" si="40"/>
        <v>0</v>
      </c>
      <c r="AA75" s="54">
        <f t="shared" si="37"/>
        <v>0</v>
      </c>
      <c r="AB75" s="55">
        <f t="shared" si="41"/>
        <v>0</v>
      </c>
      <c r="AC75" s="55">
        <f t="shared" si="38"/>
        <v>0</v>
      </c>
      <c r="AD75" s="56">
        <f t="shared" si="39"/>
        <v>2262.2200000000003</v>
      </c>
    </row>
    <row r="76" spans="3:30">
      <c r="C76" s="43" t="s">
        <v>174</v>
      </c>
      <c r="D76" s="44" t="s">
        <v>175</v>
      </c>
      <c r="E76" s="44"/>
      <c r="F76" s="45">
        <v>42625.083935185183</v>
      </c>
      <c r="G76" s="46">
        <v>24</v>
      </c>
      <c r="H76" s="47">
        <v>43391</v>
      </c>
      <c r="I76" s="47">
        <v>43434</v>
      </c>
      <c r="J76" s="46">
        <v>18360721</v>
      </c>
      <c r="K76" s="46">
        <v>0</v>
      </c>
      <c r="L76" s="46">
        <v>0</v>
      </c>
      <c r="M76" s="46">
        <f t="shared" si="28"/>
        <v>18360721</v>
      </c>
      <c r="N76" s="46">
        <v>18173615</v>
      </c>
      <c r="O76" s="48">
        <f t="shared" si="29"/>
        <v>0</v>
      </c>
      <c r="P76" s="46">
        <v>0</v>
      </c>
      <c r="Q76" s="46">
        <v>18360721</v>
      </c>
      <c r="R76" s="49">
        <f t="shared" si="30"/>
        <v>1</v>
      </c>
      <c r="S76" s="50">
        <f t="shared" si="31"/>
        <v>0.01</v>
      </c>
      <c r="T76" s="49">
        <f t="shared" si="32"/>
        <v>183607.21</v>
      </c>
      <c r="U76" s="51">
        <f t="shared" si="33"/>
        <v>0</v>
      </c>
      <c r="V76" s="52">
        <f>IF(0&lt;0.8,0,IF(0&lt;1,Sheet3!L55,1))*IF(G76&lt;3,0.12 - O76,0.01) *U76</f>
        <v>0</v>
      </c>
      <c r="W76" s="52">
        <f t="shared" si="34"/>
        <v>0</v>
      </c>
      <c r="X76" s="53">
        <f t="shared" si="35"/>
        <v>0</v>
      </c>
      <c r="Y76" s="53">
        <f t="shared" si="36"/>
        <v>0</v>
      </c>
      <c r="Z76" s="54">
        <f t="shared" si="40"/>
        <v>0</v>
      </c>
      <c r="AA76" s="54">
        <f t="shared" si="37"/>
        <v>0</v>
      </c>
      <c r="AB76" s="55">
        <f t="shared" si="41"/>
        <v>0</v>
      </c>
      <c r="AC76" s="55">
        <f t="shared" si="38"/>
        <v>0</v>
      </c>
      <c r="AD76" s="56">
        <f t="shared" si="39"/>
        <v>183607.21</v>
      </c>
    </row>
    <row r="77" spans="3:30">
      <c r="C77" s="43" t="s">
        <v>176</v>
      </c>
      <c r="D77" s="44" t="s">
        <v>177</v>
      </c>
      <c r="E77" s="44"/>
      <c r="F77" s="45">
        <v>42628.10429398148</v>
      </c>
      <c r="G77" s="46">
        <v>24</v>
      </c>
      <c r="H77" s="47">
        <v>43396</v>
      </c>
      <c r="I77" s="47">
        <v>43416</v>
      </c>
      <c r="J77" s="46">
        <v>2406730</v>
      </c>
      <c r="K77" s="46">
        <v>0</v>
      </c>
      <c r="L77" s="46">
        <v>0</v>
      </c>
      <c r="M77" s="46">
        <f t="shared" si="28"/>
        <v>2406730</v>
      </c>
      <c r="N77" s="46">
        <v>3093398</v>
      </c>
      <c r="O77" s="48">
        <f t="shared" si="29"/>
        <v>0.22197854915533011</v>
      </c>
      <c r="P77" s="46">
        <v>0</v>
      </c>
      <c r="Q77" s="46">
        <v>2406730</v>
      </c>
      <c r="R77" s="49">
        <f t="shared" si="30"/>
        <v>1</v>
      </c>
      <c r="S77" s="50">
        <f t="shared" si="31"/>
        <v>0.01</v>
      </c>
      <c r="T77" s="49">
        <f t="shared" si="32"/>
        <v>24067.3</v>
      </c>
      <c r="U77" s="51">
        <f t="shared" si="33"/>
        <v>0</v>
      </c>
      <c r="V77" s="52">
        <f>IF(0&lt;0.8,0,IF(0&lt;1,Sheet3!L55,1))*IF(G77&lt;3,0.12 - O77,0.01) *U77</f>
        <v>0</v>
      </c>
      <c r="W77" s="52">
        <f t="shared" si="34"/>
        <v>0</v>
      </c>
      <c r="X77" s="53">
        <f t="shared" si="35"/>
        <v>0</v>
      </c>
      <c r="Y77" s="53">
        <f t="shared" si="36"/>
        <v>0</v>
      </c>
      <c r="Z77" s="54">
        <f t="shared" si="40"/>
        <v>0</v>
      </c>
      <c r="AA77" s="54">
        <f t="shared" si="37"/>
        <v>0</v>
      </c>
      <c r="AB77" s="55">
        <f t="shared" si="41"/>
        <v>0</v>
      </c>
      <c r="AC77" s="55">
        <f t="shared" si="38"/>
        <v>0</v>
      </c>
      <c r="AD77" s="56">
        <f t="shared" si="39"/>
        <v>24067.3</v>
      </c>
    </row>
    <row r="78" spans="3:30">
      <c r="C78" s="43" t="s">
        <v>178</v>
      </c>
      <c r="D78" s="44" t="s">
        <v>179</v>
      </c>
      <c r="E78" s="44"/>
      <c r="F78" s="45">
        <v>42639.386597222219</v>
      </c>
      <c r="G78" s="46">
        <v>24</v>
      </c>
      <c r="H78" s="47">
        <v>43396</v>
      </c>
      <c r="I78" s="47">
        <v>43405</v>
      </c>
      <c r="J78" s="46">
        <v>801485</v>
      </c>
      <c r="K78" s="46">
        <v>0</v>
      </c>
      <c r="L78" s="46">
        <v>0</v>
      </c>
      <c r="M78" s="46">
        <f t="shared" si="28"/>
        <v>801485</v>
      </c>
      <c r="N78" s="46">
        <v>800415</v>
      </c>
      <c r="O78" s="48">
        <f t="shared" si="29"/>
        <v>0</v>
      </c>
      <c r="P78" s="46">
        <v>0</v>
      </c>
      <c r="Q78" s="46">
        <v>801485</v>
      </c>
      <c r="R78" s="49">
        <f t="shared" si="30"/>
        <v>1</v>
      </c>
      <c r="S78" s="50">
        <f t="shared" si="31"/>
        <v>0.01</v>
      </c>
      <c r="T78" s="49">
        <f t="shared" si="32"/>
        <v>8014.85</v>
      </c>
      <c r="U78" s="51">
        <f t="shared" si="33"/>
        <v>0</v>
      </c>
      <c r="V78" s="52">
        <f>IF(0&lt;0.8,0,IF(0&lt;1,Sheet3!L55,1))*IF(G78&lt;3,0.12 - O78,0.01) *U78</f>
        <v>0</v>
      </c>
      <c r="W78" s="52">
        <f t="shared" si="34"/>
        <v>0</v>
      </c>
      <c r="X78" s="53">
        <f t="shared" si="35"/>
        <v>0</v>
      </c>
      <c r="Y78" s="53">
        <f t="shared" si="36"/>
        <v>0</v>
      </c>
      <c r="Z78" s="54">
        <f t="shared" si="40"/>
        <v>0</v>
      </c>
      <c r="AA78" s="54">
        <f t="shared" si="37"/>
        <v>0</v>
      </c>
      <c r="AB78" s="55">
        <f t="shared" si="41"/>
        <v>0</v>
      </c>
      <c r="AC78" s="55">
        <f t="shared" si="38"/>
        <v>0</v>
      </c>
      <c r="AD78" s="56">
        <f t="shared" si="39"/>
        <v>8014.85</v>
      </c>
    </row>
    <row r="79" spans="3:30">
      <c r="C79" s="43" t="s">
        <v>180</v>
      </c>
      <c r="D79" s="44" t="s">
        <v>181</v>
      </c>
      <c r="E79" s="44"/>
      <c r="F79" s="45">
        <v>42920.275381944441</v>
      </c>
      <c r="G79" s="46">
        <v>14</v>
      </c>
      <c r="H79" s="47">
        <v>43391</v>
      </c>
      <c r="I79" s="47">
        <v>43423</v>
      </c>
      <c r="J79" s="46">
        <v>510620</v>
      </c>
      <c r="K79" s="46">
        <v>0</v>
      </c>
      <c r="L79" s="46">
        <v>0</v>
      </c>
      <c r="M79" s="46">
        <f t="shared" si="28"/>
        <v>510620</v>
      </c>
      <c r="N79" s="46">
        <v>510620</v>
      </c>
      <c r="O79" s="48">
        <f t="shared" si="29"/>
        <v>0</v>
      </c>
      <c r="P79" s="46">
        <v>0</v>
      </c>
      <c r="Q79" s="46">
        <v>510620</v>
      </c>
      <c r="R79" s="49">
        <f t="shared" si="30"/>
        <v>1</v>
      </c>
      <c r="S79" s="50">
        <f t="shared" si="31"/>
        <v>0.01</v>
      </c>
      <c r="T79" s="49">
        <f t="shared" si="32"/>
        <v>5106.2</v>
      </c>
      <c r="U79" s="51">
        <f t="shared" si="33"/>
        <v>0</v>
      </c>
      <c r="V79" s="52">
        <f>IF(0&lt;0.8,0,IF(0&lt;1,Sheet3!L55,1))*IF(G79&lt;3,0.12 - O79,0.01) *U79</f>
        <v>0</v>
      </c>
      <c r="W79" s="52">
        <f t="shared" si="34"/>
        <v>0</v>
      </c>
      <c r="X79" s="53">
        <f t="shared" si="35"/>
        <v>0</v>
      </c>
      <c r="Y79" s="53">
        <f t="shared" si="36"/>
        <v>0</v>
      </c>
      <c r="Z79" s="54">
        <f t="shared" si="40"/>
        <v>0</v>
      </c>
      <c r="AA79" s="54">
        <f t="shared" si="37"/>
        <v>0</v>
      </c>
      <c r="AB79" s="55">
        <f t="shared" si="41"/>
        <v>0</v>
      </c>
      <c r="AC79" s="55">
        <f t="shared" si="38"/>
        <v>0</v>
      </c>
      <c r="AD79" s="56">
        <f t="shared" si="39"/>
        <v>5106.2</v>
      </c>
    </row>
    <row r="80" spans="3:30">
      <c r="C80" s="43" t="s">
        <v>182</v>
      </c>
      <c r="D80" s="44" t="s">
        <v>183</v>
      </c>
      <c r="E80" s="44"/>
      <c r="F80" s="45">
        <v>42796.279236111106</v>
      </c>
      <c r="G80" s="46">
        <v>18</v>
      </c>
      <c r="H80" s="47">
        <v>43388</v>
      </c>
      <c r="I80" s="47">
        <v>43433</v>
      </c>
      <c r="J80" s="46">
        <v>1055663</v>
      </c>
      <c r="K80" s="46">
        <v>0</v>
      </c>
      <c r="L80" s="46">
        <v>0</v>
      </c>
      <c r="M80" s="46">
        <f t="shared" si="28"/>
        <v>1055663</v>
      </c>
      <c r="N80" s="46">
        <v>1053404</v>
      </c>
      <c r="O80" s="48">
        <f t="shared" si="29"/>
        <v>0</v>
      </c>
      <c r="P80" s="46">
        <v>0</v>
      </c>
      <c r="Q80" s="46">
        <v>1055663</v>
      </c>
      <c r="R80" s="49">
        <f t="shared" si="30"/>
        <v>1</v>
      </c>
      <c r="S80" s="50">
        <f t="shared" si="31"/>
        <v>0.01</v>
      </c>
      <c r="T80" s="49">
        <f t="shared" si="32"/>
        <v>10556.630000000001</v>
      </c>
      <c r="U80" s="51">
        <f t="shared" si="33"/>
        <v>0</v>
      </c>
      <c r="V80" s="52">
        <f>IF(0&lt;0.8,0,IF(0&lt;1,Sheet3!L55,1))*IF(G80&lt;3,0.12 - O80,0.01) *U80</f>
        <v>0</v>
      </c>
      <c r="W80" s="52">
        <f t="shared" si="34"/>
        <v>0</v>
      </c>
      <c r="X80" s="53">
        <f t="shared" si="35"/>
        <v>0</v>
      </c>
      <c r="Y80" s="53">
        <f t="shared" si="36"/>
        <v>0</v>
      </c>
      <c r="Z80" s="54">
        <f t="shared" si="40"/>
        <v>0</v>
      </c>
      <c r="AA80" s="54">
        <f t="shared" si="37"/>
        <v>0</v>
      </c>
      <c r="AB80" s="55">
        <f t="shared" si="41"/>
        <v>0</v>
      </c>
      <c r="AC80" s="55">
        <f t="shared" si="38"/>
        <v>0</v>
      </c>
      <c r="AD80" s="56">
        <f t="shared" si="39"/>
        <v>10556.630000000001</v>
      </c>
    </row>
    <row r="81" spans="3:30">
      <c r="C81" s="43" t="s">
        <v>184</v>
      </c>
      <c r="D81" s="44" t="s">
        <v>185</v>
      </c>
      <c r="E81" s="44"/>
      <c r="F81" s="45">
        <v>42534.199687499997</v>
      </c>
      <c r="G81" s="46">
        <v>27</v>
      </c>
      <c r="H81" s="47">
        <v>43376</v>
      </c>
      <c r="I81" s="47">
        <v>43427</v>
      </c>
      <c r="J81" s="46">
        <v>2049376</v>
      </c>
      <c r="K81" s="46">
        <v>0</v>
      </c>
      <c r="L81" s="46">
        <v>0</v>
      </c>
      <c r="M81" s="46">
        <f t="shared" si="28"/>
        <v>2049376</v>
      </c>
      <c r="N81" s="46">
        <v>2049376</v>
      </c>
      <c r="O81" s="48">
        <f t="shared" si="29"/>
        <v>0</v>
      </c>
      <c r="P81" s="46">
        <v>0</v>
      </c>
      <c r="Q81" s="46">
        <v>2049376</v>
      </c>
      <c r="R81" s="49">
        <f t="shared" si="30"/>
        <v>1</v>
      </c>
      <c r="S81" s="50">
        <f t="shared" si="31"/>
        <v>0.01</v>
      </c>
      <c r="T81" s="49">
        <f t="shared" si="32"/>
        <v>20493.760000000002</v>
      </c>
      <c r="U81" s="51">
        <f t="shared" si="33"/>
        <v>0</v>
      </c>
      <c r="V81" s="52">
        <f>IF(0&lt;0.8,0,IF(0&lt;1,Sheet3!L55,1))*IF(G81&lt;3,0.12 - O81,0.01) *U81</f>
        <v>0</v>
      </c>
      <c r="W81" s="52">
        <f t="shared" si="34"/>
        <v>0</v>
      </c>
      <c r="X81" s="53">
        <f t="shared" si="35"/>
        <v>0</v>
      </c>
      <c r="Y81" s="53">
        <f t="shared" si="36"/>
        <v>0</v>
      </c>
      <c r="Z81" s="54">
        <f t="shared" si="40"/>
        <v>0</v>
      </c>
      <c r="AA81" s="54">
        <f t="shared" si="37"/>
        <v>0</v>
      </c>
      <c r="AB81" s="55">
        <f t="shared" si="41"/>
        <v>0</v>
      </c>
      <c r="AC81" s="55">
        <f t="shared" si="38"/>
        <v>0</v>
      </c>
      <c r="AD81" s="56">
        <f t="shared" si="39"/>
        <v>20493.760000000002</v>
      </c>
    </row>
    <row r="82" spans="3:30">
      <c r="C82" s="43" t="s">
        <v>186</v>
      </c>
      <c r="D82" s="44" t="s">
        <v>187</v>
      </c>
      <c r="E82" s="44"/>
      <c r="F82" s="45">
        <v>42929.341168981482</v>
      </c>
      <c r="G82" s="46">
        <v>14</v>
      </c>
      <c r="H82" s="47">
        <v>43403</v>
      </c>
      <c r="I82" s="47">
        <v>43413</v>
      </c>
      <c r="J82" s="46">
        <v>28992442</v>
      </c>
      <c r="K82" s="46">
        <v>8940648</v>
      </c>
      <c r="L82" s="46">
        <v>0</v>
      </c>
      <c r="M82" s="46">
        <f t="shared" si="28"/>
        <v>20051794</v>
      </c>
      <c r="N82" s="46">
        <v>28990314</v>
      </c>
      <c r="O82" s="48">
        <f t="shared" si="29"/>
        <v>0.3083278090744378</v>
      </c>
      <c r="P82" s="46">
        <v>0</v>
      </c>
      <c r="Q82" s="46">
        <v>20671174</v>
      </c>
      <c r="R82" s="49">
        <f t="shared" si="30"/>
        <v>1</v>
      </c>
      <c r="S82" s="50">
        <f t="shared" si="31"/>
        <v>0.01</v>
      </c>
      <c r="T82" s="49">
        <f t="shared" si="32"/>
        <v>200517.94</v>
      </c>
      <c r="U82" s="51">
        <f t="shared" si="33"/>
        <v>0</v>
      </c>
      <c r="V82" s="52">
        <f>IF(0&lt;0.8,0,IF(0&lt;1,Sheet3!L55,1))*IF(G82&lt;3,0.12 - O82,0.01) *U82</f>
        <v>0</v>
      </c>
      <c r="W82" s="52">
        <f t="shared" si="34"/>
        <v>0</v>
      </c>
      <c r="X82" s="53">
        <f t="shared" si="35"/>
        <v>0</v>
      </c>
      <c r="Y82" s="53">
        <f t="shared" si="36"/>
        <v>0</v>
      </c>
      <c r="Z82" s="54">
        <f t="shared" si="40"/>
        <v>0</v>
      </c>
      <c r="AA82" s="54">
        <f t="shared" si="37"/>
        <v>0</v>
      </c>
      <c r="AB82" s="55">
        <f t="shared" si="41"/>
        <v>0</v>
      </c>
      <c r="AC82" s="55">
        <f t="shared" si="38"/>
        <v>0</v>
      </c>
      <c r="AD82" s="56">
        <f t="shared" si="39"/>
        <v>200517.94</v>
      </c>
    </row>
    <row r="83" spans="3:30">
      <c r="C83" s="43" t="s">
        <v>188</v>
      </c>
      <c r="D83" s="44" t="s">
        <v>189</v>
      </c>
      <c r="E83" s="44"/>
      <c r="F83" s="45">
        <v>42978.304606481477</v>
      </c>
      <c r="G83" s="46">
        <v>13</v>
      </c>
      <c r="H83" s="47">
        <v>43376</v>
      </c>
      <c r="I83" s="47">
        <v>43391</v>
      </c>
      <c r="J83" s="46">
        <v>35546910</v>
      </c>
      <c r="K83" s="46">
        <v>0</v>
      </c>
      <c r="L83" s="46">
        <v>0</v>
      </c>
      <c r="M83" s="46">
        <f t="shared" si="28"/>
        <v>35546910</v>
      </c>
      <c r="N83" s="46">
        <v>42875469</v>
      </c>
      <c r="O83" s="48">
        <f t="shared" si="29"/>
        <v>0.17092662006799275</v>
      </c>
      <c r="P83" s="46">
        <v>0</v>
      </c>
      <c r="Q83" s="46">
        <v>35546910</v>
      </c>
      <c r="R83" s="49">
        <f t="shared" si="30"/>
        <v>1</v>
      </c>
      <c r="S83" s="50">
        <f t="shared" si="31"/>
        <v>0.01</v>
      </c>
      <c r="T83" s="49">
        <f t="shared" si="32"/>
        <v>355469.10000000003</v>
      </c>
      <c r="U83" s="51">
        <f t="shared" si="33"/>
        <v>0</v>
      </c>
      <c r="V83" s="52">
        <f>IF(0&lt;0.8,0,IF(0&lt;1,Sheet3!L55,1))*IF(G83&lt;3,0.12 - O83,0.01) *U83</f>
        <v>0</v>
      </c>
      <c r="W83" s="52">
        <f t="shared" si="34"/>
        <v>0</v>
      </c>
      <c r="X83" s="53">
        <f t="shared" si="35"/>
        <v>0</v>
      </c>
      <c r="Y83" s="53">
        <f t="shared" si="36"/>
        <v>0</v>
      </c>
      <c r="Z83" s="54">
        <f t="shared" si="40"/>
        <v>0</v>
      </c>
      <c r="AA83" s="54">
        <f t="shared" si="37"/>
        <v>0</v>
      </c>
      <c r="AB83" s="55">
        <f t="shared" si="41"/>
        <v>0</v>
      </c>
      <c r="AC83" s="55">
        <f t="shared" si="38"/>
        <v>0</v>
      </c>
      <c r="AD83" s="56">
        <f t="shared" si="39"/>
        <v>355469.10000000003</v>
      </c>
    </row>
    <row r="84" spans="3:30">
      <c r="C84" s="43" t="s">
        <v>190</v>
      </c>
      <c r="D84" s="44" t="s">
        <v>191</v>
      </c>
      <c r="E84" s="44"/>
      <c r="F84" s="45">
        <v>43103.391643518517</v>
      </c>
      <c r="G84" s="46">
        <v>8</v>
      </c>
      <c r="H84" s="47">
        <v>43388</v>
      </c>
      <c r="I84" s="47">
        <v>43432</v>
      </c>
      <c r="J84" s="46">
        <v>1360381</v>
      </c>
      <c r="K84" s="46">
        <v>0</v>
      </c>
      <c r="L84" s="46">
        <v>0</v>
      </c>
      <c r="M84" s="46">
        <f t="shared" si="28"/>
        <v>1360381</v>
      </c>
      <c r="N84" s="46">
        <v>1247125</v>
      </c>
      <c r="O84" s="48">
        <f t="shared" si="29"/>
        <v>0</v>
      </c>
      <c r="P84" s="46">
        <v>0</v>
      </c>
      <c r="Q84" s="46">
        <v>1360381</v>
      </c>
      <c r="R84" s="49">
        <f t="shared" si="30"/>
        <v>1</v>
      </c>
      <c r="S84" s="50">
        <f t="shared" si="31"/>
        <v>0.01</v>
      </c>
      <c r="T84" s="49">
        <f t="shared" si="32"/>
        <v>13603.81</v>
      </c>
      <c r="U84" s="51">
        <f t="shared" si="33"/>
        <v>0</v>
      </c>
      <c r="V84" s="52">
        <f>IF(0&lt;0.8,0,IF(0&lt;1,Sheet3!L55,1))*IF(G84&lt;3,0.12 - O84,0.01) *U84</f>
        <v>0</v>
      </c>
      <c r="W84" s="52">
        <f t="shared" si="34"/>
        <v>0</v>
      </c>
      <c r="X84" s="53">
        <f t="shared" si="35"/>
        <v>0</v>
      </c>
      <c r="Y84" s="53">
        <f t="shared" si="36"/>
        <v>0</v>
      </c>
      <c r="Z84" s="54">
        <f t="shared" si="40"/>
        <v>0</v>
      </c>
      <c r="AA84" s="54">
        <f t="shared" si="37"/>
        <v>0</v>
      </c>
      <c r="AB84" s="55">
        <f t="shared" si="41"/>
        <v>0</v>
      </c>
      <c r="AC84" s="55">
        <f t="shared" si="38"/>
        <v>0</v>
      </c>
      <c r="AD84" s="56">
        <f t="shared" si="39"/>
        <v>13603.81</v>
      </c>
    </row>
    <row r="85" spans="3:30">
      <c r="C85" s="43" t="s">
        <v>192</v>
      </c>
      <c r="D85" s="44" t="s">
        <v>193</v>
      </c>
      <c r="E85" s="44"/>
      <c r="F85" s="45">
        <v>43305.297847222224</v>
      </c>
      <c r="G85" s="46">
        <v>2</v>
      </c>
      <c r="H85" s="47">
        <v>43383</v>
      </c>
      <c r="I85" s="47">
        <v>43389</v>
      </c>
      <c r="J85" s="46">
        <v>2604096</v>
      </c>
      <c r="K85" s="46">
        <v>0</v>
      </c>
      <c r="L85" s="46">
        <v>0</v>
      </c>
      <c r="M85" s="46">
        <f t="shared" si="28"/>
        <v>2604096</v>
      </c>
      <c r="N85" s="46">
        <v>2422421</v>
      </c>
      <c r="O85" s="48">
        <f t="shared" si="29"/>
        <v>0</v>
      </c>
      <c r="P85" s="46">
        <v>2604096</v>
      </c>
      <c r="Q85" s="46">
        <v>0</v>
      </c>
      <c r="R85" s="49">
        <f t="shared" si="30"/>
        <v>0</v>
      </c>
      <c r="S85" s="50">
        <f t="shared" si="31"/>
        <v>0</v>
      </c>
      <c r="T85" s="49">
        <f t="shared" si="32"/>
        <v>0</v>
      </c>
      <c r="U85" s="51">
        <f t="shared" si="33"/>
        <v>2604096</v>
      </c>
      <c r="V85" s="52">
        <f>IF(0&lt;0.8,0,IF(0&lt;1,Sheet3!L55,1))*IF(G85&lt;3,0.12 - O85,0.01) *U85</f>
        <v>0</v>
      </c>
      <c r="W85" s="52">
        <f t="shared" si="34"/>
        <v>0</v>
      </c>
      <c r="X85" s="53">
        <f t="shared" si="35"/>
        <v>0</v>
      </c>
      <c r="Y85" s="53">
        <f t="shared" si="36"/>
        <v>0</v>
      </c>
      <c r="Z85" s="54">
        <f t="shared" si="40"/>
        <v>0</v>
      </c>
      <c r="AA85" s="54">
        <f t="shared" si="37"/>
        <v>0</v>
      </c>
      <c r="AB85" s="55">
        <f t="shared" si="41"/>
        <v>0</v>
      </c>
      <c r="AC85" s="55">
        <f t="shared" si="38"/>
        <v>0</v>
      </c>
      <c r="AD85" s="56">
        <f t="shared" si="39"/>
        <v>0</v>
      </c>
    </row>
    <row r="86" spans="3:30">
      <c r="C86" s="43" t="s">
        <v>194</v>
      </c>
      <c r="D86" s="44" t="s">
        <v>195</v>
      </c>
      <c r="E86" s="44"/>
      <c r="F86" s="45">
        <v>41495.409629629627</v>
      </c>
      <c r="G86" s="46">
        <v>61</v>
      </c>
      <c r="H86" s="47">
        <v>43383</v>
      </c>
      <c r="I86" s="47">
        <v>43424</v>
      </c>
      <c r="J86" s="46">
        <v>40641210</v>
      </c>
      <c r="K86" s="46">
        <v>3390166</v>
      </c>
      <c r="L86" s="46">
        <v>0</v>
      </c>
      <c r="M86" s="46">
        <f t="shared" si="28"/>
        <v>37251044</v>
      </c>
      <c r="N86" s="46">
        <v>40595393</v>
      </c>
      <c r="O86" s="48">
        <f t="shared" si="29"/>
        <v>8.2382476257835457E-2</v>
      </c>
      <c r="P86" s="46">
        <v>0</v>
      </c>
      <c r="Q86" s="46">
        <v>40641210</v>
      </c>
      <c r="R86" s="49">
        <f t="shared" si="30"/>
        <v>1</v>
      </c>
      <c r="S86" s="50">
        <f t="shared" si="31"/>
        <v>0.01</v>
      </c>
      <c r="T86" s="49">
        <f t="shared" si="32"/>
        <v>372510.44</v>
      </c>
      <c r="U86" s="51">
        <f t="shared" si="33"/>
        <v>0</v>
      </c>
      <c r="V86" s="52">
        <f>IF(0&lt;0.8,0,IF(0&lt;1,Sheet3!L55,1))*IF(G86&lt;3,0.12 - O86,0.01) *U86</f>
        <v>0</v>
      </c>
      <c r="W86" s="52">
        <f t="shared" si="34"/>
        <v>0</v>
      </c>
      <c r="X86" s="53">
        <f t="shared" si="35"/>
        <v>0</v>
      </c>
      <c r="Y86" s="53">
        <f t="shared" si="36"/>
        <v>0</v>
      </c>
      <c r="Z86" s="54">
        <f t="shared" si="40"/>
        <v>0</v>
      </c>
      <c r="AA86" s="54">
        <f t="shared" si="37"/>
        <v>0</v>
      </c>
      <c r="AB86" s="55">
        <f t="shared" si="41"/>
        <v>0</v>
      </c>
      <c r="AC86" s="55">
        <f t="shared" si="38"/>
        <v>0</v>
      </c>
      <c r="AD86" s="56">
        <f t="shared" si="39"/>
        <v>372510.44</v>
      </c>
    </row>
    <row r="87" spans="3:30">
      <c r="C87" s="43" t="s">
        <v>196</v>
      </c>
      <c r="D87" s="44" t="s">
        <v>197</v>
      </c>
      <c r="E87" s="44"/>
      <c r="F87" s="45">
        <v>40030.48883101852</v>
      </c>
      <c r="G87" s="46">
        <v>109</v>
      </c>
      <c r="H87" s="47">
        <v>43388</v>
      </c>
      <c r="I87" s="47">
        <v>43434</v>
      </c>
      <c r="J87" s="46">
        <v>30185625</v>
      </c>
      <c r="K87" s="46">
        <v>0</v>
      </c>
      <c r="L87" s="46">
        <v>0</v>
      </c>
      <c r="M87" s="46">
        <f t="shared" si="28"/>
        <v>30185625</v>
      </c>
      <c r="N87" s="46">
        <v>30184749</v>
      </c>
      <c r="O87" s="48">
        <f t="shared" si="29"/>
        <v>0</v>
      </c>
      <c r="P87" s="46">
        <v>0</v>
      </c>
      <c r="Q87" s="46">
        <v>30185625</v>
      </c>
      <c r="R87" s="49">
        <f t="shared" si="30"/>
        <v>1</v>
      </c>
      <c r="S87" s="50">
        <f t="shared" si="31"/>
        <v>0.01</v>
      </c>
      <c r="T87" s="49">
        <f t="shared" si="32"/>
        <v>301856.25</v>
      </c>
      <c r="U87" s="51">
        <f t="shared" si="33"/>
        <v>0</v>
      </c>
      <c r="V87" s="52">
        <f>IF(0&lt;0.8,0,IF(0&lt;1,Sheet3!L55,1))*IF(G87&lt;3,0.12 - O87,0.01) *U87</f>
        <v>0</v>
      </c>
      <c r="W87" s="52">
        <f t="shared" si="34"/>
        <v>0</v>
      </c>
      <c r="X87" s="53">
        <f t="shared" si="35"/>
        <v>0</v>
      </c>
      <c r="Y87" s="53">
        <f t="shared" si="36"/>
        <v>0</v>
      </c>
      <c r="Z87" s="54">
        <f t="shared" si="40"/>
        <v>0</v>
      </c>
      <c r="AA87" s="54">
        <f t="shared" si="37"/>
        <v>0</v>
      </c>
      <c r="AB87" s="55">
        <f t="shared" si="41"/>
        <v>0</v>
      </c>
      <c r="AC87" s="55">
        <f t="shared" si="38"/>
        <v>0</v>
      </c>
      <c r="AD87" s="56">
        <f t="shared" si="39"/>
        <v>301856.25</v>
      </c>
    </row>
    <row r="88" spans="3:30">
      <c r="C88" s="43" t="s">
        <v>198</v>
      </c>
      <c r="D88" s="44" t="s">
        <v>199</v>
      </c>
      <c r="E88" s="44"/>
      <c r="F88" s="45">
        <v>42923.145960648144</v>
      </c>
      <c r="G88" s="46">
        <v>14</v>
      </c>
      <c r="H88" s="47">
        <v>43383</v>
      </c>
      <c r="I88" s="47">
        <v>43391</v>
      </c>
      <c r="J88" s="46">
        <v>6425100</v>
      </c>
      <c r="K88" s="46">
        <v>0</v>
      </c>
      <c r="L88" s="46">
        <v>0</v>
      </c>
      <c r="M88" s="46">
        <f t="shared" si="28"/>
        <v>6425100</v>
      </c>
      <c r="N88" s="46">
        <v>6425100</v>
      </c>
      <c r="O88" s="48">
        <f t="shared" si="29"/>
        <v>0</v>
      </c>
      <c r="P88" s="46">
        <v>0</v>
      </c>
      <c r="Q88" s="46">
        <v>6425100</v>
      </c>
      <c r="R88" s="49">
        <f t="shared" si="30"/>
        <v>1</v>
      </c>
      <c r="S88" s="50">
        <f t="shared" si="31"/>
        <v>0.01</v>
      </c>
      <c r="T88" s="49">
        <f t="shared" si="32"/>
        <v>64251</v>
      </c>
      <c r="U88" s="51">
        <f t="shared" si="33"/>
        <v>0</v>
      </c>
      <c r="V88" s="52">
        <f>IF(0&lt;0.8,0,IF(0&lt;1,Sheet3!L55,1))*IF(G88&lt;3,0.12 - O88,0.01) *U88</f>
        <v>0</v>
      </c>
      <c r="W88" s="52">
        <f t="shared" si="34"/>
        <v>0</v>
      </c>
      <c r="X88" s="53">
        <f t="shared" si="35"/>
        <v>0</v>
      </c>
      <c r="Y88" s="53">
        <f t="shared" si="36"/>
        <v>0</v>
      </c>
      <c r="Z88" s="54">
        <f t="shared" si="40"/>
        <v>0</v>
      </c>
      <c r="AA88" s="54">
        <f t="shared" si="37"/>
        <v>0</v>
      </c>
      <c r="AB88" s="55">
        <f t="shared" si="41"/>
        <v>0</v>
      </c>
      <c r="AC88" s="55">
        <f t="shared" si="38"/>
        <v>0</v>
      </c>
      <c r="AD88" s="56">
        <f t="shared" si="39"/>
        <v>64251</v>
      </c>
    </row>
    <row r="89" spans="3:30">
      <c r="C89" s="43" t="s">
        <v>200</v>
      </c>
      <c r="D89" s="44" t="s">
        <v>201</v>
      </c>
      <c r="E89" s="44"/>
      <c r="F89" s="45">
        <v>38960.63853009259</v>
      </c>
      <c r="G89" s="46">
        <v>145</v>
      </c>
      <c r="H89" s="47">
        <v>43376</v>
      </c>
      <c r="I89" s="47">
        <v>43400</v>
      </c>
      <c r="J89" s="46">
        <v>401720</v>
      </c>
      <c r="K89" s="46">
        <v>0</v>
      </c>
      <c r="L89" s="46">
        <v>0</v>
      </c>
      <c r="M89" s="46">
        <f t="shared" si="28"/>
        <v>401720</v>
      </c>
      <c r="N89" s="46">
        <v>401720</v>
      </c>
      <c r="O89" s="48">
        <f t="shared" si="29"/>
        <v>0</v>
      </c>
      <c r="P89" s="46">
        <v>0</v>
      </c>
      <c r="Q89" s="46">
        <v>401720</v>
      </c>
      <c r="R89" s="49">
        <f t="shared" si="30"/>
        <v>1</v>
      </c>
      <c r="S89" s="50">
        <f t="shared" si="31"/>
        <v>0.01</v>
      </c>
      <c r="T89" s="49">
        <f t="shared" si="32"/>
        <v>4017.2000000000003</v>
      </c>
      <c r="U89" s="51">
        <f t="shared" si="33"/>
        <v>0</v>
      </c>
      <c r="V89" s="52">
        <f>IF(0&lt;0.8,0,IF(0&lt;1,Sheet3!L55,1))*IF(G89&lt;3,0.12 - O89,0.01) *U89</f>
        <v>0</v>
      </c>
      <c r="W89" s="52">
        <f t="shared" si="34"/>
        <v>0</v>
      </c>
      <c r="X89" s="53">
        <f t="shared" si="35"/>
        <v>0</v>
      </c>
      <c r="Y89" s="53">
        <f t="shared" si="36"/>
        <v>0</v>
      </c>
      <c r="Z89" s="54">
        <f t="shared" si="40"/>
        <v>0</v>
      </c>
      <c r="AA89" s="54">
        <f t="shared" si="37"/>
        <v>0</v>
      </c>
      <c r="AB89" s="55">
        <f t="shared" si="41"/>
        <v>0</v>
      </c>
      <c r="AC89" s="55">
        <f t="shared" si="38"/>
        <v>0</v>
      </c>
      <c r="AD89" s="56">
        <f t="shared" si="39"/>
        <v>4017.2000000000003</v>
      </c>
    </row>
    <row r="90" spans="3:30">
      <c r="C90" s="43" t="s">
        <v>202</v>
      </c>
      <c r="D90" s="44" t="s">
        <v>203</v>
      </c>
      <c r="E90" s="44"/>
      <c r="F90" s="45">
        <v>40686.572789351849</v>
      </c>
      <c r="G90" s="46">
        <v>88</v>
      </c>
      <c r="H90" s="47">
        <v>43396</v>
      </c>
      <c r="I90" s="47">
        <v>43431</v>
      </c>
      <c r="J90" s="46">
        <v>92654796</v>
      </c>
      <c r="K90" s="46">
        <v>0</v>
      </c>
      <c r="L90" s="46">
        <v>0</v>
      </c>
      <c r="M90" s="46">
        <f t="shared" si="28"/>
        <v>92654796</v>
      </c>
      <c r="N90" s="46">
        <v>92655110</v>
      </c>
      <c r="O90" s="48">
        <f t="shared" si="29"/>
        <v>3.3889118473684476E-6</v>
      </c>
      <c r="P90" s="46">
        <v>0</v>
      </c>
      <c r="Q90" s="46">
        <v>102189717</v>
      </c>
      <c r="R90" s="49">
        <f t="shared" si="30"/>
        <v>1</v>
      </c>
      <c r="S90" s="50">
        <f t="shared" si="31"/>
        <v>0.01</v>
      </c>
      <c r="T90" s="49">
        <f t="shared" si="32"/>
        <v>926547.96</v>
      </c>
      <c r="U90" s="51">
        <f t="shared" si="33"/>
        <v>0</v>
      </c>
      <c r="V90" s="52">
        <f>IF(0&lt;0.8,0,IF(0&lt;1,Sheet3!L55,1))*IF(G90&lt;3,0.12 - O90,0.01) *U90</f>
        <v>0</v>
      </c>
      <c r="W90" s="52">
        <f t="shared" si="34"/>
        <v>0</v>
      </c>
      <c r="X90" s="53">
        <f t="shared" si="35"/>
        <v>0</v>
      </c>
      <c r="Y90" s="53">
        <f t="shared" si="36"/>
        <v>0</v>
      </c>
      <c r="Z90" s="54">
        <f t="shared" si="40"/>
        <v>0</v>
      </c>
      <c r="AA90" s="54">
        <f t="shared" si="37"/>
        <v>0</v>
      </c>
      <c r="AB90" s="55">
        <f t="shared" si="41"/>
        <v>0</v>
      </c>
      <c r="AC90" s="55">
        <f t="shared" si="38"/>
        <v>0</v>
      </c>
      <c r="AD90" s="56">
        <f t="shared" si="39"/>
        <v>926547.96</v>
      </c>
    </row>
    <row r="91" spans="3:30">
      <c r="C91" s="43" t="s">
        <v>204</v>
      </c>
      <c r="D91" s="44" t="s">
        <v>205</v>
      </c>
      <c r="E91" s="44"/>
      <c r="F91" s="45">
        <v>42693.415833333333</v>
      </c>
      <c r="G91" s="46">
        <v>22</v>
      </c>
      <c r="H91" s="47">
        <v>43396</v>
      </c>
      <c r="I91" s="47">
        <v>43416</v>
      </c>
      <c r="J91" s="46">
        <v>2586253</v>
      </c>
      <c r="K91" s="46">
        <v>0</v>
      </c>
      <c r="L91" s="46">
        <v>0</v>
      </c>
      <c r="M91" s="46">
        <f t="shared" si="28"/>
        <v>2586253</v>
      </c>
      <c r="N91" s="46">
        <v>2586253</v>
      </c>
      <c r="O91" s="48">
        <f t="shared" si="29"/>
        <v>0</v>
      </c>
      <c r="P91" s="46">
        <v>0</v>
      </c>
      <c r="Q91" s="46">
        <v>2586253</v>
      </c>
      <c r="R91" s="49">
        <f t="shared" si="30"/>
        <v>1</v>
      </c>
      <c r="S91" s="50">
        <f t="shared" si="31"/>
        <v>0.01</v>
      </c>
      <c r="T91" s="49">
        <f t="shared" si="32"/>
        <v>25862.53</v>
      </c>
      <c r="U91" s="51">
        <f t="shared" si="33"/>
        <v>0</v>
      </c>
      <c r="V91" s="52">
        <f>IF(0&lt;0.8,0,IF(0&lt;1,Sheet3!L55,1))*IF(G91&lt;3,0.12 - O91,0.01) *U91</f>
        <v>0</v>
      </c>
      <c r="W91" s="52">
        <f t="shared" si="34"/>
        <v>0</v>
      </c>
      <c r="X91" s="53">
        <f t="shared" si="35"/>
        <v>0</v>
      </c>
      <c r="Y91" s="53">
        <f t="shared" si="36"/>
        <v>0</v>
      </c>
      <c r="Z91" s="54">
        <f t="shared" si="40"/>
        <v>0</v>
      </c>
      <c r="AA91" s="54">
        <f t="shared" si="37"/>
        <v>0</v>
      </c>
      <c r="AB91" s="55">
        <f t="shared" si="41"/>
        <v>0</v>
      </c>
      <c r="AC91" s="55">
        <f t="shared" si="38"/>
        <v>0</v>
      </c>
      <c r="AD91" s="56">
        <f t="shared" si="39"/>
        <v>25862.53</v>
      </c>
    </row>
    <row r="92" spans="3:30">
      <c r="C92" s="43" t="s">
        <v>206</v>
      </c>
      <c r="D92" s="44" t="s">
        <v>207</v>
      </c>
      <c r="E92" s="44"/>
      <c r="F92" s="45">
        <v>43154.371296296296</v>
      </c>
      <c r="G92" s="46">
        <v>7</v>
      </c>
      <c r="H92" s="47">
        <v>43383</v>
      </c>
      <c r="I92" s="47">
        <v>43410</v>
      </c>
      <c r="J92" s="46">
        <v>144474</v>
      </c>
      <c r="K92" s="46">
        <v>0</v>
      </c>
      <c r="L92" s="46">
        <v>0</v>
      </c>
      <c r="M92" s="46">
        <f t="shared" si="28"/>
        <v>144474</v>
      </c>
      <c r="N92" s="46">
        <v>144474</v>
      </c>
      <c r="O92" s="48">
        <f t="shared" si="29"/>
        <v>0</v>
      </c>
      <c r="P92" s="46">
        <v>0</v>
      </c>
      <c r="Q92" s="46">
        <v>144474</v>
      </c>
      <c r="R92" s="49">
        <f t="shared" si="30"/>
        <v>1</v>
      </c>
      <c r="S92" s="50">
        <f t="shared" si="31"/>
        <v>0.01</v>
      </c>
      <c r="T92" s="49">
        <f t="shared" si="32"/>
        <v>1444.74</v>
      </c>
      <c r="U92" s="51">
        <f t="shared" si="33"/>
        <v>0</v>
      </c>
      <c r="V92" s="52">
        <f>IF(0&lt;0.8,0,IF(0&lt;1,Sheet3!L55,1))*IF(G92&lt;3,0.12 - O92,0.01) *U92</f>
        <v>0</v>
      </c>
      <c r="W92" s="52">
        <f t="shared" si="34"/>
        <v>0</v>
      </c>
      <c r="X92" s="53">
        <f t="shared" si="35"/>
        <v>0</v>
      </c>
      <c r="Y92" s="53">
        <f t="shared" si="36"/>
        <v>0</v>
      </c>
      <c r="Z92" s="54">
        <f t="shared" si="40"/>
        <v>0</v>
      </c>
      <c r="AA92" s="54">
        <f t="shared" si="37"/>
        <v>0</v>
      </c>
      <c r="AB92" s="55">
        <f t="shared" si="41"/>
        <v>0</v>
      </c>
      <c r="AC92" s="55">
        <f t="shared" si="38"/>
        <v>0</v>
      </c>
      <c r="AD92" s="56">
        <f t="shared" si="39"/>
        <v>1444.74</v>
      </c>
    </row>
    <row r="93" spans="3:30">
      <c r="C93" s="43" t="s">
        <v>208</v>
      </c>
      <c r="D93" s="44" t="s">
        <v>209</v>
      </c>
      <c r="E93" s="44"/>
      <c r="F93" s="45">
        <v>41537.402627314812</v>
      </c>
      <c r="G93" s="46">
        <v>60</v>
      </c>
      <c r="H93" s="47">
        <v>43376</v>
      </c>
      <c r="I93" s="47">
        <v>43397</v>
      </c>
      <c r="J93" s="46">
        <v>5115427</v>
      </c>
      <c r="K93" s="46">
        <v>0</v>
      </c>
      <c r="L93" s="46">
        <v>0</v>
      </c>
      <c r="M93" s="46">
        <f t="shared" si="28"/>
        <v>5115427</v>
      </c>
      <c r="N93" s="46">
        <v>5111268</v>
      </c>
      <c r="O93" s="48">
        <f t="shared" si="29"/>
        <v>0</v>
      </c>
      <c r="P93" s="46">
        <v>0</v>
      </c>
      <c r="Q93" s="46">
        <v>5115427</v>
      </c>
      <c r="R93" s="49">
        <f t="shared" si="30"/>
        <v>1</v>
      </c>
      <c r="S93" s="50">
        <f t="shared" si="31"/>
        <v>0.01</v>
      </c>
      <c r="T93" s="49">
        <f t="shared" si="32"/>
        <v>51154.270000000004</v>
      </c>
      <c r="U93" s="51">
        <f t="shared" si="33"/>
        <v>0</v>
      </c>
      <c r="V93" s="52">
        <f>IF(0&lt;0.8,0,IF(0&lt;1,Sheet3!L55,1))*IF(G93&lt;3,0.12 - O93,0.01) *U93</f>
        <v>0</v>
      </c>
      <c r="W93" s="52">
        <f t="shared" si="34"/>
        <v>0</v>
      </c>
      <c r="X93" s="53">
        <f t="shared" si="35"/>
        <v>0</v>
      </c>
      <c r="Y93" s="53">
        <f t="shared" si="36"/>
        <v>0</v>
      </c>
      <c r="Z93" s="54">
        <f t="shared" si="40"/>
        <v>0</v>
      </c>
      <c r="AA93" s="54">
        <f t="shared" si="37"/>
        <v>0</v>
      </c>
      <c r="AB93" s="55">
        <f t="shared" si="41"/>
        <v>0</v>
      </c>
      <c r="AC93" s="55">
        <f t="shared" si="38"/>
        <v>0</v>
      </c>
      <c r="AD93" s="56">
        <f t="shared" si="39"/>
        <v>51154.270000000004</v>
      </c>
    </row>
    <row r="94" spans="3:30">
      <c r="C94" s="43" t="s">
        <v>210</v>
      </c>
      <c r="D94" s="44" t="s">
        <v>211</v>
      </c>
      <c r="E94" s="44"/>
      <c r="F94" s="45">
        <v>42313.519907407404</v>
      </c>
      <c r="G94" s="46">
        <v>34</v>
      </c>
      <c r="H94" s="47">
        <v>43376</v>
      </c>
      <c r="I94" s="47">
        <v>43400</v>
      </c>
      <c r="J94" s="46">
        <v>248655</v>
      </c>
      <c r="K94" s="46">
        <v>0</v>
      </c>
      <c r="L94" s="46">
        <v>0</v>
      </c>
      <c r="M94" s="46">
        <f t="shared" si="28"/>
        <v>248655</v>
      </c>
      <c r="N94" s="46">
        <v>248655</v>
      </c>
      <c r="O94" s="48">
        <f t="shared" si="29"/>
        <v>0</v>
      </c>
      <c r="P94" s="46">
        <v>0</v>
      </c>
      <c r="Q94" s="46">
        <v>248655</v>
      </c>
      <c r="R94" s="49">
        <f t="shared" si="30"/>
        <v>1</v>
      </c>
      <c r="S94" s="50">
        <f t="shared" si="31"/>
        <v>0.01</v>
      </c>
      <c r="T94" s="49">
        <f t="shared" si="32"/>
        <v>2486.5500000000002</v>
      </c>
      <c r="U94" s="51">
        <f t="shared" si="33"/>
        <v>0</v>
      </c>
      <c r="V94" s="52">
        <f>IF(0&lt;0.8,0,IF(0&lt;1,Sheet3!L55,1))*IF(G94&lt;3,0.12 - O94,0.01) *U94</f>
        <v>0</v>
      </c>
      <c r="W94" s="52">
        <f t="shared" si="34"/>
        <v>0</v>
      </c>
      <c r="X94" s="53">
        <f t="shared" si="35"/>
        <v>0</v>
      </c>
      <c r="Y94" s="53">
        <f t="shared" si="36"/>
        <v>0</v>
      </c>
      <c r="Z94" s="54">
        <f t="shared" si="40"/>
        <v>0</v>
      </c>
      <c r="AA94" s="54">
        <f t="shared" si="37"/>
        <v>0</v>
      </c>
      <c r="AB94" s="55">
        <f t="shared" si="41"/>
        <v>0</v>
      </c>
      <c r="AC94" s="55">
        <f t="shared" si="38"/>
        <v>0</v>
      </c>
      <c r="AD94" s="56">
        <f t="shared" si="39"/>
        <v>2486.5500000000002</v>
      </c>
    </row>
    <row r="95" spans="3:30">
      <c r="C95" s="43" t="s">
        <v>212</v>
      </c>
      <c r="D95" s="44" t="s">
        <v>213</v>
      </c>
      <c r="E95" s="44"/>
      <c r="F95" s="45">
        <v>43278.105439814812</v>
      </c>
      <c r="G95" s="46">
        <v>3</v>
      </c>
      <c r="H95" s="47">
        <v>43459</v>
      </c>
      <c r="I95" s="47">
        <v>43486</v>
      </c>
      <c r="J95" s="46">
        <v>688710</v>
      </c>
      <c r="K95" s="46">
        <v>0</v>
      </c>
      <c r="L95" s="46">
        <v>0</v>
      </c>
      <c r="M95" s="46">
        <f t="shared" si="28"/>
        <v>688710</v>
      </c>
      <c r="N95" s="46">
        <v>825099</v>
      </c>
      <c r="O95" s="48">
        <f t="shared" si="29"/>
        <v>0.16530016398032232</v>
      </c>
      <c r="P95" s="46">
        <v>0</v>
      </c>
      <c r="Q95" s="46">
        <v>0</v>
      </c>
      <c r="R95" s="49">
        <f t="shared" si="30"/>
        <v>1</v>
      </c>
      <c r="S95" s="50">
        <f t="shared" si="31"/>
        <v>0.01</v>
      </c>
      <c r="T95" s="49">
        <f t="shared" si="32"/>
        <v>6887.1</v>
      </c>
      <c r="U95" s="51">
        <f t="shared" si="33"/>
        <v>0</v>
      </c>
      <c r="V95" s="52">
        <f>IF(0&lt;0.8,0,IF(0&lt;1,Sheet3!L55,1))*IF(G95&lt;3,0.12 - O95,0.01) *U95</f>
        <v>0</v>
      </c>
      <c r="W95" s="52">
        <f t="shared" si="34"/>
        <v>0</v>
      </c>
      <c r="X95" s="53">
        <f t="shared" si="35"/>
        <v>0</v>
      </c>
      <c r="Y95" s="53">
        <f t="shared" si="36"/>
        <v>0</v>
      </c>
      <c r="Z95" s="54">
        <f t="shared" si="40"/>
        <v>0</v>
      </c>
      <c r="AA95" s="54">
        <f t="shared" si="37"/>
        <v>0</v>
      </c>
      <c r="AB95" s="55">
        <f t="shared" si="41"/>
        <v>0</v>
      </c>
      <c r="AC95" s="55">
        <f t="shared" si="38"/>
        <v>0</v>
      </c>
      <c r="AD95" s="56">
        <f t="shared" si="39"/>
        <v>6887.1</v>
      </c>
    </row>
    <row r="96" spans="3:30">
      <c r="C96" s="43" t="s">
        <v>214</v>
      </c>
      <c r="D96" s="44" t="s">
        <v>215</v>
      </c>
      <c r="E96" s="44"/>
      <c r="F96" s="45">
        <v>39704.623981481476</v>
      </c>
      <c r="G96" s="46">
        <v>120</v>
      </c>
      <c r="H96" s="47">
        <v>43395</v>
      </c>
      <c r="I96" s="47">
        <v>43398</v>
      </c>
      <c r="J96" s="46">
        <v>12536145</v>
      </c>
      <c r="K96" s="46">
        <v>1139650</v>
      </c>
      <c r="L96" s="46">
        <v>0</v>
      </c>
      <c r="M96" s="46">
        <f t="shared" si="28"/>
        <v>11396495</v>
      </c>
      <c r="N96" s="46">
        <v>12536595</v>
      </c>
      <c r="O96" s="48">
        <f t="shared" si="29"/>
        <v>9.0941758906624925E-2</v>
      </c>
      <c r="P96" s="46">
        <v>0</v>
      </c>
      <c r="Q96" s="46">
        <v>12536145</v>
      </c>
      <c r="R96" s="49">
        <f t="shared" si="30"/>
        <v>1</v>
      </c>
      <c r="S96" s="50">
        <f t="shared" si="31"/>
        <v>0.01</v>
      </c>
      <c r="T96" s="49">
        <f t="shared" si="32"/>
        <v>113964.95</v>
      </c>
      <c r="U96" s="51">
        <f t="shared" si="33"/>
        <v>0</v>
      </c>
      <c r="V96" s="52">
        <f>IF(0&lt;0.8,0,IF(0&lt;1,Sheet3!L55,1))*IF(G96&lt;3,0.12 - O96,0.01) *U96</f>
        <v>0</v>
      </c>
      <c r="W96" s="52">
        <f t="shared" si="34"/>
        <v>0</v>
      </c>
      <c r="X96" s="53">
        <f t="shared" si="35"/>
        <v>0</v>
      </c>
      <c r="Y96" s="53">
        <f t="shared" si="36"/>
        <v>0</v>
      </c>
      <c r="Z96" s="54">
        <f t="shared" si="40"/>
        <v>0</v>
      </c>
      <c r="AA96" s="54">
        <f t="shared" si="37"/>
        <v>0</v>
      </c>
      <c r="AB96" s="55">
        <f t="shared" si="41"/>
        <v>0</v>
      </c>
      <c r="AC96" s="55">
        <f t="shared" si="38"/>
        <v>0</v>
      </c>
      <c r="AD96" s="56">
        <f t="shared" si="39"/>
        <v>113964.95</v>
      </c>
    </row>
    <row r="97" spans="3:30">
      <c r="C97" s="43" t="s">
        <v>216</v>
      </c>
      <c r="D97" s="44" t="s">
        <v>217</v>
      </c>
      <c r="E97" s="44"/>
      <c r="F97" s="45">
        <v>41222.464386574073</v>
      </c>
      <c r="G97" s="46">
        <v>70</v>
      </c>
      <c r="H97" s="47">
        <v>43376</v>
      </c>
      <c r="I97" s="47">
        <v>43396</v>
      </c>
      <c r="J97" s="46">
        <v>371591</v>
      </c>
      <c r="K97" s="46">
        <v>0</v>
      </c>
      <c r="L97" s="46">
        <v>0</v>
      </c>
      <c r="M97" s="46">
        <f t="shared" si="28"/>
        <v>371591</v>
      </c>
      <c r="N97" s="46">
        <v>371591</v>
      </c>
      <c r="O97" s="48">
        <f t="shared" si="29"/>
        <v>0</v>
      </c>
      <c r="P97" s="46">
        <v>0</v>
      </c>
      <c r="Q97" s="46">
        <v>371591</v>
      </c>
      <c r="R97" s="49">
        <f t="shared" si="30"/>
        <v>1</v>
      </c>
      <c r="S97" s="50">
        <f t="shared" si="31"/>
        <v>0.01</v>
      </c>
      <c r="T97" s="49">
        <f t="shared" si="32"/>
        <v>3715.91</v>
      </c>
      <c r="U97" s="51">
        <f t="shared" si="33"/>
        <v>0</v>
      </c>
      <c r="V97" s="52">
        <f>IF(0&lt;0.8,0,IF(0&lt;1,Sheet3!L55,1))*IF(G97&lt;3,0.12 - O97,0.01) *U97</f>
        <v>0</v>
      </c>
      <c r="W97" s="52">
        <f t="shared" si="34"/>
        <v>0</v>
      </c>
      <c r="X97" s="53">
        <f t="shared" si="35"/>
        <v>0</v>
      </c>
      <c r="Y97" s="53">
        <f t="shared" si="36"/>
        <v>0</v>
      </c>
      <c r="Z97" s="54">
        <f t="shared" si="40"/>
        <v>0</v>
      </c>
      <c r="AA97" s="54">
        <f t="shared" si="37"/>
        <v>0</v>
      </c>
      <c r="AB97" s="55">
        <f t="shared" si="41"/>
        <v>0</v>
      </c>
      <c r="AC97" s="55">
        <f t="shared" si="38"/>
        <v>0</v>
      </c>
      <c r="AD97" s="56">
        <f t="shared" si="39"/>
        <v>3715.91</v>
      </c>
    </row>
    <row r="98" spans="3:30">
      <c r="C98" s="43" t="s">
        <v>218</v>
      </c>
      <c r="D98" s="44" t="s">
        <v>219</v>
      </c>
      <c r="E98" s="44"/>
      <c r="F98" s="45">
        <v>41424.421377314815</v>
      </c>
      <c r="G98" s="46">
        <v>64</v>
      </c>
      <c r="H98" s="47">
        <v>43382</v>
      </c>
      <c r="I98" s="47">
        <v>43396</v>
      </c>
      <c r="J98" s="46">
        <v>3821870</v>
      </c>
      <c r="K98" s="46">
        <v>347443</v>
      </c>
      <c r="L98" s="46">
        <v>0</v>
      </c>
      <c r="M98" s="46">
        <f t="shared" si="28"/>
        <v>3474427</v>
      </c>
      <c r="N98" s="46">
        <v>3821870</v>
      </c>
      <c r="O98" s="48">
        <f t="shared" si="29"/>
        <v>9.0909162268732358E-2</v>
      </c>
      <c r="P98" s="46">
        <v>0</v>
      </c>
      <c r="Q98" s="46">
        <v>3821870</v>
      </c>
      <c r="R98" s="49">
        <f t="shared" si="30"/>
        <v>1</v>
      </c>
      <c r="S98" s="50">
        <f t="shared" si="31"/>
        <v>0.01</v>
      </c>
      <c r="T98" s="49">
        <f t="shared" si="32"/>
        <v>34744.270000000004</v>
      </c>
      <c r="U98" s="51">
        <f t="shared" si="33"/>
        <v>0</v>
      </c>
      <c r="V98" s="52">
        <f>IF(0&lt;0.8,0,IF(0&lt;1,Sheet3!L55,1))*IF(G98&lt;3,0.12 - O98,0.01) *U98</f>
        <v>0</v>
      </c>
      <c r="W98" s="52">
        <f t="shared" si="34"/>
        <v>0</v>
      </c>
      <c r="X98" s="53">
        <f t="shared" si="35"/>
        <v>0</v>
      </c>
      <c r="Y98" s="53">
        <f t="shared" si="36"/>
        <v>0</v>
      </c>
      <c r="Z98" s="54">
        <f t="shared" si="40"/>
        <v>0</v>
      </c>
      <c r="AA98" s="54">
        <f t="shared" si="37"/>
        <v>0</v>
      </c>
      <c r="AB98" s="55">
        <f t="shared" si="41"/>
        <v>0</v>
      </c>
      <c r="AC98" s="55">
        <f t="shared" si="38"/>
        <v>0</v>
      </c>
      <c r="AD98" s="56">
        <f t="shared" si="39"/>
        <v>34744.270000000004</v>
      </c>
    </row>
    <row r="99" spans="3:30">
      <c r="C99" s="43" t="s">
        <v>220</v>
      </c>
      <c r="D99" s="44" t="s">
        <v>221</v>
      </c>
      <c r="E99" s="44"/>
      <c r="F99" s="45">
        <v>41799.64335648148</v>
      </c>
      <c r="G99" s="46">
        <v>51</v>
      </c>
      <c r="H99" s="47">
        <v>43382</v>
      </c>
      <c r="I99" s="47">
        <v>43396</v>
      </c>
      <c r="J99" s="46">
        <v>1760308</v>
      </c>
      <c r="K99" s="46">
        <v>0</v>
      </c>
      <c r="L99" s="46">
        <v>0</v>
      </c>
      <c r="M99" s="46">
        <f t="shared" si="28"/>
        <v>1760308</v>
      </c>
      <c r="N99" s="46">
        <v>1760308</v>
      </c>
      <c r="O99" s="48">
        <f t="shared" si="29"/>
        <v>0</v>
      </c>
      <c r="P99" s="46">
        <v>0</v>
      </c>
      <c r="Q99" s="46">
        <v>1760308</v>
      </c>
      <c r="R99" s="49">
        <f t="shared" si="30"/>
        <v>1</v>
      </c>
      <c r="S99" s="50">
        <f t="shared" si="31"/>
        <v>0.01</v>
      </c>
      <c r="T99" s="49">
        <f t="shared" si="32"/>
        <v>17603.080000000002</v>
      </c>
      <c r="U99" s="51">
        <f t="shared" si="33"/>
        <v>0</v>
      </c>
      <c r="V99" s="52">
        <f>IF(0&lt;0.8,0,IF(0&lt;1,Sheet3!L55,1))*IF(G99&lt;3,0.12 - O99,0.01) *U99</f>
        <v>0</v>
      </c>
      <c r="W99" s="52">
        <f t="shared" si="34"/>
        <v>0</v>
      </c>
      <c r="X99" s="53">
        <f t="shared" si="35"/>
        <v>0</v>
      </c>
      <c r="Y99" s="53">
        <f t="shared" si="36"/>
        <v>0</v>
      </c>
      <c r="Z99" s="54">
        <f t="shared" si="40"/>
        <v>0</v>
      </c>
      <c r="AA99" s="54">
        <f t="shared" si="37"/>
        <v>0</v>
      </c>
      <c r="AB99" s="55">
        <f t="shared" si="41"/>
        <v>0</v>
      </c>
      <c r="AC99" s="55">
        <f t="shared" si="38"/>
        <v>0</v>
      </c>
      <c r="AD99" s="56">
        <f t="shared" si="39"/>
        <v>17603.080000000002</v>
      </c>
    </row>
    <row r="100" spans="3:30">
      <c r="C100" s="43" t="s">
        <v>222</v>
      </c>
      <c r="D100" s="44" t="s">
        <v>223</v>
      </c>
      <c r="E100" s="44"/>
      <c r="F100" s="45">
        <v>41866.619085648148</v>
      </c>
      <c r="G100" s="46">
        <v>49</v>
      </c>
      <c r="H100" s="47">
        <v>43376</v>
      </c>
      <c r="I100" s="47">
        <v>43420</v>
      </c>
      <c r="J100" s="46">
        <v>55109540</v>
      </c>
      <c r="K100" s="46">
        <v>0</v>
      </c>
      <c r="L100" s="46">
        <v>0</v>
      </c>
      <c r="M100" s="46">
        <f t="shared" si="28"/>
        <v>55109540</v>
      </c>
      <c r="N100" s="46">
        <v>55104240</v>
      </c>
      <c r="O100" s="48">
        <f t="shared" si="29"/>
        <v>0</v>
      </c>
      <c r="P100" s="46">
        <v>0</v>
      </c>
      <c r="Q100" s="46">
        <v>56384880</v>
      </c>
      <c r="R100" s="49">
        <f t="shared" si="30"/>
        <v>1</v>
      </c>
      <c r="S100" s="50">
        <f t="shared" si="31"/>
        <v>0.01</v>
      </c>
      <c r="T100" s="49">
        <f t="shared" si="32"/>
        <v>551095.4</v>
      </c>
      <c r="U100" s="51">
        <f t="shared" si="33"/>
        <v>0</v>
      </c>
      <c r="V100" s="52">
        <f>IF(0&lt;0.8,0,IF(0&lt;1,Sheet3!L55,1))*IF(G100&lt;3,0.12 - O100,0.01) *U100</f>
        <v>0</v>
      </c>
      <c r="W100" s="52">
        <f t="shared" si="34"/>
        <v>0</v>
      </c>
      <c r="X100" s="53">
        <f t="shared" si="35"/>
        <v>0</v>
      </c>
      <c r="Y100" s="53">
        <f t="shared" si="36"/>
        <v>0</v>
      </c>
      <c r="Z100" s="54">
        <f t="shared" si="40"/>
        <v>0</v>
      </c>
      <c r="AA100" s="54">
        <f t="shared" si="37"/>
        <v>0</v>
      </c>
      <c r="AB100" s="55">
        <f t="shared" si="41"/>
        <v>0</v>
      </c>
      <c r="AC100" s="55">
        <f t="shared" si="38"/>
        <v>0</v>
      </c>
      <c r="AD100" s="56">
        <f t="shared" si="39"/>
        <v>551095.4</v>
      </c>
    </row>
    <row r="101" spans="3:30">
      <c r="C101" s="43" t="s">
        <v>224</v>
      </c>
      <c r="D101" s="44" t="s">
        <v>225</v>
      </c>
      <c r="E101" s="44"/>
      <c r="F101" s="45">
        <v>42191.574548611112</v>
      </c>
      <c r="G101" s="46">
        <v>38</v>
      </c>
      <c r="H101" s="47">
        <v>43376</v>
      </c>
      <c r="I101" s="47">
        <v>43423</v>
      </c>
      <c r="J101" s="46">
        <v>14673205</v>
      </c>
      <c r="K101" s="46">
        <v>0</v>
      </c>
      <c r="L101" s="46">
        <v>0</v>
      </c>
      <c r="M101" s="46">
        <f t="shared" si="28"/>
        <v>14673205</v>
      </c>
      <c r="N101" s="46">
        <v>14502261</v>
      </c>
      <c r="O101" s="48">
        <f t="shared" si="29"/>
        <v>0</v>
      </c>
      <c r="P101" s="46">
        <v>0</v>
      </c>
      <c r="Q101" s="46">
        <v>14673205</v>
      </c>
      <c r="R101" s="49">
        <f t="shared" si="30"/>
        <v>1</v>
      </c>
      <c r="S101" s="50">
        <f t="shared" si="31"/>
        <v>0.01</v>
      </c>
      <c r="T101" s="49">
        <f t="shared" si="32"/>
        <v>146732.05000000002</v>
      </c>
      <c r="U101" s="51">
        <f t="shared" si="33"/>
        <v>0</v>
      </c>
      <c r="V101" s="52">
        <f>IF(0&lt;0.8,0,IF(0&lt;1,Sheet3!L55,1))*IF(G101&lt;3,0.12 - O101,0.01) *U101</f>
        <v>0</v>
      </c>
      <c r="W101" s="52">
        <f t="shared" si="34"/>
        <v>0</v>
      </c>
      <c r="X101" s="53">
        <f t="shared" si="35"/>
        <v>0</v>
      </c>
      <c r="Y101" s="53">
        <f t="shared" si="36"/>
        <v>0</v>
      </c>
      <c r="Z101" s="54">
        <f t="shared" si="40"/>
        <v>0</v>
      </c>
      <c r="AA101" s="54">
        <f t="shared" si="37"/>
        <v>0</v>
      </c>
      <c r="AB101" s="55">
        <f t="shared" si="41"/>
        <v>0</v>
      </c>
      <c r="AC101" s="55">
        <f t="shared" si="38"/>
        <v>0</v>
      </c>
      <c r="AD101" s="56">
        <f t="shared" si="39"/>
        <v>146732.05000000002</v>
      </c>
    </row>
    <row r="102" spans="3:30">
      <c r="C102" s="43" t="s">
        <v>226</v>
      </c>
      <c r="D102" s="44" t="s">
        <v>227</v>
      </c>
      <c r="E102" s="44"/>
      <c r="F102" s="45">
        <v>42199.465115740742</v>
      </c>
      <c r="G102" s="46">
        <v>38</v>
      </c>
      <c r="H102" s="47">
        <v>43376</v>
      </c>
      <c r="I102" s="47">
        <v>43411</v>
      </c>
      <c r="J102" s="46">
        <v>504812</v>
      </c>
      <c r="K102" s="46">
        <v>0</v>
      </c>
      <c r="L102" s="46">
        <v>0</v>
      </c>
      <c r="M102" s="46">
        <f t="shared" si="28"/>
        <v>504812</v>
      </c>
      <c r="N102" s="46">
        <v>504812</v>
      </c>
      <c r="O102" s="48">
        <f t="shared" si="29"/>
        <v>0</v>
      </c>
      <c r="P102" s="46">
        <v>0</v>
      </c>
      <c r="Q102" s="46">
        <v>504812</v>
      </c>
      <c r="R102" s="49">
        <f t="shared" si="30"/>
        <v>1</v>
      </c>
      <c r="S102" s="50">
        <f t="shared" si="31"/>
        <v>0.01</v>
      </c>
      <c r="T102" s="49">
        <f t="shared" si="32"/>
        <v>5048.12</v>
      </c>
      <c r="U102" s="51">
        <f t="shared" si="33"/>
        <v>0</v>
      </c>
      <c r="V102" s="52">
        <f>IF(0&lt;0.8,0,IF(0&lt;1,Sheet3!L55,1))*IF(G102&lt;3,0.12 - O102,0.01) *U102</f>
        <v>0</v>
      </c>
      <c r="W102" s="52">
        <f t="shared" si="34"/>
        <v>0</v>
      </c>
      <c r="X102" s="53">
        <f t="shared" si="35"/>
        <v>0</v>
      </c>
      <c r="Y102" s="53">
        <f t="shared" si="36"/>
        <v>0</v>
      </c>
      <c r="Z102" s="54">
        <f t="shared" si="40"/>
        <v>0</v>
      </c>
      <c r="AA102" s="54">
        <f t="shared" si="37"/>
        <v>0</v>
      </c>
      <c r="AB102" s="55">
        <f t="shared" si="41"/>
        <v>0</v>
      </c>
      <c r="AC102" s="55">
        <f t="shared" si="38"/>
        <v>0</v>
      </c>
      <c r="AD102" s="56">
        <f t="shared" si="39"/>
        <v>5048.12</v>
      </c>
    </row>
    <row r="103" spans="3:30">
      <c r="C103" s="43" t="s">
        <v>228</v>
      </c>
      <c r="D103" s="44" t="s">
        <v>229</v>
      </c>
      <c r="E103" s="44"/>
      <c r="F103" s="45">
        <v>42199.467199074075</v>
      </c>
      <c r="G103" s="46">
        <v>38</v>
      </c>
      <c r="H103" s="47">
        <v>43376</v>
      </c>
      <c r="I103" s="47">
        <v>43384</v>
      </c>
      <c r="J103" s="46">
        <v>2885794</v>
      </c>
      <c r="K103" s="46">
        <v>0</v>
      </c>
      <c r="L103" s="46">
        <v>0</v>
      </c>
      <c r="M103" s="46">
        <f t="shared" si="28"/>
        <v>2885794</v>
      </c>
      <c r="N103" s="46">
        <v>2872344</v>
      </c>
      <c r="O103" s="48">
        <f t="shared" si="29"/>
        <v>0</v>
      </c>
      <c r="P103" s="46">
        <v>0</v>
      </c>
      <c r="Q103" s="46">
        <v>2885794</v>
      </c>
      <c r="R103" s="49">
        <f t="shared" si="30"/>
        <v>1</v>
      </c>
      <c r="S103" s="50">
        <f t="shared" si="31"/>
        <v>0.01</v>
      </c>
      <c r="T103" s="49">
        <f t="shared" si="32"/>
        <v>28857.940000000002</v>
      </c>
      <c r="U103" s="51">
        <f t="shared" si="33"/>
        <v>0</v>
      </c>
      <c r="V103" s="52">
        <f>IF(0&lt;0.8,0,IF(0&lt;1,Sheet3!L55,1))*IF(G103&lt;3,0.12 - O103,0.01) *U103</f>
        <v>0</v>
      </c>
      <c r="W103" s="52">
        <f t="shared" si="34"/>
        <v>0</v>
      </c>
      <c r="X103" s="53">
        <f t="shared" si="35"/>
        <v>0</v>
      </c>
      <c r="Y103" s="53">
        <f t="shared" si="36"/>
        <v>0</v>
      </c>
      <c r="Z103" s="54">
        <f t="shared" si="40"/>
        <v>0</v>
      </c>
      <c r="AA103" s="54">
        <f t="shared" si="37"/>
        <v>0</v>
      </c>
      <c r="AB103" s="55">
        <f t="shared" si="41"/>
        <v>0</v>
      </c>
      <c r="AC103" s="55">
        <f t="shared" si="38"/>
        <v>0</v>
      </c>
      <c r="AD103" s="56">
        <f t="shared" si="39"/>
        <v>28857.940000000002</v>
      </c>
    </row>
    <row r="104" spans="3:30">
      <c r="C104" s="43" t="s">
        <v>230</v>
      </c>
      <c r="D104" s="44" t="s">
        <v>231</v>
      </c>
      <c r="E104" s="44"/>
      <c r="F104" s="45">
        <v>42199.571655092594</v>
      </c>
      <c r="G104" s="46">
        <v>38</v>
      </c>
      <c r="H104" s="47">
        <v>43376</v>
      </c>
      <c r="I104" s="47">
        <v>43405</v>
      </c>
      <c r="J104" s="46">
        <v>303468</v>
      </c>
      <c r="K104" s="46">
        <v>0</v>
      </c>
      <c r="L104" s="46">
        <v>0</v>
      </c>
      <c r="M104" s="46">
        <f t="shared" si="28"/>
        <v>303468</v>
      </c>
      <c r="N104" s="46">
        <v>303468</v>
      </c>
      <c r="O104" s="48">
        <f t="shared" si="29"/>
        <v>0</v>
      </c>
      <c r="P104" s="46">
        <v>0</v>
      </c>
      <c r="Q104" s="46">
        <v>303468</v>
      </c>
      <c r="R104" s="49">
        <f t="shared" si="30"/>
        <v>1</v>
      </c>
      <c r="S104" s="50">
        <f t="shared" si="31"/>
        <v>0.01</v>
      </c>
      <c r="T104" s="49">
        <f t="shared" si="32"/>
        <v>3034.68</v>
      </c>
      <c r="U104" s="51">
        <f t="shared" si="33"/>
        <v>0</v>
      </c>
      <c r="V104" s="52">
        <f>IF(0&lt;0.8,0,IF(0&lt;1,Sheet3!L55,1))*IF(G104&lt;3,0.12 - O104,0.01) *U104</f>
        <v>0</v>
      </c>
      <c r="W104" s="52">
        <f t="shared" si="34"/>
        <v>0</v>
      </c>
      <c r="X104" s="53">
        <f t="shared" si="35"/>
        <v>0</v>
      </c>
      <c r="Y104" s="53">
        <f t="shared" si="36"/>
        <v>0</v>
      </c>
      <c r="Z104" s="54">
        <f t="shared" si="40"/>
        <v>0</v>
      </c>
      <c r="AA104" s="54">
        <f t="shared" si="37"/>
        <v>0</v>
      </c>
      <c r="AB104" s="55">
        <f t="shared" si="41"/>
        <v>0</v>
      </c>
      <c r="AC104" s="55">
        <f t="shared" si="38"/>
        <v>0</v>
      </c>
      <c r="AD104" s="56">
        <f t="shared" si="39"/>
        <v>3034.68</v>
      </c>
    </row>
    <row r="105" spans="3:30">
      <c r="C105" s="43" t="s">
        <v>232</v>
      </c>
      <c r="D105" s="44" t="s">
        <v>233</v>
      </c>
      <c r="E105" s="44"/>
      <c r="F105" s="45">
        <v>42207.440601851849</v>
      </c>
      <c r="G105" s="46">
        <v>38</v>
      </c>
      <c r="H105" s="47">
        <v>43376</v>
      </c>
      <c r="I105" s="47">
        <v>43426</v>
      </c>
      <c r="J105" s="46">
        <v>5181442</v>
      </c>
      <c r="K105" s="46">
        <v>0</v>
      </c>
      <c r="L105" s="46">
        <v>0</v>
      </c>
      <c r="M105" s="46">
        <f t="shared" si="28"/>
        <v>5181442</v>
      </c>
      <c r="N105" s="46">
        <v>5180752</v>
      </c>
      <c r="O105" s="48">
        <f t="shared" si="29"/>
        <v>0</v>
      </c>
      <c r="P105" s="46">
        <v>0</v>
      </c>
      <c r="Q105" s="46">
        <v>5181442</v>
      </c>
      <c r="R105" s="49">
        <f t="shared" si="30"/>
        <v>1</v>
      </c>
      <c r="S105" s="50">
        <f t="shared" si="31"/>
        <v>0.01</v>
      </c>
      <c r="T105" s="49">
        <f t="shared" si="32"/>
        <v>51814.42</v>
      </c>
      <c r="U105" s="51">
        <f t="shared" si="33"/>
        <v>0</v>
      </c>
      <c r="V105" s="52">
        <f>IF(0&lt;0.8,0,IF(0&lt;1,Sheet3!L55,1))*IF(G105&lt;3,0.12 - O105,0.01) *U105</f>
        <v>0</v>
      </c>
      <c r="W105" s="52">
        <f t="shared" si="34"/>
        <v>0</v>
      </c>
      <c r="X105" s="53">
        <f t="shared" si="35"/>
        <v>0</v>
      </c>
      <c r="Y105" s="53">
        <f t="shared" si="36"/>
        <v>0</v>
      </c>
      <c r="Z105" s="54">
        <f t="shared" si="40"/>
        <v>0</v>
      </c>
      <c r="AA105" s="54">
        <f t="shared" si="37"/>
        <v>0</v>
      </c>
      <c r="AB105" s="55">
        <f t="shared" si="41"/>
        <v>0</v>
      </c>
      <c r="AC105" s="55">
        <f t="shared" si="38"/>
        <v>0</v>
      </c>
      <c r="AD105" s="56">
        <f t="shared" si="39"/>
        <v>51814.42</v>
      </c>
    </row>
    <row r="106" spans="3:30">
      <c r="C106" s="43" t="s">
        <v>234</v>
      </c>
      <c r="D106" s="44" t="s">
        <v>235</v>
      </c>
      <c r="E106" s="44"/>
      <c r="F106" s="45">
        <v>42210.394317129627</v>
      </c>
      <c r="G106" s="46">
        <v>38</v>
      </c>
      <c r="H106" s="47">
        <v>43376</v>
      </c>
      <c r="I106" s="47">
        <v>43396</v>
      </c>
      <c r="J106" s="46">
        <v>2111589</v>
      </c>
      <c r="K106" s="46">
        <v>0</v>
      </c>
      <c r="L106" s="46">
        <v>0</v>
      </c>
      <c r="M106" s="46">
        <f t="shared" si="28"/>
        <v>2111589</v>
      </c>
      <c r="N106" s="46">
        <v>2110899</v>
      </c>
      <c r="O106" s="48">
        <f t="shared" si="29"/>
        <v>0</v>
      </c>
      <c r="P106" s="46">
        <v>0</v>
      </c>
      <c r="Q106" s="46">
        <v>2111589</v>
      </c>
      <c r="R106" s="49">
        <f t="shared" si="30"/>
        <v>1</v>
      </c>
      <c r="S106" s="50">
        <f t="shared" si="31"/>
        <v>0.01</v>
      </c>
      <c r="T106" s="49">
        <f t="shared" si="32"/>
        <v>21115.89</v>
      </c>
      <c r="U106" s="51">
        <f t="shared" si="33"/>
        <v>0</v>
      </c>
      <c r="V106" s="52">
        <f>IF(0&lt;0.8,0,IF(0&lt;1,Sheet3!L55,1))*IF(G106&lt;3,0.12 - O106,0.01) *U106</f>
        <v>0</v>
      </c>
      <c r="W106" s="52">
        <f t="shared" si="34"/>
        <v>0</v>
      </c>
      <c r="X106" s="53">
        <f t="shared" si="35"/>
        <v>0</v>
      </c>
      <c r="Y106" s="53">
        <f t="shared" si="36"/>
        <v>0</v>
      </c>
      <c r="Z106" s="54">
        <f t="shared" si="40"/>
        <v>0</v>
      </c>
      <c r="AA106" s="54">
        <f t="shared" si="37"/>
        <v>0</v>
      </c>
      <c r="AB106" s="55">
        <f t="shared" si="41"/>
        <v>0</v>
      </c>
      <c r="AC106" s="55">
        <f t="shared" si="38"/>
        <v>0</v>
      </c>
      <c r="AD106" s="56">
        <f t="shared" si="39"/>
        <v>21115.89</v>
      </c>
    </row>
    <row r="107" spans="3:30">
      <c r="C107" s="43" t="s">
        <v>236</v>
      </c>
      <c r="D107" s="44" t="s">
        <v>237</v>
      </c>
      <c r="E107" s="44"/>
      <c r="F107" s="45">
        <v>42215.63690972222</v>
      </c>
      <c r="G107" s="46">
        <v>38</v>
      </c>
      <c r="H107" s="47">
        <v>43467</v>
      </c>
      <c r="I107" s="47">
        <v>43526</v>
      </c>
      <c r="J107" s="46">
        <v>510378</v>
      </c>
      <c r="K107" s="46">
        <v>0</v>
      </c>
      <c r="L107" s="46">
        <v>0</v>
      </c>
      <c r="M107" s="46">
        <f t="shared" si="28"/>
        <v>510378</v>
      </c>
      <c r="N107" s="46">
        <v>510378</v>
      </c>
      <c r="O107" s="48">
        <f t="shared" si="29"/>
        <v>0</v>
      </c>
      <c r="P107" s="46">
        <v>0</v>
      </c>
      <c r="Q107" s="46">
        <v>523688</v>
      </c>
      <c r="R107" s="49">
        <f t="shared" si="30"/>
        <v>1</v>
      </c>
      <c r="S107" s="50">
        <f t="shared" si="31"/>
        <v>0.01</v>
      </c>
      <c r="T107" s="49">
        <f t="shared" si="32"/>
        <v>5103.78</v>
      </c>
      <c r="U107" s="51">
        <f t="shared" si="33"/>
        <v>0</v>
      </c>
      <c r="V107" s="52">
        <f>IF(0&lt;0.8,0,IF(0&lt;1,Sheet3!L55,1))*IF(G107&lt;3,0.12 - O107,0.01) *U107</f>
        <v>0</v>
      </c>
      <c r="W107" s="52">
        <f t="shared" si="34"/>
        <v>0</v>
      </c>
      <c r="X107" s="53">
        <f t="shared" si="35"/>
        <v>0</v>
      </c>
      <c r="Y107" s="53">
        <f t="shared" si="36"/>
        <v>0</v>
      </c>
      <c r="Z107" s="54">
        <f t="shared" si="40"/>
        <v>0</v>
      </c>
      <c r="AA107" s="54">
        <f t="shared" si="37"/>
        <v>0</v>
      </c>
      <c r="AB107" s="55">
        <f t="shared" si="41"/>
        <v>0</v>
      </c>
      <c r="AC107" s="55">
        <f t="shared" si="38"/>
        <v>0</v>
      </c>
      <c r="AD107" s="56">
        <f t="shared" si="39"/>
        <v>5103.78</v>
      </c>
    </row>
    <row r="108" spans="3:30">
      <c r="C108" s="43" t="s">
        <v>238</v>
      </c>
      <c r="D108" s="44" t="s">
        <v>239</v>
      </c>
      <c r="E108" s="44"/>
      <c r="F108" s="45">
        <v>42223.477997685186</v>
      </c>
      <c r="G108" s="46">
        <v>37</v>
      </c>
      <c r="H108" s="47">
        <v>43382</v>
      </c>
      <c r="I108" s="47">
        <v>43388</v>
      </c>
      <c r="J108" s="46">
        <v>3982957</v>
      </c>
      <c r="K108" s="46">
        <v>0</v>
      </c>
      <c r="L108" s="46">
        <v>0</v>
      </c>
      <c r="M108" s="46">
        <f t="shared" si="28"/>
        <v>3982957</v>
      </c>
      <c r="N108" s="46">
        <v>3982957</v>
      </c>
      <c r="O108" s="48">
        <f t="shared" si="29"/>
        <v>0</v>
      </c>
      <c r="P108" s="46">
        <v>0</v>
      </c>
      <c r="Q108" s="46">
        <v>3982957</v>
      </c>
      <c r="R108" s="49">
        <f t="shared" si="30"/>
        <v>1</v>
      </c>
      <c r="S108" s="50">
        <f t="shared" si="31"/>
        <v>0.01</v>
      </c>
      <c r="T108" s="49">
        <f t="shared" si="32"/>
        <v>39829.57</v>
      </c>
      <c r="U108" s="51">
        <f t="shared" si="33"/>
        <v>0</v>
      </c>
      <c r="V108" s="52">
        <f>IF(0&lt;0.8,0,IF(0&lt;1,Sheet3!L55,1))*IF(G108&lt;3,0.12 - O108,0.01) *U108</f>
        <v>0</v>
      </c>
      <c r="W108" s="52">
        <f t="shared" si="34"/>
        <v>0</v>
      </c>
      <c r="X108" s="53">
        <f t="shared" si="35"/>
        <v>0</v>
      </c>
      <c r="Y108" s="53">
        <f t="shared" si="36"/>
        <v>0</v>
      </c>
      <c r="Z108" s="54">
        <f t="shared" si="40"/>
        <v>0</v>
      </c>
      <c r="AA108" s="54">
        <f t="shared" si="37"/>
        <v>0</v>
      </c>
      <c r="AB108" s="55">
        <f t="shared" si="41"/>
        <v>0</v>
      </c>
      <c r="AC108" s="55">
        <f t="shared" si="38"/>
        <v>0</v>
      </c>
      <c r="AD108" s="56">
        <f t="shared" si="39"/>
        <v>39829.57</v>
      </c>
    </row>
    <row r="109" spans="3:30">
      <c r="C109" s="43" t="s">
        <v>240</v>
      </c>
      <c r="D109" s="44" t="s">
        <v>241</v>
      </c>
      <c r="E109" s="44"/>
      <c r="F109" s="45">
        <v>42227.404999999999</v>
      </c>
      <c r="G109" s="46">
        <v>37</v>
      </c>
      <c r="H109" s="47">
        <v>43390</v>
      </c>
      <c r="I109" s="47">
        <v>43434</v>
      </c>
      <c r="J109" s="46">
        <v>148104</v>
      </c>
      <c r="K109" s="46">
        <v>0</v>
      </c>
      <c r="L109" s="46">
        <v>0</v>
      </c>
      <c r="M109" s="46">
        <f t="shared" si="28"/>
        <v>148104</v>
      </c>
      <c r="N109" s="46">
        <v>148104</v>
      </c>
      <c r="O109" s="48">
        <f t="shared" si="29"/>
        <v>0</v>
      </c>
      <c r="P109" s="46">
        <v>0</v>
      </c>
      <c r="Q109" s="46">
        <v>148104</v>
      </c>
      <c r="R109" s="49">
        <f t="shared" si="30"/>
        <v>1</v>
      </c>
      <c r="S109" s="50">
        <f t="shared" si="31"/>
        <v>0.01</v>
      </c>
      <c r="T109" s="49">
        <f t="shared" si="32"/>
        <v>1481.04</v>
      </c>
      <c r="U109" s="51">
        <f t="shared" si="33"/>
        <v>0</v>
      </c>
      <c r="V109" s="52">
        <f>IF(0&lt;0.8,0,IF(0&lt;1,Sheet3!L55,1))*IF(G109&lt;3,0.12 - O109,0.01) *U109</f>
        <v>0</v>
      </c>
      <c r="W109" s="52">
        <f t="shared" si="34"/>
        <v>0</v>
      </c>
      <c r="X109" s="53">
        <f t="shared" si="35"/>
        <v>0</v>
      </c>
      <c r="Y109" s="53">
        <f t="shared" si="36"/>
        <v>0</v>
      </c>
      <c r="Z109" s="54">
        <f t="shared" si="40"/>
        <v>0</v>
      </c>
      <c r="AA109" s="54">
        <f t="shared" si="37"/>
        <v>0</v>
      </c>
      <c r="AB109" s="55">
        <f t="shared" si="41"/>
        <v>0</v>
      </c>
      <c r="AC109" s="55">
        <f t="shared" si="38"/>
        <v>0</v>
      </c>
      <c r="AD109" s="56">
        <f t="shared" si="39"/>
        <v>1481.04</v>
      </c>
    </row>
    <row r="110" spans="3:30">
      <c r="C110" s="43" t="s">
        <v>242</v>
      </c>
      <c r="D110" s="44" t="s">
        <v>243</v>
      </c>
      <c r="E110" s="44"/>
      <c r="F110" s="45">
        <v>42258.563518518517</v>
      </c>
      <c r="G110" s="46">
        <v>36</v>
      </c>
      <c r="H110" s="47">
        <v>43376</v>
      </c>
      <c r="I110" s="47">
        <v>43392</v>
      </c>
      <c r="J110" s="46">
        <v>572572</v>
      </c>
      <c r="K110" s="46">
        <v>0</v>
      </c>
      <c r="L110" s="46">
        <v>0</v>
      </c>
      <c r="M110" s="46">
        <f t="shared" si="28"/>
        <v>572572</v>
      </c>
      <c r="N110" s="46">
        <v>572572</v>
      </c>
      <c r="O110" s="48">
        <f t="shared" si="29"/>
        <v>0</v>
      </c>
      <c r="P110" s="46">
        <v>0</v>
      </c>
      <c r="Q110" s="46">
        <v>572572</v>
      </c>
      <c r="R110" s="49">
        <f t="shared" si="30"/>
        <v>1</v>
      </c>
      <c r="S110" s="50">
        <f t="shared" si="31"/>
        <v>0.01</v>
      </c>
      <c r="T110" s="49">
        <f t="shared" si="32"/>
        <v>5725.72</v>
      </c>
      <c r="U110" s="51">
        <f t="shared" si="33"/>
        <v>0</v>
      </c>
      <c r="V110" s="52">
        <f>IF(0&lt;0.8,0,IF(0&lt;1,Sheet3!L55,1))*IF(G110&lt;3,0.12 - O110,0.01) *U110</f>
        <v>0</v>
      </c>
      <c r="W110" s="52">
        <f t="shared" si="34"/>
        <v>0</v>
      </c>
      <c r="X110" s="53">
        <f t="shared" si="35"/>
        <v>0</v>
      </c>
      <c r="Y110" s="53">
        <f t="shared" si="36"/>
        <v>0</v>
      </c>
      <c r="Z110" s="54">
        <f t="shared" si="40"/>
        <v>0</v>
      </c>
      <c r="AA110" s="54">
        <f t="shared" si="37"/>
        <v>0</v>
      </c>
      <c r="AB110" s="55">
        <f t="shared" si="41"/>
        <v>0</v>
      </c>
      <c r="AC110" s="55">
        <f t="shared" si="38"/>
        <v>0</v>
      </c>
      <c r="AD110" s="56">
        <f t="shared" si="39"/>
        <v>5725.72</v>
      </c>
    </row>
    <row r="111" spans="3:30">
      <c r="C111" s="43" t="s">
        <v>244</v>
      </c>
      <c r="D111" s="44" t="s">
        <v>245</v>
      </c>
      <c r="E111" s="44"/>
      <c r="F111" s="45">
        <v>42263.610046296293</v>
      </c>
      <c r="G111" s="46">
        <v>36</v>
      </c>
      <c r="H111" s="47">
        <v>43376</v>
      </c>
      <c r="I111" s="47">
        <v>43384</v>
      </c>
      <c r="J111" s="46">
        <v>1663218</v>
      </c>
      <c r="K111" s="46">
        <v>0</v>
      </c>
      <c r="L111" s="46">
        <v>0</v>
      </c>
      <c r="M111" s="46">
        <f t="shared" si="28"/>
        <v>1663218</v>
      </c>
      <c r="N111" s="46">
        <v>1663048</v>
      </c>
      <c r="O111" s="48">
        <f t="shared" si="29"/>
        <v>0</v>
      </c>
      <c r="P111" s="46">
        <v>0</v>
      </c>
      <c r="Q111" s="46">
        <v>1663218</v>
      </c>
      <c r="R111" s="49">
        <f t="shared" si="30"/>
        <v>1</v>
      </c>
      <c r="S111" s="50">
        <f t="shared" si="31"/>
        <v>0.01</v>
      </c>
      <c r="T111" s="49">
        <f t="shared" si="32"/>
        <v>16632.18</v>
      </c>
      <c r="U111" s="51">
        <f t="shared" si="33"/>
        <v>0</v>
      </c>
      <c r="V111" s="52">
        <f>IF(0&lt;0.8,0,IF(0&lt;1,Sheet3!L55,1))*IF(G111&lt;3,0.12 - O111,0.01) *U111</f>
        <v>0</v>
      </c>
      <c r="W111" s="52">
        <f t="shared" si="34"/>
        <v>0</v>
      </c>
      <c r="X111" s="53">
        <f t="shared" si="35"/>
        <v>0</v>
      </c>
      <c r="Y111" s="53">
        <f t="shared" si="36"/>
        <v>0</v>
      </c>
      <c r="Z111" s="54">
        <f t="shared" si="40"/>
        <v>0</v>
      </c>
      <c r="AA111" s="54">
        <f t="shared" si="37"/>
        <v>0</v>
      </c>
      <c r="AB111" s="55">
        <f t="shared" si="41"/>
        <v>0</v>
      </c>
      <c r="AC111" s="55">
        <f t="shared" si="38"/>
        <v>0</v>
      </c>
      <c r="AD111" s="56">
        <f t="shared" si="39"/>
        <v>16632.18</v>
      </c>
    </row>
    <row r="112" spans="3:30">
      <c r="C112" s="43" t="s">
        <v>246</v>
      </c>
      <c r="D112" s="44" t="s">
        <v>247</v>
      </c>
      <c r="E112" s="44"/>
      <c r="F112" s="45">
        <v>42265.462592592594</v>
      </c>
      <c r="G112" s="46">
        <v>36</v>
      </c>
      <c r="H112" s="47">
        <v>43376</v>
      </c>
      <c r="I112" s="47">
        <v>43400</v>
      </c>
      <c r="J112" s="46">
        <v>767334</v>
      </c>
      <c r="K112" s="46">
        <v>0</v>
      </c>
      <c r="L112" s="46">
        <v>0</v>
      </c>
      <c r="M112" s="46">
        <f t="shared" si="28"/>
        <v>767334</v>
      </c>
      <c r="N112" s="46">
        <v>767334</v>
      </c>
      <c r="O112" s="48">
        <f t="shared" si="29"/>
        <v>0</v>
      </c>
      <c r="P112" s="46">
        <v>0</v>
      </c>
      <c r="Q112" s="46">
        <v>767334</v>
      </c>
      <c r="R112" s="49">
        <f t="shared" si="30"/>
        <v>1</v>
      </c>
      <c r="S112" s="50">
        <f t="shared" si="31"/>
        <v>0.01</v>
      </c>
      <c r="T112" s="49">
        <f t="shared" si="32"/>
        <v>7673.34</v>
      </c>
      <c r="U112" s="51">
        <f t="shared" si="33"/>
        <v>0</v>
      </c>
      <c r="V112" s="52">
        <f>IF(0&lt;0.8,0,IF(0&lt;1,Sheet3!L55,1))*IF(G112&lt;3,0.12 - O112,0.01) *U112</f>
        <v>0</v>
      </c>
      <c r="W112" s="52">
        <f t="shared" si="34"/>
        <v>0</v>
      </c>
      <c r="X112" s="53">
        <f t="shared" si="35"/>
        <v>0</v>
      </c>
      <c r="Y112" s="53">
        <f t="shared" si="36"/>
        <v>0</v>
      </c>
      <c r="Z112" s="54">
        <f t="shared" si="40"/>
        <v>0</v>
      </c>
      <c r="AA112" s="54">
        <f t="shared" si="37"/>
        <v>0</v>
      </c>
      <c r="AB112" s="55">
        <f t="shared" si="41"/>
        <v>0</v>
      </c>
      <c r="AC112" s="55">
        <f t="shared" si="38"/>
        <v>0</v>
      </c>
      <c r="AD112" s="56">
        <f t="shared" si="39"/>
        <v>7673.34</v>
      </c>
    </row>
    <row r="113" spans="3:30">
      <c r="C113" s="43" t="s">
        <v>248</v>
      </c>
      <c r="D113" s="44" t="s">
        <v>249</v>
      </c>
      <c r="E113" s="44"/>
      <c r="F113" s="45">
        <v>42269.665925925925</v>
      </c>
      <c r="G113" s="46">
        <v>36</v>
      </c>
      <c r="H113" s="47">
        <v>43376</v>
      </c>
      <c r="I113" s="47">
        <v>43398</v>
      </c>
      <c r="J113" s="46">
        <v>431849</v>
      </c>
      <c r="K113" s="46">
        <v>0</v>
      </c>
      <c r="L113" s="46">
        <v>0</v>
      </c>
      <c r="M113" s="46">
        <f t="shared" si="28"/>
        <v>431849</v>
      </c>
      <c r="N113" s="46">
        <v>431849</v>
      </c>
      <c r="O113" s="48">
        <f t="shared" si="29"/>
        <v>0</v>
      </c>
      <c r="P113" s="46">
        <v>0</v>
      </c>
      <c r="Q113" s="46">
        <v>431849</v>
      </c>
      <c r="R113" s="49">
        <f t="shared" si="30"/>
        <v>1</v>
      </c>
      <c r="S113" s="50">
        <f t="shared" si="31"/>
        <v>0.01</v>
      </c>
      <c r="T113" s="49">
        <f t="shared" si="32"/>
        <v>4318.49</v>
      </c>
      <c r="U113" s="51">
        <f t="shared" si="33"/>
        <v>0</v>
      </c>
      <c r="V113" s="52">
        <f>IF(0&lt;0.8,0,IF(0&lt;1,Sheet3!L55,1))*IF(G113&lt;3,0.12 - O113,0.01) *U113</f>
        <v>0</v>
      </c>
      <c r="W113" s="52">
        <f t="shared" si="34"/>
        <v>0</v>
      </c>
      <c r="X113" s="53">
        <f t="shared" si="35"/>
        <v>0</v>
      </c>
      <c r="Y113" s="53">
        <f t="shared" si="36"/>
        <v>0</v>
      </c>
      <c r="Z113" s="54">
        <f t="shared" si="40"/>
        <v>0</v>
      </c>
      <c r="AA113" s="54">
        <f t="shared" si="37"/>
        <v>0</v>
      </c>
      <c r="AB113" s="55">
        <f t="shared" si="41"/>
        <v>0</v>
      </c>
      <c r="AC113" s="55">
        <f t="shared" si="38"/>
        <v>0</v>
      </c>
      <c r="AD113" s="56">
        <f t="shared" si="39"/>
        <v>4318.49</v>
      </c>
    </row>
    <row r="114" spans="3:30">
      <c r="C114" s="43" t="s">
        <v>250</v>
      </c>
      <c r="D114" s="44" t="s">
        <v>251</v>
      </c>
      <c r="E114" s="44"/>
      <c r="F114" s="45">
        <v>42272.560104166667</v>
      </c>
      <c r="G114" s="46">
        <v>36</v>
      </c>
      <c r="H114" s="47">
        <v>43376</v>
      </c>
      <c r="I114" s="47">
        <v>43392</v>
      </c>
      <c r="J114" s="46">
        <v>237160</v>
      </c>
      <c r="K114" s="46">
        <v>0</v>
      </c>
      <c r="L114" s="46">
        <v>0</v>
      </c>
      <c r="M114" s="46">
        <f t="shared" si="28"/>
        <v>237160</v>
      </c>
      <c r="N114" s="46">
        <v>237160</v>
      </c>
      <c r="O114" s="48">
        <f t="shared" si="29"/>
        <v>0</v>
      </c>
      <c r="P114" s="46">
        <v>0</v>
      </c>
      <c r="Q114" s="46">
        <v>237160</v>
      </c>
      <c r="R114" s="49">
        <f t="shared" si="30"/>
        <v>1</v>
      </c>
      <c r="S114" s="50">
        <f t="shared" si="31"/>
        <v>0.01</v>
      </c>
      <c r="T114" s="49">
        <f t="shared" si="32"/>
        <v>2371.6</v>
      </c>
      <c r="U114" s="51">
        <f t="shared" si="33"/>
        <v>0</v>
      </c>
      <c r="V114" s="52">
        <f>IF(0&lt;0.8,0,IF(0&lt;1,Sheet3!L55,1))*IF(G114&lt;3,0.12 - O114,0.01) *U114</f>
        <v>0</v>
      </c>
      <c r="W114" s="52">
        <f t="shared" si="34"/>
        <v>0</v>
      </c>
      <c r="X114" s="53">
        <f t="shared" si="35"/>
        <v>0</v>
      </c>
      <c r="Y114" s="53">
        <f t="shared" si="36"/>
        <v>0</v>
      </c>
      <c r="Z114" s="54">
        <f t="shared" si="40"/>
        <v>0</v>
      </c>
      <c r="AA114" s="54">
        <f t="shared" si="37"/>
        <v>0</v>
      </c>
      <c r="AB114" s="55">
        <f t="shared" si="41"/>
        <v>0</v>
      </c>
      <c r="AC114" s="55">
        <f t="shared" si="38"/>
        <v>0</v>
      </c>
      <c r="AD114" s="56">
        <f t="shared" si="39"/>
        <v>2371.6</v>
      </c>
    </row>
    <row r="115" spans="3:30">
      <c r="C115" s="43" t="s">
        <v>252</v>
      </c>
      <c r="D115" s="44" t="s">
        <v>253</v>
      </c>
      <c r="E115" s="44"/>
      <c r="F115" s="45">
        <v>42275.399212962962</v>
      </c>
      <c r="G115" s="46">
        <v>36</v>
      </c>
      <c r="H115" s="47">
        <v>43382</v>
      </c>
      <c r="I115" s="47">
        <v>43396</v>
      </c>
      <c r="J115" s="46">
        <v>3477419</v>
      </c>
      <c r="K115" s="46">
        <v>0</v>
      </c>
      <c r="L115" s="46">
        <v>0</v>
      </c>
      <c r="M115" s="46">
        <f t="shared" si="28"/>
        <v>3477419</v>
      </c>
      <c r="N115" s="46">
        <v>3477419</v>
      </c>
      <c r="O115" s="48">
        <f t="shared" si="29"/>
        <v>0</v>
      </c>
      <c r="P115" s="46">
        <v>0</v>
      </c>
      <c r="Q115" s="46">
        <v>3477419</v>
      </c>
      <c r="R115" s="49">
        <f t="shared" si="30"/>
        <v>1</v>
      </c>
      <c r="S115" s="50">
        <f t="shared" si="31"/>
        <v>0.01</v>
      </c>
      <c r="T115" s="49">
        <f t="shared" si="32"/>
        <v>34774.19</v>
      </c>
      <c r="U115" s="51">
        <f t="shared" si="33"/>
        <v>0</v>
      </c>
      <c r="V115" s="52">
        <f>IF(0&lt;0.8,0,IF(0&lt;1,Sheet3!L55,1))*IF(G115&lt;3,0.12 - O115,0.01) *U115</f>
        <v>0</v>
      </c>
      <c r="W115" s="52">
        <f t="shared" si="34"/>
        <v>0</v>
      </c>
      <c r="X115" s="53">
        <f t="shared" si="35"/>
        <v>0</v>
      </c>
      <c r="Y115" s="53">
        <f t="shared" si="36"/>
        <v>0</v>
      </c>
      <c r="Z115" s="54">
        <f t="shared" si="40"/>
        <v>0</v>
      </c>
      <c r="AA115" s="54">
        <f t="shared" si="37"/>
        <v>0</v>
      </c>
      <c r="AB115" s="55">
        <f t="shared" si="41"/>
        <v>0</v>
      </c>
      <c r="AC115" s="55">
        <f t="shared" si="38"/>
        <v>0</v>
      </c>
      <c r="AD115" s="56">
        <f t="shared" si="39"/>
        <v>34774.19</v>
      </c>
    </row>
    <row r="116" spans="3:30">
      <c r="C116" s="43" t="s">
        <v>254</v>
      </c>
      <c r="D116" s="44" t="s">
        <v>255</v>
      </c>
      <c r="E116" s="44"/>
      <c r="F116" s="45">
        <v>42275.404166666667</v>
      </c>
      <c r="G116" s="46">
        <v>36</v>
      </c>
      <c r="H116" s="47">
        <v>43376</v>
      </c>
      <c r="I116" s="47">
        <v>43400</v>
      </c>
      <c r="J116" s="46">
        <v>364089</v>
      </c>
      <c r="K116" s="46">
        <v>0</v>
      </c>
      <c r="L116" s="46">
        <v>0</v>
      </c>
      <c r="M116" s="46">
        <f t="shared" si="28"/>
        <v>364089</v>
      </c>
      <c r="N116" s="46">
        <v>364089</v>
      </c>
      <c r="O116" s="48">
        <f t="shared" si="29"/>
        <v>0</v>
      </c>
      <c r="P116" s="46">
        <v>0</v>
      </c>
      <c r="Q116" s="46">
        <v>364089</v>
      </c>
      <c r="R116" s="49">
        <f t="shared" si="30"/>
        <v>1</v>
      </c>
      <c r="S116" s="50">
        <f t="shared" si="31"/>
        <v>0.01</v>
      </c>
      <c r="T116" s="49">
        <f t="shared" si="32"/>
        <v>3640.89</v>
      </c>
      <c r="U116" s="51">
        <f t="shared" si="33"/>
        <v>0</v>
      </c>
      <c r="V116" s="52">
        <f>IF(0&lt;0.8,0,IF(0&lt;1,Sheet3!L55,1))*IF(G116&lt;3,0.12 - O116,0.01) *U116</f>
        <v>0</v>
      </c>
      <c r="W116" s="52">
        <f t="shared" si="34"/>
        <v>0</v>
      </c>
      <c r="X116" s="53">
        <f t="shared" si="35"/>
        <v>0</v>
      </c>
      <c r="Y116" s="53">
        <f t="shared" si="36"/>
        <v>0</v>
      </c>
      <c r="Z116" s="54">
        <f t="shared" si="40"/>
        <v>0</v>
      </c>
      <c r="AA116" s="54">
        <f t="shared" si="37"/>
        <v>0</v>
      </c>
      <c r="AB116" s="55">
        <f t="shared" si="41"/>
        <v>0</v>
      </c>
      <c r="AC116" s="55">
        <f t="shared" si="38"/>
        <v>0</v>
      </c>
      <c r="AD116" s="56">
        <f t="shared" si="39"/>
        <v>3640.89</v>
      </c>
    </row>
    <row r="117" spans="3:30">
      <c r="C117" s="43" t="s">
        <v>256</v>
      </c>
      <c r="D117" s="44" t="s">
        <v>257</v>
      </c>
      <c r="E117" s="44"/>
      <c r="F117" s="45">
        <v>42303.563263888886</v>
      </c>
      <c r="G117" s="46">
        <v>35</v>
      </c>
      <c r="H117" s="47">
        <v>43385</v>
      </c>
      <c r="I117" s="47">
        <v>43398</v>
      </c>
      <c r="J117" s="46">
        <v>133100</v>
      </c>
      <c r="K117" s="46">
        <v>0</v>
      </c>
      <c r="L117" s="46">
        <v>0</v>
      </c>
      <c r="M117" s="46">
        <f t="shared" si="28"/>
        <v>133100</v>
      </c>
      <c r="N117" s="46">
        <v>133100</v>
      </c>
      <c r="O117" s="48">
        <f t="shared" si="29"/>
        <v>0</v>
      </c>
      <c r="P117" s="46">
        <v>0</v>
      </c>
      <c r="Q117" s="46">
        <v>133100</v>
      </c>
      <c r="R117" s="49">
        <f t="shared" si="30"/>
        <v>1</v>
      </c>
      <c r="S117" s="50">
        <f t="shared" si="31"/>
        <v>0.01</v>
      </c>
      <c r="T117" s="49">
        <f t="shared" si="32"/>
        <v>1331</v>
      </c>
      <c r="U117" s="51">
        <f t="shared" si="33"/>
        <v>0</v>
      </c>
      <c r="V117" s="52">
        <f>IF(0&lt;0.8,0,IF(0&lt;1,Sheet3!L55,1))*IF(G117&lt;3,0.12 - O117,0.01) *U117</f>
        <v>0</v>
      </c>
      <c r="W117" s="52">
        <f t="shared" si="34"/>
        <v>0</v>
      </c>
      <c r="X117" s="53">
        <f t="shared" si="35"/>
        <v>0</v>
      </c>
      <c r="Y117" s="53">
        <f t="shared" si="36"/>
        <v>0</v>
      </c>
      <c r="Z117" s="54">
        <f t="shared" si="40"/>
        <v>0</v>
      </c>
      <c r="AA117" s="54">
        <f t="shared" si="37"/>
        <v>0</v>
      </c>
      <c r="AB117" s="55">
        <f t="shared" si="41"/>
        <v>0</v>
      </c>
      <c r="AC117" s="55">
        <f t="shared" si="38"/>
        <v>0</v>
      </c>
      <c r="AD117" s="56">
        <f t="shared" si="39"/>
        <v>1331</v>
      </c>
    </row>
    <row r="118" spans="3:30">
      <c r="C118" s="43" t="s">
        <v>258</v>
      </c>
      <c r="D118" s="44" t="s">
        <v>259</v>
      </c>
      <c r="E118" s="44"/>
      <c r="F118" s="45">
        <v>42314.568113425921</v>
      </c>
      <c r="G118" s="46">
        <v>34</v>
      </c>
      <c r="H118" s="47">
        <v>43376</v>
      </c>
      <c r="I118" s="47">
        <v>43451</v>
      </c>
      <c r="J118" s="46">
        <v>4201846</v>
      </c>
      <c r="K118" s="46">
        <v>0</v>
      </c>
      <c r="L118" s="46">
        <v>0</v>
      </c>
      <c r="M118" s="46">
        <f t="shared" si="28"/>
        <v>4201846</v>
      </c>
      <c r="N118" s="46">
        <v>4201846</v>
      </c>
      <c r="O118" s="48">
        <f t="shared" si="29"/>
        <v>0</v>
      </c>
      <c r="P118" s="46">
        <v>0</v>
      </c>
      <c r="Q118" s="46">
        <v>4201846</v>
      </c>
      <c r="R118" s="49">
        <f t="shared" si="30"/>
        <v>1</v>
      </c>
      <c r="S118" s="50">
        <f t="shared" si="31"/>
        <v>0.01</v>
      </c>
      <c r="T118" s="49">
        <f t="shared" si="32"/>
        <v>42018.46</v>
      </c>
      <c r="U118" s="51">
        <f t="shared" si="33"/>
        <v>0</v>
      </c>
      <c r="V118" s="52">
        <f>IF(0&lt;0.8,0,IF(0&lt;1,Sheet3!L55,1))*IF(G118&lt;3,0.12 - O118,0.01) *U118</f>
        <v>0</v>
      </c>
      <c r="W118" s="52">
        <f t="shared" si="34"/>
        <v>0</v>
      </c>
      <c r="X118" s="53">
        <f t="shared" si="35"/>
        <v>0</v>
      </c>
      <c r="Y118" s="53">
        <f t="shared" si="36"/>
        <v>0</v>
      </c>
      <c r="Z118" s="54">
        <f t="shared" si="40"/>
        <v>0</v>
      </c>
      <c r="AA118" s="54">
        <f t="shared" si="37"/>
        <v>0</v>
      </c>
      <c r="AB118" s="55">
        <f t="shared" si="41"/>
        <v>0</v>
      </c>
      <c r="AC118" s="55">
        <f t="shared" si="38"/>
        <v>0</v>
      </c>
      <c r="AD118" s="56">
        <f t="shared" si="39"/>
        <v>42018.46</v>
      </c>
    </row>
    <row r="119" spans="3:30">
      <c r="C119" s="43" t="s">
        <v>260</v>
      </c>
      <c r="D119" s="44" t="s">
        <v>261</v>
      </c>
      <c r="E119" s="44"/>
      <c r="F119" s="45">
        <v>42523.157349537032</v>
      </c>
      <c r="G119" s="46">
        <v>27</v>
      </c>
      <c r="H119" s="47">
        <v>43390</v>
      </c>
      <c r="I119" s="47">
        <v>43411</v>
      </c>
      <c r="J119" s="46">
        <v>1347335</v>
      </c>
      <c r="K119" s="46">
        <v>0</v>
      </c>
      <c r="L119" s="46">
        <v>0</v>
      </c>
      <c r="M119" s="46">
        <f t="shared" si="28"/>
        <v>1347335</v>
      </c>
      <c r="N119" s="46">
        <v>1347335</v>
      </c>
      <c r="O119" s="48">
        <f t="shared" si="29"/>
        <v>0</v>
      </c>
      <c r="P119" s="46">
        <v>0</v>
      </c>
      <c r="Q119" s="46">
        <v>1347335</v>
      </c>
      <c r="R119" s="49">
        <f t="shared" si="30"/>
        <v>1</v>
      </c>
      <c r="S119" s="50">
        <f t="shared" si="31"/>
        <v>0.01</v>
      </c>
      <c r="T119" s="49">
        <f t="shared" si="32"/>
        <v>13473.35</v>
      </c>
      <c r="U119" s="51">
        <f t="shared" si="33"/>
        <v>0</v>
      </c>
      <c r="V119" s="52">
        <f>IF(0&lt;0.8,0,IF(0&lt;1,Sheet3!L55,1))*IF(G119&lt;3,0.12 - O119,0.01) *U119</f>
        <v>0</v>
      </c>
      <c r="W119" s="52">
        <f t="shared" si="34"/>
        <v>0</v>
      </c>
      <c r="X119" s="53">
        <f t="shared" si="35"/>
        <v>0</v>
      </c>
      <c r="Y119" s="53">
        <f t="shared" si="36"/>
        <v>0</v>
      </c>
      <c r="Z119" s="54">
        <f t="shared" si="40"/>
        <v>0</v>
      </c>
      <c r="AA119" s="54">
        <f t="shared" si="37"/>
        <v>0</v>
      </c>
      <c r="AB119" s="55">
        <f t="shared" si="41"/>
        <v>0</v>
      </c>
      <c r="AC119" s="55">
        <f t="shared" si="38"/>
        <v>0</v>
      </c>
      <c r="AD119" s="56">
        <f t="shared" si="39"/>
        <v>13473.35</v>
      </c>
    </row>
    <row r="120" spans="3:30">
      <c r="C120" s="43" t="s">
        <v>262</v>
      </c>
      <c r="D120" s="44" t="s">
        <v>263</v>
      </c>
      <c r="E120" s="44"/>
      <c r="F120" s="45">
        <v>42529.259039351848</v>
      </c>
      <c r="G120" s="46">
        <v>27</v>
      </c>
      <c r="H120" s="47">
        <v>43390</v>
      </c>
      <c r="I120" s="47">
        <v>43417</v>
      </c>
      <c r="J120" s="46">
        <v>2401584</v>
      </c>
      <c r="K120" s="46">
        <v>0</v>
      </c>
      <c r="L120" s="46">
        <v>0</v>
      </c>
      <c r="M120" s="46">
        <f t="shared" si="28"/>
        <v>2401584</v>
      </c>
      <c r="N120" s="46">
        <v>2401584</v>
      </c>
      <c r="O120" s="48">
        <f t="shared" si="29"/>
        <v>0</v>
      </c>
      <c r="P120" s="46">
        <v>0</v>
      </c>
      <c r="Q120" s="46">
        <v>2401584</v>
      </c>
      <c r="R120" s="49">
        <f t="shared" si="30"/>
        <v>1</v>
      </c>
      <c r="S120" s="50">
        <f t="shared" si="31"/>
        <v>0.01</v>
      </c>
      <c r="T120" s="49">
        <f t="shared" si="32"/>
        <v>24015.84</v>
      </c>
      <c r="U120" s="51">
        <f t="shared" si="33"/>
        <v>0</v>
      </c>
      <c r="V120" s="52">
        <f>IF(0&lt;0.8,0,IF(0&lt;1,Sheet3!L55,1))*IF(G120&lt;3,0.12 - O120,0.01) *U120</f>
        <v>0</v>
      </c>
      <c r="W120" s="52">
        <f t="shared" si="34"/>
        <v>0</v>
      </c>
      <c r="X120" s="53">
        <f t="shared" si="35"/>
        <v>0</v>
      </c>
      <c r="Y120" s="53">
        <f t="shared" si="36"/>
        <v>0</v>
      </c>
      <c r="Z120" s="54">
        <f t="shared" si="40"/>
        <v>0</v>
      </c>
      <c r="AA120" s="54">
        <f t="shared" si="37"/>
        <v>0</v>
      </c>
      <c r="AB120" s="55">
        <f t="shared" si="41"/>
        <v>0</v>
      </c>
      <c r="AC120" s="55">
        <f t="shared" si="38"/>
        <v>0</v>
      </c>
      <c r="AD120" s="56">
        <f t="shared" si="39"/>
        <v>24015.84</v>
      </c>
    </row>
    <row r="121" spans="3:30">
      <c r="C121" s="43" t="s">
        <v>264</v>
      </c>
      <c r="D121" s="44" t="s">
        <v>265</v>
      </c>
      <c r="E121" s="44"/>
      <c r="F121" s="45">
        <v>42565.283449074072</v>
      </c>
      <c r="G121" s="46">
        <v>26</v>
      </c>
      <c r="H121" s="47">
        <v>43395</v>
      </c>
      <c r="I121" s="47">
        <v>43425</v>
      </c>
      <c r="J121" s="46">
        <v>3028000</v>
      </c>
      <c r="K121" s="46">
        <v>0</v>
      </c>
      <c r="L121" s="46">
        <v>0</v>
      </c>
      <c r="M121" s="46">
        <f t="shared" ref="M121:M145" si="42">IFERROR(J121-K121-L121,0)</f>
        <v>3028000</v>
      </c>
      <c r="N121" s="46">
        <v>3028000</v>
      </c>
      <c r="O121" s="48">
        <f t="shared" ref="O121:O145" si="43">IFERROR(IF(1 - M121/N121&lt;0,0,1-M121/N121),0)</f>
        <v>0</v>
      </c>
      <c r="P121" s="46">
        <v>0</v>
      </c>
      <c r="Q121" s="46">
        <v>3028000</v>
      </c>
      <c r="R121" s="49">
        <f t="shared" ref="R121:R145" si="44">IF(F121&lt;DATEVALUE("2018-07-01"),1,0)</f>
        <v>1</v>
      </c>
      <c r="S121" s="50">
        <f t="shared" ref="S121:S145" si="45">IF(R121=1,1%,0)</f>
        <v>0.01</v>
      </c>
      <c r="T121" s="49">
        <f t="shared" ref="T121:T145" si="46">IFERROR(S121*M121,0)</f>
        <v>30280</v>
      </c>
      <c r="U121" s="51">
        <f t="shared" ref="U121:U145" si="47">IF(O121&lt;=0.12,1,0)*(1-R121)*M121</f>
        <v>0</v>
      </c>
      <c r="V121" s="52">
        <f>IF(0&lt;0.8,0,IF(0&lt;1,Sheet3!L55,1))*IF(G121&lt;3,0.12 - O121,0.01) *U121</f>
        <v>0</v>
      </c>
      <c r="W121" s="52">
        <f t="shared" ref="W121:W145" si="48">IF(0&gt;1,IF(0&lt;=1.1,1,IF(0&lt;=1.2,2,IF(0&lt;=1.5,3,5))),0) * 1000000</f>
        <v>0</v>
      </c>
      <c r="X121" s="53">
        <f t="shared" ref="X121:X145" si="49">IF(AND(P121&gt;=150000000,P121&lt;300000000),5000000,IF(AND(P121&gt;=300000000,P121&lt;500000000),10000000,IF(AND(P121&gt;=300000000,P121&lt;500000000),15000000,IF(AND(P121&gt;=500000000,P121&lt;3000000000),20000000,IF(P121&gt;=30000000000,35000000,0))))) * (1-R121)</f>
        <v>0</v>
      </c>
      <c r="Y121" s="53">
        <f t="shared" ref="Y121:Y145" si="50">IFERROR(Q121 * (1-R121),0)</f>
        <v>0</v>
      </c>
      <c r="Z121" s="54">
        <f t="shared" si="40"/>
        <v>0</v>
      </c>
      <c r="AA121" s="54">
        <f t="shared" ref="AA121:AA145" si="51">IFERROR((1-R121) * Z121 * 2%,0)</f>
        <v>0</v>
      </c>
      <c r="AB121" s="55">
        <f t="shared" si="41"/>
        <v>0</v>
      </c>
      <c r="AC121" s="55">
        <f t="shared" ref="AC121:AC145" si="52">IFERROR(AB121 * (1-R121) * 2%,0)</f>
        <v>0</v>
      </c>
      <c r="AD121" s="56">
        <f t="shared" ref="AD121:AD145" si="53">T121+V121+W121+X121+AA121+AC121</f>
        <v>30280</v>
      </c>
    </row>
    <row r="122" spans="3:30">
      <c r="C122" s="43" t="s">
        <v>266</v>
      </c>
      <c r="D122" s="44" t="s">
        <v>267</v>
      </c>
      <c r="E122" s="44"/>
      <c r="F122" s="45">
        <v>42634.068576388891</v>
      </c>
      <c r="G122" s="46">
        <v>24</v>
      </c>
      <c r="H122" s="47">
        <v>43376</v>
      </c>
      <c r="I122" s="47">
        <v>43383</v>
      </c>
      <c r="J122" s="46">
        <v>2729657</v>
      </c>
      <c r="K122" s="46">
        <v>0</v>
      </c>
      <c r="L122" s="46">
        <v>0</v>
      </c>
      <c r="M122" s="46">
        <f t="shared" si="42"/>
        <v>2729657</v>
      </c>
      <c r="N122" s="46">
        <v>2728143</v>
      </c>
      <c r="O122" s="48">
        <f t="shared" si="43"/>
        <v>0</v>
      </c>
      <c r="P122" s="46">
        <v>0</v>
      </c>
      <c r="Q122" s="46">
        <v>2729657</v>
      </c>
      <c r="R122" s="49">
        <f t="shared" si="44"/>
        <v>1</v>
      </c>
      <c r="S122" s="50">
        <f t="shared" si="45"/>
        <v>0.01</v>
      </c>
      <c r="T122" s="49">
        <f t="shared" si="46"/>
        <v>27296.57</v>
      </c>
      <c r="U122" s="51">
        <f t="shared" si="47"/>
        <v>0</v>
      </c>
      <c r="V122" s="52">
        <f>IF(0&lt;0.8,0,IF(0&lt;1,Sheet3!L55,1))*IF(G122&lt;3,0.12 - O122,0.01) *U122</f>
        <v>0</v>
      </c>
      <c r="W122" s="52">
        <f t="shared" si="48"/>
        <v>0</v>
      </c>
      <c r="X122" s="53">
        <f t="shared" si="49"/>
        <v>0</v>
      </c>
      <c r="Y122" s="53">
        <f t="shared" si="50"/>
        <v>0</v>
      </c>
      <c r="Z122" s="54">
        <f t="shared" si="40"/>
        <v>0</v>
      </c>
      <c r="AA122" s="54">
        <f t="shared" si="51"/>
        <v>0</v>
      </c>
      <c r="AB122" s="55">
        <f t="shared" si="41"/>
        <v>0</v>
      </c>
      <c r="AC122" s="55">
        <f t="shared" si="52"/>
        <v>0</v>
      </c>
      <c r="AD122" s="56">
        <f t="shared" si="53"/>
        <v>27296.57</v>
      </c>
    </row>
    <row r="123" spans="3:30">
      <c r="C123" s="43" t="s">
        <v>268</v>
      </c>
      <c r="D123" s="44" t="s">
        <v>269</v>
      </c>
      <c r="E123" s="44"/>
      <c r="F123" s="45">
        <v>42699.186400462961</v>
      </c>
      <c r="G123" s="46">
        <v>22</v>
      </c>
      <c r="H123" s="47">
        <v>43390</v>
      </c>
      <c r="I123" s="47">
        <v>43413</v>
      </c>
      <c r="J123" s="46">
        <v>362010</v>
      </c>
      <c r="K123" s="46">
        <v>0</v>
      </c>
      <c r="L123" s="46">
        <v>0</v>
      </c>
      <c r="M123" s="46">
        <f t="shared" si="42"/>
        <v>362010</v>
      </c>
      <c r="N123" s="46">
        <v>486849</v>
      </c>
      <c r="O123" s="48">
        <f t="shared" si="43"/>
        <v>0.25642242255812375</v>
      </c>
      <c r="P123" s="46">
        <v>0</v>
      </c>
      <c r="Q123" s="46">
        <v>362010</v>
      </c>
      <c r="R123" s="49">
        <f t="shared" si="44"/>
        <v>1</v>
      </c>
      <c r="S123" s="50">
        <f t="shared" si="45"/>
        <v>0.01</v>
      </c>
      <c r="T123" s="49">
        <f t="shared" si="46"/>
        <v>3620.1</v>
      </c>
      <c r="U123" s="51">
        <f t="shared" si="47"/>
        <v>0</v>
      </c>
      <c r="V123" s="52">
        <f>IF(0&lt;0.8,0,IF(0&lt;1,Sheet3!L55,1))*IF(G123&lt;3,0.12 - O123,0.01) *U123</f>
        <v>0</v>
      </c>
      <c r="W123" s="52">
        <f t="shared" si="48"/>
        <v>0</v>
      </c>
      <c r="X123" s="53">
        <f t="shared" si="49"/>
        <v>0</v>
      </c>
      <c r="Y123" s="53">
        <f t="shared" si="50"/>
        <v>0</v>
      </c>
      <c r="Z123" s="54">
        <f t="shared" ref="Z123:Z141" si="54">IF(R123=1,0,0)</f>
        <v>0</v>
      </c>
      <c r="AA123" s="54">
        <f t="shared" si="51"/>
        <v>0</v>
      </c>
      <c r="AB123" s="55">
        <f t="shared" ref="AB123:AB158" si="55">IF(R123=0,0,0)</f>
        <v>0</v>
      </c>
      <c r="AC123" s="55">
        <f t="shared" si="52"/>
        <v>0</v>
      </c>
      <c r="AD123" s="56">
        <f t="shared" si="53"/>
        <v>3620.1</v>
      </c>
    </row>
    <row r="124" spans="3:30">
      <c r="C124" s="43" t="s">
        <v>270</v>
      </c>
      <c r="D124" s="44" t="s">
        <v>271</v>
      </c>
      <c r="E124" s="44"/>
      <c r="F124" s="45">
        <v>42937.082025462958</v>
      </c>
      <c r="G124" s="46">
        <v>14</v>
      </c>
      <c r="H124" s="47">
        <v>43385</v>
      </c>
      <c r="I124" s="47">
        <v>43391</v>
      </c>
      <c r="J124" s="46">
        <v>341220</v>
      </c>
      <c r="K124" s="46">
        <v>0</v>
      </c>
      <c r="L124" s="46">
        <v>0</v>
      </c>
      <c r="M124" s="46">
        <f t="shared" si="42"/>
        <v>341220</v>
      </c>
      <c r="N124" s="46">
        <v>341220</v>
      </c>
      <c r="O124" s="48">
        <f t="shared" si="43"/>
        <v>0</v>
      </c>
      <c r="P124" s="46">
        <v>0</v>
      </c>
      <c r="Q124" s="46">
        <v>341220</v>
      </c>
      <c r="R124" s="49">
        <f t="shared" si="44"/>
        <v>1</v>
      </c>
      <c r="S124" s="50">
        <f t="shared" si="45"/>
        <v>0.01</v>
      </c>
      <c r="T124" s="49">
        <f t="shared" si="46"/>
        <v>3412.2000000000003</v>
      </c>
      <c r="U124" s="51">
        <f t="shared" si="47"/>
        <v>0</v>
      </c>
      <c r="V124" s="52">
        <f>IF(0&lt;0.8,0,IF(0&lt;1,Sheet3!L55,1))*IF(G124&lt;3,0.12 - O124,0.01) *U124</f>
        <v>0</v>
      </c>
      <c r="W124" s="52">
        <f t="shared" si="48"/>
        <v>0</v>
      </c>
      <c r="X124" s="53">
        <f t="shared" si="49"/>
        <v>0</v>
      </c>
      <c r="Y124" s="53">
        <f t="shared" si="50"/>
        <v>0</v>
      </c>
      <c r="Z124" s="54">
        <f t="shared" si="54"/>
        <v>0</v>
      </c>
      <c r="AA124" s="54">
        <f t="shared" si="51"/>
        <v>0</v>
      </c>
      <c r="AB124" s="55">
        <f t="shared" si="55"/>
        <v>0</v>
      </c>
      <c r="AC124" s="55">
        <f t="shared" si="52"/>
        <v>0</v>
      </c>
      <c r="AD124" s="56">
        <f t="shared" si="53"/>
        <v>3412.2000000000003</v>
      </c>
    </row>
    <row r="125" spans="3:30">
      <c r="C125" s="43" t="s">
        <v>272</v>
      </c>
      <c r="D125" s="44" t="s">
        <v>273</v>
      </c>
      <c r="E125" s="44"/>
      <c r="F125" s="45">
        <v>43112.29378472222</v>
      </c>
      <c r="G125" s="46">
        <v>8</v>
      </c>
      <c r="H125" s="47">
        <v>43376</v>
      </c>
      <c r="I125" s="47">
        <v>43392</v>
      </c>
      <c r="J125" s="46">
        <v>469117</v>
      </c>
      <c r="K125" s="46">
        <v>0</v>
      </c>
      <c r="L125" s="46">
        <v>0</v>
      </c>
      <c r="M125" s="46">
        <f t="shared" si="42"/>
        <v>469117</v>
      </c>
      <c r="N125" s="46">
        <v>469117</v>
      </c>
      <c r="O125" s="48">
        <f t="shared" si="43"/>
        <v>0</v>
      </c>
      <c r="P125" s="46">
        <v>0</v>
      </c>
      <c r="Q125" s="46">
        <v>469117</v>
      </c>
      <c r="R125" s="49">
        <f t="shared" si="44"/>
        <v>1</v>
      </c>
      <c r="S125" s="50">
        <f t="shared" si="45"/>
        <v>0.01</v>
      </c>
      <c r="T125" s="49">
        <f t="shared" si="46"/>
        <v>4691.17</v>
      </c>
      <c r="U125" s="51">
        <f t="shared" si="47"/>
        <v>0</v>
      </c>
      <c r="V125" s="52">
        <f>IF(0&lt;0.8,0,IF(0&lt;1,Sheet3!L55,1))*IF(G125&lt;3,0.12 - O125,0.01) *U125</f>
        <v>0</v>
      </c>
      <c r="W125" s="52">
        <f t="shared" si="48"/>
        <v>0</v>
      </c>
      <c r="X125" s="53">
        <f t="shared" si="49"/>
        <v>0</v>
      </c>
      <c r="Y125" s="53">
        <f t="shared" si="50"/>
        <v>0</v>
      </c>
      <c r="Z125" s="54">
        <f t="shared" si="54"/>
        <v>0</v>
      </c>
      <c r="AA125" s="54">
        <f t="shared" si="51"/>
        <v>0</v>
      </c>
      <c r="AB125" s="55">
        <f t="shared" si="55"/>
        <v>0</v>
      </c>
      <c r="AC125" s="55">
        <f t="shared" si="52"/>
        <v>0</v>
      </c>
      <c r="AD125" s="56">
        <f t="shared" si="53"/>
        <v>4691.17</v>
      </c>
    </row>
    <row r="126" spans="3:30">
      <c r="C126" s="43" t="s">
        <v>274</v>
      </c>
      <c r="D126" s="44" t="s">
        <v>275</v>
      </c>
      <c r="E126" s="44"/>
      <c r="F126" s="45">
        <v>43103.133541666662</v>
      </c>
      <c r="G126" s="46">
        <v>8</v>
      </c>
      <c r="H126" s="47">
        <v>43383</v>
      </c>
      <c r="I126" s="47">
        <v>43388</v>
      </c>
      <c r="J126" s="46">
        <v>1425767</v>
      </c>
      <c r="K126" s="46">
        <v>0</v>
      </c>
      <c r="L126" s="46">
        <v>0</v>
      </c>
      <c r="M126" s="46">
        <f t="shared" si="42"/>
        <v>1425767</v>
      </c>
      <c r="N126" s="46">
        <v>1425767</v>
      </c>
      <c r="O126" s="48">
        <f t="shared" si="43"/>
        <v>0</v>
      </c>
      <c r="P126" s="46">
        <v>0</v>
      </c>
      <c r="Q126" s="46">
        <v>1425767</v>
      </c>
      <c r="R126" s="49">
        <f t="shared" si="44"/>
        <v>1</v>
      </c>
      <c r="S126" s="50">
        <f t="shared" si="45"/>
        <v>0.01</v>
      </c>
      <c r="T126" s="49">
        <f t="shared" si="46"/>
        <v>14257.67</v>
      </c>
      <c r="U126" s="51">
        <f t="shared" si="47"/>
        <v>0</v>
      </c>
      <c r="V126" s="52">
        <f>IF(0&lt;0.8,0,IF(0&lt;1,Sheet3!L55,1))*IF(G126&lt;3,0.12 - O126,0.01) *U126</f>
        <v>0</v>
      </c>
      <c r="W126" s="52">
        <f t="shared" si="48"/>
        <v>0</v>
      </c>
      <c r="X126" s="53">
        <f t="shared" si="49"/>
        <v>0</v>
      </c>
      <c r="Y126" s="53">
        <f t="shared" si="50"/>
        <v>0</v>
      </c>
      <c r="Z126" s="54">
        <f t="shared" si="54"/>
        <v>0</v>
      </c>
      <c r="AA126" s="54">
        <f t="shared" si="51"/>
        <v>0</v>
      </c>
      <c r="AB126" s="55">
        <f t="shared" si="55"/>
        <v>0</v>
      </c>
      <c r="AC126" s="55">
        <f t="shared" si="52"/>
        <v>0</v>
      </c>
      <c r="AD126" s="56">
        <f t="shared" si="53"/>
        <v>14257.67</v>
      </c>
    </row>
    <row r="127" spans="3:30">
      <c r="C127" s="43" t="s">
        <v>276</v>
      </c>
      <c r="D127" s="44" t="s">
        <v>277</v>
      </c>
      <c r="E127" s="44"/>
      <c r="F127" s="45">
        <v>39848.594606481478</v>
      </c>
      <c r="G127" s="46">
        <v>115</v>
      </c>
      <c r="H127" s="47">
        <v>43393</v>
      </c>
      <c r="I127" s="47">
        <v>43420</v>
      </c>
      <c r="J127" s="46">
        <v>10790909</v>
      </c>
      <c r="K127" s="46">
        <v>0</v>
      </c>
      <c r="L127" s="46">
        <v>0</v>
      </c>
      <c r="M127" s="46">
        <f t="shared" si="42"/>
        <v>10790909</v>
      </c>
      <c r="N127" s="46">
        <v>8954905</v>
      </c>
      <c r="O127" s="48">
        <f t="shared" si="43"/>
        <v>0</v>
      </c>
      <c r="P127" s="46">
        <v>0</v>
      </c>
      <c r="Q127" s="46">
        <v>10790909</v>
      </c>
      <c r="R127" s="49">
        <f t="shared" si="44"/>
        <v>1</v>
      </c>
      <c r="S127" s="50">
        <f t="shared" si="45"/>
        <v>0.01</v>
      </c>
      <c r="T127" s="49">
        <f t="shared" si="46"/>
        <v>107909.09</v>
      </c>
      <c r="U127" s="51">
        <f t="shared" si="47"/>
        <v>0</v>
      </c>
      <c r="V127" s="52">
        <f>IF(0&lt;0.8,0,IF(0&lt;1,Sheet3!L55,1))*IF(G127&lt;3,0.12 - O127,0.01) *U127</f>
        <v>0</v>
      </c>
      <c r="W127" s="52">
        <f t="shared" si="48"/>
        <v>0</v>
      </c>
      <c r="X127" s="53">
        <f t="shared" si="49"/>
        <v>0</v>
      </c>
      <c r="Y127" s="53">
        <f t="shared" si="50"/>
        <v>0</v>
      </c>
      <c r="Z127" s="54">
        <f t="shared" si="54"/>
        <v>0</v>
      </c>
      <c r="AA127" s="54">
        <f t="shared" si="51"/>
        <v>0</v>
      </c>
      <c r="AB127" s="55">
        <f>IF(R127=0,1836000,0)</f>
        <v>0</v>
      </c>
      <c r="AC127" s="55">
        <f t="shared" si="52"/>
        <v>0</v>
      </c>
      <c r="AD127" s="56">
        <f t="shared" si="53"/>
        <v>107909.09</v>
      </c>
    </row>
    <row r="128" spans="3:30">
      <c r="C128" s="43" t="s">
        <v>278</v>
      </c>
      <c r="D128" s="44" t="s">
        <v>279</v>
      </c>
      <c r="E128" s="44"/>
      <c r="F128" s="45">
        <v>40388.501342592594</v>
      </c>
      <c r="G128" s="46">
        <v>98</v>
      </c>
      <c r="H128" s="47">
        <v>43378</v>
      </c>
      <c r="I128" s="47">
        <v>43392</v>
      </c>
      <c r="J128" s="46">
        <v>4140160</v>
      </c>
      <c r="K128" s="46">
        <v>0</v>
      </c>
      <c r="L128" s="46">
        <v>0</v>
      </c>
      <c r="M128" s="46">
        <f t="shared" si="42"/>
        <v>4140160</v>
      </c>
      <c r="N128" s="46">
        <v>4140160</v>
      </c>
      <c r="O128" s="48">
        <f t="shared" si="43"/>
        <v>0</v>
      </c>
      <c r="P128" s="46">
        <v>0</v>
      </c>
      <c r="Q128" s="46">
        <v>4140160</v>
      </c>
      <c r="R128" s="49">
        <f t="shared" si="44"/>
        <v>1</v>
      </c>
      <c r="S128" s="50">
        <f t="shared" si="45"/>
        <v>0.01</v>
      </c>
      <c r="T128" s="49">
        <f t="shared" si="46"/>
        <v>41401.599999999999</v>
      </c>
      <c r="U128" s="51">
        <f t="shared" si="47"/>
        <v>0</v>
      </c>
      <c r="V128" s="52">
        <f>IF(0&lt;0.8,0,IF(0&lt;1,Sheet3!L55,1))*IF(G128&lt;3,0.12 - O128,0.01) *U128</f>
        <v>0</v>
      </c>
      <c r="W128" s="52">
        <f t="shared" si="48"/>
        <v>0</v>
      </c>
      <c r="X128" s="53">
        <f t="shared" si="49"/>
        <v>0</v>
      </c>
      <c r="Y128" s="53">
        <f t="shared" si="50"/>
        <v>0</v>
      </c>
      <c r="Z128" s="54">
        <f t="shared" si="54"/>
        <v>0</v>
      </c>
      <c r="AA128" s="54">
        <f t="shared" si="51"/>
        <v>0</v>
      </c>
      <c r="AB128" s="55">
        <f>IF(R128=0,0,0)</f>
        <v>0</v>
      </c>
      <c r="AC128" s="55">
        <f t="shared" si="52"/>
        <v>0</v>
      </c>
      <c r="AD128" s="56">
        <f t="shared" si="53"/>
        <v>41401.599999999999</v>
      </c>
    </row>
    <row r="129" spans="3:30">
      <c r="C129" s="43" t="s">
        <v>280</v>
      </c>
      <c r="D129" s="44" t="s">
        <v>281</v>
      </c>
      <c r="E129" s="44"/>
      <c r="F129" s="45">
        <v>40427.679629629631</v>
      </c>
      <c r="G129" s="46">
        <v>96</v>
      </c>
      <c r="H129" s="47">
        <v>43420</v>
      </c>
      <c r="I129" s="47">
        <v>43446</v>
      </c>
      <c r="J129" s="46">
        <v>6278540</v>
      </c>
      <c r="K129" s="46">
        <v>0</v>
      </c>
      <c r="L129" s="46">
        <v>0</v>
      </c>
      <c r="M129" s="46">
        <f t="shared" si="42"/>
        <v>6278540</v>
      </c>
      <c r="N129" s="46">
        <v>6228232</v>
      </c>
      <c r="O129" s="48">
        <f t="shared" si="43"/>
        <v>0</v>
      </c>
      <c r="P129" s="46">
        <v>0</v>
      </c>
      <c r="Q129" s="46">
        <v>6435840</v>
      </c>
      <c r="R129" s="49">
        <f t="shared" si="44"/>
        <v>1</v>
      </c>
      <c r="S129" s="50">
        <f t="shared" si="45"/>
        <v>0.01</v>
      </c>
      <c r="T129" s="49">
        <f t="shared" si="46"/>
        <v>62785.4</v>
      </c>
      <c r="U129" s="51">
        <f t="shared" si="47"/>
        <v>0</v>
      </c>
      <c r="V129" s="52">
        <f>IF(0&lt;0.8,0,IF(0&lt;1,Sheet3!L55,1))*IF(G129&lt;3,0.12 - O129,0.01) *U129</f>
        <v>0</v>
      </c>
      <c r="W129" s="52">
        <f t="shared" si="48"/>
        <v>0</v>
      </c>
      <c r="X129" s="53">
        <f t="shared" si="49"/>
        <v>0</v>
      </c>
      <c r="Y129" s="53">
        <f t="shared" si="50"/>
        <v>0</v>
      </c>
      <c r="Z129" s="54">
        <f t="shared" si="54"/>
        <v>0</v>
      </c>
      <c r="AA129" s="54">
        <f t="shared" si="51"/>
        <v>0</v>
      </c>
      <c r="AB129" s="55">
        <f>IF(R129=0,0,0)</f>
        <v>0</v>
      </c>
      <c r="AC129" s="55">
        <f t="shared" si="52"/>
        <v>0</v>
      </c>
      <c r="AD129" s="56">
        <f t="shared" si="53"/>
        <v>62785.4</v>
      </c>
    </row>
    <row r="130" spans="3:30">
      <c r="C130" s="43" t="s">
        <v>282</v>
      </c>
      <c r="D130" s="44" t="s">
        <v>283</v>
      </c>
      <c r="E130" s="44"/>
      <c r="F130" s="45">
        <v>40903.413877314815</v>
      </c>
      <c r="G130" s="46">
        <v>81</v>
      </c>
      <c r="H130" s="47">
        <v>43378</v>
      </c>
      <c r="I130" s="47">
        <v>43409</v>
      </c>
      <c r="J130" s="46">
        <v>10215969</v>
      </c>
      <c r="K130" s="46">
        <v>0</v>
      </c>
      <c r="L130" s="46">
        <v>0</v>
      </c>
      <c r="M130" s="46">
        <f t="shared" si="42"/>
        <v>10215969</v>
      </c>
      <c r="N130" s="46">
        <v>10190383</v>
      </c>
      <c r="O130" s="48">
        <f t="shared" si="43"/>
        <v>0</v>
      </c>
      <c r="P130" s="46">
        <v>0</v>
      </c>
      <c r="Q130" s="46">
        <v>10215969</v>
      </c>
      <c r="R130" s="49">
        <f t="shared" si="44"/>
        <v>1</v>
      </c>
      <c r="S130" s="50">
        <f t="shared" si="45"/>
        <v>0.01</v>
      </c>
      <c r="T130" s="49">
        <f t="shared" si="46"/>
        <v>102159.69</v>
      </c>
      <c r="U130" s="51">
        <f t="shared" si="47"/>
        <v>0</v>
      </c>
      <c r="V130" s="52">
        <f>IF(0&lt;0.8,0,IF(0&lt;1,Sheet3!L55,1))*IF(G130&lt;3,0.12 - O130,0.01) *U130</f>
        <v>0</v>
      </c>
      <c r="W130" s="52">
        <f t="shared" si="48"/>
        <v>0</v>
      </c>
      <c r="X130" s="53">
        <f t="shared" si="49"/>
        <v>0</v>
      </c>
      <c r="Y130" s="53">
        <f t="shared" si="50"/>
        <v>0</v>
      </c>
      <c r="Z130" s="54">
        <f t="shared" si="54"/>
        <v>0</v>
      </c>
      <c r="AA130" s="54">
        <f t="shared" si="51"/>
        <v>0</v>
      </c>
      <c r="AB130" s="55">
        <f>IF(R130=0,0,0)</f>
        <v>0</v>
      </c>
      <c r="AC130" s="55">
        <f t="shared" si="52"/>
        <v>0</v>
      </c>
      <c r="AD130" s="56">
        <f t="shared" si="53"/>
        <v>102159.69</v>
      </c>
    </row>
    <row r="131" spans="3:30">
      <c r="C131" s="43" t="s">
        <v>284</v>
      </c>
      <c r="D131" s="44" t="s">
        <v>285</v>
      </c>
      <c r="E131" s="44"/>
      <c r="F131" s="45">
        <v>41611.654016203705</v>
      </c>
      <c r="G131" s="46">
        <v>57</v>
      </c>
      <c r="H131" s="47">
        <v>43388</v>
      </c>
      <c r="I131" s="47">
        <v>43396</v>
      </c>
      <c r="J131" s="46">
        <v>14630836</v>
      </c>
      <c r="K131" s="46">
        <v>1330076</v>
      </c>
      <c r="L131" s="46">
        <v>0</v>
      </c>
      <c r="M131" s="46">
        <f t="shared" si="42"/>
        <v>13300760</v>
      </c>
      <c r="N131" s="46">
        <v>14630836</v>
      </c>
      <c r="O131" s="48">
        <f t="shared" si="43"/>
        <v>9.0909090909090939E-2</v>
      </c>
      <c r="P131" s="46">
        <v>0</v>
      </c>
      <c r="Q131" s="46">
        <v>14630836</v>
      </c>
      <c r="R131" s="49">
        <f t="shared" si="44"/>
        <v>1</v>
      </c>
      <c r="S131" s="50">
        <f t="shared" si="45"/>
        <v>0.01</v>
      </c>
      <c r="T131" s="49">
        <f t="shared" si="46"/>
        <v>133007.6</v>
      </c>
      <c r="U131" s="51">
        <f t="shared" si="47"/>
        <v>0</v>
      </c>
      <c r="V131" s="52">
        <f>IF(0&lt;0.8,0,IF(0&lt;1,Sheet3!L55,1))*IF(G131&lt;3,0.12 - O131,0.01) *U131</f>
        <v>0</v>
      </c>
      <c r="W131" s="52">
        <f t="shared" si="48"/>
        <v>0</v>
      </c>
      <c r="X131" s="53">
        <f t="shared" si="49"/>
        <v>0</v>
      </c>
      <c r="Y131" s="53">
        <f t="shared" si="50"/>
        <v>0</v>
      </c>
      <c r="Z131" s="54">
        <f t="shared" si="54"/>
        <v>0</v>
      </c>
      <c r="AA131" s="54">
        <f t="shared" si="51"/>
        <v>0</v>
      </c>
      <c r="AB131" s="55">
        <f>IF(R131=0,0,0)</f>
        <v>0</v>
      </c>
      <c r="AC131" s="55">
        <f t="shared" si="52"/>
        <v>0</v>
      </c>
      <c r="AD131" s="56">
        <f t="shared" si="53"/>
        <v>133007.6</v>
      </c>
    </row>
    <row r="132" spans="3:30">
      <c r="C132" s="43" t="s">
        <v>286</v>
      </c>
      <c r="D132" s="44" t="s">
        <v>287</v>
      </c>
      <c r="E132" s="44"/>
      <c r="F132" s="45">
        <v>41992.659363425926</v>
      </c>
      <c r="G132" s="46">
        <v>45</v>
      </c>
      <c r="H132" s="47">
        <v>43486</v>
      </c>
      <c r="I132" s="47">
        <v>43497</v>
      </c>
      <c r="J132" s="46">
        <v>1161000</v>
      </c>
      <c r="K132" s="46">
        <v>0</v>
      </c>
      <c r="L132" s="46">
        <v>0</v>
      </c>
      <c r="M132" s="46">
        <f t="shared" si="42"/>
        <v>1161000</v>
      </c>
      <c r="N132" s="46">
        <v>-2</v>
      </c>
      <c r="O132" s="48">
        <f t="shared" si="43"/>
        <v>580501</v>
      </c>
      <c r="P132" s="46">
        <v>0</v>
      </c>
      <c r="Q132" s="46">
        <v>2322000</v>
      </c>
      <c r="R132" s="49">
        <f t="shared" si="44"/>
        <v>1</v>
      </c>
      <c r="S132" s="50">
        <f t="shared" si="45"/>
        <v>0.01</v>
      </c>
      <c r="T132" s="49">
        <f t="shared" si="46"/>
        <v>11610</v>
      </c>
      <c r="U132" s="51">
        <f t="shared" si="47"/>
        <v>0</v>
      </c>
      <c r="V132" s="52">
        <f>IF(0&lt;0.8,0,IF(0&lt;1,Sheet3!L55,1))*IF(G132&lt;3,0.12 - O132,0.01) *U132</f>
        <v>0</v>
      </c>
      <c r="W132" s="52">
        <f t="shared" si="48"/>
        <v>0</v>
      </c>
      <c r="X132" s="53">
        <f t="shared" si="49"/>
        <v>0</v>
      </c>
      <c r="Y132" s="53">
        <f t="shared" si="50"/>
        <v>0</v>
      </c>
      <c r="Z132" s="54">
        <f t="shared" si="54"/>
        <v>0</v>
      </c>
      <c r="AA132" s="54">
        <f t="shared" si="51"/>
        <v>0</v>
      </c>
      <c r="AB132" s="55">
        <f>IF(R132=0,2322000,0)</f>
        <v>0</v>
      </c>
      <c r="AC132" s="55">
        <f t="shared" si="52"/>
        <v>0</v>
      </c>
      <c r="AD132" s="56">
        <f t="shared" si="53"/>
        <v>11610</v>
      </c>
    </row>
    <row r="133" spans="3:30">
      <c r="C133" s="43" t="s">
        <v>288</v>
      </c>
      <c r="D133" s="44" t="s">
        <v>289</v>
      </c>
      <c r="E133" s="44"/>
      <c r="F133" s="45">
        <v>42775.099374999998</v>
      </c>
      <c r="G133" s="46">
        <v>19</v>
      </c>
      <c r="H133" s="47">
        <v>43412</v>
      </c>
      <c r="I133" s="47">
        <v>43416</v>
      </c>
      <c r="J133" s="46">
        <v>2493180</v>
      </c>
      <c r="K133" s="46">
        <v>0</v>
      </c>
      <c r="L133" s="46">
        <v>0</v>
      </c>
      <c r="M133" s="46">
        <f t="shared" si="42"/>
        <v>2493180</v>
      </c>
      <c r="N133" s="46">
        <v>2493180</v>
      </c>
      <c r="O133" s="48">
        <f t="shared" si="43"/>
        <v>0</v>
      </c>
      <c r="P133" s="46">
        <v>0</v>
      </c>
      <c r="Q133" s="46">
        <v>3563062</v>
      </c>
      <c r="R133" s="49">
        <f t="shared" si="44"/>
        <v>1</v>
      </c>
      <c r="S133" s="50">
        <f t="shared" si="45"/>
        <v>0.01</v>
      </c>
      <c r="T133" s="49">
        <f t="shared" si="46"/>
        <v>24931.8</v>
      </c>
      <c r="U133" s="51">
        <f t="shared" si="47"/>
        <v>0</v>
      </c>
      <c r="V133" s="52">
        <f>IF(0&lt;0.8,0,IF(0&lt;1,Sheet3!L55,1))*IF(G133&lt;3,0.12 - O133,0.01) *U133</f>
        <v>0</v>
      </c>
      <c r="W133" s="52">
        <f t="shared" si="48"/>
        <v>0</v>
      </c>
      <c r="X133" s="53">
        <f t="shared" si="49"/>
        <v>0</v>
      </c>
      <c r="Y133" s="53">
        <f t="shared" si="50"/>
        <v>0</v>
      </c>
      <c r="Z133" s="54">
        <f t="shared" si="54"/>
        <v>0</v>
      </c>
      <c r="AA133" s="54">
        <f t="shared" si="51"/>
        <v>0</v>
      </c>
      <c r="AB133" s="55">
        <f t="shared" ref="AB133:AB141" si="56">IF(R133=0,0,0)</f>
        <v>0</v>
      </c>
      <c r="AC133" s="55">
        <f t="shared" si="52"/>
        <v>0</v>
      </c>
      <c r="AD133" s="56">
        <f t="shared" si="53"/>
        <v>24931.8</v>
      </c>
    </row>
    <row r="134" spans="3:30">
      <c r="C134" s="43" t="s">
        <v>290</v>
      </c>
      <c r="D134" s="44" t="s">
        <v>291</v>
      </c>
      <c r="E134" s="44"/>
      <c r="F134" s="45">
        <v>42966.33630787037</v>
      </c>
      <c r="G134" s="46">
        <v>13</v>
      </c>
      <c r="H134" s="47">
        <v>43376</v>
      </c>
      <c r="I134" s="47">
        <v>43392</v>
      </c>
      <c r="J134" s="46">
        <v>4781842</v>
      </c>
      <c r="K134" s="46">
        <v>0</v>
      </c>
      <c r="L134" s="46">
        <v>0</v>
      </c>
      <c r="M134" s="46">
        <f t="shared" si="42"/>
        <v>4781842</v>
      </c>
      <c r="N134" s="46">
        <v>5186292</v>
      </c>
      <c r="O134" s="48">
        <f t="shared" si="43"/>
        <v>7.7984425096003118E-2</v>
      </c>
      <c r="P134" s="46">
        <v>0</v>
      </c>
      <c r="Q134" s="46">
        <v>4781842</v>
      </c>
      <c r="R134" s="49">
        <f t="shared" si="44"/>
        <v>1</v>
      </c>
      <c r="S134" s="50">
        <f t="shared" si="45"/>
        <v>0.01</v>
      </c>
      <c r="T134" s="49">
        <f t="shared" si="46"/>
        <v>47818.42</v>
      </c>
      <c r="U134" s="51">
        <f t="shared" si="47"/>
        <v>0</v>
      </c>
      <c r="V134" s="52">
        <f>IF(0&lt;0.8,0,IF(0&lt;1,Sheet3!L55,1))*IF(G134&lt;3,0.12 - O134,0.01) *U134</f>
        <v>0</v>
      </c>
      <c r="W134" s="52">
        <f t="shared" si="48"/>
        <v>0</v>
      </c>
      <c r="X134" s="53">
        <f t="shared" si="49"/>
        <v>0</v>
      </c>
      <c r="Y134" s="53">
        <f t="shared" si="50"/>
        <v>0</v>
      </c>
      <c r="Z134" s="54">
        <f t="shared" si="54"/>
        <v>0</v>
      </c>
      <c r="AA134" s="54">
        <f t="shared" si="51"/>
        <v>0</v>
      </c>
      <c r="AB134" s="55">
        <f t="shared" si="56"/>
        <v>0</v>
      </c>
      <c r="AC134" s="55">
        <f t="shared" si="52"/>
        <v>0</v>
      </c>
      <c r="AD134" s="56">
        <f t="shared" si="53"/>
        <v>47818.42</v>
      </c>
    </row>
    <row r="135" spans="3:30">
      <c r="C135" s="43" t="s">
        <v>292</v>
      </c>
      <c r="D135" s="44" t="s">
        <v>293</v>
      </c>
      <c r="E135" s="44"/>
      <c r="F135" s="45">
        <v>43060.267662037033</v>
      </c>
      <c r="G135" s="46">
        <v>10</v>
      </c>
      <c r="H135" s="47">
        <v>43376</v>
      </c>
      <c r="I135" s="47">
        <v>43420</v>
      </c>
      <c r="J135" s="46">
        <v>48606699</v>
      </c>
      <c r="K135" s="46">
        <v>4328599</v>
      </c>
      <c r="L135" s="46">
        <v>0</v>
      </c>
      <c r="M135" s="46">
        <f t="shared" si="42"/>
        <v>44278100</v>
      </c>
      <c r="N135" s="46">
        <v>49235601</v>
      </c>
      <c r="O135" s="48">
        <f t="shared" si="43"/>
        <v>0.10068935687410419</v>
      </c>
      <c r="P135" s="46">
        <v>0</v>
      </c>
      <c r="Q135" s="46">
        <v>49688439</v>
      </c>
      <c r="R135" s="49">
        <f t="shared" si="44"/>
        <v>1</v>
      </c>
      <c r="S135" s="50">
        <f t="shared" si="45"/>
        <v>0.01</v>
      </c>
      <c r="T135" s="49">
        <f t="shared" si="46"/>
        <v>442781</v>
      </c>
      <c r="U135" s="51">
        <f t="shared" si="47"/>
        <v>0</v>
      </c>
      <c r="V135" s="52">
        <f>IF(0&lt;0.8,0,IF(0&lt;1,Sheet3!L55,1))*IF(G135&lt;3,0.12 - O135,0.01) *U135</f>
        <v>0</v>
      </c>
      <c r="W135" s="52">
        <f t="shared" si="48"/>
        <v>0</v>
      </c>
      <c r="X135" s="53">
        <f t="shared" si="49"/>
        <v>0</v>
      </c>
      <c r="Y135" s="53">
        <f t="shared" si="50"/>
        <v>0</v>
      </c>
      <c r="Z135" s="54">
        <f t="shared" si="54"/>
        <v>0</v>
      </c>
      <c r="AA135" s="54">
        <f t="shared" si="51"/>
        <v>0</v>
      </c>
      <c r="AB135" s="55">
        <f t="shared" si="56"/>
        <v>0</v>
      </c>
      <c r="AC135" s="55">
        <f t="shared" si="52"/>
        <v>0</v>
      </c>
      <c r="AD135" s="56">
        <f t="shared" si="53"/>
        <v>442781</v>
      </c>
    </row>
    <row r="136" spans="3:30">
      <c r="C136" s="43" t="s">
        <v>294</v>
      </c>
      <c r="D136" s="44" t="s">
        <v>295</v>
      </c>
      <c r="E136" s="44"/>
      <c r="F136" s="45">
        <v>43203.092766203699</v>
      </c>
      <c r="G136" s="46">
        <v>5</v>
      </c>
      <c r="H136" s="47">
        <v>43386</v>
      </c>
      <c r="I136" s="47">
        <v>43402</v>
      </c>
      <c r="J136" s="46">
        <v>686217</v>
      </c>
      <c r="K136" s="46">
        <v>0</v>
      </c>
      <c r="L136" s="46">
        <v>0</v>
      </c>
      <c r="M136" s="46">
        <f t="shared" si="42"/>
        <v>686217</v>
      </c>
      <c r="N136" s="46">
        <v>686217</v>
      </c>
      <c r="O136" s="48">
        <f t="shared" si="43"/>
        <v>0</v>
      </c>
      <c r="P136" s="46">
        <v>0</v>
      </c>
      <c r="Q136" s="46">
        <v>686217</v>
      </c>
      <c r="R136" s="49">
        <f t="shared" si="44"/>
        <v>1</v>
      </c>
      <c r="S136" s="50">
        <f t="shared" si="45"/>
        <v>0.01</v>
      </c>
      <c r="T136" s="49">
        <f t="shared" si="46"/>
        <v>6862.17</v>
      </c>
      <c r="U136" s="51">
        <f t="shared" si="47"/>
        <v>0</v>
      </c>
      <c r="V136" s="52">
        <f>IF(0&lt;0.8,0,IF(0&lt;1,Sheet3!L55,1))*IF(G136&lt;3,0.12 - O136,0.01) *U136</f>
        <v>0</v>
      </c>
      <c r="W136" s="52">
        <f t="shared" si="48"/>
        <v>0</v>
      </c>
      <c r="X136" s="53">
        <f t="shared" si="49"/>
        <v>0</v>
      </c>
      <c r="Y136" s="53">
        <f t="shared" si="50"/>
        <v>0</v>
      </c>
      <c r="Z136" s="54">
        <f t="shared" si="54"/>
        <v>0</v>
      </c>
      <c r="AA136" s="54">
        <f t="shared" si="51"/>
        <v>0</v>
      </c>
      <c r="AB136" s="55">
        <f t="shared" si="56"/>
        <v>0</v>
      </c>
      <c r="AC136" s="55">
        <f t="shared" si="52"/>
        <v>0</v>
      </c>
      <c r="AD136" s="56">
        <f t="shared" si="53"/>
        <v>6862.17</v>
      </c>
    </row>
    <row r="137" spans="3:30">
      <c r="C137" s="43" t="s">
        <v>296</v>
      </c>
      <c r="D137" s="44" t="s">
        <v>297</v>
      </c>
      <c r="E137" s="44"/>
      <c r="F137" s="45">
        <v>39305.602048611108</v>
      </c>
      <c r="G137" s="46">
        <v>133</v>
      </c>
      <c r="H137" s="47">
        <v>43402</v>
      </c>
      <c r="I137" s="47">
        <v>43424</v>
      </c>
      <c r="J137" s="46">
        <v>2992765</v>
      </c>
      <c r="K137" s="46">
        <v>0</v>
      </c>
      <c r="L137" s="46">
        <v>0</v>
      </c>
      <c r="M137" s="46">
        <f t="shared" si="42"/>
        <v>2992765</v>
      </c>
      <c r="N137" s="46">
        <v>2992765</v>
      </c>
      <c r="O137" s="48">
        <f t="shared" si="43"/>
        <v>0</v>
      </c>
      <c r="P137" s="46">
        <v>0</v>
      </c>
      <c r="Q137" s="46">
        <v>2992765</v>
      </c>
      <c r="R137" s="49">
        <f t="shared" si="44"/>
        <v>1</v>
      </c>
      <c r="S137" s="50">
        <f t="shared" si="45"/>
        <v>0.01</v>
      </c>
      <c r="T137" s="49">
        <f t="shared" si="46"/>
        <v>29927.65</v>
      </c>
      <c r="U137" s="51">
        <f t="shared" si="47"/>
        <v>0</v>
      </c>
      <c r="V137" s="52">
        <f>IF(0&lt;0.8,0,IF(0&lt;1,Sheet3!L55,1))*IF(G137&lt;3,0.12 - O137,0.01) *U137</f>
        <v>0</v>
      </c>
      <c r="W137" s="52">
        <f t="shared" si="48"/>
        <v>0</v>
      </c>
      <c r="X137" s="53">
        <f t="shared" si="49"/>
        <v>0</v>
      </c>
      <c r="Y137" s="53">
        <f t="shared" si="50"/>
        <v>0</v>
      </c>
      <c r="Z137" s="54">
        <f t="shared" si="54"/>
        <v>0</v>
      </c>
      <c r="AA137" s="54">
        <f t="shared" si="51"/>
        <v>0</v>
      </c>
      <c r="AB137" s="55">
        <f t="shared" si="56"/>
        <v>0</v>
      </c>
      <c r="AC137" s="55">
        <f t="shared" si="52"/>
        <v>0</v>
      </c>
      <c r="AD137" s="56">
        <f t="shared" si="53"/>
        <v>29927.65</v>
      </c>
    </row>
    <row r="138" spans="3:30">
      <c r="C138" s="43" t="s">
        <v>298</v>
      </c>
      <c r="D138" s="44" t="s">
        <v>299</v>
      </c>
      <c r="E138" s="44"/>
      <c r="F138" s="45">
        <v>39681.595150462963</v>
      </c>
      <c r="G138" s="46">
        <v>121</v>
      </c>
      <c r="H138" s="47">
        <v>43434</v>
      </c>
      <c r="I138" s="47">
        <v>43481</v>
      </c>
      <c r="J138" s="46">
        <v>131251823</v>
      </c>
      <c r="K138" s="46">
        <v>0</v>
      </c>
      <c r="L138" s="46">
        <v>0</v>
      </c>
      <c r="M138" s="46">
        <f t="shared" si="42"/>
        <v>131251823</v>
      </c>
      <c r="N138" s="46">
        <v>131550331</v>
      </c>
      <c r="O138" s="48">
        <f t="shared" si="43"/>
        <v>2.2691543056626573E-3</v>
      </c>
      <c r="P138" s="46">
        <v>0</v>
      </c>
      <c r="Q138" s="46">
        <v>131251823</v>
      </c>
      <c r="R138" s="49">
        <f t="shared" si="44"/>
        <v>1</v>
      </c>
      <c r="S138" s="50">
        <f t="shared" si="45"/>
        <v>0.01</v>
      </c>
      <c r="T138" s="49">
        <f t="shared" si="46"/>
        <v>1312518.23</v>
      </c>
      <c r="U138" s="51">
        <f t="shared" si="47"/>
        <v>0</v>
      </c>
      <c r="V138" s="52">
        <f>IF(0&lt;0.8,0,IF(0&lt;1,Sheet3!L55,1))*IF(G138&lt;3,0.12 - O138,0.01) *U138</f>
        <v>0</v>
      </c>
      <c r="W138" s="52">
        <f t="shared" si="48"/>
        <v>0</v>
      </c>
      <c r="X138" s="53">
        <f t="shared" si="49"/>
        <v>0</v>
      </c>
      <c r="Y138" s="53">
        <f t="shared" si="50"/>
        <v>0</v>
      </c>
      <c r="Z138" s="54">
        <f t="shared" si="54"/>
        <v>0</v>
      </c>
      <c r="AA138" s="54">
        <f t="shared" si="51"/>
        <v>0</v>
      </c>
      <c r="AB138" s="55">
        <f t="shared" si="56"/>
        <v>0</v>
      </c>
      <c r="AC138" s="55">
        <f t="shared" si="52"/>
        <v>0</v>
      </c>
      <c r="AD138" s="56">
        <f t="shared" si="53"/>
        <v>1312518.23</v>
      </c>
    </row>
    <row r="139" spans="3:30">
      <c r="C139" s="43" t="s">
        <v>300</v>
      </c>
      <c r="D139" s="44" t="s">
        <v>301</v>
      </c>
      <c r="E139" s="44"/>
      <c r="F139" s="45">
        <v>42199.463206018518</v>
      </c>
      <c r="G139" s="46">
        <v>38</v>
      </c>
      <c r="H139" s="47">
        <v>43385</v>
      </c>
      <c r="I139" s="47">
        <v>43435</v>
      </c>
      <c r="J139" s="46">
        <v>1611236</v>
      </c>
      <c r="K139" s="46">
        <v>0</v>
      </c>
      <c r="L139" s="46">
        <v>0</v>
      </c>
      <c r="M139" s="46">
        <f t="shared" si="42"/>
        <v>1611236</v>
      </c>
      <c r="N139" s="46">
        <v>1597926</v>
      </c>
      <c r="O139" s="48">
        <f t="shared" si="43"/>
        <v>0</v>
      </c>
      <c r="P139" s="46">
        <v>0</v>
      </c>
      <c r="Q139" s="46">
        <v>1611236</v>
      </c>
      <c r="R139" s="49">
        <f t="shared" si="44"/>
        <v>1</v>
      </c>
      <c r="S139" s="50">
        <f t="shared" si="45"/>
        <v>0.01</v>
      </c>
      <c r="T139" s="49">
        <f t="shared" si="46"/>
        <v>16112.36</v>
      </c>
      <c r="U139" s="51">
        <f t="shared" si="47"/>
        <v>0</v>
      </c>
      <c r="V139" s="52">
        <f>IF(0&lt;0.8,0,IF(0&lt;1,Sheet3!L55,1))*IF(G139&lt;3,0.12 - O139,0.01) *U139</f>
        <v>0</v>
      </c>
      <c r="W139" s="52">
        <f t="shared" si="48"/>
        <v>0</v>
      </c>
      <c r="X139" s="53">
        <f t="shared" si="49"/>
        <v>0</v>
      </c>
      <c r="Y139" s="53">
        <f t="shared" si="50"/>
        <v>0</v>
      </c>
      <c r="Z139" s="54">
        <f t="shared" si="54"/>
        <v>0</v>
      </c>
      <c r="AA139" s="54">
        <f t="shared" si="51"/>
        <v>0</v>
      </c>
      <c r="AB139" s="55">
        <f t="shared" si="56"/>
        <v>0</v>
      </c>
      <c r="AC139" s="55">
        <f t="shared" si="52"/>
        <v>0</v>
      </c>
      <c r="AD139" s="56">
        <f t="shared" si="53"/>
        <v>16112.36</v>
      </c>
    </row>
    <row r="140" spans="3:30">
      <c r="C140" s="43" t="s">
        <v>302</v>
      </c>
      <c r="D140" s="44" t="s">
        <v>303</v>
      </c>
      <c r="E140" s="44"/>
      <c r="F140" s="45">
        <v>42199.471562499995</v>
      </c>
      <c r="G140" s="46">
        <v>38</v>
      </c>
      <c r="H140" s="47">
        <v>43459</v>
      </c>
      <c r="I140" s="47">
        <v>43487</v>
      </c>
      <c r="J140" s="46">
        <v>3455639</v>
      </c>
      <c r="K140" s="46">
        <v>94245</v>
      </c>
      <c r="L140" s="46">
        <v>0</v>
      </c>
      <c r="M140" s="46">
        <f t="shared" si="42"/>
        <v>3361394</v>
      </c>
      <c r="N140" s="46">
        <v>3442329</v>
      </c>
      <c r="O140" s="48">
        <f t="shared" si="43"/>
        <v>2.3511698039321627E-2</v>
      </c>
      <c r="P140" s="46">
        <v>0</v>
      </c>
      <c r="Q140" s="46">
        <v>3482259</v>
      </c>
      <c r="R140" s="49">
        <f t="shared" si="44"/>
        <v>1</v>
      </c>
      <c r="S140" s="50">
        <f t="shared" si="45"/>
        <v>0.01</v>
      </c>
      <c r="T140" s="49">
        <f t="shared" si="46"/>
        <v>33613.94</v>
      </c>
      <c r="U140" s="51">
        <f t="shared" si="47"/>
        <v>0</v>
      </c>
      <c r="V140" s="52">
        <f>IF(0&lt;0.8,0,IF(0&lt;1,Sheet3!L55,1))*IF(G140&lt;3,0.12 - O140,0.01) *U140</f>
        <v>0</v>
      </c>
      <c r="W140" s="52">
        <f t="shared" si="48"/>
        <v>0</v>
      </c>
      <c r="X140" s="53">
        <f t="shared" si="49"/>
        <v>0</v>
      </c>
      <c r="Y140" s="53">
        <f t="shared" si="50"/>
        <v>0</v>
      </c>
      <c r="Z140" s="54">
        <f t="shared" si="54"/>
        <v>0</v>
      </c>
      <c r="AA140" s="54">
        <f t="shared" si="51"/>
        <v>0</v>
      </c>
      <c r="AB140" s="55">
        <f t="shared" si="56"/>
        <v>0</v>
      </c>
      <c r="AC140" s="55">
        <f t="shared" si="52"/>
        <v>0</v>
      </c>
      <c r="AD140" s="56">
        <f t="shared" si="53"/>
        <v>33613.94</v>
      </c>
    </row>
    <row r="141" spans="3:30">
      <c r="C141" s="43" t="s">
        <v>304</v>
      </c>
      <c r="D141" s="44" t="s">
        <v>305</v>
      </c>
      <c r="E141" s="44"/>
      <c r="F141" s="45">
        <v>42227.40861111111</v>
      </c>
      <c r="G141" s="46">
        <v>37</v>
      </c>
      <c r="H141" s="47">
        <v>43395</v>
      </c>
      <c r="I141" s="47">
        <v>43404</v>
      </c>
      <c r="J141" s="46">
        <v>2437545</v>
      </c>
      <c r="K141" s="46">
        <v>0</v>
      </c>
      <c r="L141" s="46">
        <v>0</v>
      </c>
      <c r="M141" s="46">
        <f t="shared" si="42"/>
        <v>2437545</v>
      </c>
      <c r="N141" s="46">
        <v>2437545</v>
      </c>
      <c r="O141" s="48">
        <f t="shared" si="43"/>
        <v>0</v>
      </c>
      <c r="P141" s="46">
        <v>0</v>
      </c>
      <c r="Q141" s="46">
        <v>2437545</v>
      </c>
      <c r="R141" s="49">
        <f t="shared" si="44"/>
        <v>1</v>
      </c>
      <c r="S141" s="50">
        <f t="shared" si="45"/>
        <v>0.01</v>
      </c>
      <c r="T141" s="49">
        <f t="shared" si="46"/>
        <v>24375.45</v>
      </c>
      <c r="U141" s="51">
        <f t="shared" si="47"/>
        <v>0</v>
      </c>
      <c r="V141" s="52">
        <f>IF(0&lt;0.8,0,IF(0&lt;1,Sheet3!L55,1))*IF(G141&lt;3,0.12 - O141,0.01) *U141</f>
        <v>0</v>
      </c>
      <c r="W141" s="52">
        <f t="shared" si="48"/>
        <v>0</v>
      </c>
      <c r="X141" s="53">
        <f t="shared" si="49"/>
        <v>0</v>
      </c>
      <c r="Y141" s="53">
        <f t="shared" si="50"/>
        <v>0</v>
      </c>
      <c r="Z141" s="54">
        <f t="shared" si="54"/>
        <v>0</v>
      </c>
      <c r="AA141" s="54">
        <f t="shared" si="51"/>
        <v>0</v>
      </c>
      <c r="AB141" s="55">
        <f t="shared" si="56"/>
        <v>0</v>
      </c>
      <c r="AC141" s="55">
        <f t="shared" si="52"/>
        <v>0</v>
      </c>
      <c r="AD141" s="56">
        <f t="shared" si="53"/>
        <v>24375.45</v>
      </c>
    </row>
    <row r="142" spans="3:30">
      <c r="C142" s="43" t="s">
        <v>306</v>
      </c>
      <c r="D142" s="44" t="s">
        <v>307</v>
      </c>
      <c r="E142" s="44"/>
      <c r="F142" s="45">
        <v>42324.595254629625</v>
      </c>
      <c r="G142" s="46">
        <v>34</v>
      </c>
      <c r="H142" s="47" t="s">
        <v>24</v>
      </c>
      <c r="I142" s="47" t="s">
        <v>24</v>
      </c>
      <c r="J142" s="46">
        <v>742383</v>
      </c>
      <c r="K142" s="46">
        <v>0</v>
      </c>
      <c r="L142" s="46">
        <v>0</v>
      </c>
      <c r="M142" s="46">
        <f t="shared" si="42"/>
        <v>742383</v>
      </c>
      <c r="N142" s="46" t="s">
        <v>24</v>
      </c>
      <c r="O142" s="48">
        <f t="shared" si="43"/>
        <v>0</v>
      </c>
      <c r="P142" s="46">
        <v>0</v>
      </c>
      <c r="Q142" s="46">
        <v>0</v>
      </c>
      <c r="R142" s="49">
        <f t="shared" si="44"/>
        <v>1</v>
      </c>
      <c r="S142" s="50">
        <f t="shared" si="45"/>
        <v>0.01</v>
      </c>
      <c r="T142" s="49">
        <f t="shared" si="46"/>
        <v>7423.83</v>
      </c>
      <c r="U142" s="51">
        <f t="shared" si="47"/>
        <v>0</v>
      </c>
      <c r="V142" s="52">
        <f>IF(0&lt;0.8,0,IF(0&lt;1,Sheet3!L55,1))*IF(G142&lt;3,0.12 - O142,0.01) *U142</f>
        <v>0</v>
      </c>
      <c r="W142" s="52">
        <f t="shared" si="48"/>
        <v>0</v>
      </c>
      <c r="X142" s="53">
        <f t="shared" si="49"/>
        <v>0</v>
      </c>
      <c r="Y142" s="53">
        <f t="shared" si="50"/>
        <v>0</v>
      </c>
      <c r="Z142" s="54">
        <f>IF(R142=1,0,"")</f>
        <v>0</v>
      </c>
      <c r="AA142" s="54">
        <f t="shared" si="51"/>
        <v>0</v>
      </c>
      <c r="AB142" s="55">
        <f>IF(R142=0,"",0)</f>
        <v>0</v>
      </c>
      <c r="AC142" s="55">
        <f t="shared" si="52"/>
        <v>0</v>
      </c>
      <c r="AD142" s="56">
        <f t="shared" si="53"/>
        <v>7423.83</v>
      </c>
    </row>
    <row r="143" spans="3:30">
      <c r="C143" s="43" t="s">
        <v>308</v>
      </c>
      <c r="D143" s="44" t="s">
        <v>151</v>
      </c>
      <c r="E143" s="44"/>
      <c r="F143" s="45">
        <v>43304.211168981477</v>
      </c>
      <c r="G143" s="46">
        <v>2</v>
      </c>
      <c r="H143" s="47">
        <v>43372</v>
      </c>
      <c r="I143" s="47">
        <v>43409</v>
      </c>
      <c r="J143" s="46">
        <v>6728334</v>
      </c>
      <c r="K143" s="46">
        <v>0</v>
      </c>
      <c r="L143" s="46">
        <v>0</v>
      </c>
      <c r="M143" s="46">
        <f t="shared" si="42"/>
        <v>6728334</v>
      </c>
      <c r="N143" s="46">
        <v>6728334</v>
      </c>
      <c r="O143" s="48">
        <f t="shared" si="43"/>
        <v>0</v>
      </c>
      <c r="P143" s="46">
        <v>6728334</v>
      </c>
      <c r="Q143" s="46">
        <v>0</v>
      </c>
      <c r="R143" s="49">
        <f t="shared" si="44"/>
        <v>0</v>
      </c>
      <c r="S143" s="50">
        <f t="shared" si="45"/>
        <v>0</v>
      </c>
      <c r="T143" s="49">
        <f t="shared" si="46"/>
        <v>0</v>
      </c>
      <c r="U143" s="51">
        <f t="shared" si="47"/>
        <v>6728334</v>
      </c>
      <c r="V143" s="52">
        <f>IF(0&lt;0.8,0,IF(0&lt;1,Sheet3!L55,1))*IF(G143&lt;3,0.12 - O143,0.01) *U143</f>
        <v>0</v>
      </c>
      <c r="W143" s="52">
        <f t="shared" si="48"/>
        <v>0</v>
      </c>
      <c r="X143" s="53">
        <f t="shared" si="49"/>
        <v>0</v>
      </c>
      <c r="Y143" s="53">
        <f t="shared" si="50"/>
        <v>0</v>
      </c>
      <c r="Z143" s="54">
        <f>IF(R143=1,0,0)</f>
        <v>0</v>
      </c>
      <c r="AA143" s="54">
        <f t="shared" si="51"/>
        <v>0</v>
      </c>
      <c r="AB143" s="55">
        <f>IF(R143=0,0,0)</f>
        <v>0</v>
      </c>
      <c r="AC143" s="55">
        <f t="shared" si="52"/>
        <v>0</v>
      </c>
      <c r="AD143" s="56">
        <f t="shared" si="53"/>
        <v>0</v>
      </c>
    </row>
    <row r="144" spans="3:30">
      <c r="C144" s="43" t="s">
        <v>309</v>
      </c>
      <c r="D144" s="44" t="s">
        <v>310</v>
      </c>
      <c r="E144" s="44"/>
      <c r="F144" s="45">
        <v>43136.315474537034</v>
      </c>
      <c r="G144" s="46">
        <v>7</v>
      </c>
      <c r="H144" s="47">
        <v>43385</v>
      </c>
      <c r="I144" s="47">
        <v>43403</v>
      </c>
      <c r="J144" s="46">
        <v>1597400</v>
      </c>
      <c r="K144" s="46">
        <v>0</v>
      </c>
      <c r="L144" s="46">
        <v>0</v>
      </c>
      <c r="M144" s="46">
        <f t="shared" si="42"/>
        <v>1597400</v>
      </c>
      <c r="N144" s="46">
        <v>838091</v>
      </c>
      <c r="O144" s="48">
        <f t="shared" si="43"/>
        <v>0</v>
      </c>
      <c r="P144" s="46">
        <v>0</v>
      </c>
      <c r="Q144" s="46">
        <v>1597400</v>
      </c>
      <c r="R144" s="49">
        <f t="shared" si="44"/>
        <v>1</v>
      </c>
      <c r="S144" s="50">
        <f t="shared" si="45"/>
        <v>0.01</v>
      </c>
      <c r="T144" s="49">
        <f t="shared" si="46"/>
        <v>15974</v>
      </c>
      <c r="U144" s="51">
        <f t="shared" si="47"/>
        <v>0</v>
      </c>
      <c r="V144" s="52">
        <f>IF(0&lt;0.8,0,IF(0&lt;1,Sheet3!L55,1))*IF(G144&lt;3,0.12 - O144,0.01) *U144</f>
        <v>0</v>
      </c>
      <c r="W144" s="52">
        <f t="shared" si="48"/>
        <v>0</v>
      </c>
      <c r="X144" s="53">
        <f t="shared" si="49"/>
        <v>0</v>
      </c>
      <c r="Y144" s="53">
        <f t="shared" si="50"/>
        <v>0</v>
      </c>
      <c r="Z144" s="54">
        <f>IF(R144=1,0,0)</f>
        <v>0</v>
      </c>
      <c r="AA144" s="54">
        <f t="shared" si="51"/>
        <v>0</v>
      </c>
      <c r="AB144" s="55">
        <f>IF(R144=0,0,0)</f>
        <v>0</v>
      </c>
      <c r="AC144" s="55">
        <f t="shared" si="52"/>
        <v>0</v>
      </c>
      <c r="AD144" s="56">
        <f t="shared" si="53"/>
        <v>15974</v>
      </c>
    </row>
    <row r="145" spans="2:30">
      <c r="C145" s="43" t="s">
        <v>311</v>
      </c>
      <c r="D145" s="44" t="s">
        <v>312</v>
      </c>
      <c r="E145" s="44"/>
      <c r="F145" s="45">
        <v>43136.299178240741</v>
      </c>
      <c r="G145" s="46">
        <v>7</v>
      </c>
      <c r="H145" s="47">
        <v>43385</v>
      </c>
      <c r="I145" s="47">
        <v>43403</v>
      </c>
      <c r="J145" s="46">
        <v>4210580</v>
      </c>
      <c r="K145" s="46">
        <v>0</v>
      </c>
      <c r="L145" s="46">
        <v>0</v>
      </c>
      <c r="M145" s="46">
        <f t="shared" si="42"/>
        <v>4210580</v>
      </c>
      <c r="N145" s="46">
        <v>1737560</v>
      </c>
      <c r="O145" s="48">
        <f t="shared" si="43"/>
        <v>0</v>
      </c>
      <c r="P145" s="46">
        <v>0</v>
      </c>
      <c r="Q145" s="46">
        <v>4210580</v>
      </c>
      <c r="R145" s="49">
        <f t="shared" si="44"/>
        <v>1</v>
      </c>
      <c r="S145" s="50">
        <f t="shared" si="45"/>
        <v>0.01</v>
      </c>
      <c r="T145" s="49">
        <f t="shared" si="46"/>
        <v>42105.8</v>
      </c>
      <c r="U145" s="51">
        <f t="shared" si="47"/>
        <v>0</v>
      </c>
      <c r="V145" s="52">
        <f>IF(0&lt;0.8,0,IF(0&lt;1,Sheet3!L55,1))*IF(G145&lt;3,0.12 - O145,0.01) *U145</f>
        <v>0</v>
      </c>
      <c r="W145" s="52">
        <f t="shared" si="48"/>
        <v>0</v>
      </c>
      <c r="X145" s="53">
        <f t="shared" si="49"/>
        <v>0</v>
      </c>
      <c r="Y145" s="53">
        <f t="shared" si="50"/>
        <v>0</v>
      </c>
      <c r="Z145" s="54">
        <f>IF(R145=1,0,0)</f>
        <v>0</v>
      </c>
      <c r="AA145" s="54">
        <f t="shared" si="51"/>
        <v>0</v>
      </c>
      <c r="AB145" s="55">
        <f>IF(R145=0,0,0)</f>
        <v>0</v>
      </c>
      <c r="AC145" s="55">
        <f t="shared" si="52"/>
        <v>0</v>
      </c>
      <c r="AD145" s="56">
        <f t="shared" si="53"/>
        <v>42105.8</v>
      </c>
    </row>
    <row r="146" spans="2:30" ht="23.25" customHeight="1">
      <c r="B146" s="9" t="s">
        <v>5</v>
      </c>
      <c r="C146" s="10" t="s">
        <v>6</v>
      </c>
      <c r="D146" s="10"/>
      <c r="E146" s="11" t="s">
        <v>7</v>
      </c>
      <c r="F146" s="11" t="s">
        <v>8</v>
      </c>
      <c r="G146" s="11" t="s">
        <v>9</v>
      </c>
      <c r="H146" s="11" t="s">
        <v>10</v>
      </c>
      <c r="I146" s="11" t="s">
        <v>11</v>
      </c>
      <c r="J146" s="11" t="s">
        <v>12</v>
      </c>
      <c r="K146" s="11" t="s">
        <v>13</v>
      </c>
      <c r="L146" s="11" t="s">
        <v>14</v>
      </c>
      <c r="M146" s="11" t="s">
        <v>15</v>
      </c>
      <c r="N146" s="11" t="s">
        <v>16</v>
      </c>
      <c r="O146" s="11" t="s">
        <v>17</v>
      </c>
      <c r="P146" s="12" t="s">
        <v>18</v>
      </c>
      <c r="Q146" s="11" t="s">
        <v>19</v>
      </c>
      <c r="R146" s="11"/>
      <c r="S146" s="10" t="s">
        <v>20</v>
      </c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3"/>
    </row>
    <row r="147" spans="2:30">
      <c r="B147" s="14" t="s">
        <v>313</v>
      </c>
      <c r="C147" s="15" t="str">
        <f>"Lê"&amp;" " &amp; "Thúy Oanh"</f>
        <v>Lê Thúy Oanh</v>
      </c>
      <c r="D147" s="15"/>
      <c r="E147" s="16" t="s">
        <v>314</v>
      </c>
      <c r="F147" s="16" t="s">
        <v>131</v>
      </c>
      <c r="G147" s="17" t="s">
        <v>73</v>
      </c>
      <c r="H147" s="16" t="s">
        <v>315</v>
      </c>
      <c r="I147" s="18">
        <v>0</v>
      </c>
      <c r="J147" s="19">
        <v>24000000</v>
      </c>
      <c r="K147" s="19">
        <f>IFERROR(IF(N147&lt;4,Q147,SUM(Sheet3!J149:J179)),0)</f>
        <v>47417156</v>
      </c>
      <c r="L147" s="20">
        <f>IFERROR(K147/J147,0)</f>
        <v>1.9757148333333334</v>
      </c>
      <c r="M147" s="19">
        <f>IFERROR(IF(OR(N147=3,N147=4),SUM(Sheet3!AD149:AD179)+AD147,IF(N147=1,0.6%,IF(N147=2,0.65%,IF(N147=3,0.6%,0)))*IF(L147&lt;0.8,0,IF(L147&lt;1,L147,1))*IF(RIGHT("2018-09",2)="03",1,0)),0)</f>
        <v>421977.20999999996</v>
      </c>
      <c r="N147" s="19">
        <v>4</v>
      </c>
      <c r="O147" s="18">
        <f>IF(N147=4,0.5%,IF(N147=5,0.3%,0))</f>
        <v>5.0000000000000001E-3</v>
      </c>
      <c r="P147" s="21">
        <f>IFERROR(SUM(Sheet3!P149:P179),0)</f>
        <v>0</v>
      </c>
      <c r="Q147" s="19">
        <f>SUMIF($G:$G,B147,$K:$K)</f>
        <v>0</v>
      </c>
      <c r="R147" s="22"/>
      <c r="S147" s="23" t="s">
        <v>26</v>
      </c>
      <c r="T147" s="23"/>
      <c r="U147" s="24" t="s">
        <v>27</v>
      </c>
      <c r="V147" s="24"/>
      <c r="W147" s="24"/>
      <c r="X147" s="25" t="s">
        <v>28</v>
      </c>
      <c r="Y147" s="25"/>
      <c r="Z147" s="26" t="s">
        <v>29</v>
      </c>
      <c r="AA147" s="26"/>
      <c r="AB147" s="27" t="s">
        <v>30</v>
      </c>
      <c r="AC147" s="27"/>
      <c r="AD147" s="28">
        <f>IF(IFERROR(SUM(Sheet3!Y149:Y179)*O147,0)&gt;2000000,2000000,IFERROR(SUM(Sheet3!Y149:Y179)*O147,0))</f>
        <v>0</v>
      </c>
    </row>
    <row r="148" spans="2:30" ht="25.5">
      <c r="C148" s="29" t="s">
        <v>31</v>
      </c>
      <c r="D148" s="30" t="s">
        <v>32</v>
      </c>
      <c r="E148" s="30"/>
      <c r="F148" s="31" t="s">
        <v>33</v>
      </c>
      <c r="G148" s="31" t="s">
        <v>34</v>
      </c>
      <c r="H148" s="32" t="s">
        <v>35</v>
      </c>
      <c r="I148" s="32" t="s">
        <v>36</v>
      </c>
      <c r="J148" s="31" t="s">
        <v>37</v>
      </c>
      <c r="K148" s="31" t="s">
        <v>38</v>
      </c>
      <c r="L148" s="31" t="s">
        <v>39</v>
      </c>
      <c r="M148" s="31" t="s">
        <v>40</v>
      </c>
      <c r="N148" s="31" t="s">
        <v>41</v>
      </c>
      <c r="O148" s="33" t="s">
        <v>42</v>
      </c>
      <c r="P148" s="32" t="s">
        <v>43</v>
      </c>
      <c r="Q148" s="32" t="s">
        <v>44</v>
      </c>
      <c r="R148" s="34" t="s">
        <v>45</v>
      </c>
      <c r="S148" s="34" t="s">
        <v>46</v>
      </c>
      <c r="T148" s="34" t="s">
        <v>47</v>
      </c>
      <c r="U148" s="35" t="s">
        <v>48</v>
      </c>
      <c r="V148" s="36" t="s">
        <v>47</v>
      </c>
      <c r="W148" s="36" t="s">
        <v>49</v>
      </c>
      <c r="X148" s="37" t="s">
        <v>50</v>
      </c>
      <c r="Y148" s="37" t="s">
        <v>51</v>
      </c>
      <c r="Z148" s="38" t="s">
        <v>48</v>
      </c>
      <c r="AA148" s="39" t="s">
        <v>47</v>
      </c>
      <c r="AB148" s="40" t="s">
        <v>48</v>
      </c>
      <c r="AC148" s="41" t="s">
        <v>47</v>
      </c>
      <c r="AD148" s="42" t="s">
        <v>52</v>
      </c>
    </row>
    <row r="149" spans="2:30">
      <c r="C149" s="43" t="s">
        <v>316</v>
      </c>
      <c r="D149" s="44" t="s">
        <v>317</v>
      </c>
      <c r="E149" s="44"/>
      <c r="F149" s="45">
        <v>38950.765277777777</v>
      </c>
      <c r="G149" s="46">
        <v>145</v>
      </c>
      <c r="H149" s="47">
        <v>43376</v>
      </c>
      <c r="I149" s="47">
        <v>43385</v>
      </c>
      <c r="J149" s="46">
        <v>650738</v>
      </c>
      <c r="K149" s="46">
        <v>0</v>
      </c>
      <c r="L149" s="46">
        <v>0</v>
      </c>
      <c r="M149" s="46">
        <f t="shared" ref="M149:M179" si="57">IFERROR(J149-K149-L149,0)</f>
        <v>650738</v>
      </c>
      <c r="N149" s="46">
        <v>650738</v>
      </c>
      <c r="O149" s="48">
        <f t="shared" ref="O149:O179" si="58">IFERROR(IF(1 - M149/N149&lt;0,0,1-M149/N149),0)</f>
        <v>0</v>
      </c>
      <c r="P149" s="46">
        <v>0</v>
      </c>
      <c r="Q149" s="46">
        <v>650738</v>
      </c>
      <c r="R149" s="49">
        <f t="shared" ref="R149:R179" si="59">IF(F149&lt;DATEVALUE("2018-07-01"),1,0)</f>
        <v>1</v>
      </c>
      <c r="S149" s="50">
        <f t="shared" ref="S149:S179" si="60">IF(R149=1,1%,0)</f>
        <v>0.01</v>
      </c>
      <c r="T149" s="49">
        <f t="shared" ref="T149:T179" si="61">IFERROR(S149*M149,0)</f>
        <v>6507.38</v>
      </c>
      <c r="U149" s="51">
        <f t="shared" ref="U149:U179" si="62">IF(O149&lt;=0.12,1,0)*(1-R149)*M149</f>
        <v>0</v>
      </c>
      <c r="V149" s="52">
        <f>IF(0&lt;0.8,0,IF(0&lt;1,Sheet3!L147,1))*IF(G149&lt;3,0.12 - O149,0.01) *U149</f>
        <v>0</v>
      </c>
      <c r="W149" s="52">
        <f t="shared" ref="W149:W179" si="63">IF(0&gt;1,IF(0&lt;=1.1,1,IF(0&lt;=1.2,2,IF(0&lt;=1.5,3,5))),0) * 1000000</f>
        <v>0</v>
      </c>
      <c r="X149" s="53">
        <f t="shared" ref="X149:X179" si="64">IF(AND(P149&gt;=150000000,P149&lt;300000000),5000000,IF(AND(P149&gt;=300000000,P149&lt;500000000),10000000,IF(AND(P149&gt;=300000000,P149&lt;500000000),15000000,IF(AND(P149&gt;=500000000,P149&lt;3000000000),20000000,IF(P149&gt;=30000000000,35000000,0))))) * (1-R149)</f>
        <v>0</v>
      </c>
      <c r="Y149" s="53">
        <f t="shared" ref="Y149:Y179" si="65">IFERROR(Q149 * (1-R149),0)</f>
        <v>0</v>
      </c>
      <c r="Z149" s="54">
        <f t="shared" ref="Z149:Z179" si="66">IF(R149=1,0,0)</f>
        <v>0</v>
      </c>
      <c r="AA149" s="54">
        <f t="shared" ref="AA149:AA179" si="67">IFERROR((1-R149) * Z149 * 2%,0)</f>
        <v>0</v>
      </c>
      <c r="AB149" s="55">
        <f t="shared" ref="AB149:AB179" si="68">IF(R149=0,0,0)</f>
        <v>0</v>
      </c>
      <c r="AC149" s="55">
        <f t="shared" ref="AC149:AC179" si="69">IFERROR(AB149 * (1-R149) * 2%,0)</f>
        <v>0</v>
      </c>
      <c r="AD149" s="56">
        <f t="shared" ref="AD149:AD179" si="70">T149+V149+W149+X149+AA149+AC149</f>
        <v>6507.38</v>
      </c>
    </row>
    <row r="150" spans="2:30">
      <c r="C150" s="43" t="s">
        <v>318</v>
      </c>
      <c r="D150" s="44" t="s">
        <v>319</v>
      </c>
      <c r="E150" s="44"/>
      <c r="F150" s="45">
        <v>40200.408333333333</v>
      </c>
      <c r="G150" s="46">
        <v>104</v>
      </c>
      <c r="H150" s="47">
        <v>43379</v>
      </c>
      <c r="I150" s="47">
        <v>43392</v>
      </c>
      <c r="J150" s="46">
        <v>246719</v>
      </c>
      <c r="K150" s="46">
        <v>0</v>
      </c>
      <c r="L150" s="46">
        <v>0</v>
      </c>
      <c r="M150" s="46">
        <f t="shared" si="57"/>
        <v>246719</v>
      </c>
      <c r="N150" s="46">
        <v>246719</v>
      </c>
      <c r="O150" s="48">
        <f t="shared" si="58"/>
        <v>0</v>
      </c>
      <c r="P150" s="46">
        <v>0</v>
      </c>
      <c r="Q150" s="46">
        <v>246719</v>
      </c>
      <c r="R150" s="49">
        <f t="shared" si="59"/>
        <v>1</v>
      </c>
      <c r="S150" s="50">
        <f t="shared" si="60"/>
        <v>0.01</v>
      </c>
      <c r="T150" s="49">
        <f t="shared" si="61"/>
        <v>2467.19</v>
      </c>
      <c r="U150" s="51">
        <f t="shared" si="62"/>
        <v>0</v>
      </c>
      <c r="V150" s="52">
        <f>IF(0&lt;0.8,0,IF(0&lt;1,Sheet3!L147,1))*IF(G150&lt;3,0.12 - O150,0.01) *U150</f>
        <v>0</v>
      </c>
      <c r="W150" s="52">
        <f t="shared" si="63"/>
        <v>0</v>
      </c>
      <c r="X150" s="53">
        <f t="shared" si="64"/>
        <v>0</v>
      </c>
      <c r="Y150" s="53">
        <f t="shared" si="65"/>
        <v>0</v>
      </c>
      <c r="Z150" s="54">
        <f t="shared" si="66"/>
        <v>0</v>
      </c>
      <c r="AA150" s="54">
        <f t="shared" si="67"/>
        <v>0</v>
      </c>
      <c r="AB150" s="55">
        <f t="shared" si="68"/>
        <v>0</v>
      </c>
      <c r="AC150" s="55">
        <f t="shared" si="69"/>
        <v>0</v>
      </c>
      <c r="AD150" s="56">
        <f t="shared" si="70"/>
        <v>2467.19</v>
      </c>
    </row>
    <row r="151" spans="2:30">
      <c r="C151" s="43" t="s">
        <v>320</v>
      </c>
      <c r="D151" s="44" t="s">
        <v>321</v>
      </c>
      <c r="E151" s="44"/>
      <c r="F151" s="45">
        <v>40855.367546296293</v>
      </c>
      <c r="G151" s="46">
        <v>82</v>
      </c>
      <c r="H151" s="47">
        <v>43372</v>
      </c>
      <c r="I151" s="47">
        <v>43393</v>
      </c>
      <c r="J151" s="46">
        <v>1520107</v>
      </c>
      <c r="K151" s="46">
        <v>0</v>
      </c>
      <c r="L151" s="46">
        <v>0</v>
      </c>
      <c r="M151" s="46">
        <f t="shared" si="57"/>
        <v>1520107</v>
      </c>
      <c r="N151" s="46">
        <v>1520107</v>
      </c>
      <c r="O151" s="48">
        <f t="shared" si="58"/>
        <v>0</v>
      </c>
      <c r="P151" s="46">
        <v>0</v>
      </c>
      <c r="Q151" s="46">
        <v>1520107</v>
      </c>
      <c r="R151" s="49">
        <f t="shared" si="59"/>
        <v>1</v>
      </c>
      <c r="S151" s="50">
        <f t="shared" si="60"/>
        <v>0.01</v>
      </c>
      <c r="T151" s="49">
        <f t="shared" si="61"/>
        <v>15201.07</v>
      </c>
      <c r="U151" s="51">
        <f t="shared" si="62"/>
        <v>0</v>
      </c>
      <c r="V151" s="52">
        <f>IF(0&lt;0.8,0,IF(0&lt;1,Sheet3!L147,1))*IF(G151&lt;3,0.12 - O151,0.01) *U151</f>
        <v>0</v>
      </c>
      <c r="W151" s="52">
        <f t="shared" si="63"/>
        <v>0</v>
      </c>
      <c r="X151" s="53">
        <f t="shared" si="64"/>
        <v>0</v>
      </c>
      <c r="Y151" s="53">
        <f t="shared" si="65"/>
        <v>0</v>
      </c>
      <c r="Z151" s="54">
        <f t="shared" si="66"/>
        <v>0</v>
      </c>
      <c r="AA151" s="54">
        <f t="shared" si="67"/>
        <v>0</v>
      </c>
      <c r="AB151" s="55">
        <f t="shared" si="68"/>
        <v>0</v>
      </c>
      <c r="AC151" s="55">
        <f t="shared" si="69"/>
        <v>0</v>
      </c>
      <c r="AD151" s="56">
        <f t="shared" si="70"/>
        <v>15201.07</v>
      </c>
    </row>
    <row r="152" spans="2:30">
      <c r="C152" s="43" t="s">
        <v>322</v>
      </c>
      <c r="D152" s="44" t="s">
        <v>323</v>
      </c>
      <c r="E152" s="44"/>
      <c r="F152" s="45">
        <v>41572.613321759258</v>
      </c>
      <c r="G152" s="46">
        <v>59</v>
      </c>
      <c r="H152" s="47">
        <v>43376</v>
      </c>
      <c r="I152" s="47">
        <v>43385</v>
      </c>
      <c r="J152" s="46">
        <v>874588</v>
      </c>
      <c r="K152" s="46">
        <v>0</v>
      </c>
      <c r="L152" s="46">
        <v>0</v>
      </c>
      <c r="M152" s="46">
        <f t="shared" si="57"/>
        <v>874588</v>
      </c>
      <c r="N152" s="46">
        <v>874588</v>
      </c>
      <c r="O152" s="48">
        <f t="shared" si="58"/>
        <v>0</v>
      </c>
      <c r="P152" s="46">
        <v>0</v>
      </c>
      <c r="Q152" s="46">
        <v>874588</v>
      </c>
      <c r="R152" s="49">
        <f t="shared" si="59"/>
        <v>1</v>
      </c>
      <c r="S152" s="50">
        <f t="shared" si="60"/>
        <v>0.01</v>
      </c>
      <c r="T152" s="49">
        <f t="shared" si="61"/>
        <v>8745.880000000001</v>
      </c>
      <c r="U152" s="51">
        <f t="shared" si="62"/>
        <v>0</v>
      </c>
      <c r="V152" s="52">
        <f>IF(0&lt;0.8,0,IF(0&lt;1,Sheet3!L147,1))*IF(G152&lt;3,0.12 - O152,0.01) *U152</f>
        <v>0</v>
      </c>
      <c r="W152" s="52">
        <f t="shared" si="63"/>
        <v>0</v>
      </c>
      <c r="X152" s="53">
        <f t="shared" si="64"/>
        <v>0</v>
      </c>
      <c r="Y152" s="53">
        <f t="shared" si="65"/>
        <v>0</v>
      </c>
      <c r="Z152" s="54">
        <f t="shared" si="66"/>
        <v>0</v>
      </c>
      <c r="AA152" s="54">
        <f t="shared" si="67"/>
        <v>0</v>
      </c>
      <c r="AB152" s="55">
        <f t="shared" si="68"/>
        <v>0</v>
      </c>
      <c r="AC152" s="55">
        <f t="shared" si="69"/>
        <v>0</v>
      </c>
      <c r="AD152" s="56">
        <f t="shared" si="70"/>
        <v>8745.880000000001</v>
      </c>
    </row>
    <row r="153" spans="2:30">
      <c r="C153" s="43" t="s">
        <v>324</v>
      </c>
      <c r="D153" s="44" t="s">
        <v>325</v>
      </c>
      <c r="E153" s="44"/>
      <c r="F153" s="45">
        <v>41751.653275462959</v>
      </c>
      <c r="G153" s="46">
        <v>53</v>
      </c>
      <c r="H153" s="47">
        <v>43375</v>
      </c>
      <c r="I153" s="47">
        <v>43399</v>
      </c>
      <c r="J153" s="46">
        <v>3216570</v>
      </c>
      <c r="K153" s="46">
        <v>0</v>
      </c>
      <c r="L153" s="46">
        <v>0</v>
      </c>
      <c r="M153" s="46">
        <f t="shared" si="57"/>
        <v>3216570</v>
      </c>
      <c r="N153" s="46">
        <v>3216570</v>
      </c>
      <c r="O153" s="48">
        <f t="shared" si="58"/>
        <v>0</v>
      </c>
      <c r="P153" s="46">
        <v>0</v>
      </c>
      <c r="Q153" s="46">
        <v>3216570</v>
      </c>
      <c r="R153" s="49">
        <f t="shared" si="59"/>
        <v>1</v>
      </c>
      <c r="S153" s="50">
        <f t="shared" si="60"/>
        <v>0.01</v>
      </c>
      <c r="T153" s="49">
        <f t="shared" si="61"/>
        <v>32165.7</v>
      </c>
      <c r="U153" s="51">
        <f t="shared" si="62"/>
        <v>0</v>
      </c>
      <c r="V153" s="52">
        <f>IF(0&lt;0.8,0,IF(0&lt;1,Sheet3!L147,1))*IF(G153&lt;3,0.12 - O153,0.01) *U153</f>
        <v>0</v>
      </c>
      <c r="W153" s="52">
        <f t="shared" si="63"/>
        <v>0</v>
      </c>
      <c r="X153" s="53">
        <f t="shared" si="64"/>
        <v>0</v>
      </c>
      <c r="Y153" s="53">
        <f t="shared" si="65"/>
        <v>0</v>
      </c>
      <c r="Z153" s="54">
        <f t="shared" si="66"/>
        <v>0</v>
      </c>
      <c r="AA153" s="54">
        <f t="shared" si="67"/>
        <v>0</v>
      </c>
      <c r="AB153" s="55">
        <f t="shared" si="68"/>
        <v>0</v>
      </c>
      <c r="AC153" s="55">
        <f t="shared" si="69"/>
        <v>0</v>
      </c>
      <c r="AD153" s="56">
        <f t="shared" si="70"/>
        <v>32165.7</v>
      </c>
    </row>
    <row r="154" spans="2:30">
      <c r="C154" s="43" t="s">
        <v>326</v>
      </c>
      <c r="D154" s="44" t="s">
        <v>327</v>
      </c>
      <c r="E154" s="44"/>
      <c r="F154" s="45">
        <v>41885.619907407403</v>
      </c>
      <c r="G154" s="46">
        <v>48</v>
      </c>
      <c r="H154" s="47">
        <v>43372</v>
      </c>
      <c r="I154" s="47">
        <v>43420</v>
      </c>
      <c r="J154" s="46">
        <v>803389</v>
      </c>
      <c r="K154" s="46">
        <v>0</v>
      </c>
      <c r="L154" s="46">
        <v>0</v>
      </c>
      <c r="M154" s="46">
        <f t="shared" si="57"/>
        <v>803389</v>
      </c>
      <c r="N154" s="46">
        <v>803389</v>
      </c>
      <c r="O154" s="48">
        <f t="shared" si="58"/>
        <v>0</v>
      </c>
      <c r="P154" s="46">
        <v>0</v>
      </c>
      <c r="Q154" s="46">
        <v>803389</v>
      </c>
      <c r="R154" s="49">
        <f t="shared" si="59"/>
        <v>1</v>
      </c>
      <c r="S154" s="50">
        <f t="shared" si="60"/>
        <v>0.01</v>
      </c>
      <c r="T154" s="49">
        <f t="shared" si="61"/>
        <v>8033.89</v>
      </c>
      <c r="U154" s="51">
        <f t="shared" si="62"/>
        <v>0</v>
      </c>
      <c r="V154" s="52">
        <f>IF(0&lt;0.8,0,IF(0&lt;1,Sheet3!L147,1))*IF(G154&lt;3,0.12 - O154,0.01) *U154</f>
        <v>0</v>
      </c>
      <c r="W154" s="52">
        <f t="shared" si="63"/>
        <v>0</v>
      </c>
      <c r="X154" s="53">
        <f t="shared" si="64"/>
        <v>0</v>
      </c>
      <c r="Y154" s="53">
        <f t="shared" si="65"/>
        <v>0</v>
      </c>
      <c r="Z154" s="54">
        <f t="shared" si="66"/>
        <v>0</v>
      </c>
      <c r="AA154" s="54">
        <f t="shared" si="67"/>
        <v>0</v>
      </c>
      <c r="AB154" s="55">
        <f t="shared" si="68"/>
        <v>0</v>
      </c>
      <c r="AC154" s="55">
        <f t="shared" si="69"/>
        <v>0</v>
      </c>
      <c r="AD154" s="56">
        <f t="shared" si="70"/>
        <v>8033.89</v>
      </c>
    </row>
    <row r="155" spans="2:30">
      <c r="C155" s="43" t="s">
        <v>328</v>
      </c>
      <c r="D155" s="44" t="s">
        <v>329</v>
      </c>
      <c r="E155" s="44"/>
      <c r="F155" s="45">
        <v>42885.086435185185</v>
      </c>
      <c r="G155" s="46">
        <v>16</v>
      </c>
      <c r="H155" s="47">
        <v>43382</v>
      </c>
      <c r="I155" s="47">
        <v>43397</v>
      </c>
      <c r="J155" s="46">
        <v>143616</v>
      </c>
      <c r="K155" s="46">
        <v>0</v>
      </c>
      <c r="L155" s="46">
        <v>0</v>
      </c>
      <c r="M155" s="46">
        <f t="shared" si="57"/>
        <v>143616</v>
      </c>
      <c r="N155" s="46">
        <v>143616</v>
      </c>
      <c r="O155" s="48">
        <f t="shared" si="58"/>
        <v>0</v>
      </c>
      <c r="P155" s="46">
        <v>0</v>
      </c>
      <c r="Q155" s="46">
        <v>143616</v>
      </c>
      <c r="R155" s="49">
        <f t="shared" si="59"/>
        <v>1</v>
      </c>
      <c r="S155" s="50">
        <f t="shared" si="60"/>
        <v>0.01</v>
      </c>
      <c r="T155" s="49">
        <f t="shared" si="61"/>
        <v>1436.16</v>
      </c>
      <c r="U155" s="51">
        <f t="shared" si="62"/>
        <v>0</v>
      </c>
      <c r="V155" s="52">
        <f>IF(0&lt;0.8,0,IF(0&lt;1,Sheet3!L147,1))*IF(G155&lt;3,0.12 - O155,0.01) *U155</f>
        <v>0</v>
      </c>
      <c r="W155" s="52">
        <f t="shared" si="63"/>
        <v>0</v>
      </c>
      <c r="X155" s="53">
        <f t="shared" si="64"/>
        <v>0</v>
      </c>
      <c r="Y155" s="53">
        <f t="shared" si="65"/>
        <v>0</v>
      </c>
      <c r="Z155" s="54">
        <f t="shared" si="66"/>
        <v>0</v>
      </c>
      <c r="AA155" s="54">
        <f t="shared" si="67"/>
        <v>0</v>
      </c>
      <c r="AB155" s="55">
        <f t="shared" si="68"/>
        <v>0</v>
      </c>
      <c r="AC155" s="55">
        <f t="shared" si="69"/>
        <v>0</v>
      </c>
      <c r="AD155" s="56">
        <f t="shared" si="70"/>
        <v>1436.16</v>
      </c>
    </row>
    <row r="156" spans="2:30">
      <c r="C156" s="43" t="s">
        <v>330</v>
      </c>
      <c r="D156" s="44" t="s">
        <v>331</v>
      </c>
      <c r="E156" s="44"/>
      <c r="F156" s="45">
        <v>42896.331157407403</v>
      </c>
      <c r="G156" s="46">
        <v>15</v>
      </c>
      <c r="H156" s="47">
        <v>43375</v>
      </c>
      <c r="I156" s="47">
        <v>43390</v>
      </c>
      <c r="J156" s="46">
        <v>1542169</v>
      </c>
      <c r="K156" s="46">
        <v>0</v>
      </c>
      <c r="L156" s="46">
        <v>0</v>
      </c>
      <c r="M156" s="46">
        <f t="shared" si="57"/>
        <v>1542169</v>
      </c>
      <c r="N156" s="46">
        <v>1970908</v>
      </c>
      <c r="O156" s="48">
        <f t="shared" si="58"/>
        <v>0.21753374586738705</v>
      </c>
      <c r="P156" s="46">
        <v>0</v>
      </c>
      <c r="Q156" s="46">
        <v>1542169</v>
      </c>
      <c r="R156" s="49">
        <f t="shared" si="59"/>
        <v>1</v>
      </c>
      <c r="S156" s="50">
        <f t="shared" si="60"/>
        <v>0.01</v>
      </c>
      <c r="T156" s="49">
        <f t="shared" si="61"/>
        <v>15421.69</v>
      </c>
      <c r="U156" s="51">
        <f t="shared" si="62"/>
        <v>0</v>
      </c>
      <c r="V156" s="52">
        <f>IF(0&lt;0.8,0,IF(0&lt;1,Sheet3!L147,1))*IF(G156&lt;3,0.12 - O156,0.01) *U156</f>
        <v>0</v>
      </c>
      <c r="W156" s="52">
        <f t="shared" si="63"/>
        <v>0</v>
      </c>
      <c r="X156" s="53">
        <f t="shared" si="64"/>
        <v>0</v>
      </c>
      <c r="Y156" s="53">
        <f t="shared" si="65"/>
        <v>0</v>
      </c>
      <c r="Z156" s="54">
        <f t="shared" si="66"/>
        <v>0</v>
      </c>
      <c r="AA156" s="54">
        <f t="shared" si="67"/>
        <v>0</v>
      </c>
      <c r="AB156" s="55">
        <f t="shared" si="68"/>
        <v>0</v>
      </c>
      <c r="AC156" s="55">
        <f t="shared" si="69"/>
        <v>0</v>
      </c>
      <c r="AD156" s="56">
        <f t="shared" si="70"/>
        <v>15421.69</v>
      </c>
    </row>
    <row r="157" spans="2:30">
      <c r="C157" s="43" t="s">
        <v>332</v>
      </c>
      <c r="D157" s="44" t="s">
        <v>333</v>
      </c>
      <c r="E157" s="44"/>
      <c r="F157" s="45">
        <v>42908.064710648148</v>
      </c>
      <c r="G157" s="46">
        <v>15</v>
      </c>
      <c r="H157" s="47">
        <v>43372</v>
      </c>
      <c r="I157" s="47">
        <v>43399</v>
      </c>
      <c r="J157" s="46">
        <v>5396767</v>
      </c>
      <c r="K157" s="46">
        <v>415474</v>
      </c>
      <c r="L157" s="46">
        <v>0</v>
      </c>
      <c r="M157" s="46">
        <f t="shared" si="57"/>
        <v>4981293</v>
      </c>
      <c r="N157" s="46">
        <v>5396767</v>
      </c>
      <c r="O157" s="48">
        <f t="shared" si="58"/>
        <v>7.698572126608394E-2</v>
      </c>
      <c r="P157" s="46">
        <v>0</v>
      </c>
      <c r="Q157" s="46">
        <v>5396767</v>
      </c>
      <c r="R157" s="49">
        <f t="shared" si="59"/>
        <v>1</v>
      </c>
      <c r="S157" s="50">
        <f t="shared" si="60"/>
        <v>0.01</v>
      </c>
      <c r="T157" s="49">
        <f t="shared" si="61"/>
        <v>49812.93</v>
      </c>
      <c r="U157" s="51">
        <f t="shared" si="62"/>
        <v>0</v>
      </c>
      <c r="V157" s="52">
        <f>IF(0&lt;0.8,0,IF(0&lt;1,Sheet3!L147,1))*IF(G157&lt;3,0.12 - O157,0.01) *U157</f>
        <v>0</v>
      </c>
      <c r="W157" s="52">
        <f t="shared" si="63"/>
        <v>0</v>
      </c>
      <c r="X157" s="53">
        <f t="shared" si="64"/>
        <v>0</v>
      </c>
      <c r="Y157" s="53">
        <f t="shared" si="65"/>
        <v>0</v>
      </c>
      <c r="Z157" s="54">
        <f t="shared" si="66"/>
        <v>0</v>
      </c>
      <c r="AA157" s="54">
        <f t="shared" si="67"/>
        <v>0</v>
      </c>
      <c r="AB157" s="55">
        <f t="shared" si="68"/>
        <v>0</v>
      </c>
      <c r="AC157" s="55">
        <f t="shared" si="69"/>
        <v>0</v>
      </c>
      <c r="AD157" s="56">
        <f t="shared" si="70"/>
        <v>49812.93</v>
      </c>
    </row>
    <row r="158" spans="2:30">
      <c r="C158" s="43" t="s">
        <v>334</v>
      </c>
      <c r="D158" s="44" t="s">
        <v>335</v>
      </c>
      <c r="E158" s="44"/>
      <c r="F158" s="45">
        <v>42921.290462962963</v>
      </c>
      <c r="G158" s="46">
        <v>14</v>
      </c>
      <c r="H158" s="47">
        <v>43382</v>
      </c>
      <c r="I158" s="47">
        <v>43455</v>
      </c>
      <c r="J158" s="46">
        <v>700874</v>
      </c>
      <c r="K158" s="46">
        <v>0</v>
      </c>
      <c r="L158" s="46">
        <v>0</v>
      </c>
      <c r="M158" s="46">
        <f t="shared" si="57"/>
        <v>700874</v>
      </c>
      <c r="N158" s="46">
        <v>700874</v>
      </c>
      <c r="O158" s="48">
        <f t="shared" si="58"/>
        <v>0</v>
      </c>
      <c r="P158" s="46">
        <v>0</v>
      </c>
      <c r="Q158" s="46">
        <v>700874</v>
      </c>
      <c r="R158" s="49">
        <f t="shared" si="59"/>
        <v>1</v>
      </c>
      <c r="S158" s="50">
        <f t="shared" si="60"/>
        <v>0.01</v>
      </c>
      <c r="T158" s="49">
        <f t="shared" si="61"/>
        <v>7008.74</v>
      </c>
      <c r="U158" s="51">
        <f t="shared" si="62"/>
        <v>0</v>
      </c>
      <c r="V158" s="52">
        <f>IF(0&lt;0.8,0,IF(0&lt;1,Sheet3!L147,1))*IF(G158&lt;3,0.12 - O158,0.01) *U158</f>
        <v>0</v>
      </c>
      <c r="W158" s="52">
        <f t="shared" si="63"/>
        <v>0</v>
      </c>
      <c r="X158" s="53">
        <f t="shared" si="64"/>
        <v>0</v>
      </c>
      <c r="Y158" s="53">
        <f t="shared" si="65"/>
        <v>0</v>
      </c>
      <c r="Z158" s="54">
        <f t="shared" si="66"/>
        <v>0</v>
      </c>
      <c r="AA158" s="54">
        <f t="shared" si="67"/>
        <v>0</v>
      </c>
      <c r="AB158" s="55">
        <f t="shared" si="68"/>
        <v>0</v>
      </c>
      <c r="AC158" s="55">
        <f t="shared" si="69"/>
        <v>0</v>
      </c>
      <c r="AD158" s="56">
        <f t="shared" si="70"/>
        <v>7008.74</v>
      </c>
    </row>
    <row r="159" spans="2:30">
      <c r="C159" s="43" t="s">
        <v>336</v>
      </c>
      <c r="D159" s="44" t="s">
        <v>337</v>
      </c>
      <c r="E159" s="44"/>
      <c r="F159" s="45">
        <v>42923.342893518515</v>
      </c>
      <c r="G159" s="46">
        <v>14</v>
      </c>
      <c r="H159" s="47">
        <v>43376</v>
      </c>
      <c r="I159" s="47">
        <v>43385</v>
      </c>
      <c r="J159" s="46">
        <v>249271</v>
      </c>
      <c r="K159" s="46">
        <v>0</v>
      </c>
      <c r="L159" s="46">
        <v>0</v>
      </c>
      <c r="M159" s="46">
        <f t="shared" si="57"/>
        <v>249271</v>
      </c>
      <c r="N159" s="46">
        <v>249271</v>
      </c>
      <c r="O159" s="48">
        <f t="shared" si="58"/>
        <v>0</v>
      </c>
      <c r="P159" s="46">
        <v>0</v>
      </c>
      <c r="Q159" s="46">
        <v>249271</v>
      </c>
      <c r="R159" s="49">
        <f t="shared" si="59"/>
        <v>1</v>
      </c>
      <c r="S159" s="50">
        <f t="shared" si="60"/>
        <v>0.01</v>
      </c>
      <c r="T159" s="49">
        <f t="shared" si="61"/>
        <v>2492.71</v>
      </c>
      <c r="U159" s="51">
        <f t="shared" si="62"/>
        <v>0</v>
      </c>
      <c r="V159" s="52">
        <f>IF(0&lt;0.8,0,IF(0&lt;1,Sheet3!L147,1))*IF(G159&lt;3,0.12 - O159,0.01) *U159</f>
        <v>0</v>
      </c>
      <c r="W159" s="52">
        <f t="shared" si="63"/>
        <v>0</v>
      </c>
      <c r="X159" s="53">
        <f t="shared" si="64"/>
        <v>0</v>
      </c>
      <c r="Y159" s="53">
        <f t="shared" si="65"/>
        <v>0</v>
      </c>
      <c r="Z159" s="54">
        <f t="shared" si="66"/>
        <v>0</v>
      </c>
      <c r="AA159" s="54">
        <f t="shared" si="67"/>
        <v>0</v>
      </c>
      <c r="AB159" s="55">
        <f t="shared" si="68"/>
        <v>0</v>
      </c>
      <c r="AC159" s="55">
        <f t="shared" si="69"/>
        <v>0</v>
      </c>
      <c r="AD159" s="56">
        <f t="shared" si="70"/>
        <v>2492.71</v>
      </c>
    </row>
    <row r="160" spans="2:30">
      <c r="C160" s="43" t="s">
        <v>338</v>
      </c>
      <c r="D160" s="44" t="s">
        <v>339</v>
      </c>
      <c r="E160" s="44"/>
      <c r="F160" s="45">
        <v>42963.078159722223</v>
      </c>
      <c r="G160" s="46">
        <v>13</v>
      </c>
      <c r="H160" s="47">
        <v>43377</v>
      </c>
      <c r="I160" s="47">
        <v>43385</v>
      </c>
      <c r="J160" s="46">
        <v>823113</v>
      </c>
      <c r="K160" s="46">
        <v>0</v>
      </c>
      <c r="L160" s="46">
        <v>0</v>
      </c>
      <c r="M160" s="46">
        <f t="shared" si="57"/>
        <v>823113</v>
      </c>
      <c r="N160" s="46">
        <v>823113</v>
      </c>
      <c r="O160" s="48">
        <f t="shared" si="58"/>
        <v>0</v>
      </c>
      <c r="P160" s="46">
        <v>0</v>
      </c>
      <c r="Q160" s="46">
        <v>823113</v>
      </c>
      <c r="R160" s="49">
        <f t="shared" si="59"/>
        <v>1</v>
      </c>
      <c r="S160" s="50">
        <f t="shared" si="60"/>
        <v>0.01</v>
      </c>
      <c r="T160" s="49">
        <f t="shared" si="61"/>
        <v>8231.130000000001</v>
      </c>
      <c r="U160" s="51">
        <f t="shared" si="62"/>
        <v>0</v>
      </c>
      <c r="V160" s="52">
        <f>IF(0&lt;0.8,0,IF(0&lt;1,Sheet3!L147,1))*IF(G160&lt;3,0.12 - O160,0.01) *U160</f>
        <v>0</v>
      </c>
      <c r="W160" s="52">
        <f t="shared" si="63"/>
        <v>0</v>
      </c>
      <c r="X160" s="53">
        <f t="shared" si="64"/>
        <v>0</v>
      </c>
      <c r="Y160" s="53">
        <f t="shared" si="65"/>
        <v>0</v>
      </c>
      <c r="Z160" s="54">
        <f t="shared" si="66"/>
        <v>0</v>
      </c>
      <c r="AA160" s="54">
        <f t="shared" si="67"/>
        <v>0</v>
      </c>
      <c r="AB160" s="55">
        <f t="shared" si="68"/>
        <v>0</v>
      </c>
      <c r="AC160" s="55">
        <f t="shared" si="69"/>
        <v>0</v>
      </c>
      <c r="AD160" s="56">
        <f t="shared" si="70"/>
        <v>8231.130000000001</v>
      </c>
    </row>
    <row r="161" spans="3:30">
      <c r="C161" s="43" t="s">
        <v>340</v>
      </c>
      <c r="D161" s="44" t="s">
        <v>341</v>
      </c>
      <c r="E161" s="44"/>
      <c r="F161" s="45">
        <v>42963.080995370372</v>
      </c>
      <c r="G161" s="46">
        <v>13</v>
      </c>
      <c r="H161" s="47">
        <v>43378</v>
      </c>
      <c r="I161" s="47">
        <v>43395</v>
      </c>
      <c r="J161" s="46">
        <v>250728</v>
      </c>
      <c r="K161" s="46">
        <v>0</v>
      </c>
      <c r="L161" s="46">
        <v>0</v>
      </c>
      <c r="M161" s="46">
        <f t="shared" si="57"/>
        <v>250728</v>
      </c>
      <c r="N161" s="46">
        <v>250728</v>
      </c>
      <c r="O161" s="48">
        <f t="shared" si="58"/>
        <v>0</v>
      </c>
      <c r="P161" s="46">
        <v>0</v>
      </c>
      <c r="Q161" s="46">
        <v>250728</v>
      </c>
      <c r="R161" s="49">
        <f t="shared" si="59"/>
        <v>1</v>
      </c>
      <c r="S161" s="50">
        <f t="shared" si="60"/>
        <v>0.01</v>
      </c>
      <c r="T161" s="49">
        <f t="shared" si="61"/>
        <v>2507.2800000000002</v>
      </c>
      <c r="U161" s="51">
        <f t="shared" si="62"/>
        <v>0</v>
      </c>
      <c r="V161" s="52">
        <f>IF(0&lt;0.8,0,IF(0&lt;1,Sheet3!L147,1))*IF(G161&lt;3,0.12 - O161,0.01) *U161</f>
        <v>0</v>
      </c>
      <c r="W161" s="52">
        <f t="shared" si="63"/>
        <v>0</v>
      </c>
      <c r="X161" s="53">
        <f t="shared" si="64"/>
        <v>0</v>
      </c>
      <c r="Y161" s="53">
        <f t="shared" si="65"/>
        <v>0</v>
      </c>
      <c r="Z161" s="54">
        <f t="shared" si="66"/>
        <v>0</v>
      </c>
      <c r="AA161" s="54">
        <f t="shared" si="67"/>
        <v>0</v>
      </c>
      <c r="AB161" s="55">
        <f t="shared" si="68"/>
        <v>0</v>
      </c>
      <c r="AC161" s="55">
        <f t="shared" si="69"/>
        <v>0</v>
      </c>
      <c r="AD161" s="56">
        <f t="shared" si="70"/>
        <v>2507.2800000000002</v>
      </c>
    </row>
    <row r="162" spans="3:30">
      <c r="C162" s="43" t="s">
        <v>342</v>
      </c>
      <c r="D162" s="44" t="s">
        <v>343</v>
      </c>
      <c r="E162" s="44"/>
      <c r="F162" s="45">
        <v>42969.299571759257</v>
      </c>
      <c r="G162" s="46">
        <v>13</v>
      </c>
      <c r="H162" s="47">
        <v>43378</v>
      </c>
      <c r="I162" s="47">
        <v>43398</v>
      </c>
      <c r="J162" s="46">
        <v>669726</v>
      </c>
      <c r="K162" s="46">
        <v>0</v>
      </c>
      <c r="L162" s="46">
        <v>0</v>
      </c>
      <c r="M162" s="46">
        <f t="shared" si="57"/>
        <v>669726</v>
      </c>
      <c r="N162" s="46">
        <v>669726</v>
      </c>
      <c r="O162" s="48">
        <f t="shared" si="58"/>
        <v>0</v>
      </c>
      <c r="P162" s="46">
        <v>0</v>
      </c>
      <c r="Q162" s="46">
        <v>669726</v>
      </c>
      <c r="R162" s="49">
        <f t="shared" si="59"/>
        <v>1</v>
      </c>
      <c r="S162" s="50">
        <f t="shared" si="60"/>
        <v>0.01</v>
      </c>
      <c r="T162" s="49">
        <f t="shared" si="61"/>
        <v>6697.26</v>
      </c>
      <c r="U162" s="51">
        <f t="shared" si="62"/>
        <v>0</v>
      </c>
      <c r="V162" s="52">
        <f>IF(0&lt;0.8,0,IF(0&lt;1,Sheet3!L147,1))*IF(G162&lt;3,0.12 - O162,0.01) *U162</f>
        <v>0</v>
      </c>
      <c r="W162" s="52">
        <f t="shared" si="63"/>
        <v>0</v>
      </c>
      <c r="X162" s="53">
        <f t="shared" si="64"/>
        <v>0</v>
      </c>
      <c r="Y162" s="53">
        <f t="shared" si="65"/>
        <v>0</v>
      </c>
      <c r="Z162" s="54">
        <f t="shared" si="66"/>
        <v>0</v>
      </c>
      <c r="AA162" s="54">
        <f t="shared" si="67"/>
        <v>0</v>
      </c>
      <c r="AB162" s="55">
        <f t="shared" si="68"/>
        <v>0</v>
      </c>
      <c r="AC162" s="55">
        <f t="shared" si="69"/>
        <v>0</v>
      </c>
      <c r="AD162" s="56">
        <f t="shared" si="70"/>
        <v>6697.26</v>
      </c>
    </row>
    <row r="163" spans="3:30">
      <c r="C163" s="43" t="s">
        <v>344</v>
      </c>
      <c r="D163" s="44" t="s">
        <v>345</v>
      </c>
      <c r="E163" s="44"/>
      <c r="F163" s="45">
        <v>42969.301747685182</v>
      </c>
      <c r="G163" s="46">
        <v>13</v>
      </c>
      <c r="H163" s="47">
        <v>43372</v>
      </c>
      <c r="I163" s="47">
        <v>43391</v>
      </c>
      <c r="J163" s="46">
        <v>215063</v>
      </c>
      <c r="K163" s="46">
        <v>0</v>
      </c>
      <c r="L163" s="46">
        <v>0</v>
      </c>
      <c r="M163" s="46">
        <f t="shared" si="57"/>
        <v>215063</v>
      </c>
      <c r="N163" s="46">
        <v>215063</v>
      </c>
      <c r="O163" s="48">
        <f t="shared" si="58"/>
        <v>0</v>
      </c>
      <c r="P163" s="46">
        <v>0</v>
      </c>
      <c r="Q163" s="46">
        <v>215063</v>
      </c>
      <c r="R163" s="49">
        <f t="shared" si="59"/>
        <v>1</v>
      </c>
      <c r="S163" s="50">
        <f t="shared" si="60"/>
        <v>0.01</v>
      </c>
      <c r="T163" s="49">
        <f t="shared" si="61"/>
        <v>2150.63</v>
      </c>
      <c r="U163" s="51">
        <f t="shared" si="62"/>
        <v>0</v>
      </c>
      <c r="V163" s="52">
        <f>IF(0&lt;0.8,0,IF(0&lt;1,Sheet3!L147,1))*IF(G163&lt;3,0.12 - O163,0.01) *U163</f>
        <v>0</v>
      </c>
      <c r="W163" s="52">
        <f t="shared" si="63"/>
        <v>0</v>
      </c>
      <c r="X163" s="53">
        <f t="shared" si="64"/>
        <v>0</v>
      </c>
      <c r="Y163" s="53">
        <f t="shared" si="65"/>
        <v>0</v>
      </c>
      <c r="Z163" s="54">
        <f t="shared" si="66"/>
        <v>0</v>
      </c>
      <c r="AA163" s="54">
        <f t="shared" si="67"/>
        <v>0</v>
      </c>
      <c r="AB163" s="55">
        <f t="shared" si="68"/>
        <v>0</v>
      </c>
      <c r="AC163" s="55">
        <f t="shared" si="69"/>
        <v>0</v>
      </c>
      <c r="AD163" s="56">
        <f t="shared" si="70"/>
        <v>2150.63</v>
      </c>
    </row>
    <row r="164" spans="3:30">
      <c r="C164" s="43" t="s">
        <v>346</v>
      </c>
      <c r="D164" s="44" t="s">
        <v>347</v>
      </c>
      <c r="E164" s="44"/>
      <c r="F164" s="45">
        <v>42992.262199074074</v>
      </c>
      <c r="G164" s="46">
        <v>12</v>
      </c>
      <c r="H164" s="47">
        <v>43409</v>
      </c>
      <c r="I164" s="47">
        <v>43426</v>
      </c>
      <c r="J164" s="46">
        <v>1419550</v>
      </c>
      <c r="K164" s="46">
        <v>22264</v>
      </c>
      <c r="L164" s="46">
        <v>0</v>
      </c>
      <c r="M164" s="46">
        <f t="shared" si="57"/>
        <v>1397286</v>
      </c>
      <c r="N164" s="46">
        <v>1557028</v>
      </c>
      <c r="O164" s="48">
        <f t="shared" si="58"/>
        <v>0.10259417300138474</v>
      </c>
      <c r="P164" s="46">
        <v>0</v>
      </c>
      <c r="Q164" s="46">
        <v>1904650</v>
      </c>
      <c r="R164" s="49">
        <f t="shared" si="59"/>
        <v>1</v>
      </c>
      <c r="S164" s="50">
        <f t="shared" si="60"/>
        <v>0.01</v>
      </c>
      <c r="T164" s="49">
        <f t="shared" si="61"/>
        <v>13972.86</v>
      </c>
      <c r="U164" s="51">
        <f t="shared" si="62"/>
        <v>0</v>
      </c>
      <c r="V164" s="52">
        <f>IF(0&lt;0.8,0,IF(0&lt;1,Sheet3!L147,1))*IF(G164&lt;3,0.12 - O164,0.01) *U164</f>
        <v>0</v>
      </c>
      <c r="W164" s="52">
        <f t="shared" si="63"/>
        <v>0</v>
      </c>
      <c r="X164" s="53">
        <f t="shared" si="64"/>
        <v>0</v>
      </c>
      <c r="Y164" s="53">
        <f t="shared" si="65"/>
        <v>0</v>
      </c>
      <c r="Z164" s="54">
        <f t="shared" si="66"/>
        <v>0</v>
      </c>
      <c r="AA164" s="54">
        <f t="shared" si="67"/>
        <v>0</v>
      </c>
      <c r="AB164" s="55">
        <f t="shared" si="68"/>
        <v>0</v>
      </c>
      <c r="AC164" s="55">
        <f t="shared" si="69"/>
        <v>0</v>
      </c>
      <c r="AD164" s="56">
        <f t="shared" si="70"/>
        <v>13972.86</v>
      </c>
    </row>
    <row r="165" spans="3:30">
      <c r="C165" s="43" t="s">
        <v>348</v>
      </c>
      <c r="D165" s="44" t="s">
        <v>349</v>
      </c>
      <c r="E165" s="44"/>
      <c r="F165" s="45">
        <v>42992.264444444445</v>
      </c>
      <c r="G165" s="46">
        <v>12</v>
      </c>
      <c r="H165" s="47">
        <v>43376</v>
      </c>
      <c r="I165" s="47">
        <v>43424</v>
      </c>
      <c r="J165" s="46">
        <v>5728510</v>
      </c>
      <c r="K165" s="46">
        <v>0</v>
      </c>
      <c r="L165" s="46">
        <v>0</v>
      </c>
      <c r="M165" s="46">
        <f t="shared" si="57"/>
        <v>5728510</v>
      </c>
      <c r="N165" s="46">
        <v>6919150</v>
      </c>
      <c r="O165" s="48">
        <f t="shared" si="58"/>
        <v>0.17207894033226623</v>
      </c>
      <c r="P165" s="46">
        <v>0</v>
      </c>
      <c r="Q165" s="46">
        <v>5728510</v>
      </c>
      <c r="R165" s="49">
        <f t="shared" si="59"/>
        <v>1</v>
      </c>
      <c r="S165" s="50">
        <f t="shared" si="60"/>
        <v>0.01</v>
      </c>
      <c r="T165" s="49">
        <f t="shared" si="61"/>
        <v>57285.1</v>
      </c>
      <c r="U165" s="51">
        <f t="shared" si="62"/>
        <v>0</v>
      </c>
      <c r="V165" s="52">
        <f>IF(0&lt;0.8,0,IF(0&lt;1,Sheet3!L147,1))*IF(G165&lt;3,0.12 - O165,0.01) *U165</f>
        <v>0</v>
      </c>
      <c r="W165" s="52">
        <f t="shared" si="63"/>
        <v>0</v>
      </c>
      <c r="X165" s="53">
        <f t="shared" si="64"/>
        <v>0</v>
      </c>
      <c r="Y165" s="53">
        <f t="shared" si="65"/>
        <v>0</v>
      </c>
      <c r="Z165" s="54">
        <f t="shared" si="66"/>
        <v>0</v>
      </c>
      <c r="AA165" s="54">
        <f t="shared" si="67"/>
        <v>0</v>
      </c>
      <c r="AB165" s="55">
        <f t="shared" si="68"/>
        <v>0</v>
      </c>
      <c r="AC165" s="55">
        <f t="shared" si="69"/>
        <v>0</v>
      </c>
      <c r="AD165" s="56">
        <f t="shared" si="70"/>
        <v>57285.1</v>
      </c>
    </row>
    <row r="166" spans="3:30">
      <c r="C166" s="43" t="s">
        <v>350</v>
      </c>
      <c r="D166" s="44" t="s">
        <v>351</v>
      </c>
      <c r="E166" s="44"/>
      <c r="F166" s="45">
        <v>42992.269085648149</v>
      </c>
      <c r="G166" s="46">
        <v>12</v>
      </c>
      <c r="H166" s="47">
        <v>43375</v>
      </c>
      <c r="I166" s="47">
        <v>43427</v>
      </c>
      <c r="J166" s="46">
        <v>462665</v>
      </c>
      <c r="K166" s="46">
        <v>0</v>
      </c>
      <c r="L166" s="46">
        <v>0</v>
      </c>
      <c r="M166" s="46">
        <f t="shared" si="57"/>
        <v>462665</v>
      </c>
      <c r="N166" s="46">
        <v>462665</v>
      </c>
      <c r="O166" s="48">
        <f t="shared" si="58"/>
        <v>0</v>
      </c>
      <c r="P166" s="46">
        <v>0</v>
      </c>
      <c r="Q166" s="46">
        <v>462665</v>
      </c>
      <c r="R166" s="49">
        <f t="shared" si="59"/>
        <v>1</v>
      </c>
      <c r="S166" s="50">
        <f t="shared" si="60"/>
        <v>0.01</v>
      </c>
      <c r="T166" s="49">
        <f t="shared" si="61"/>
        <v>4626.6500000000005</v>
      </c>
      <c r="U166" s="51">
        <f t="shared" si="62"/>
        <v>0</v>
      </c>
      <c r="V166" s="52">
        <f>IF(0&lt;0.8,0,IF(0&lt;1,Sheet3!L147,1))*IF(G166&lt;3,0.12 - O166,0.01) *U166</f>
        <v>0</v>
      </c>
      <c r="W166" s="52">
        <f t="shared" si="63"/>
        <v>0</v>
      </c>
      <c r="X166" s="53">
        <f t="shared" si="64"/>
        <v>0</v>
      </c>
      <c r="Y166" s="53">
        <f t="shared" si="65"/>
        <v>0</v>
      </c>
      <c r="Z166" s="54">
        <f t="shared" si="66"/>
        <v>0</v>
      </c>
      <c r="AA166" s="54">
        <f t="shared" si="67"/>
        <v>0</v>
      </c>
      <c r="AB166" s="55">
        <f t="shared" si="68"/>
        <v>0</v>
      </c>
      <c r="AC166" s="55">
        <f t="shared" si="69"/>
        <v>0</v>
      </c>
      <c r="AD166" s="56">
        <f t="shared" si="70"/>
        <v>4626.6500000000005</v>
      </c>
    </row>
    <row r="167" spans="3:30">
      <c r="C167" s="43" t="s">
        <v>352</v>
      </c>
      <c r="D167" s="44" t="s">
        <v>353</v>
      </c>
      <c r="E167" s="44"/>
      <c r="F167" s="45">
        <v>42998.077465277776</v>
      </c>
      <c r="G167" s="46">
        <v>12</v>
      </c>
      <c r="H167" s="47">
        <v>43378</v>
      </c>
      <c r="I167" s="47">
        <v>43400</v>
      </c>
      <c r="J167" s="46">
        <v>329224</v>
      </c>
      <c r="K167" s="46">
        <v>0</v>
      </c>
      <c r="L167" s="46">
        <v>0</v>
      </c>
      <c r="M167" s="46">
        <f t="shared" si="57"/>
        <v>329224</v>
      </c>
      <c r="N167" s="46">
        <v>329224</v>
      </c>
      <c r="O167" s="48">
        <f t="shared" si="58"/>
        <v>0</v>
      </c>
      <c r="P167" s="46">
        <v>0</v>
      </c>
      <c r="Q167" s="46">
        <v>329224</v>
      </c>
      <c r="R167" s="49">
        <f t="shared" si="59"/>
        <v>1</v>
      </c>
      <c r="S167" s="50">
        <f t="shared" si="60"/>
        <v>0.01</v>
      </c>
      <c r="T167" s="49">
        <f t="shared" si="61"/>
        <v>3292.2400000000002</v>
      </c>
      <c r="U167" s="51">
        <f t="shared" si="62"/>
        <v>0</v>
      </c>
      <c r="V167" s="52">
        <f>IF(0&lt;0.8,0,IF(0&lt;1,Sheet3!L147,1))*IF(G167&lt;3,0.12 - O167,0.01) *U167</f>
        <v>0</v>
      </c>
      <c r="W167" s="52">
        <f t="shared" si="63"/>
        <v>0</v>
      </c>
      <c r="X167" s="53">
        <f t="shared" si="64"/>
        <v>0</v>
      </c>
      <c r="Y167" s="53">
        <f t="shared" si="65"/>
        <v>0</v>
      </c>
      <c r="Z167" s="54">
        <f t="shared" si="66"/>
        <v>0</v>
      </c>
      <c r="AA167" s="54">
        <f t="shared" si="67"/>
        <v>0</v>
      </c>
      <c r="AB167" s="55">
        <f t="shared" si="68"/>
        <v>0</v>
      </c>
      <c r="AC167" s="55">
        <f t="shared" si="69"/>
        <v>0</v>
      </c>
      <c r="AD167" s="56">
        <f t="shared" si="70"/>
        <v>3292.2400000000002</v>
      </c>
    </row>
    <row r="168" spans="3:30">
      <c r="C168" s="43" t="s">
        <v>354</v>
      </c>
      <c r="D168" s="44" t="s">
        <v>355</v>
      </c>
      <c r="E168" s="44"/>
      <c r="F168" s="45">
        <v>43001.379421296297</v>
      </c>
      <c r="G168" s="46">
        <v>12</v>
      </c>
      <c r="H168" s="47">
        <v>43378</v>
      </c>
      <c r="I168" s="47">
        <v>43395</v>
      </c>
      <c r="J168" s="46">
        <v>5845041</v>
      </c>
      <c r="K168" s="46">
        <v>531365</v>
      </c>
      <c r="L168" s="46">
        <v>0</v>
      </c>
      <c r="M168" s="46">
        <f t="shared" si="57"/>
        <v>5313676</v>
      </c>
      <c r="N168" s="46">
        <v>5845041</v>
      </c>
      <c r="O168" s="48">
        <f t="shared" si="58"/>
        <v>9.0908686525894344E-2</v>
      </c>
      <c r="P168" s="46">
        <v>0</v>
      </c>
      <c r="Q168" s="46">
        <v>5845041</v>
      </c>
      <c r="R168" s="49">
        <f t="shared" si="59"/>
        <v>1</v>
      </c>
      <c r="S168" s="50">
        <f t="shared" si="60"/>
        <v>0.01</v>
      </c>
      <c r="T168" s="49">
        <f t="shared" si="61"/>
        <v>53136.76</v>
      </c>
      <c r="U168" s="51">
        <f t="shared" si="62"/>
        <v>0</v>
      </c>
      <c r="V168" s="52">
        <f>IF(0&lt;0.8,0,IF(0&lt;1,Sheet3!L147,1))*IF(G168&lt;3,0.12 - O168,0.01) *U168</f>
        <v>0</v>
      </c>
      <c r="W168" s="52">
        <f t="shared" si="63"/>
        <v>0</v>
      </c>
      <c r="X168" s="53">
        <f t="shared" si="64"/>
        <v>0</v>
      </c>
      <c r="Y168" s="53">
        <f t="shared" si="65"/>
        <v>0</v>
      </c>
      <c r="Z168" s="54">
        <f t="shared" si="66"/>
        <v>0</v>
      </c>
      <c r="AA168" s="54">
        <f t="shared" si="67"/>
        <v>0</v>
      </c>
      <c r="AB168" s="55">
        <f t="shared" si="68"/>
        <v>0</v>
      </c>
      <c r="AC168" s="55">
        <f t="shared" si="69"/>
        <v>0</v>
      </c>
      <c r="AD168" s="56">
        <f t="shared" si="70"/>
        <v>53136.76</v>
      </c>
    </row>
    <row r="169" spans="3:30">
      <c r="C169" s="43" t="s">
        <v>356</v>
      </c>
      <c r="D169" s="44" t="s">
        <v>357</v>
      </c>
      <c r="E169" s="44"/>
      <c r="F169" s="45">
        <v>43021.184027777774</v>
      </c>
      <c r="G169" s="46">
        <v>11</v>
      </c>
      <c r="H169" s="47">
        <v>43372</v>
      </c>
      <c r="I169" s="47">
        <v>43399</v>
      </c>
      <c r="J169" s="46">
        <v>1814646</v>
      </c>
      <c r="K169" s="46">
        <v>0</v>
      </c>
      <c r="L169" s="46">
        <v>0</v>
      </c>
      <c r="M169" s="46">
        <f t="shared" si="57"/>
        <v>1814646</v>
      </c>
      <c r="N169" s="46">
        <v>1814646</v>
      </c>
      <c r="O169" s="48">
        <f t="shared" si="58"/>
        <v>0</v>
      </c>
      <c r="P169" s="46">
        <v>0</v>
      </c>
      <c r="Q169" s="46">
        <v>1814646</v>
      </c>
      <c r="R169" s="49">
        <f t="shared" si="59"/>
        <v>1</v>
      </c>
      <c r="S169" s="50">
        <f t="shared" si="60"/>
        <v>0.01</v>
      </c>
      <c r="T169" s="49">
        <f t="shared" si="61"/>
        <v>18146.46</v>
      </c>
      <c r="U169" s="51">
        <f t="shared" si="62"/>
        <v>0</v>
      </c>
      <c r="V169" s="52">
        <f>IF(0&lt;0.8,0,IF(0&lt;1,Sheet3!L147,1))*IF(G169&lt;3,0.12 - O169,0.01) *U169</f>
        <v>0</v>
      </c>
      <c r="W169" s="52">
        <f t="shared" si="63"/>
        <v>0</v>
      </c>
      <c r="X169" s="53">
        <f t="shared" si="64"/>
        <v>0</v>
      </c>
      <c r="Y169" s="53">
        <f t="shared" si="65"/>
        <v>0</v>
      </c>
      <c r="Z169" s="54">
        <f t="shared" si="66"/>
        <v>0</v>
      </c>
      <c r="AA169" s="54">
        <f t="shared" si="67"/>
        <v>0</v>
      </c>
      <c r="AB169" s="55">
        <f t="shared" si="68"/>
        <v>0</v>
      </c>
      <c r="AC169" s="55">
        <f t="shared" si="69"/>
        <v>0</v>
      </c>
      <c r="AD169" s="56">
        <f t="shared" si="70"/>
        <v>18146.46</v>
      </c>
    </row>
    <row r="170" spans="3:30">
      <c r="C170" s="43" t="s">
        <v>358</v>
      </c>
      <c r="D170" s="44" t="s">
        <v>359</v>
      </c>
      <c r="E170" s="44"/>
      <c r="F170" s="45">
        <v>43027.165000000001</v>
      </c>
      <c r="G170" s="46">
        <v>11</v>
      </c>
      <c r="H170" s="47">
        <v>43376</v>
      </c>
      <c r="I170" s="47">
        <v>43390</v>
      </c>
      <c r="J170" s="46">
        <v>2716811</v>
      </c>
      <c r="K170" s="46">
        <v>0</v>
      </c>
      <c r="L170" s="46">
        <v>0</v>
      </c>
      <c r="M170" s="46">
        <f t="shared" si="57"/>
        <v>2716811</v>
      </c>
      <c r="N170" s="46">
        <v>2716811</v>
      </c>
      <c r="O170" s="48">
        <f t="shared" si="58"/>
        <v>0</v>
      </c>
      <c r="P170" s="46">
        <v>0</v>
      </c>
      <c r="Q170" s="46">
        <v>2716811</v>
      </c>
      <c r="R170" s="49">
        <f t="shared" si="59"/>
        <v>1</v>
      </c>
      <c r="S170" s="50">
        <f t="shared" si="60"/>
        <v>0.01</v>
      </c>
      <c r="T170" s="49">
        <f t="shared" si="61"/>
        <v>27168.11</v>
      </c>
      <c r="U170" s="51">
        <f t="shared" si="62"/>
        <v>0</v>
      </c>
      <c r="V170" s="52">
        <f>IF(0&lt;0.8,0,IF(0&lt;1,Sheet3!L147,1))*IF(G170&lt;3,0.12 - O170,0.01) *U170</f>
        <v>0</v>
      </c>
      <c r="W170" s="52">
        <f t="shared" si="63"/>
        <v>0</v>
      </c>
      <c r="X170" s="53">
        <f t="shared" si="64"/>
        <v>0</v>
      </c>
      <c r="Y170" s="53">
        <f t="shared" si="65"/>
        <v>0</v>
      </c>
      <c r="Z170" s="54">
        <f t="shared" si="66"/>
        <v>0</v>
      </c>
      <c r="AA170" s="54">
        <f t="shared" si="67"/>
        <v>0</v>
      </c>
      <c r="AB170" s="55">
        <f t="shared" si="68"/>
        <v>0</v>
      </c>
      <c r="AC170" s="55">
        <f t="shared" si="69"/>
        <v>0</v>
      </c>
      <c r="AD170" s="56">
        <f t="shared" si="70"/>
        <v>27168.11</v>
      </c>
    </row>
    <row r="171" spans="3:30">
      <c r="C171" s="43" t="s">
        <v>360</v>
      </c>
      <c r="D171" s="44" t="s">
        <v>361</v>
      </c>
      <c r="E171" s="44"/>
      <c r="F171" s="45">
        <v>43028.310393518514</v>
      </c>
      <c r="G171" s="46">
        <v>11</v>
      </c>
      <c r="H171" s="47">
        <v>43378</v>
      </c>
      <c r="I171" s="47">
        <v>43397</v>
      </c>
      <c r="J171" s="46">
        <v>886742</v>
      </c>
      <c r="K171" s="46">
        <v>0</v>
      </c>
      <c r="L171" s="46">
        <v>0</v>
      </c>
      <c r="M171" s="46">
        <f t="shared" si="57"/>
        <v>886742</v>
      </c>
      <c r="N171" s="46">
        <v>886742</v>
      </c>
      <c r="O171" s="48">
        <f t="shared" si="58"/>
        <v>0</v>
      </c>
      <c r="P171" s="46">
        <v>0</v>
      </c>
      <c r="Q171" s="46">
        <v>886742</v>
      </c>
      <c r="R171" s="49">
        <f t="shared" si="59"/>
        <v>1</v>
      </c>
      <c r="S171" s="50">
        <f t="shared" si="60"/>
        <v>0.01</v>
      </c>
      <c r="T171" s="49">
        <f t="shared" si="61"/>
        <v>8867.42</v>
      </c>
      <c r="U171" s="51">
        <f t="shared" si="62"/>
        <v>0</v>
      </c>
      <c r="V171" s="52">
        <f>IF(0&lt;0.8,0,IF(0&lt;1,Sheet3!L147,1))*IF(G171&lt;3,0.12 - O171,0.01) *U171</f>
        <v>0</v>
      </c>
      <c r="W171" s="52">
        <f t="shared" si="63"/>
        <v>0</v>
      </c>
      <c r="X171" s="53">
        <f t="shared" si="64"/>
        <v>0</v>
      </c>
      <c r="Y171" s="53">
        <f t="shared" si="65"/>
        <v>0</v>
      </c>
      <c r="Z171" s="54">
        <f t="shared" si="66"/>
        <v>0</v>
      </c>
      <c r="AA171" s="54">
        <f t="shared" si="67"/>
        <v>0</v>
      </c>
      <c r="AB171" s="55">
        <f t="shared" si="68"/>
        <v>0</v>
      </c>
      <c r="AC171" s="55">
        <f t="shared" si="69"/>
        <v>0</v>
      </c>
      <c r="AD171" s="56">
        <f t="shared" si="70"/>
        <v>8867.42</v>
      </c>
    </row>
    <row r="172" spans="3:30">
      <c r="C172" s="43" t="s">
        <v>362</v>
      </c>
      <c r="D172" s="44" t="s">
        <v>363</v>
      </c>
      <c r="E172" s="44"/>
      <c r="F172" s="45">
        <v>43035.098101851851</v>
      </c>
      <c r="G172" s="46">
        <v>11</v>
      </c>
      <c r="H172" s="47">
        <v>43376</v>
      </c>
      <c r="I172" s="47">
        <v>43385</v>
      </c>
      <c r="J172" s="46">
        <v>240113</v>
      </c>
      <c r="K172" s="46">
        <v>0</v>
      </c>
      <c r="L172" s="46">
        <v>0</v>
      </c>
      <c r="M172" s="46">
        <f t="shared" si="57"/>
        <v>240113</v>
      </c>
      <c r="N172" s="46">
        <v>240113</v>
      </c>
      <c r="O172" s="48">
        <f t="shared" si="58"/>
        <v>0</v>
      </c>
      <c r="P172" s="46">
        <v>0</v>
      </c>
      <c r="Q172" s="46">
        <v>240113</v>
      </c>
      <c r="R172" s="49">
        <f t="shared" si="59"/>
        <v>1</v>
      </c>
      <c r="S172" s="50">
        <f t="shared" si="60"/>
        <v>0.01</v>
      </c>
      <c r="T172" s="49">
        <f t="shared" si="61"/>
        <v>2401.13</v>
      </c>
      <c r="U172" s="51">
        <f t="shared" si="62"/>
        <v>0</v>
      </c>
      <c r="V172" s="52">
        <f>IF(0&lt;0.8,0,IF(0&lt;1,Sheet3!L147,1))*IF(G172&lt;3,0.12 - O172,0.01) *U172</f>
        <v>0</v>
      </c>
      <c r="W172" s="52">
        <f t="shared" si="63"/>
        <v>0</v>
      </c>
      <c r="X172" s="53">
        <f t="shared" si="64"/>
        <v>0</v>
      </c>
      <c r="Y172" s="53">
        <f t="shared" si="65"/>
        <v>0</v>
      </c>
      <c r="Z172" s="54">
        <f t="shared" si="66"/>
        <v>0</v>
      </c>
      <c r="AA172" s="54">
        <f t="shared" si="67"/>
        <v>0</v>
      </c>
      <c r="AB172" s="55">
        <f t="shared" si="68"/>
        <v>0</v>
      </c>
      <c r="AC172" s="55">
        <f t="shared" si="69"/>
        <v>0</v>
      </c>
      <c r="AD172" s="56">
        <f t="shared" si="70"/>
        <v>2401.13</v>
      </c>
    </row>
    <row r="173" spans="3:30">
      <c r="C173" s="43" t="s">
        <v>364</v>
      </c>
      <c r="D173" s="44" t="s">
        <v>365</v>
      </c>
      <c r="E173" s="44"/>
      <c r="F173" s="45">
        <v>43035.103460648148</v>
      </c>
      <c r="G173" s="46">
        <v>11</v>
      </c>
      <c r="H173" s="47">
        <v>43378</v>
      </c>
      <c r="I173" s="47">
        <v>43397</v>
      </c>
      <c r="J173" s="46">
        <v>584136</v>
      </c>
      <c r="K173" s="46">
        <v>0</v>
      </c>
      <c r="L173" s="46">
        <v>0</v>
      </c>
      <c r="M173" s="46">
        <f t="shared" si="57"/>
        <v>584136</v>
      </c>
      <c r="N173" s="46">
        <v>584136</v>
      </c>
      <c r="O173" s="48">
        <f t="shared" si="58"/>
        <v>0</v>
      </c>
      <c r="P173" s="46">
        <v>0</v>
      </c>
      <c r="Q173" s="46">
        <v>584136</v>
      </c>
      <c r="R173" s="49">
        <f t="shared" si="59"/>
        <v>1</v>
      </c>
      <c r="S173" s="50">
        <f t="shared" si="60"/>
        <v>0.01</v>
      </c>
      <c r="T173" s="49">
        <f t="shared" si="61"/>
        <v>5841.36</v>
      </c>
      <c r="U173" s="51">
        <f t="shared" si="62"/>
        <v>0</v>
      </c>
      <c r="V173" s="52">
        <f>IF(0&lt;0.8,0,IF(0&lt;1,Sheet3!L147,1))*IF(G173&lt;3,0.12 - O173,0.01) *U173</f>
        <v>0</v>
      </c>
      <c r="W173" s="52">
        <f t="shared" si="63"/>
        <v>0</v>
      </c>
      <c r="X173" s="53">
        <f t="shared" si="64"/>
        <v>0</v>
      </c>
      <c r="Y173" s="53">
        <f t="shared" si="65"/>
        <v>0</v>
      </c>
      <c r="Z173" s="54">
        <f t="shared" si="66"/>
        <v>0</v>
      </c>
      <c r="AA173" s="54">
        <f t="shared" si="67"/>
        <v>0</v>
      </c>
      <c r="AB173" s="55">
        <f t="shared" si="68"/>
        <v>0</v>
      </c>
      <c r="AC173" s="55">
        <f t="shared" si="69"/>
        <v>0</v>
      </c>
      <c r="AD173" s="56">
        <f t="shared" si="70"/>
        <v>5841.36</v>
      </c>
    </row>
    <row r="174" spans="3:30">
      <c r="C174" s="43" t="s">
        <v>366</v>
      </c>
      <c r="D174" s="44" t="s">
        <v>367</v>
      </c>
      <c r="E174" s="44"/>
      <c r="F174" s="45">
        <v>43047.282060185185</v>
      </c>
      <c r="G174" s="46">
        <v>10</v>
      </c>
      <c r="H174" s="47">
        <v>43379</v>
      </c>
      <c r="I174" s="47">
        <v>43398</v>
      </c>
      <c r="J174" s="46">
        <v>60728</v>
      </c>
      <c r="K174" s="46">
        <v>0</v>
      </c>
      <c r="L174" s="46">
        <v>0</v>
      </c>
      <c r="M174" s="46">
        <f t="shared" si="57"/>
        <v>60728</v>
      </c>
      <c r="N174" s="46">
        <v>60728</v>
      </c>
      <c r="O174" s="48">
        <f t="shared" si="58"/>
        <v>0</v>
      </c>
      <c r="P174" s="46">
        <v>0</v>
      </c>
      <c r="Q174" s="46">
        <v>60728</v>
      </c>
      <c r="R174" s="49">
        <f t="shared" si="59"/>
        <v>1</v>
      </c>
      <c r="S174" s="50">
        <f t="shared" si="60"/>
        <v>0.01</v>
      </c>
      <c r="T174" s="49">
        <f t="shared" si="61"/>
        <v>607.28</v>
      </c>
      <c r="U174" s="51">
        <f t="shared" si="62"/>
        <v>0</v>
      </c>
      <c r="V174" s="52">
        <f>IF(0&lt;0.8,0,IF(0&lt;1,Sheet3!L147,1))*IF(G174&lt;3,0.12 - O174,0.01) *U174</f>
        <v>0</v>
      </c>
      <c r="W174" s="52">
        <f t="shared" si="63"/>
        <v>0</v>
      </c>
      <c r="X174" s="53">
        <f t="shared" si="64"/>
        <v>0</v>
      </c>
      <c r="Y174" s="53">
        <f t="shared" si="65"/>
        <v>0</v>
      </c>
      <c r="Z174" s="54">
        <f t="shared" si="66"/>
        <v>0</v>
      </c>
      <c r="AA174" s="54">
        <f t="shared" si="67"/>
        <v>0</v>
      </c>
      <c r="AB174" s="55">
        <f t="shared" si="68"/>
        <v>0</v>
      </c>
      <c r="AC174" s="55">
        <f t="shared" si="69"/>
        <v>0</v>
      </c>
      <c r="AD174" s="56">
        <f t="shared" si="70"/>
        <v>607.28</v>
      </c>
    </row>
    <row r="175" spans="3:30">
      <c r="C175" s="43" t="s">
        <v>368</v>
      </c>
      <c r="D175" s="44" t="s">
        <v>369</v>
      </c>
      <c r="E175" s="44"/>
      <c r="F175" s="45">
        <v>43069.162847222222</v>
      </c>
      <c r="G175" s="46">
        <v>10</v>
      </c>
      <c r="H175" s="47">
        <v>43382</v>
      </c>
      <c r="I175" s="47">
        <v>43390</v>
      </c>
      <c r="J175" s="46">
        <v>158488</v>
      </c>
      <c r="K175" s="46">
        <v>0</v>
      </c>
      <c r="L175" s="46">
        <v>0</v>
      </c>
      <c r="M175" s="46">
        <f t="shared" si="57"/>
        <v>158488</v>
      </c>
      <c r="N175" s="46">
        <v>158488</v>
      </c>
      <c r="O175" s="48">
        <f t="shared" si="58"/>
        <v>0</v>
      </c>
      <c r="P175" s="46">
        <v>0</v>
      </c>
      <c r="Q175" s="46">
        <v>158488</v>
      </c>
      <c r="R175" s="49">
        <f t="shared" si="59"/>
        <v>1</v>
      </c>
      <c r="S175" s="50">
        <f t="shared" si="60"/>
        <v>0.01</v>
      </c>
      <c r="T175" s="49">
        <f t="shared" si="61"/>
        <v>1584.88</v>
      </c>
      <c r="U175" s="51">
        <f t="shared" si="62"/>
        <v>0</v>
      </c>
      <c r="V175" s="52">
        <f>IF(0&lt;0.8,0,IF(0&lt;1,Sheet3!L147,1))*IF(G175&lt;3,0.12 - O175,0.01) *U175</f>
        <v>0</v>
      </c>
      <c r="W175" s="52">
        <f t="shared" si="63"/>
        <v>0</v>
      </c>
      <c r="X175" s="53">
        <f t="shared" si="64"/>
        <v>0</v>
      </c>
      <c r="Y175" s="53">
        <f t="shared" si="65"/>
        <v>0</v>
      </c>
      <c r="Z175" s="54">
        <f t="shared" si="66"/>
        <v>0</v>
      </c>
      <c r="AA175" s="54">
        <f t="shared" si="67"/>
        <v>0</v>
      </c>
      <c r="AB175" s="55">
        <f t="shared" si="68"/>
        <v>0</v>
      </c>
      <c r="AC175" s="55">
        <f t="shared" si="69"/>
        <v>0</v>
      </c>
      <c r="AD175" s="56">
        <f t="shared" si="70"/>
        <v>1584.88</v>
      </c>
    </row>
    <row r="176" spans="3:30">
      <c r="C176" s="43" t="s">
        <v>370</v>
      </c>
      <c r="D176" s="44" t="s">
        <v>371</v>
      </c>
      <c r="E176" s="44"/>
      <c r="F176" s="45">
        <v>43084.304571759254</v>
      </c>
      <c r="G176" s="46">
        <v>9</v>
      </c>
      <c r="H176" s="47">
        <v>43384</v>
      </c>
      <c r="I176" s="47">
        <v>43425</v>
      </c>
      <c r="J176" s="46">
        <v>5203231</v>
      </c>
      <c r="K176" s="46">
        <v>4250332</v>
      </c>
      <c r="L176" s="46">
        <v>0</v>
      </c>
      <c r="M176" s="46">
        <f t="shared" si="57"/>
        <v>952899</v>
      </c>
      <c r="N176" s="46">
        <v>5203231</v>
      </c>
      <c r="O176" s="48">
        <f t="shared" si="58"/>
        <v>0.81686398316738196</v>
      </c>
      <c r="P176" s="46">
        <v>0</v>
      </c>
      <c r="Q176" s="46">
        <v>1185800</v>
      </c>
      <c r="R176" s="49">
        <f t="shared" si="59"/>
        <v>1</v>
      </c>
      <c r="S176" s="50">
        <f t="shared" si="60"/>
        <v>0.01</v>
      </c>
      <c r="T176" s="49">
        <f t="shared" si="61"/>
        <v>9528.99</v>
      </c>
      <c r="U176" s="51">
        <f t="shared" si="62"/>
        <v>0</v>
      </c>
      <c r="V176" s="52">
        <f>IF(0&lt;0.8,0,IF(0&lt;1,Sheet3!L147,1))*IF(G176&lt;3,0.12 - O176,0.01) *U176</f>
        <v>0</v>
      </c>
      <c r="W176" s="52">
        <f t="shared" si="63"/>
        <v>0</v>
      </c>
      <c r="X176" s="53">
        <f t="shared" si="64"/>
        <v>0</v>
      </c>
      <c r="Y176" s="53">
        <f t="shared" si="65"/>
        <v>0</v>
      </c>
      <c r="Z176" s="54">
        <f t="shared" si="66"/>
        <v>0</v>
      </c>
      <c r="AA176" s="54">
        <f t="shared" si="67"/>
        <v>0</v>
      </c>
      <c r="AB176" s="55">
        <f t="shared" si="68"/>
        <v>0</v>
      </c>
      <c r="AC176" s="55">
        <f t="shared" si="69"/>
        <v>0</v>
      </c>
      <c r="AD176" s="56">
        <f t="shared" si="70"/>
        <v>9528.99</v>
      </c>
    </row>
    <row r="177" spans="2:30">
      <c r="C177" s="43" t="s">
        <v>372</v>
      </c>
      <c r="D177" s="44" t="s">
        <v>373</v>
      </c>
      <c r="E177" s="44"/>
      <c r="F177" s="45">
        <v>43117.105682870366</v>
      </c>
      <c r="G177" s="46">
        <v>8</v>
      </c>
      <c r="H177" s="47">
        <v>43377</v>
      </c>
      <c r="I177" s="47">
        <v>43385</v>
      </c>
      <c r="J177" s="46">
        <v>1086094</v>
      </c>
      <c r="K177" s="46">
        <v>0</v>
      </c>
      <c r="L177" s="46">
        <v>0</v>
      </c>
      <c r="M177" s="46">
        <f t="shared" si="57"/>
        <v>1086094</v>
      </c>
      <c r="N177" s="46">
        <v>1086094</v>
      </c>
      <c r="O177" s="48">
        <f t="shared" si="58"/>
        <v>0</v>
      </c>
      <c r="P177" s="46">
        <v>0</v>
      </c>
      <c r="Q177" s="46">
        <v>1086094</v>
      </c>
      <c r="R177" s="49">
        <f t="shared" si="59"/>
        <v>1</v>
      </c>
      <c r="S177" s="50">
        <f t="shared" si="60"/>
        <v>0.01</v>
      </c>
      <c r="T177" s="49">
        <f t="shared" si="61"/>
        <v>10860.94</v>
      </c>
      <c r="U177" s="51">
        <f t="shared" si="62"/>
        <v>0</v>
      </c>
      <c r="V177" s="52">
        <f>IF(0&lt;0.8,0,IF(0&lt;1,Sheet3!L147,1))*IF(G177&lt;3,0.12 - O177,0.01) *U177</f>
        <v>0</v>
      </c>
      <c r="W177" s="52">
        <f t="shared" si="63"/>
        <v>0</v>
      </c>
      <c r="X177" s="53">
        <f t="shared" si="64"/>
        <v>0</v>
      </c>
      <c r="Y177" s="53">
        <f t="shared" si="65"/>
        <v>0</v>
      </c>
      <c r="Z177" s="54">
        <f t="shared" si="66"/>
        <v>0</v>
      </c>
      <c r="AA177" s="54">
        <f t="shared" si="67"/>
        <v>0</v>
      </c>
      <c r="AB177" s="55">
        <f t="shared" si="68"/>
        <v>0</v>
      </c>
      <c r="AC177" s="55">
        <f t="shared" si="69"/>
        <v>0</v>
      </c>
      <c r="AD177" s="56">
        <f t="shared" si="70"/>
        <v>10860.94</v>
      </c>
    </row>
    <row r="178" spans="2:30">
      <c r="C178" s="43" t="s">
        <v>374</v>
      </c>
      <c r="D178" s="44" t="s">
        <v>375</v>
      </c>
      <c r="E178" s="44"/>
      <c r="F178" s="45">
        <v>43117.104583333334</v>
      </c>
      <c r="G178" s="46">
        <v>8</v>
      </c>
      <c r="H178" s="47">
        <v>43382</v>
      </c>
      <c r="I178" s="47">
        <v>43384</v>
      </c>
      <c r="J178" s="46">
        <v>983136</v>
      </c>
      <c r="K178" s="46">
        <v>0</v>
      </c>
      <c r="L178" s="46">
        <v>0</v>
      </c>
      <c r="M178" s="46">
        <f t="shared" si="57"/>
        <v>983136</v>
      </c>
      <c r="N178" s="46">
        <v>983136</v>
      </c>
      <c r="O178" s="48">
        <f t="shared" si="58"/>
        <v>0</v>
      </c>
      <c r="P178" s="46">
        <v>0</v>
      </c>
      <c r="Q178" s="46">
        <v>983136</v>
      </c>
      <c r="R178" s="49">
        <f t="shared" si="59"/>
        <v>1</v>
      </c>
      <c r="S178" s="50">
        <f t="shared" si="60"/>
        <v>0.01</v>
      </c>
      <c r="T178" s="49">
        <f t="shared" si="61"/>
        <v>9831.36</v>
      </c>
      <c r="U178" s="51">
        <f t="shared" si="62"/>
        <v>0</v>
      </c>
      <c r="V178" s="52">
        <f>IF(0&lt;0.8,0,IF(0&lt;1,Sheet3!L147,1))*IF(G178&lt;3,0.12 - O178,0.01) *U178</f>
        <v>0</v>
      </c>
      <c r="W178" s="52">
        <f t="shared" si="63"/>
        <v>0</v>
      </c>
      <c r="X178" s="53">
        <f t="shared" si="64"/>
        <v>0</v>
      </c>
      <c r="Y178" s="53">
        <f t="shared" si="65"/>
        <v>0</v>
      </c>
      <c r="Z178" s="54">
        <f t="shared" si="66"/>
        <v>0</v>
      </c>
      <c r="AA178" s="54">
        <f t="shared" si="67"/>
        <v>0</v>
      </c>
      <c r="AB178" s="55">
        <f t="shared" si="68"/>
        <v>0</v>
      </c>
      <c r="AC178" s="55">
        <f t="shared" si="69"/>
        <v>0</v>
      </c>
      <c r="AD178" s="56">
        <f t="shared" si="70"/>
        <v>9831.36</v>
      </c>
    </row>
    <row r="179" spans="2:30">
      <c r="C179" s="43" t="s">
        <v>376</v>
      </c>
      <c r="D179" s="44" t="s">
        <v>377</v>
      </c>
      <c r="E179" s="44"/>
      <c r="F179" s="45">
        <v>43133.171967592592</v>
      </c>
      <c r="G179" s="46">
        <v>7</v>
      </c>
      <c r="H179" s="47">
        <v>43375</v>
      </c>
      <c r="I179" s="47">
        <v>43386</v>
      </c>
      <c r="J179" s="46">
        <v>2594603</v>
      </c>
      <c r="K179" s="46">
        <v>0</v>
      </c>
      <c r="L179" s="46">
        <v>0</v>
      </c>
      <c r="M179" s="46">
        <f t="shared" si="57"/>
        <v>2594603</v>
      </c>
      <c r="N179" s="46">
        <v>2594603</v>
      </c>
      <c r="O179" s="48">
        <f t="shared" si="58"/>
        <v>0</v>
      </c>
      <c r="P179" s="46">
        <v>0</v>
      </c>
      <c r="Q179" s="46">
        <v>2594603</v>
      </c>
      <c r="R179" s="49">
        <f t="shared" si="59"/>
        <v>1</v>
      </c>
      <c r="S179" s="50">
        <f t="shared" si="60"/>
        <v>0.01</v>
      </c>
      <c r="T179" s="49">
        <f t="shared" si="61"/>
        <v>25946.03</v>
      </c>
      <c r="U179" s="51">
        <f t="shared" si="62"/>
        <v>0</v>
      </c>
      <c r="V179" s="52">
        <f>IF(0&lt;0.8,0,IF(0&lt;1,Sheet3!L147,1))*IF(G179&lt;3,0.12 - O179,0.01) *U179</f>
        <v>0</v>
      </c>
      <c r="W179" s="52">
        <f t="shared" si="63"/>
        <v>0</v>
      </c>
      <c r="X179" s="53">
        <f t="shared" si="64"/>
        <v>0</v>
      </c>
      <c r="Y179" s="53">
        <f t="shared" si="65"/>
        <v>0</v>
      </c>
      <c r="Z179" s="54">
        <f t="shared" si="66"/>
        <v>0</v>
      </c>
      <c r="AA179" s="54">
        <f t="shared" si="67"/>
        <v>0</v>
      </c>
      <c r="AB179" s="55">
        <f t="shared" si="68"/>
        <v>0</v>
      </c>
      <c r="AC179" s="55">
        <f t="shared" si="69"/>
        <v>0</v>
      </c>
      <c r="AD179" s="56">
        <f t="shared" si="70"/>
        <v>25946.03</v>
      </c>
    </row>
    <row r="180" spans="2:30" ht="23.25" customHeight="1">
      <c r="B180" s="9" t="s">
        <v>5</v>
      </c>
      <c r="C180" s="10" t="s">
        <v>6</v>
      </c>
      <c r="D180" s="10"/>
      <c r="E180" s="11" t="s">
        <v>7</v>
      </c>
      <c r="F180" s="11" t="s">
        <v>8</v>
      </c>
      <c r="G180" s="11" t="s">
        <v>9</v>
      </c>
      <c r="H180" s="11" t="s">
        <v>10</v>
      </c>
      <c r="I180" s="11" t="s">
        <v>11</v>
      </c>
      <c r="J180" s="11" t="s">
        <v>12</v>
      </c>
      <c r="K180" s="11" t="s">
        <v>13</v>
      </c>
      <c r="L180" s="11" t="s">
        <v>14</v>
      </c>
      <c r="M180" s="11" t="s">
        <v>15</v>
      </c>
      <c r="N180" s="11" t="s">
        <v>16</v>
      </c>
      <c r="O180" s="11" t="s">
        <v>17</v>
      </c>
      <c r="P180" s="12" t="s">
        <v>18</v>
      </c>
      <c r="Q180" s="11" t="s">
        <v>19</v>
      </c>
      <c r="R180" s="11"/>
      <c r="S180" s="10" t="s">
        <v>20</v>
      </c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3"/>
    </row>
    <row r="181" spans="2:30">
      <c r="B181" s="14" t="s">
        <v>378</v>
      </c>
      <c r="C181" s="15" t="str">
        <f>"Trần"&amp;" " &amp; "Thị Như Nguyệt"</f>
        <v>Trần Thị Như Nguyệt</v>
      </c>
      <c r="D181" s="15"/>
      <c r="E181" s="16" t="s">
        <v>314</v>
      </c>
      <c r="F181" s="16" t="s">
        <v>131</v>
      </c>
      <c r="G181" s="17" t="s">
        <v>73</v>
      </c>
      <c r="H181" s="16" t="s">
        <v>315</v>
      </c>
      <c r="I181" s="18">
        <v>0</v>
      </c>
      <c r="J181" s="19">
        <v>24000000</v>
      </c>
      <c r="K181" s="19">
        <f>IFERROR(IF(N181&lt;4,Q181,SUM(#VALUE!)),0)</f>
        <v>0</v>
      </c>
      <c r="L181" s="20">
        <f>IFERROR(K181/J181,0)</f>
        <v>0</v>
      </c>
      <c r="M181" s="19">
        <f>IFERROR(IF(OR(N181=3,N181=4),SUM(#VALUE!)+AD181,IF(N181=1,0.6%,IF(N181=2,0.65%,IF(N181=3,0.6%,0)))*IF(L181&lt;0.8,0,IF(L181&lt;1,L181,1))*IF(RIGHT("2018-09",2)="03",1,0)),0)</f>
        <v>0</v>
      </c>
      <c r="N181" s="19">
        <v>4</v>
      </c>
      <c r="O181" s="18">
        <f>IF(N181=4,0.5%,IF(N181=5,0.3%,0))</f>
        <v>5.0000000000000001E-3</v>
      </c>
      <c r="P181" s="21">
        <f>IFERROR(SUM(#VALUE!),0)</f>
        <v>0</v>
      </c>
      <c r="Q181" s="19">
        <f>SUMIF($G:$G,B181,$K:$K)</f>
        <v>0</v>
      </c>
      <c r="R181" s="22"/>
      <c r="S181" s="23" t="s">
        <v>26</v>
      </c>
      <c r="T181" s="23"/>
      <c r="U181" s="24" t="s">
        <v>27</v>
      </c>
      <c r="V181" s="24"/>
      <c r="W181" s="24"/>
      <c r="X181" s="25" t="s">
        <v>28</v>
      </c>
      <c r="Y181" s="25"/>
      <c r="Z181" s="26" t="s">
        <v>29</v>
      </c>
      <c r="AA181" s="26"/>
      <c r="AB181" s="27" t="s">
        <v>30</v>
      </c>
      <c r="AC181" s="27"/>
      <c r="AD181" s="28">
        <f>IF(IFERROR(SUM(#VALUE!)*O181,0)&gt;2000000,2000000,IFERROR(SUM(#VALUE!)*O181,0))</f>
        <v>0</v>
      </c>
    </row>
    <row r="182" spans="2:30" ht="25.5">
      <c r="C182" s="29" t="s">
        <v>31</v>
      </c>
      <c r="D182" s="30" t="s">
        <v>32</v>
      </c>
      <c r="E182" s="30"/>
      <c r="F182" s="31" t="s">
        <v>33</v>
      </c>
      <c r="G182" s="31" t="s">
        <v>34</v>
      </c>
      <c r="H182" s="32" t="s">
        <v>35</v>
      </c>
      <c r="I182" s="32" t="s">
        <v>36</v>
      </c>
      <c r="J182" s="31" t="s">
        <v>37</v>
      </c>
      <c r="K182" s="31" t="s">
        <v>38</v>
      </c>
      <c r="L182" s="31" t="s">
        <v>39</v>
      </c>
      <c r="M182" s="31" t="s">
        <v>40</v>
      </c>
      <c r="N182" s="31" t="s">
        <v>41</v>
      </c>
      <c r="O182" s="33" t="s">
        <v>42</v>
      </c>
      <c r="P182" s="32" t="s">
        <v>43</v>
      </c>
      <c r="Q182" s="32" t="s">
        <v>44</v>
      </c>
      <c r="R182" s="34" t="s">
        <v>45</v>
      </c>
      <c r="S182" s="34" t="s">
        <v>46</v>
      </c>
      <c r="T182" s="34" t="s">
        <v>47</v>
      </c>
      <c r="U182" s="35" t="s">
        <v>48</v>
      </c>
      <c r="V182" s="36" t="s">
        <v>47</v>
      </c>
      <c r="W182" s="36" t="s">
        <v>49</v>
      </c>
      <c r="X182" s="37" t="s">
        <v>50</v>
      </c>
      <c r="Y182" s="37" t="s">
        <v>51</v>
      </c>
      <c r="Z182" s="38" t="s">
        <v>48</v>
      </c>
      <c r="AA182" s="39" t="s">
        <v>47</v>
      </c>
      <c r="AB182" s="40" t="s">
        <v>48</v>
      </c>
      <c r="AC182" s="41" t="s">
        <v>47</v>
      </c>
      <c r="AD182" s="42" t="s">
        <v>52</v>
      </c>
    </row>
    <row r="183" spans="2:30" ht="23.25" customHeight="1">
      <c r="B183" s="9" t="s">
        <v>5</v>
      </c>
      <c r="C183" s="10" t="s">
        <v>6</v>
      </c>
      <c r="D183" s="10"/>
      <c r="E183" s="11" t="s">
        <v>7</v>
      </c>
      <c r="F183" s="11" t="s">
        <v>8</v>
      </c>
      <c r="G183" s="11" t="s">
        <v>9</v>
      </c>
      <c r="H183" s="11" t="s">
        <v>10</v>
      </c>
      <c r="I183" s="11" t="s">
        <v>11</v>
      </c>
      <c r="J183" s="11" t="s">
        <v>12</v>
      </c>
      <c r="K183" s="11" t="s">
        <v>13</v>
      </c>
      <c r="L183" s="11" t="s">
        <v>14</v>
      </c>
      <c r="M183" s="11" t="s">
        <v>15</v>
      </c>
      <c r="N183" s="11" t="s">
        <v>16</v>
      </c>
      <c r="O183" s="11" t="s">
        <v>17</v>
      </c>
      <c r="P183" s="12" t="s">
        <v>18</v>
      </c>
      <c r="Q183" s="11" t="s">
        <v>19</v>
      </c>
      <c r="R183" s="11"/>
      <c r="S183" s="10" t="s">
        <v>20</v>
      </c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3"/>
    </row>
    <row r="184" spans="2:30">
      <c r="B184" s="14" t="s">
        <v>379</v>
      </c>
      <c r="C184" s="15" t="str">
        <f>"Nguyễn"&amp;" " &amp; "Thị Siêng"</f>
        <v>Nguyễn Thị Siêng</v>
      </c>
      <c r="D184" s="15"/>
      <c r="E184" s="16" t="s">
        <v>314</v>
      </c>
      <c r="F184" s="16" t="s">
        <v>131</v>
      </c>
      <c r="G184" s="17" t="s">
        <v>73</v>
      </c>
      <c r="H184" s="16" t="s">
        <v>315</v>
      </c>
      <c r="I184" s="18">
        <v>0</v>
      </c>
      <c r="J184" s="19">
        <v>24000000</v>
      </c>
      <c r="K184" s="19">
        <f>IFERROR(IF(N184&lt;4,Q184,SUM(#VALUE!)),0)</f>
        <v>0</v>
      </c>
      <c r="L184" s="20">
        <f>IFERROR(K184/J184,0)</f>
        <v>0</v>
      </c>
      <c r="M184" s="19">
        <f>IFERROR(IF(OR(N184=3,N184=4),SUM(#VALUE!)+AD184,IF(N184=1,0.6%,IF(N184=2,0.65%,IF(N184=3,0.6%,0)))*IF(L184&lt;0.8,0,IF(L184&lt;1,L184,1))*IF(RIGHT("2018-09",2)="03",1,0)),0)</f>
        <v>0</v>
      </c>
      <c r="N184" s="19">
        <v>4</v>
      </c>
      <c r="O184" s="18">
        <f>IF(N184=4,0.5%,IF(N184=5,0.3%,0))</f>
        <v>5.0000000000000001E-3</v>
      </c>
      <c r="P184" s="21">
        <f>IFERROR(SUM(#VALUE!),0)</f>
        <v>0</v>
      </c>
      <c r="Q184" s="19">
        <f>SUMIF($G:$G,B184,$K:$K)</f>
        <v>0</v>
      </c>
      <c r="R184" s="22"/>
      <c r="S184" s="23" t="s">
        <v>26</v>
      </c>
      <c r="T184" s="23"/>
      <c r="U184" s="24" t="s">
        <v>27</v>
      </c>
      <c r="V184" s="24"/>
      <c r="W184" s="24"/>
      <c r="X184" s="25" t="s">
        <v>28</v>
      </c>
      <c r="Y184" s="25"/>
      <c r="Z184" s="26" t="s">
        <v>29</v>
      </c>
      <c r="AA184" s="26"/>
      <c r="AB184" s="27" t="s">
        <v>30</v>
      </c>
      <c r="AC184" s="27"/>
      <c r="AD184" s="28">
        <f>IF(IFERROR(SUM(#VALUE!)*O184,0)&gt;2000000,2000000,IFERROR(SUM(#VALUE!)*O184,0))</f>
        <v>0</v>
      </c>
    </row>
    <row r="185" spans="2:30" ht="25.5">
      <c r="C185" s="29" t="s">
        <v>31</v>
      </c>
      <c r="D185" s="30" t="s">
        <v>32</v>
      </c>
      <c r="E185" s="30"/>
      <c r="F185" s="31" t="s">
        <v>33</v>
      </c>
      <c r="G185" s="31" t="s">
        <v>34</v>
      </c>
      <c r="H185" s="32" t="s">
        <v>35</v>
      </c>
      <c r="I185" s="32" t="s">
        <v>36</v>
      </c>
      <c r="J185" s="31" t="s">
        <v>37</v>
      </c>
      <c r="K185" s="31" t="s">
        <v>38</v>
      </c>
      <c r="L185" s="31" t="s">
        <v>39</v>
      </c>
      <c r="M185" s="31" t="s">
        <v>40</v>
      </c>
      <c r="N185" s="31" t="s">
        <v>41</v>
      </c>
      <c r="O185" s="33" t="s">
        <v>42</v>
      </c>
      <c r="P185" s="32" t="s">
        <v>43</v>
      </c>
      <c r="Q185" s="32" t="s">
        <v>44</v>
      </c>
      <c r="R185" s="34" t="s">
        <v>45</v>
      </c>
      <c r="S185" s="34" t="s">
        <v>46</v>
      </c>
      <c r="T185" s="34" t="s">
        <v>47</v>
      </c>
      <c r="U185" s="35" t="s">
        <v>48</v>
      </c>
      <c r="V185" s="36" t="s">
        <v>47</v>
      </c>
      <c r="W185" s="36" t="s">
        <v>49</v>
      </c>
      <c r="X185" s="37" t="s">
        <v>50</v>
      </c>
      <c r="Y185" s="37" t="s">
        <v>51</v>
      </c>
      <c r="Z185" s="38" t="s">
        <v>48</v>
      </c>
      <c r="AA185" s="39" t="s">
        <v>47</v>
      </c>
      <c r="AB185" s="40" t="s">
        <v>48</v>
      </c>
      <c r="AC185" s="41" t="s">
        <v>47</v>
      </c>
      <c r="AD185" s="42" t="s">
        <v>52</v>
      </c>
    </row>
    <row r="186" spans="2:30" ht="23.25" customHeight="1">
      <c r="B186" s="9" t="s">
        <v>5</v>
      </c>
      <c r="C186" s="10" t="s">
        <v>6</v>
      </c>
      <c r="D186" s="10"/>
      <c r="E186" s="11" t="s">
        <v>7</v>
      </c>
      <c r="F186" s="11" t="s">
        <v>8</v>
      </c>
      <c r="G186" s="11" t="s">
        <v>9</v>
      </c>
      <c r="H186" s="11" t="s">
        <v>10</v>
      </c>
      <c r="I186" s="11" t="s">
        <v>11</v>
      </c>
      <c r="J186" s="11" t="s">
        <v>12</v>
      </c>
      <c r="K186" s="11" t="s">
        <v>13</v>
      </c>
      <c r="L186" s="11" t="s">
        <v>14</v>
      </c>
      <c r="M186" s="11" t="s">
        <v>15</v>
      </c>
      <c r="N186" s="11" t="s">
        <v>16</v>
      </c>
      <c r="O186" s="11" t="s">
        <v>17</v>
      </c>
      <c r="P186" s="12" t="s">
        <v>18</v>
      </c>
      <c r="Q186" s="11" t="s">
        <v>19</v>
      </c>
      <c r="R186" s="11"/>
      <c r="S186" s="10" t="s">
        <v>20</v>
      </c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3"/>
    </row>
    <row r="187" spans="2:30">
      <c r="B187" s="14" t="s">
        <v>380</v>
      </c>
      <c r="C187" s="15" t="str">
        <f>"Nguyễn"&amp;" " &amp; "Thị Bích Hòa"</f>
        <v>Nguyễn Thị Bích Hòa</v>
      </c>
      <c r="D187" s="15"/>
      <c r="E187" s="16" t="s">
        <v>314</v>
      </c>
      <c r="F187" s="16" t="s">
        <v>381</v>
      </c>
      <c r="G187" s="17" t="s">
        <v>24</v>
      </c>
      <c r="H187" s="16" t="s">
        <v>382</v>
      </c>
      <c r="I187" s="18">
        <v>0</v>
      </c>
      <c r="J187" s="19">
        <v>18000000</v>
      </c>
      <c r="K187" s="19">
        <f>IFERROR(IF(N187&lt;4,Q187,SUM(#VALUE!)),0)</f>
        <v>0</v>
      </c>
      <c r="L187" s="20">
        <f>IFERROR(K187/J187,0)</f>
        <v>0</v>
      </c>
      <c r="M187" s="19">
        <f>IFERROR(IF(OR(N187=3,N187=4),SUM(#VALUE!)+AD187,IF(N187=1,0.6%,IF(N187=2,0.65%,IF(N187=3,0.6%,0)))*IF(L187&lt;0.8,0,IF(L187&lt;1,L187,1))*IF(RIGHT("2018-09",2)="03",1,0)),0)</f>
        <v>0</v>
      </c>
      <c r="N187" s="19">
        <v>4</v>
      </c>
      <c r="O187" s="18">
        <f>IF(N187=4,0.5%,IF(N187=5,0.3%,0))</f>
        <v>5.0000000000000001E-3</v>
      </c>
      <c r="P187" s="21">
        <f>IFERROR(SUM(#VALUE!),0)</f>
        <v>0</v>
      </c>
      <c r="Q187" s="19">
        <f>SUMIF($G:$G,B187,$K:$K)</f>
        <v>0</v>
      </c>
      <c r="R187" s="22"/>
      <c r="S187" s="23" t="s">
        <v>26</v>
      </c>
      <c r="T187" s="23"/>
      <c r="U187" s="24" t="s">
        <v>27</v>
      </c>
      <c r="V187" s="24"/>
      <c r="W187" s="24"/>
      <c r="X187" s="25" t="s">
        <v>28</v>
      </c>
      <c r="Y187" s="25"/>
      <c r="Z187" s="26" t="s">
        <v>29</v>
      </c>
      <c r="AA187" s="26"/>
      <c r="AB187" s="27" t="s">
        <v>30</v>
      </c>
      <c r="AC187" s="27"/>
      <c r="AD187" s="28">
        <f>IF(IFERROR(SUM(#VALUE!)*O187,0)&gt;2000000,2000000,IFERROR(SUM(#VALUE!)*O187,0))</f>
        <v>0</v>
      </c>
    </row>
    <row r="188" spans="2:30" ht="25.5">
      <c r="C188" s="29" t="s">
        <v>31</v>
      </c>
      <c r="D188" s="30" t="s">
        <v>32</v>
      </c>
      <c r="E188" s="30"/>
      <c r="F188" s="31" t="s">
        <v>33</v>
      </c>
      <c r="G188" s="31" t="s">
        <v>34</v>
      </c>
      <c r="H188" s="32" t="s">
        <v>35</v>
      </c>
      <c r="I188" s="32" t="s">
        <v>36</v>
      </c>
      <c r="J188" s="31" t="s">
        <v>37</v>
      </c>
      <c r="K188" s="31" t="s">
        <v>38</v>
      </c>
      <c r="L188" s="31" t="s">
        <v>39</v>
      </c>
      <c r="M188" s="31" t="s">
        <v>40</v>
      </c>
      <c r="N188" s="31" t="s">
        <v>41</v>
      </c>
      <c r="O188" s="33" t="s">
        <v>42</v>
      </c>
      <c r="P188" s="32" t="s">
        <v>43</v>
      </c>
      <c r="Q188" s="32" t="s">
        <v>44</v>
      </c>
      <c r="R188" s="34" t="s">
        <v>45</v>
      </c>
      <c r="S188" s="34" t="s">
        <v>46</v>
      </c>
      <c r="T188" s="34" t="s">
        <v>47</v>
      </c>
      <c r="U188" s="35" t="s">
        <v>48</v>
      </c>
      <c r="V188" s="36" t="s">
        <v>47</v>
      </c>
      <c r="W188" s="36" t="s">
        <v>49</v>
      </c>
      <c r="X188" s="37" t="s">
        <v>50</v>
      </c>
      <c r="Y188" s="37" t="s">
        <v>51</v>
      </c>
      <c r="Z188" s="38" t="s">
        <v>48</v>
      </c>
      <c r="AA188" s="39" t="s">
        <v>47</v>
      </c>
      <c r="AB188" s="40" t="s">
        <v>48</v>
      </c>
      <c r="AC188" s="41" t="s">
        <v>47</v>
      </c>
      <c r="AD188" s="42" t="s">
        <v>52</v>
      </c>
    </row>
    <row r="189" spans="2:30" ht="23.25" customHeight="1">
      <c r="B189" s="9" t="s">
        <v>5</v>
      </c>
      <c r="C189" s="10" t="s">
        <v>6</v>
      </c>
      <c r="D189" s="10"/>
      <c r="E189" s="11" t="s">
        <v>7</v>
      </c>
      <c r="F189" s="11" t="s">
        <v>8</v>
      </c>
      <c r="G189" s="11" t="s">
        <v>9</v>
      </c>
      <c r="H189" s="11" t="s">
        <v>10</v>
      </c>
      <c r="I189" s="11" t="s">
        <v>11</v>
      </c>
      <c r="J189" s="11" t="s">
        <v>12</v>
      </c>
      <c r="K189" s="11" t="s">
        <v>13</v>
      </c>
      <c r="L189" s="11" t="s">
        <v>14</v>
      </c>
      <c r="M189" s="11" t="s">
        <v>15</v>
      </c>
      <c r="N189" s="11" t="s">
        <v>16</v>
      </c>
      <c r="O189" s="11" t="s">
        <v>17</v>
      </c>
      <c r="P189" s="12" t="s">
        <v>18</v>
      </c>
      <c r="Q189" s="11" t="s">
        <v>19</v>
      </c>
      <c r="R189" s="11"/>
      <c r="S189" s="10" t="s">
        <v>20</v>
      </c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3"/>
    </row>
    <row r="190" spans="2:30">
      <c r="B190" s="14" t="s">
        <v>383</v>
      </c>
      <c r="C190" s="15" t="str">
        <f>"Ngô"&amp;" " &amp; "Thị Thảo Sương"</f>
        <v>Ngô Thị Thảo Sương</v>
      </c>
      <c r="D190" s="15"/>
      <c r="E190" s="16" t="s">
        <v>314</v>
      </c>
      <c r="F190" s="16" t="s">
        <v>381</v>
      </c>
      <c r="G190" s="17" t="s">
        <v>24</v>
      </c>
      <c r="H190" s="16" t="s">
        <v>382</v>
      </c>
      <c r="I190" s="18">
        <v>0</v>
      </c>
      <c r="J190" s="19">
        <v>18000000</v>
      </c>
      <c r="K190" s="19">
        <f>IFERROR(IF(N190&lt;4,Q190,SUM(#VALUE!)),0)</f>
        <v>0</v>
      </c>
      <c r="L190" s="20">
        <f>IFERROR(K190/J190,0)</f>
        <v>0</v>
      </c>
      <c r="M190" s="19">
        <f>IFERROR(IF(OR(N190=3,N190=4),SUM(#VALUE!)+AD190,IF(N190=1,0.6%,IF(N190=2,0.65%,IF(N190=3,0.6%,0)))*IF(L190&lt;0.8,0,IF(L190&lt;1,L190,1))*IF(RIGHT("2018-09",2)="03",1,0)),0)</f>
        <v>0</v>
      </c>
      <c r="N190" s="19">
        <v>4</v>
      </c>
      <c r="O190" s="18">
        <f>IF(N190=4,0.5%,IF(N190=5,0.3%,0))</f>
        <v>5.0000000000000001E-3</v>
      </c>
      <c r="P190" s="21">
        <f>IFERROR(SUM(#VALUE!),0)</f>
        <v>0</v>
      </c>
      <c r="Q190" s="19">
        <f>SUMIF($G:$G,B190,$K:$K)</f>
        <v>0</v>
      </c>
      <c r="R190" s="22"/>
      <c r="S190" s="23" t="s">
        <v>26</v>
      </c>
      <c r="T190" s="23"/>
      <c r="U190" s="24" t="s">
        <v>27</v>
      </c>
      <c r="V190" s="24"/>
      <c r="W190" s="24"/>
      <c r="X190" s="25" t="s">
        <v>28</v>
      </c>
      <c r="Y190" s="25"/>
      <c r="Z190" s="26" t="s">
        <v>29</v>
      </c>
      <c r="AA190" s="26"/>
      <c r="AB190" s="27" t="s">
        <v>30</v>
      </c>
      <c r="AC190" s="27"/>
      <c r="AD190" s="28">
        <f>IF(IFERROR(SUM(#VALUE!)*O190,0)&gt;2000000,2000000,IFERROR(SUM(#VALUE!)*O190,0))</f>
        <v>0</v>
      </c>
    </row>
    <row r="191" spans="2:30" ht="25.5">
      <c r="C191" s="29" t="s">
        <v>31</v>
      </c>
      <c r="D191" s="30" t="s">
        <v>32</v>
      </c>
      <c r="E191" s="30"/>
      <c r="F191" s="31" t="s">
        <v>33</v>
      </c>
      <c r="G191" s="31" t="s">
        <v>34</v>
      </c>
      <c r="H191" s="32" t="s">
        <v>35</v>
      </c>
      <c r="I191" s="32" t="s">
        <v>36</v>
      </c>
      <c r="J191" s="31" t="s">
        <v>37</v>
      </c>
      <c r="K191" s="31" t="s">
        <v>38</v>
      </c>
      <c r="L191" s="31" t="s">
        <v>39</v>
      </c>
      <c r="M191" s="31" t="s">
        <v>40</v>
      </c>
      <c r="N191" s="31" t="s">
        <v>41</v>
      </c>
      <c r="O191" s="33" t="s">
        <v>42</v>
      </c>
      <c r="P191" s="32" t="s">
        <v>43</v>
      </c>
      <c r="Q191" s="32" t="s">
        <v>44</v>
      </c>
      <c r="R191" s="34" t="s">
        <v>45</v>
      </c>
      <c r="S191" s="34" t="s">
        <v>46</v>
      </c>
      <c r="T191" s="34" t="s">
        <v>47</v>
      </c>
      <c r="U191" s="35" t="s">
        <v>48</v>
      </c>
      <c r="V191" s="36" t="s">
        <v>47</v>
      </c>
      <c r="W191" s="36" t="s">
        <v>49</v>
      </c>
      <c r="X191" s="37" t="s">
        <v>50</v>
      </c>
      <c r="Y191" s="37" t="s">
        <v>51</v>
      </c>
      <c r="Z191" s="38" t="s">
        <v>48</v>
      </c>
      <c r="AA191" s="39" t="s">
        <v>47</v>
      </c>
      <c r="AB191" s="40" t="s">
        <v>48</v>
      </c>
      <c r="AC191" s="41" t="s">
        <v>47</v>
      </c>
      <c r="AD191" s="42" t="s">
        <v>52</v>
      </c>
    </row>
    <row r="192" spans="2:30" ht="23.25" customHeight="1">
      <c r="B192" s="9" t="s">
        <v>5</v>
      </c>
      <c r="C192" s="10" t="s">
        <v>6</v>
      </c>
      <c r="D192" s="10"/>
      <c r="E192" s="11" t="s">
        <v>7</v>
      </c>
      <c r="F192" s="11" t="s">
        <v>8</v>
      </c>
      <c r="G192" s="11" t="s">
        <v>9</v>
      </c>
      <c r="H192" s="11" t="s">
        <v>10</v>
      </c>
      <c r="I192" s="11" t="s">
        <v>11</v>
      </c>
      <c r="J192" s="11" t="s">
        <v>12</v>
      </c>
      <c r="K192" s="11" t="s">
        <v>13</v>
      </c>
      <c r="L192" s="11" t="s">
        <v>14</v>
      </c>
      <c r="M192" s="11" t="s">
        <v>15</v>
      </c>
      <c r="N192" s="11" t="s">
        <v>16</v>
      </c>
      <c r="O192" s="11" t="s">
        <v>17</v>
      </c>
      <c r="P192" s="12" t="s">
        <v>18</v>
      </c>
      <c r="Q192" s="11" t="s">
        <v>19</v>
      </c>
      <c r="R192" s="11"/>
      <c r="S192" s="10" t="s">
        <v>20</v>
      </c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3"/>
    </row>
    <row r="193" spans="2:30">
      <c r="B193" s="14" t="s">
        <v>384</v>
      </c>
      <c r="C193" s="15" t="str">
        <f>"Bùi"&amp;" " &amp; "Quang Trường Phước"</f>
        <v>Bùi Quang Trường Phước</v>
      </c>
      <c r="D193" s="15"/>
      <c r="E193" s="16" t="s">
        <v>314</v>
      </c>
      <c r="F193" s="16" t="s">
        <v>385</v>
      </c>
      <c r="G193" s="17" t="s">
        <v>127</v>
      </c>
      <c r="H193" s="16" t="s">
        <v>386</v>
      </c>
      <c r="I193" s="18">
        <v>0</v>
      </c>
      <c r="J193" s="19">
        <v>30000000</v>
      </c>
      <c r="K193" s="19">
        <f>IFERROR(IF(N193&lt;4,Q193,SUM(#VALUE!)),0)</f>
        <v>0</v>
      </c>
      <c r="L193" s="20">
        <f>IFERROR(K193/J193,0)</f>
        <v>0</v>
      </c>
      <c r="M193" s="19">
        <f>IFERROR(IF(OR(N193=3,N193=4),SUM(#VALUE!)+AD193,IF(N193=1,0.6%,IF(N193=2,0.65%,IF(N193=3,0.6%,0)))*IF(L193&lt;0.8,0,IF(L193&lt;1,L193,1))*IF(RIGHT("2018-09",2)="03",1,0)),0)</f>
        <v>0</v>
      </c>
      <c r="N193" s="19">
        <v>4</v>
      </c>
      <c r="O193" s="18">
        <f>IF(N193=4,0.5%,IF(N193=5,0.3%,0))</f>
        <v>5.0000000000000001E-3</v>
      </c>
      <c r="P193" s="21">
        <f>IFERROR(SUM(#VALUE!),0)</f>
        <v>0</v>
      </c>
      <c r="Q193" s="19">
        <f>SUMIF($G:$G,B193,$K:$K)</f>
        <v>0</v>
      </c>
      <c r="R193" s="22"/>
      <c r="S193" s="23" t="s">
        <v>26</v>
      </c>
      <c r="T193" s="23"/>
      <c r="U193" s="24" t="s">
        <v>27</v>
      </c>
      <c r="V193" s="24"/>
      <c r="W193" s="24"/>
      <c r="X193" s="25" t="s">
        <v>28</v>
      </c>
      <c r="Y193" s="25"/>
      <c r="Z193" s="26" t="s">
        <v>29</v>
      </c>
      <c r="AA193" s="26"/>
      <c r="AB193" s="27" t="s">
        <v>30</v>
      </c>
      <c r="AC193" s="27"/>
      <c r="AD193" s="28">
        <f>IF(IFERROR(SUM(#VALUE!)*O193,0)&gt;2000000,2000000,IFERROR(SUM(#VALUE!)*O193,0))</f>
        <v>0</v>
      </c>
    </row>
    <row r="194" spans="2:30" ht="25.5">
      <c r="C194" s="29" t="s">
        <v>31</v>
      </c>
      <c r="D194" s="30" t="s">
        <v>32</v>
      </c>
      <c r="E194" s="30"/>
      <c r="F194" s="31" t="s">
        <v>33</v>
      </c>
      <c r="G194" s="31" t="s">
        <v>34</v>
      </c>
      <c r="H194" s="32" t="s">
        <v>35</v>
      </c>
      <c r="I194" s="32" t="s">
        <v>36</v>
      </c>
      <c r="J194" s="31" t="s">
        <v>37</v>
      </c>
      <c r="K194" s="31" t="s">
        <v>38</v>
      </c>
      <c r="L194" s="31" t="s">
        <v>39</v>
      </c>
      <c r="M194" s="31" t="s">
        <v>40</v>
      </c>
      <c r="N194" s="31" t="s">
        <v>41</v>
      </c>
      <c r="O194" s="33" t="s">
        <v>42</v>
      </c>
      <c r="P194" s="32" t="s">
        <v>43</v>
      </c>
      <c r="Q194" s="32" t="s">
        <v>44</v>
      </c>
      <c r="R194" s="34" t="s">
        <v>45</v>
      </c>
      <c r="S194" s="34" t="s">
        <v>46</v>
      </c>
      <c r="T194" s="34" t="s">
        <v>47</v>
      </c>
      <c r="U194" s="35" t="s">
        <v>48</v>
      </c>
      <c r="V194" s="36" t="s">
        <v>47</v>
      </c>
      <c r="W194" s="36" t="s">
        <v>49</v>
      </c>
      <c r="X194" s="37" t="s">
        <v>50</v>
      </c>
      <c r="Y194" s="37" t="s">
        <v>51</v>
      </c>
      <c r="Z194" s="38" t="s">
        <v>48</v>
      </c>
      <c r="AA194" s="39" t="s">
        <v>47</v>
      </c>
      <c r="AB194" s="40" t="s">
        <v>48</v>
      </c>
      <c r="AC194" s="41" t="s">
        <v>47</v>
      </c>
      <c r="AD194" s="42" t="s">
        <v>52</v>
      </c>
    </row>
    <row r="195" spans="2:30" ht="23.25" customHeight="1">
      <c r="B195" s="9" t="s">
        <v>5</v>
      </c>
      <c r="C195" s="10" t="s">
        <v>6</v>
      </c>
      <c r="D195" s="10"/>
      <c r="E195" s="11" t="s">
        <v>7</v>
      </c>
      <c r="F195" s="11" t="s">
        <v>8</v>
      </c>
      <c r="G195" s="11" t="s">
        <v>9</v>
      </c>
      <c r="H195" s="11" t="s">
        <v>10</v>
      </c>
      <c r="I195" s="11" t="s">
        <v>11</v>
      </c>
      <c r="J195" s="11" t="s">
        <v>12</v>
      </c>
      <c r="K195" s="11" t="s">
        <v>13</v>
      </c>
      <c r="L195" s="11" t="s">
        <v>14</v>
      </c>
      <c r="M195" s="11" t="s">
        <v>15</v>
      </c>
      <c r="N195" s="11" t="s">
        <v>16</v>
      </c>
      <c r="O195" s="11" t="s">
        <v>17</v>
      </c>
      <c r="P195" s="12" t="s">
        <v>18</v>
      </c>
      <c r="Q195" s="11" t="s">
        <v>19</v>
      </c>
      <c r="R195" s="11"/>
      <c r="S195" s="10" t="s">
        <v>20</v>
      </c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3"/>
    </row>
    <row r="196" spans="2:30">
      <c r="B196" s="14" t="s">
        <v>387</v>
      </c>
      <c r="C196" s="15" t="str">
        <f>"Nguyễn"&amp;" " &amp; "Ngọc Hải"</f>
        <v>Nguyễn Ngọc Hải</v>
      </c>
      <c r="D196" s="15"/>
      <c r="E196" s="16" t="s">
        <v>314</v>
      </c>
      <c r="F196" s="16" t="s">
        <v>134</v>
      </c>
      <c r="G196" s="17" t="s">
        <v>133</v>
      </c>
      <c r="H196" s="16" t="s">
        <v>388</v>
      </c>
      <c r="I196" s="18">
        <v>0</v>
      </c>
      <c r="J196" s="19">
        <v>42000000</v>
      </c>
      <c r="K196" s="19">
        <f>IFERROR(IF(N196&lt;4,Q196,SUM(Sheet3!J198:J226)),0)</f>
        <v>219278902</v>
      </c>
      <c r="L196" s="20">
        <f>IFERROR(K196/J196,0)</f>
        <v>5.2209262380952381</v>
      </c>
      <c r="M196" s="19">
        <f>IFERROR(IF(OR(N196=3,N196=4),SUM(Sheet3!AD198:AD226)+AD196,IF(N196=1,0.6%,IF(N196=2,0.65%,IF(N196=3,0.6%,0)))*IF(L196&lt;0.8,0,IF(L196&lt;1,L196,1))*IF(RIGHT("2018-09",2)="03",1,0)),0)</f>
        <v>2078815.4800000002</v>
      </c>
      <c r="N196" s="19">
        <v>4</v>
      </c>
      <c r="O196" s="18">
        <f>IF(N196=4,0.5%,IF(N196=5,0.3%,0))</f>
        <v>5.0000000000000001E-3</v>
      </c>
      <c r="P196" s="21">
        <f>IFERROR(SUM(Sheet3!P198:P226),0)</f>
        <v>11397354</v>
      </c>
      <c r="Q196" s="19">
        <f>SUMIF($G:$G,B196,$K:$K)</f>
        <v>0</v>
      </c>
      <c r="R196" s="22"/>
      <c r="S196" s="23" t="s">
        <v>26</v>
      </c>
      <c r="T196" s="23"/>
      <c r="U196" s="24" t="s">
        <v>27</v>
      </c>
      <c r="V196" s="24"/>
      <c r="W196" s="24"/>
      <c r="X196" s="25" t="s">
        <v>28</v>
      </c>
      <c r="Y196" s="25"/>
      <c r="Z196" s="26" t="s">
        <v>29</v>
      </c>
      <c r="AA196" s="26"/>
      <c r="AB196" s="27" t="s">
        <v>30</v>
      </c>
      <c r="AC196" s="27"/>
      <c r="AD196" s="28">
        <f>IF(IFERROR(SUM(Sheet3!Y198:Y226)*O196,0)&gt;2000000,2000000,IFERROR(SUM(Sheet3!Y198:Y226)*O196,0))</f>
        <v>0</v>
      </c>
    </row>
    <row r="197" spans="2:30" ht="25.5">
      <c r="C197" s="29" t="s">
        <v>31</v>
      </c>
      <c r="D197" s="30" t="s">
        <v>32</v>
      </c>
      <c r="E197" s="30"/>
      <c r="F197" s="31" t="s">
        <v>33</v>
      </c>
      <c r="G197" s="31" t="s">
        <v>34</v>
      </c>
      <c r="H197" s="32" t="s">
        <v>35</v>
      </c>
      <c r="I197" s="32" t="s">
        <v>36</v>
      </c>
      <c r="J197" s="31" t="s">
        <v>37</v>
      </c>
      <c r="K197" s="31" t="s">
        <v>38</v>
      </c>
      <c r="L197" s="31" t="s">
        <v>39</v>
      </c>
      <c r="M197" s="31" t="s">
        <v>40</v>
      </c>
      <c r="N197" s="31" t="s">
        <v>41</v>
      </c>
      <c r="O197" s="33" t="s">
        <v>42</v>
      </c>
      <c r="P197" s="32" t="s">
        <v>43</v>
      </c>
      <c r="Q197" s="32" t="s">
        <v>44</v>
      </c>
      <c r="R197" s="34" t="s">
        <v>45</v>
      </c>
      <c r="S197" s="34" t="s">
        <v>46</v>
      </c>
      <c r="T197" s="34" t="s">
        <v>47</v>
      </c>
      <c r="U197" s="35" t="s">
        <v>48</v>
      </c>
      <c r="V197" s="36" t="s">
        <v>47</v>
      </c>
      <c r="W197" s="36" t="s">
        <v>49</v>
      </c>
      <c r="X197" s="37" t="s">
        <v>50</v>
      </c>
      <c r="Y197" s="37" t="s">
        <v>51</v>
      </c>
      <c r="Z197" s="38" t="s">
        <v>48</v>
      </c>
      <c r="AA197" s="39" t="s">
        <v>47</v>
      </c>
      <c r="AB197" s="40" t="s">
        <v>48</v>
      </c>
      <c r="AC197" s="41" t="s">
        <v>47</v>
      </c>
      <c r="AD197" s="42" t="s">
        <v>52</v>
      </c>
    </row>
    <row r="198" spans="2:30">
      <c r="C198" s="43" t="s">
        <v>389</v>
      </c>
      <c r="D198" s="44" t="s">
        <v>390</v>
      </c>
      <c r="E198" s="44"/>
      <c r="F198" s="45">
        <v>42503.320590277777</v>
      </c>
      <c r="G198" s="46">
        <v>28</v>
      </c>
      <c r="H198" s="47">
        <v>43403</v>
      </c>
      <c r="I198" s="47">
        <v>43410</v>
      </c>
      <c r="J198" s="46">
        <v>79931081</v>
      </c>
      <c r="K198" s="46">
        <v>0</v>
      </c>
      <c r="L198" s="46">
        <v>0</v>
      </c>
      <c r="M198" s="46">
        <f t="shared" ref="M198:M226" si="71">IFERROR(J198-K198-L198,0)</f>
        <v>79931081</v>
      </c>
      <c r="N198" s="46">
        <v>91962104</v>
      </c>
      <c r="O198" s="48">
        <f t="shared" ref="O198:O226" si="72">IFERROR(IF(1 - M198/N198&lt;0,0,1-M198/N198),0)</f>
        <v>0.13082587801601409</v>
      </c>
      <c r="P198" s="46">
        <v>0</v>
      </c>
      <c r="Q198" s="46">
        <v>79931081</v>
      </c>
      <c r="R198" s="49">
        <f t="shared" ref="R198:R226" si="73">IF(F198&lt;DATEVALUE("2018-07-01"),1,0)</f>
        <v>1</v>
      </c>
      <c r="S198" s="50">
        <f t="shared" ref="S198:S226" si="74">IF(R198=1,1%,0)</f>
        <v>0.01</v>
      </c>
      <c r="T198" s="49">
        <f t="shared" ref="T198:T226" si="75">IFERROR(S198*M198,0)</f>
        <v>799310.81</v>
      </c>
      <c r="U198" s="51">
        <f t="shared" ref="U198:U226" si="76">IF(O198&lt;=0.12,1,0)*(1-R198)*M198</f>
        <v>0</v>
      </c>
      <c r="V198" s="52">
        <f>IF(0&lt;0.8,0,IF(0&lt;1,Sheet3!L196,1))*IF(G198&lt;3,0.12 - O198,0.01) *U198</f>
        <v>0</v>
      </c>
      <c r="W198" s="52">
        <f t="shared" ref="W198:W226" si="77">IF(0&gt;1,IF(0&lt;=1.1,1,IF(0&lt;=1.2,2,IF(0&lt;=1.5,3,5))),0) * 1000000</f>
        <v>0</v>
      </c>
      <c r="X198" s="53">
        <f t="shared" ref="X198:X226" si="78">IF(AND(P198&gt;=150000000,P198&lt;300000000),5000000,IF(AND(P198&gt;=300000000,P198&lt;500000000),10000000,IF(AND(P198&gt;=300000000,P198&lt;500000000),15000000,IF(AND(P198&gt;=500000000,P198&lt;3000000000),20000000,IF(P198&gt;=30000000000,35000000,0))))) * (1-R198)</f>
        <v>0</v>
      </c>
      <c r="Y198" s="53">
        <f t="shared" ref="Y198:Y226" si="79">IFERROR(Q198 * (1-R198),0)</f>
        <v>0</v>
      </c>
      <c r="Z198" s="54">
        <f t="shared" ref="Z198:Z226" si="80">IF(R198=1,0,0)</f>
        <v>0</v>
      </c>
      <c r="AA198" s="54">
        <f t="shared" ref="AA198:AA226" si="81">IFERROR((1-R198) * Z198 * 2%,0)</f>
        <v>0</v>
      </c>
      <c r="AB198" s="55">
        <f t="shared" ref="AB198:AB226" si="82">IF(R198=0,0,0)</f>
        <v>0</v>
      </c>
      <c r="AC198" s="55">
        <f t="shared" ref="AC198:AC226" si="83">IFERROR(AB198 * (1-R198) * 2%,0)</f>
        <v>0</v>
      </c>
      <c r="AD198" s="56">
        <f t="shared" ref="AD198:AD226" si="84">T198+V198+W198+X198+AA198+AC198</f>
        <v>799310.81</v>
      </c>
    </row>
    <row r="199" spans="2:30">
      <c r="C199" s="43" t="s">
        <v>391</v>
      </c>
      <c r="D199" s="44" t="s">
        <v>392</v>
      </c>
      <c r="E199" s="44"/>
      <c r="F199" s="45">
        <v>43305.133773148147</v>
      </c>
      <c r="G199" s="46">
        <v>2</v>
      </c>
      <c r="H199" s="47">
        <v>43390</v>
      </c>
      <c r="I199" s="47">
        <v>43397</v>
      </c>
      <c r="J199" s="46">
        <v>26620</v>
      </c>
      <c r="K199" s="46">
        <v>0</v>
      </c>
      <c r="L199" s="46">
        <v>0</v>
      </c>
      <c r="M199" s="46">
        <f t="shared" si="71"/>
        <v>26620</v>
      </c>
      <c r="N199" s="46">
        <v>26620</v>
      </c>
      <c r="O199" s="48">
        <f t="shared" si="72"/>
        <v>0</v>
      </c>
      <c r="P199" s="46">
        <v>26620</v>
      </c>
      <c r="Q199" s="46">
        <v>0</v>
      </c>
      <c r="R199" s="49">
        <f t="shared" si="73"/>
        <v>0</v>
      </c>
      <c r="S199" s="50">
        <f t="shared" si="74"/>
        <v>0</v>
      </c>
      <c r="T199" s="49">
        <f t="shared" si="75"/>
        <v>0</v>
      </c>
      <c r="U199" s="51">
        <f t="shared" si="76"/>
        <v>26620</v>
      </c>
      <c r="V199" s="52">
        <f>IF(0&lt;0.8,0,IF(0&lt;1,Sheet3!L196,1))*IF(G199&lt;3,0.12 - O199,0.01) *U199</f>
        <v>0</v>
      </c>
      <c r="W199" s="52">
        <f t="shared" si="77"/>
        <v>0</v>
      </c>
      <c r="X199" s="53">
        <f t="shared" si="78"/>
        <v>0</v>
      </c>
      <c r="Y199" s="53">
        <f t="shared" si="79"/>
        <v>0</v>
      </c>
      <c r="Z199" s="54">
        <f t="shared" si="80"/>
        <v>0</v>
      </c>
      <c r="AA199" s="54">
        <f t="shared" si="81"/>
        <v>0</v>
      </c>
      <c r="AB199" s="55">
        <f t="shared" si="82"/>
        <v>0</v>
      </c>
      <c r="AC199" s="55">
        <f t="shared" si="83"/>
        <v>0</v>
      </c>
      <c r="AD199" s="56">
        <f t="shared" si="84"/>
        <v>0</v>
      </c>
    </row>
    <row r="200" spans="2:30">
      <c r="C200" s="43" t="s">
        <v>393</v>
      </c>
      <c r="D200" s="44" t="s">
        <v>394</v>
      </c>
      <c r="E200" s="44"/>
      <c r="F200" s="45">
        <v>43119.345046296294</v>
      </c>
      <c r="G200" s="46">
        <v>8</v>
      </c>
      <c r="H200" s="47">
        <v>43388</v>
      </c>
      <c r="I200" s="47">
        <v>43404</v>
      </c>
      <c r="J200" s="46">
        <v>290521</v>
      </c>
      <c r="K200" s="46">
        <v>0</v>
      </c>
      <c r="L200" s="46">
        <v>0</v>
      </c>
      <c r="M200" s="46">
        <f t="shared" si="71"/>
        <v>290521</v>
      </c>
      <c r="N200" s="46">
        <v>290521</v>
      </c>
      <c r="O200" s="48">
        <f t="shared" si="72"/>
        <v>0</v>
      </c>
      <c r="P200" s="46">
        <v>0</v>
      </c>
      <c r="Q200" s="46">
        <v>290521</v>
      </c>
      <c r="R200" s="49">
        <f t="shared" si="73"/>
        <v>1</v>
      </c>
      <c r="S200" s="50">
        <f t="shared" si="74"/>
        <v>0.01</v>
      </c>
      <c r="T200" s="49">
        <f t="shared" si="75"/>
        <v>2905.21</v>
      </c>
      <c r="U200" s="51">
        <f t="shared" si="76"/>
        <v>0</v>
      </c>
      <c r="V200" s="52">
        <f>IF(0&lt;0.8,0,IF(0&lt;1,Sheet3!L196,1))*IF(G200&lt;3,0.12 - O200,0.01) *U200</f>
        <v>0</v>
      </c>
      <c r="W200" s="52">
        <f t="shared" si="77"/>
        <v>0</v>
      </c>
      <c r="X200" s="53">
        <f t="shared" si="78"/>
        <v>0</v>
      </c>
      <c r="Y200" s="53">
        <f t="shared" si="79"/>
        <v>0</v>
      </c>
      <c r="Z200" s="54">
        <f t="shared" si="80"/>
        <v>0</v>
      </c>
      <c r="AA200" s="54">
        <f t="shared" si="81"/>
        <v>0</v>
      </c>
      <c r="AB200" s="55">
        <f t="shared" si="82"/>
        <v>0</v>
      </c>
      <c r="AC200" s="55">
        <f t="shared" si="83"/>
        <v>0</v>
      </c>
      <c r="AD200" s="56">
        <f t="shared" si="84"/>
        <v>2905.21</v>
      </c>
    </row>
    <row r="201" spans="2:30">
      <c r="C201" s="43" t="s">
        <v>395</v>
      </c>
      <c r="D201" s="44" t="s">
        <v>396</v>
      </c>
      <c r="E201" s="44"/>
      <c r="F201" s="45">
        <v>40612.485891203702</v>
      </c>
      <c r="G201" s="46">
        <v>90</v>
      </c>
      <c r="H201" s="47">
        <v>43382</v>
      </c>
      <c r="I201" s="47">
        <v>43412</v>
      </c>
      <c r="J201" s="46">
        <v>1677471</v>
      </c>
      <c r="K201" s="46">
        <v>0</v>
      </c>
      <c r="L201" s="46">
        <v>0</v>
      </c>
      <c r="M201" s="46">
        <f t="shared" si="71"/>
        <v>1677471</v>
      </c>
      <c r="N201" s="46">
        <v>1677471</v>
      </c>
      <c r="O201" s="48">
        <f t="shared" si="72"/>
        <v>0</v>
      </c>
      <c r="P201" s="46">
        <v>0</v>
      </c>
      <c r="Q201" s="46">
        <v>1677471</v>
      </c>
      <c r="R201" s="49">
        <f t="shared" si="73"/>
        <v>1</v>
      </c>
      <c r="S201" s="50">
        <f t="shared" si="74"/>
        <v>0.01</v>
      </c>
      <c r="T201" s="49">
        <f t="shared" si="75"/>
        <v>16774.71</v>
      </c>
      <c r="U201" s="51">
        <f t="shared" si="76"/>
        <v>0</v>
      </c>
      <c r="V201" s="52">
        <f>IF(0&lt;0.8,0,IF(0&lt;1,Sheet3!L196,1))*IF(G201&lt;3,0.12 - O201,0.01) *U201</f>
        <v>0</v>
      </c>
      <c r="W201" s="52">
        <f t="shared" si="77"/>
        <v>0</v>
      </c>
      <c r="X201" s="53">
        <f t="shared" si="78"/>
        <v>0</v>
      </c>
      <c r="Y201" s="53">
        <f t="shared" si="79"/>
        <v>0</v>
      </c>
      <c r="Z201" s="54">
        <f t="shared" si="80"/>
        <v>0</v>
      </c>
      <c r="AA201" s="54">
        <f t="shared" si="81"/>
        <v>0</v>
      </c>
      <c r="AB201" s="55">
        <f t="shared" si="82"/>
        <v>0</v>
      </c>
      <c r="AC201" s="55">
        <f t="shared" si="83"/>
        <v>0</v>
      </c>
      <c r="AD201" s="56">
        <f t="shared" si="84"/>
        <v>16774.71</v>
      </c>
    </row>
    <row r="202" spans="2:30">
      <c r="C202" s="43" t="s">
        <v>397</v>
      </c>
      <c r="D202" s="44" t="s">
        <v>398</v>
      </c>
      <c r="E202" s="44"/>
      <c r="F202" s="45">
        <v>42593.335810185185</v>
      </c>
      <c r="G202" s="46">
        <v>25</v>
      </c>
      <c r="H202" s="47">
        <v>43396</v>
      </c>
      <c r="I202" s="47">
        <v>43405</v>
      </c>
      <c r="J202" s="46">
        <v>2179598</v>
      </c>
      <c r="K202" s="46">
        <v>0</v>
      </c>
      <c r="L202" s="46">
        <v>0</v>
      </c>
      <c r="M202" s="46">
        <f t="shared" si="71"/>
        <v>2179598</v>
      </c>
      <c r="N202" s="46">
        <v>2179598</v>
      </c>
      <c r="O202" s="48">
        <f t="shared" si="72"/>
        <v>0</v>
      </c>
      <c r="P202" s="46">
        <v>0</v>
      </c>
      <c r="Q202" s="46">
        <v>2179598</v>
      </c>
      <c r="R202" s="49">
        <f t="shared" si="73"/>
        <v>1</v>
      </c>
      <c r="S202" s="50">
        <f t="shared" si="74"/>
        <v>0.01</v>
      </c>
      <c r="T202" s="49">
        <f t="shared" si="75"/>
        <v>21795.98</v>
      </c>
      <c r="U202" s="51">
        <f t="shared" si="76"/>
        <v>0</v>
      </c>
      <c r="V202" s="52">
        <f>IF(0&lt;0.8,0,IF(0&lt;1,Sheet3!L196,1))*IF(G202&lt;3,0.12 - O202,0.01) *U202</f>
        <v>0</v>
      </c>
      <c r="W202" s="52">
        <f t="shared" si="77"/>
        <v>0</v>
      </c>
      <c r="X202" s="53">
        <f t="shared" si="78"/>
        <v>0</v>
      </c>
      <c r="Y202" s="53">
        <f t="shared" si="79"/>
        <v>0</v>
      </c>
      <c r="Z202" s="54">
        <f t="shared" si="80"/>
        <v>0</v>
      </c>
      <c r="AA202" s="54">
        <f t="shared" si="81"/>
        <v>0</v>
      </c>
      <c r="AB202" s="55">
        <f t="shared" si="82"/>
        <v>0</v>
      </c>
      <c r="AC202" s="55">
        <f t="shared" si="83"/>
        <v>0</v>
      </c>
      <c r="AD202" s="56">
        <f t="shared" si="84"/>
        <v>21795.98</v>
      </c>
    </row>
    <row r="203" spans="2:30">
      <c r="C203" s="43" t="s">
        <v>399</v>
      </c>
      <c r="D203" s="44" t="s">
        <v>400</v>
      </c>
      <c r="E203" s="44"/>
      <c r="F203" s="45">
        <v>42604.385023148148</v>
      </c>
      <c r="G203" s="46">
        <v>25</v>
      </c>
      <c r="H203" s="47">
        <v>43396</v>
      </c>
      <c r="I203" s="47">
        <v>43439</v>
      </c>
      <c r="J203" s="46">
        <v>305283</v>
      </c>
      <c r="K203" s="46">
        <v>0</v>
      </c>
      <c r="L203" s="46">
        <v>0</v>
      </c>
      <c r="M203" s="46">
        <f t="shared" si="71"/>
        <v>305283</v>
      </c>
      <c r="N203" s="46">
        <v>305283</v>
      </c>
      <c r="O203" s="48">
        <f t="shared" si="72"/>
        <v>0</v>
      </c>
      <c r="P203" s="46">
        <v>0</v>
      </c>
      <c r="Q203" s="46">
        <v>305283</v>
      </c>
      <c r="R203" s="49">
        <f t="shared" si="73"/>
        <v>1</v>
      </c>
      <c r="S203" s="50">
        <f t="shared" si="74"/>
        <v>0.01</v>
      </c>
      <c r="T203" s="49">
        <f t="shared" si="75"/>
        <v>3052.83</v>
      </c>
      <c r="U203" s="51">
        <f t="shared" si="76"/>
        <v>0</v>
      </c>
      <c r="V203" s="52">
        <f>IF(0&lt;0.8,0,IF(0&lt;1,Sheet3!L196,1))*IF(G203&lt;3,0.12 - O203,0.01) *U203</f>
        <v>0</v>
      </c>
      <c r="W203" s="52">
        <f t="shared" si="77"/>
        <v>0</v>
      </c>
      <c r="X203" s="53">
        <f t="shared" si="78"/>
        <v>0</v>
      </c>
      <c r="Y203" s="53">
        <f t="shared" si="79"/>
        <v>0</v>
      </c>
      <c r="Z203" s="54">
        <f t="shared" si="80"/>
        <v>0</v>
      </c>
      <c r="AA203" s="54">
        <f t="shared" si="81"/>
        <v>0</v>
      </c>
      <c r="AB203" s="55">
        <f t="shared" si="82"/>
        <v>0</v>
      </c>
      <c r="AC203" s="55">
        <f t="shared" si="83"/>
        <v>0</v>
      </c>
      <c r="AD203" s="56">
        <f t="shared" si="84"/>
        <v>3052.83</v>
      </c>
    </row>
    <row r="204" spans="2:30">
      <c r="C204" s="43" t="s">
        <v>401</v>
      </c>
      <c r="D204" s="44" t="s">
        <v>402</v>
      </c>
      <c r="E204" s="44"/>
      <c r="F204" s="45">
        <v>42632.201724537037</v>
      </c>
      <c r="G204" s="46">
        <v>24</v>
      </c>
      <c r="H204" s="47">
        <v>43390</v>
      </c>
      <c r="I204" s="47">
        <v>43417</v>
      </c>
      <c r="J204" s="46">
        <v>777110</v>
      </c>
      <c r="K204" s="46">
        <v>0</v>
      </c>
      <c r="L204" s="46">
        <v>0</v>
      </c>
      <c r="M204" s="46">
        <f t="shared" si="71"/>
        <v>777110</v>
      </c>
      <c r="N204" s="46">
        <v>777110</v>
      </c>
      <c r="O204" s="48">
        <f t="shared" si="72"/>
        <v>0</v>
      </c>
      <c r="P204" s="46">
        <v>0</v>
      </c>
      <c r="Q204" s="46">
        <v>777110</v>
      </c>
      <c r="R204" s="49">
        <f t="shared" si="73"/>
        <v>1</v>
      </c>
      <c r="S204" s="50">
        <f t="shared" si="74"/>
        <v>0.01</v>
      </c>
      <c r="T204" s="49">
        <f t="shared" si="75"/>
        <v>7771.1</v>
      </c>
      <c r="U204" s="51">
        <f t="shared" si="76"/>
        <v>0</v>
      </c>
      <c r="V204" s="52">
        <f>IF(0&lt;0.8,0,IF(0&lt;1,Sheet3!L196,1))*IF(G204&lt;3,0.12 - O204,0.01) *U204</f>
        <v>0</v>
      </c>
      <c r="W204" s="52">
        <f t="shared" si="77"/>
        <v>0</v>
      </c>
      <c r="X204" s="53">
        <f t="shared" si="78"/>
        <v>0</v>
      </c>
      <c r="Y204" s="53">
        <f t="shared" si="79"/>
        <v>0</v>
      </c>
      <c r="Z204" s="54">
        <f t="shared" si="80"/>
        <v>0</v>
      </c>
      <c r="AA204" s="54">
        <f t="shared" si="81"/>
        <v>0</v>
      </c>
      <c r="AB204" s="55">
        <f t="shared" si="82"/>
        <v>0</v>
      </c>
      <c r="AC204" s="55">
        <f t="shared" si="83"/>
        <v>0</v>
      </c>
      <c r="AD204" s="56">
        <f t="shared" si="84"/>
        <v>7771.1</v>
      </c>
    </row>
    <row r="205" spans="2:30">
      <c r="C205" s="43" t="s">
        <v>403</v>
      </c>
      <c r="D205" s="44" t="s">
        <v>404</v>
      </c>
      <c r="E205" s="44"/>
      <c r="F205" s="45">
        <v>42744.210162037038</v>
      </c>
      <c r="G205" s="46">
        <v>20</v>
      </c>
      <c r="H205" s="47">
        <v>43382</v>
      </c>
      <c r="I205" s="47">
        <v>43426</v>
      </c>
      <c r="J205" s="46">
        <v>2535588</v>
      </c>
      <c r="K205" s="46">
        <v>0</v>
      </c>
      <c r="L205" s="46">
        <v>0</v>
      </c>
      <c r="M205" s="46">
        <f t="shared" si="71"/>
        <v>2535588</v>
      </c>
      <c r="N205" s="46">
        <v>2897466</v>
      </c>
      <c r="O205" s="48">
        <f t="shared" si="72"/>
        <v>0.1248946493246168</v>
      </c>
      <c r="P205" s="46">
        <v>0</v>
      </c>
      <c r="Q205" s="46">
        <v>2535588</v>
      </c>
      <c r="R205" s="49">
        <f t="shared" si="73"/>
        <v>1</v>
      </c>
      <c r="S205" s="50">
        <f t="shared" si="74"/>
        <v>0.01</v>
      </c>
      <c r="T205" s="49">
        <f t="shared" si="75"/>
        <v>25355.88</v>
      </c>
      <c r="U205" s="51">
        <f t="shared" si="76"/>
        <v>0</v>
      </c>
      <c r="V205" s="52">
        <f>IF(0&lt;0.8,0,IF(0&lt;1,Sheet3!L196,1))*IF(G205&lt;3,0.12 - O205,0.01) *U205</f>
        <v>0</v>
      </c>
      <c r="W205" s="52">
        <f t="shared" si="77"/>
        <v>0</v>
      </c>
      <c r="X205" s="53">
        <f t="shared" si="78"/>
        <v>0</v>
      </c>
      <c r="Y205" s="53">
        <f t="shared" si="79"/>
        <v>0</v>
      </c>
      <c r="Z205" s="54">
        <f t="shared" si="80"/>
        <v>0</v>
      </c>
      <c r="AA205" s="54">
        <f t="shared" si="81"/>
        <v>0</v>
      </c>
      <c r="AB205" s="55">
        <f t="shared" si="82"/>
        <v>0</v>
      </c>
      <c r="AC205" s="55">
        <f t="shared" si="83"/>
        <v>0</v>
      </c>
      <c r="AD205" s="56">
        <f t="shared" si="84"/>
        <v>25355.88</v>
      </c>
    </row>
    <row r="206" spans="2:30">
      <c r="C206" s="43" t="s">
        <v>405</v>
      </c>
      <c r="D206" s="44" t="s">
        <v>406</v>
      </c>
      <c r="E206" s="44"/>
      <c r="F206" s="45">
        <v>42900.340486111112</v>
      </c>
      <c r="G206" s="46">
        <v>15</v>
      </c>
      <c r="H206" s="47">
        <v>43396</v>
      </c>
      <c r="I206" s="47">
        <v>43412</v>
      </c>
      <c r="J206" s="46">
        <v>793639</v>
      </c>
      <c r="K206" s="46">
        <v>0</v>
      </c>
      <c r="L206" s="46">
        <v>0</v>
      </c>
      <c r="M206" s="46">
        <f t="shared" si="71"/>
        <v>793639</v>
      </c>
      <c r="N206" s="46">
        <v>793639</v>
      </c>
      <c r="O206" s="48">
        <f t="shared" si="72"/>
        <v>0</v>
      </c>
      <c r="P206" s="46">
        <v>0</v>
      </c>
      <c r="Q206" s="46">
        <v>793639</v>
      </c>
      <c r="R206" s="49">
        <f t="shared" si="73"/>
        <v>1</v>
      </c>
      <c r="S206" s="50">
        <f t="shared" si="74"/>
        <v>0.01</v>
      </c>
      <c r="T206" s="49">
        <f t="shared" si="75"/>
        <v>7936.39</v>
      </c>
      <c r="U206" s="51">
        <f t="shared" si="76"/>
        <v>0</v>
      </c>
      <c r="V206" s="52">
        <f>IF(0&lt;0.8,0,IF(0&lt;1,Sheet3!L196,1))*IF(G206&lt;3,0.12 - O206,0.01) *U206</f>
        <v>0</v>
      </c>
      <c r="W206" s="52">
        <f t="shared" si="77"/>
        <v>0</v>
      </c>
      <c r="X206" s="53">
        <f t="shared" si="78"/>
        <v>0</v>
      </c>
      <c r="Y206" s="53">
        <f t="shared" si="79"/>
        <v>0</v>
      </c>
      <c r="Z206" s="54">
        <f t="shared" si="80"/>
        <v>0</v>
      </c>
      <c r="AA206" s="54">
        <f t="shared" si="81"/>
        <v>0</v>
      </c>
      <c r="AB206" s="55">
        <f t="shared" si="82"/>
        <v>0</v>
      </c>
      <c r="AC206" s="55">
        <f t="shared" si="83"/>
        <v>0</v>
      </c>
      <c r="AD206" s="56">
        <f t="shared" si="84"/>
        <v>7936.39</v>
      </c>
    </row>
    <row r="207" spans="2:30">
      <c r="C207" s="43" t="s">
        <v>407</v>
      </c>
      <c r="D207" s="44" t="s">
        <v>408</v>
      </c>
      <c r="E207" s="44"/>
      <c r="F207" s="45">
        <v>42927.267372685186</v>
      </c>
      <c r="G207" s="46">
        <v>14</v>
      </c>
      <c r="H207" s="47">
        <v>43396</v>
      </c>
      <c r="I207" s="47">
        <v>43412</v>
      </c>
      <c r="J207" s="46">
        <v>639412</v>
      </c>
      <c r="K207" s="46">
        <v>0</v>
      </c>
      <c r="L207" s="46">
        <v>0</v>
      </c>
      <c r="M207" s="46">
        <f t="shared" si="71"/>
        <v>639412</v>
      </c>
      <c r="N207" s="46">
        <v>639412</v>
      </c>
      <c r="O207" s="48">
        <f t="shared" si="72"/>
        <v>0</v>
      </c>
      <c r="P207" s="46">
        <v>0</v>
      </c>
      <c r="Q207" s="46">
        <v>639412</v>
      </c>
      <c r="R207" s="49">
        <f t="shared" si="73"/>
        <v>1</v>
      </c>
      <c r="S207" s="50">
        <f t="shared" si="74"/>
        <v>0.01</v>
      </c>
      <c r="T207" s="49">
        <f t="shared" si="75"/>
        <v>6394.12</v>
      </c>
      <c r="U207" s="51">
        <f t="shared" si="76"/>
        <v>0</v>
      </c>
      <c r="V207" s="52">
        <f>IF(0&lt;0.8,0,IF(0&lt;1,Sheet3!L196,1))*IF(G207&lt;3,0.12 - O207,0.01) *U207</f>
        <v>0</v>
      </c>
      <c r="W207" s="52">
        <f t="shared" si="77"/>
        <v>0</v>
      </c>
      <c r="X207" s="53">
        <f t="shared" si="78"/>
        <v>0</v>
      </c>
      <c r="Y207" s="53">
        <f t="shared" si="79"/>
        <v>0</v>
      </c>
      <c r="Z207" s="54">
        <f t="shared" si="80"/>
        <v>0</v>
      </c>
      <c r="AA207" s="54">
        <f t="shared" si="81"/>
        <v>0</v>
      </c>
      <c r="AB207" s="55">
        <f t="shared" si="82"/>
        <v>0</v>
      </c>
      <c r="AC207" s="55">
        <f t="shared" si="83"/>
        <v>0</v>
      </c>
      <c r="AD207" s="56">
        <f t="shared" si="84"/>
        <v>6394.12</v>
      </c>
    </row>
    <row r="208" spans="2:30">
      <c r="C208" s="43" t="s">
        <v>409</v>
      </c>
      <c r="D208" s="44" t="s">
        <v>410</v>
      </c>
      <c r="E208" s="44"/>
      <c r="F208" s="45">
        <v>43059.260081018518</v>
      </c>
      <c r="G208" s="46">
        <v>10</v>
      </c>
      <c r="H208" s="47">
        <v>43391</v>
      </c>
      <c r="I208" s="47">
        <v>43458</v>
      </c>
      <c r="J208" s="46">
        <v>1997855</v>
      </c>
      <c r="K208" s="46">
        <v>0</v>
      </c>
      <c r="L208" s="46">
        <v>0</v>
      </c>
      <c r="M208" s="46">
        <f t="shared" si="71"/>
        <v>1997855</v>
      </c>
      <c r="N208" s="46">
        <v>1997105</v>
      </c>
      <c r="O208" s="48">
        <f t="shared" si="72"/>
        <v>0</v>
      </c>
      <c r="P208" s="46">
        <v>0</v>
      </c>
      <c r="Q208" s="46">
        <v>1997855</v>
      </c>
      <c r="R208" s="49">
        <f t="shared" si="73"/>
        <v>1</v>
      </c>
      <c r="S208" s="50">
        <f t="shared" si="74"/>
        <v>0.01</v>
      </c>
      <c r="T208" s="49">
        <f t="shared" si="75"/>
        <v>19978.55</v>
      </c>
      <c r="U208" s="51">
        <f t="shared" si="76"/>
        <v>0</v>
      </c>
      <c r="V208" s="52">
        <f>IF(0&lt;0.8,0,IF(0&lt;1,Sheet3!L196,1))*IF(G208&lt;3,0.12 - O208,0.01) *U208</f>
        <v>0</v>
      </c>
      <c r="W208" s="52">
        <f t="shared" si="77"/>
        <v>0</v>
      </c>
      <c r="X208" s="53">
        <f t="shared" si="78"/>
        <v>0</v>
      </c>
      <c r="Y208" s="53">
        <f t="shared" si="79"/>
        <v>0</v>
      </c>
      <c r="Z208" s="54">
        <f t="shared" si="80"/>
        <v>0</v>
      </c>
      <c r="AA208" s="54">
        <f t="shared" si="81"/>
        <v>0</v>
      </c>
      <c r="AB208" s="55">
        <f t="shared" si="82"/>
        <v>0</v>
      </c>
      <c r="AC208" s="55">
        <f t="shared" si="83"/>
        <v>0</v>
      </c>
      <c r="AD208" s="56">
        <f t="shared" si="84"/>
        <v>19978.55</v>
      </c>
    </row>
    <row r="209" spans="3:30">
      <c r="C209" s="43" t="s">
        <v>411</v>
      </c>
      <c r="D209" s="44" t="s">
        <v>412</v>
      </c>
      <c r="E209" s="44"/>
      <c r="F209" s="45">
        <v>43217.194849537038</v>
      </c>
      <c r="G209" s="46">
        <v>5</v>
      </c>
      <c r="H209" s="47">
        <v>43391</v>
      </c>
      <c r="I209" s="47">
        <v>43445</v>
      </c>
      <c r="J209" s="46">
        <v>6153972</v>
      </c>
      <c r="K209" s="46">
        <v>0</v>
      </c>
      <c r="L209" s="46">
        <v>0</v>
      </c>
      <c r="M209" s="46">
        <f t="shared" si="71"/>
        <v>6153972</v>
      </c>
      <c r="N209" s="46">
        <v>6731835</v>
      </c>
      <c r="O209" s="48">
        <f t="shared" si="72"/>
        <v>8.5840339224000584E-2</v>
      </c>
      <c r="P209" s="46">
        <v>0</v>
      </c>
      <c r="Q209" s="46">
        <v>6153972</v>
      </c>
      <c r="R209" s="49">
        <f t="shared" si="73"/>
        <v>1</v>
      </c>
      <c r="S209" s="50">
        <f t="shared" si="74"/>
        <v>0.01</v>
      </c>
      <c r="T209" s="49">
        <f t="shared" si="75"/>
        <v>61539.72</v>
      </c>
      <c r="U209" s="51">
        <f t="shared" si="76"/>
        <v>0</v>
      </c>
      <c r="V209" s="52">
        <f>IF(0&lt;0.8,0,IF(0&lt;1,Sheet3!L196,1))*IF(G209&lt;3,0.12 - O209,0.01) *U209</f>
        <v>0</v>
      </c>
      <c r="W209" s="52">
        <f t="shared" si="77"/>
        <v>0</v>
      </c>
      <c r="X209" s="53">
        <f t="shared" si="78"/>
        <v>0</v>
      </c>
      <c r="Y209" s="53">
        <f t="shared" si="79"/>
        <v>0</v>
      </c>
      <c r="Z209" s="54">
        <f t="shared" si="80"/>
        <v>0</v>
      </c>
      <c r="AA209" s="54">
        <f t="shared" si="81"/>
        <v>0</v>
      </c>
      <c r="AB209" s="55">
        <f t="shared" si="82"/>
        <v>0</v>
      </c>
      <c r="AC209" s="55">
        <f t="shared" si="83"/>
        <v>0</v>
      </c>
      <c r="AD209" s="56">
        <f t="shared" si="84"/>
        <v>61539.72</v>
      </c>
    </row>
    <row r="210" spans="3:30">
      <c r="C210" s="43" t="s">
        <v>413</v>
      </c>
      <c r="D210" s="44" t="s">
        <v>414</v>
      </c>
      <c r="E210" s="44"/>
      <c r="F210" s="45">
        <v>43222.11719907407</v>
      </c>
      <c r="G210" s="46">
        <v>4</v>
      </c>
      <c r="H210" s="47">
        <v>43391</v>
      </c>
      <c r="I210" s="47">
        <v>43444</v>
      </c>
      <c r="J210" s="46">
        <v>6790916</v>
      </c>
      <c r="K210" s="46">
        <v>0</v>
      </c>
      <c r="L210" s="46">
        <v>0</v>
      </c>
      <c r="M210" s="46">
        <f t="shared" si="71"/>
        <v>6790916</v>
      </c>
      <c r="N210" s="46">
        <v>7435670</v>
      </c>
      <c r="O210" s="48">
        <f t="shared" si="72"/>
        <v>8.6710948710741587E-2</v>
      </c>
      <c r="P210" s="46">
        <v>0</v>
      </c>
      <c r="Q210" s="46">
        <v>6790916</v>
      </c>
      <c r="R210" s="49">
        <f t="shared" si="73"/>
        <v>1</v>
      </c>
      <c r="S210" s="50">
        <f t="shared" si="74"/>
        <v>0.01</v>
      </c>
      <c r="T210" s="49">
        <f t="shared" si="75"/>
        <v>67909.16</v>
      </c>
      <c r="U210" s="51">
        <f t="shared" si="76"/>
        <v>0</v>
      </c>
      <c r="V210" s="52">
        <f>IF(0&lt;0.8,0,IF(0&lt;1,Sheet3!L196,1))*IF(G210&lt;3,0.12 - O210,0.01) *U210</f>
        <v>0</v>
      </c>
      <c r="W210" s="52">
        <f t="shared" si="77"/>
        <v>0</v>
      </c>
      <c r="X210" s="53">
        <f t="shared" si="78"/>
        <v>0</v>
      </c>
      <c r="Y210" s="53">
        <f t="shared" si="79"/>
        <v>0</v>
      </c>
      <c r="Z210" s="54">
        <f t="shared" si="80"/>
        <v>0</v>
      </c>
      <c r="AA210" s="54">
        <f t="shared" si="81"/>
        <v>0</v>
      </c>
      <c r="AB210" s="55">
        <f t="shared" si="82"/>
        <v>0</v>
      </c>
      <c r="AC210" s="55">
        <f t="shared" si="83"/>
        <v>0</v>
      </c>
      <c r="AD210" s="56">
        <f t="shared" si="84"/>
        <v>67909.16</v>
      </c>
    </row>
    <row r="211" spans="3:30">
      <c r="C211" s="43" t="s">
        <v>415</v>
      </c>
      <c r="D211" s="44" t="s">
        <v>416</v>
      </c>
      <c r="E211" s="44"/>
      <c r="F211" s="45">
        <v>43222.120266203703</v>
      </c>
      <c r="G211" s="46">
        <v>4</v>
      </c>
      <c r="H211" s="47">
        <v>43391</v>
      </c>
      <c r="I211" s="47">
        <v>43441</v>
      </c>
      <c r="J211" s="46">
        <v>9628784</v>
      </c>
      <c r="K211" s="46">
        <v>0</v>
      </c>
      <c r="L211" s="46">
        <v>0</v>
      </c>
      <c r="M211" s="46">
        <f t="shared" si="71"/>
        <v>9628784</v>
      </c>
      <c r="N211" s="46">
        <v>10532797</v>
      </c>
      <c r="O211" s="48">
        <f t="shared" si="72"/>
        <v>8.5828389173360109E-2</v>
      </c>
      <c r="P211" s="46">
        <v>0</v>
      </c>
      <c r="Q211" s="46">
        <v>9628784</v>
      </c>
      <c r="R211" s="49">
        <f t="shared" si="73"/>
        <v>1</v>
      </c>
      <c r="S211" s="50">
        <f t="shared" si="74"/>
        <v>0.01</v>
      </c>
      <c r="T211" s="49">
        <f t="shared" si="75"/>
        <v>96287.84</v>
      </c>
      <c r="U211" s="51">
        <f t="shared" si="76"/>
        <v>0</v>
      </c>
      <c r="V211" s="52">
        <f>IF(0&lt;0.8,0,IF(0&lt;1,Sheet3!L196,1))*IF(G211&lt;3,0.12 - O211,0.01) *U211</f>
        <v>0</v>
      </c>
      <c r="W211" s="52">
        <f t="shared" si="77"/>
        <v>0</v>
      </c>
      <c r="X211" s="53">
        <f t="shared" si="78"/>
        <v>0</v>
      </c>
      <c r="Y211" s="53">
        <f t="shared" si="79"/>
        <v>0</v>
      </c>
      <c r="Z211" s="54">
        <f t="shared" si="80"/>
        <v>0</v>
      </c>
      <c r="AA211" s="54">
        <f t="shared" si="81"/>
        <v>0</v>
      </c>
      <c r="AB211" s="55">
        <f t="shared" si="82"/>
        <v>0</v>
      </c>
      <c r="AC211" s="55">
        <f t="shared" si="83"/>
        <v>0</v>
      </c>
      <c r="AD211" s="56">
        <f t="shared" si="84"/>
        <v>96287.84</v>
      </c>
    </row>
    <row r="212" spans="3:30">
      <c r="C212" s="43" t="s">
        <v>417</v>
      </c>
      <c r="D212" s="44" t="s">
        <v>418</v>
      </c>
      <c r="E212" s="44"/>
      <c r="F212" s="45">
        <v>43252.348124999997</v>
      </c>
      <c r="G212" s="46">
        <v>3</v>
      </c>
      <c r="H212" s="47">
        <v>43391</v>
      </c>
      <c r="I212" s="47">
        <v>43410</v>
      </c>
      <c r="J212" s="46">
        <v>8251780</v>
      </c>
      <c r="K212" s="46">
        <v>0</v>
      </c>
      <c r="L212" s="46">
        <v>0</v>
      </c>
      <c r="M212" s="46">
        <f t="shared" si="71"/>
        <v>8251780</v>
      </c>
      <c r="N212" s="46">
        <v>8985161</v>
      </c>
      <c r="O212" s="48">
        <f t="shared" si="72"/>
        <v>8.162135325121056E-2</v>
      </c>
      <c r="P212" s="46">
        <v>0</v>
      </c>
      <c r="Q212" s="46">
        <v>0</v>
      </c>
      <c r="R212" s="49">
        <f t="shared" si="73"/>
        <v>1</v>
      </c>
      <c r="S212" s="50">
        <f t="shared" si="74"/>
        <v>0.01</v>
      </c>
      <c r="T212" s="49">
        <f t="shared" si="75"/>
        <v>82517.8</v>
      </c>
      <c r="U212" s="51">
        <f t="shared" si="76"/>
        <v>0</v>
      </c>
      <c r="V212" s="52">
        <f>IF(0&lt;0.8,0,IF(0&lt;1,Sheet3!L196,1))*IF(G212&lt;3,0.12 - O212,0.01) *U212</f>
        <v>0</v>
      </c>
      <c r="W212" s="52">
        <f t="shared" si="77"/>
        <v>0</v>
      </c>
      <c r="X212" s="53">
        <f t="shared" si="78"/>
        <v>0</v>
      </c>
      <c r="Y212" s="53">
        <f t="shared" si="79"/>
        <v>0</v>
      </c>
      <c r="Z212" s="54">
        <f t="shared" si="80"/>
        <v>0</v>
      </c>
      <c r="AA212" s="54">
        <f t="shared" si="81"/>
        <v>0</v>
      </c>
      <c r="AB212" s="55">
        <f t="shared" si="82"/>
        <v>0</v>
      </c>
      <c r="AC212" s="55">
        <f t="shared" si="83"/>
        <v>0</v>
      </c>
      <c r="AD212" s="56">
        <f t="shared" si="84"/>
        <v>82517.8</v>
      </c>
    </row>
    <row r="213" spans="3:30">
      <c r="C213" s="43" t="s">
        <v>419</v>
      </c>
      <c r="D213" s="44" t="s">
        <v>420</v>
      </c>
      <c r="E213" s="44"/>
      <c r="F213" s="45">
        <v>43285.189780092594</v>
      </c>
      <c r="G213" s="46">
        <v>2</v>
      </c>
      <c r="H213" s="47">
        <v>43376</v>
      </c>
      <c r="I213" s="47">
        <v>43398</v>
      </c>
      <c r="J213" s="46">
        <v>8758465</v>
      </c>
      <c r="K213" s="46">
        <v>0</v>
      </c>
      <c r="L213" s="46">
        <v>0</v>
      </c>
      <c r="M213" s="46">
        <f t="shared" si="71"/>
        <v>8758465</v>
      </c>
      <c r="N213" s="46">
        <v>8758465</v>
      </c>
      <c r="O213" s="48">
        <f t="shared" si="72"/>
        <v>0</v>
      </c>
      <c r="P213" s="46">
        <v>8758465</v>
      </c>
      <c r="Q213" s="46">
        <v>0</v>
      </c>
      <c r="R213" s="49">
        <f t="shared" si="73"/>
        <v>0</v>
      </c>
      <c r="S213" s="50">
        <f t="shared" si="74"/>
        <v>0</v>
      </c>
      <c r="T213" s="49">
        <f t="shared" si="75"/>
        <v>0</v>
      </c>
      <c r="U213" s="51">
        <f t="shared" si="76"/>
        <v>8758465</v>
      </c>
      <c r="V213" s="52">
        <f>IF(0&lt;0.8,0,IF(0&lt;1,Sheet3!L196,1))*IF(G213&lt;3,0.12 - O213,0.01) *U213</f>
        <v>0</v>
      </c>
      <c r="W213" s="52">
        <f t="shared" si="77"/>
        <v>0</v>
      </c>
      <c r="X213" s="53">
        <f t="shared" si="78"/>
        <v>0</v>
      </c>
      <c r="Y213" s="53">
        <f t="shared" si="79"/>
        <v>0</v>
      </c>
      <c r="Z213" s="54">
        <f t="shared" si="80"/>
        <v>0</v>
      </c>
      <c r="AA213" s="54">
        <f t="shared" si="81"/>
        <v>0</v>
      </c>
      <c r="AB213" s="55">
        <f t="shared" si="82"/>
        <v>0</v>
      </c>
      <c r="AC213" s="55">
        <f t="shared" si="83"/>
        <v>0</v>
      </c>
      <c r="AD213" s="56">
        <f t="shared" si="84"/>
        <v>0</v>
      </c>
    </row>
    <row r="214" spans="3:30">
      <c r="C214" s="43" t="s">
        <v>421</v>
      </c>
      <c r="D214" s="44" t="s">
        <v>422</v>
      </c>
      <c r="E214" s="44"/>
      <c r="F214" s="45">
        <v>42970.14130787037</v>
      </c>
      <c r="G214" s="46">
        <v>13</v>
      </c>
      <c r="H214" s="47">
        <v>43390</v>
      </c>
      <c r="I214" s="47">
        <v>43425</v>
      </c>
      <c r="J214" s="46">
        <v>509410</v>
      </c>
      <c r="K214" s="46">
        <v>0</v>
      </c>
      <c r="L214" s="46">
        <v>0</v>
      </c>
      <c r="M214" s="46">
        <f t="shared" si="71"/>
        <v>509410</v>
      </c>
      <c r="N214" s="46">
        <v>509410</v>
      </c>
      <c r="O214" s="48">
        <f t="shared" si="72"/>
        <v>0</v>
      </c>
      <c r="P214" s="46">
        <v>0</v>
      </c>
      <c r="Q214" s="46">
        <v>509410</v>
      </c>
      <c r="R214" s="49">
        <f t="shared" si="73"/>
        <v>1</v>
      </c>
      <c r="S214" s="50">
        <f t="shared" si="74"/>
        <v>0.01</v>
      </c>
      <c r="T214" s="49">
        <f t="shared" si="75"/>
        <v>5094.1000000000004</v>
      </c>
      <c r="U214" s="51">
        <f t="shared" si="76"/>
        <v>0</v>
      </c>
      <c r="V214" s="52">
        <f>IF(0&lt;0.8,0,IF(0&lt;1,Sheet3!L196,1))*IF(G214&lt;3,0.12 - O214,0.01) *U214</f>
        <v>0</v>
      </c>
      <c r="W214" s="52">
        <f t="shared" si="77"/>
        <v>0</v>
      </c>
      <c r="X214" s="53">
        <f t="shared" si="78"/>
        <v>0</v>
      </c>
      <c r="Y214" s="53">
        <f t="shared" si="79"/>
        <v>0</v>
      </c>
      <c r="Z214" s="54">
        <f t="shared" si="80"/>
        <v>0</v>
      </c>
      <c r="AA214" s="54">
        <f t="shared" si="81"/>
        <v>0</v>
      </c>
      <c r="AB214" s="55">
        <f t="shared" si="82"/>
        <v>0</v>
      </c>
      <c r="AC214" s="55">
        <f t="shared" si="83"/>
        <v>0</v>
      </c>
      <c r="AD214" s="56">
        <f t="shared" si="84"/>
        <v>5094.1000000000004</v>
      </c>
    </row>
    <row r="215" spans="3:30">
      <c r="C215" s="43" t="s">
        <v>423</v>
      </c>
      <c r="D215" s="44" t="s">
        <v>424</v>
      </c>
      <c r="E215" s="44"/>
      <c r="F215" s="45">
        <v>40260.48332175926</v>
      </c>
      <c r="G215" s="46">
        <v>102</v>
      </c>
      <c r="H215" s="47">
        <v>43388</v>
      </c>
      <c r="I215" s="47">
        <v>43405</v>
      </c>
      <c r="J215" s="46">
        <v>41773768</v>
      </c>
      <c r="K215" s="46">
        <v>0</v>
      </c>
      <c r="L215" s="46">
        <v>0</v>
      </c>
      <c r="M215" s="46">
        <f t="shared" si="71"/>
        <v>41773768</v>
      </c>
      <c r="N215" s="46">
        <v>37653341</v>
      </c>
      <c r="O215" s="48">
        <f t="shared" si="72"/>
        <v>0</v>
      </c>
      <c r="P215" s="46">
        <v>0</v>
      </c>
      <c r="Q215" s="46">
        <v>41773768</v>
      </c>
      <c r="R215" s="49">
        <f t="shared" si="73"/>
        <v>1</v>
      </c>
      <c r="S215" s="50">
        <f t="shared" si="74"/>
        <v>0.01</v>
      </c>
      <c r="T215" s="49">
        <f t="shared" si="75"/>
        <v>417737.68</v>
      </c>
      <c r="U215" s="51">
        <f t="shared" si="76"/>
        <v>0</v>
      </c>
      <c r="V215" s="52">
        <f>IF(0&lt;0.8,0,IF(0&lt;1,Sheet3!L196,1))*IF(G215&lt;3,0.12 - O215,0.01) *U215</f>
        <v>0</v>
      </c>
      <c r="W215" s="52">
        <f t="shared" si="77"/>
        <v>0</v>
      </c>
      <c r="X215" s="53">
        <f t="shared" si="78"/>
        <v>0</v>
      </c>
      <c r="Y215" s="53">
        <f t="shared" si="79"/>
        <v>0</v>
      </c>
      <c r="Z215" s="54">
        <f t="shared" si="80"/>
        <v>0</v>
      </c>
      <c r="AA215" s="54">
        <f t="shared" si="81"/>
        <v>0</v>
      </c>
      <c r="AB215" s="55">
        <f t="shared" si="82"/>
        <v>0</v>
      </c>
      <c r="AC215" s="55">
        <f t="shared" si="83"/>
        <v>0</v>
      </c>
      <c r="AD215" s="56">
        <f t="shared" si="84"/>
        <v>417737.68</v>
      </c>
    </row>
    <row r="216" spans="3:30">
      <c r="C216" s="43" t="s">
        <v>425</v>
      </c>
      <c r="D216" s="44" t="s">
        <v>426</v>
      </c>
      <c r="E216" s="44"/>
      <c r="F216" s="45">
        <v>43087.263761574075</v>
      </c>
      <c r="G216" s="46">
        <v>9</v>
      </c>
      <c r="H216" s="47">
        <v>43383</v>
      </c>
      <c r="I216" s="47">
        <v>43390</v>
      </c>
      <c r="J216" s="46">
        <v>190950</v>
      </c>
      <c r="K216" s="46">
        <v>0</v>
      </c>
      <c r="L216" s="46">
        <v>0</v>
      </c>
      <c r="M216" s="46">
        <f t="shared" si="71"/>
        <v>190950</v>
      </c>
      <c r="N216" s="46">
        <v>190260</v>
      </c>
      <c r="O216" s="48">
        <f t="shared" si="72"/>
        <v>0</v>
      </c>
      <c r="P216" s="46">
        <v>0</v>
      </c>
      <c r="Q216" s="46">
        <v>190950</v>
      </c>
      <c r="R216" s="49">
        <f t="shared" si="73"/>
        <v>1</v>
      </c>
      <c r="S216" s="50">
        <f t="shared" si="74"/>
        <v>0.01</v>
      </c>
      <c r="T216" s="49">
        <f t="shared" si="75"/>
        <v>1909.5</v>
      </c>
      <c r="U216" s="51">
        <f t="shared" si="76"/>
        <v>0</v>
      </c>
      <c r="V216" s="52">
        <f>IF(0&lt;0.8,0,IF(0&lt;1,Sheet3!L196,1))*IF(G216&lt;3,0.12 - O216,0.01) *U216</f>
        <v>0</v>
      </c>
      <c r="W216" s="52">
        <f t="shared" si="77"/>
        <v>0</v>
      </c>
      <c r="X216" s="53">
        <f t="shared" si="78"/>
        <v>0</v>
      </c>
      <c r="Y216" s="53">
        <f t="shared" si="79"/>
        <v>0</v>
      </c>
      <c r="Z216" s="54">
        <f t="shared" si="80"/>
        <v>0</v>
      </c>
      <c r="AA216" s="54">
        <f t="shared" si="81"/>
        <v>0</v>
      </c>
      <c r="AB216" s="55">
        <f t="shared" si="82"/>
        <v>0</v>
      </c>
      <c r="AC216" s="55">
        <f t="shared" si="83"/>
        <v>0</v>
      </c>
      <c r="AD216" s="56">
        <f t="shared" si="84"/>
        <v>1909.5</v>
      </c>
    </row>
    <row r="217" spans="3:30">
      <c r="C217" s="43" t="s">
        <v>427</v>
      </c>
      <c r="D217" s="44" t="s">
        <v>428</v>
      </c>
      <c r="E217" s="44"/>
      <c r="F217" s="45">
        <v>43122.236620370371</v>
      </c>
      <c r="G217" s="46">
        <v>8</v>
      </c>
      <c r="H217" s="47">
        <v>43396</v>
      </c>
      <c r="I217" s="47">
        <v>43419</v>
      </c>
      <c r="J217" s="46">
        <v>1688163</v>
      </c>
      <c r="K217" s="46">
        <v>0</v>
      </c>
      <c r="L217" s="46">
        <v>0</v>
      </c>
      <c r="M217" s="46">
        <f t="shared" si="71"/>
        <v>1688163</v>
      </c>
      <c r="N217" s="46">
        <v>1686594</v>
      </c>
      <c r="O217" s="48">
        <f t="shared" si="72"/>
        <v>0</v>
      </c>
      <c r="P217" s="46">
        <v>0</v>
      </c>
      <c r="Q217" s="46">
        <v>1688163</v>
      </c>
      <c r="R217" s="49">
        <f t="shared" si="73"/>
        <v>1</v>
      </c>
      <c r="S217" s="50">
        <f t="shared" si="74"/>
        <v>0.01</v>
      </c>
      <c r="T217" s="49">
        <f t="shared" si="75"/>
        <v>16881.63</v>
      </c>
      <c r="U217" s="51">
        <f t="shared" si="76"/>
        <v>0</v>
      </c>
      <c r="V217" s="52">
        <f>IF(0&lt;0.8,0,IF(0&lt;1,Sheet3!L196,1))*IF(G217&lt;3,0.12 - O217,0.01) *U217</f>
        <v>0</v>
      </c>
      <c r="W217" s="52">
        <f t="shared" si="77"/>
        <v>0</v>
      </c>
      <c r="X217" s="53">
        <f t="shared" si="78"/>
        <v>0</v>
      </c>
      <c r="Y217" s="53">
        <f t="shared" si="79"/>
        <v>0</v>
      </c>
      <c r="Z217" s="54">
        <f t="shared" si="80"/>
        <v>0</v>
      </c>
      <c r="AA217" s="54">
        <f t="shared" si="81"/>
        <v>0</v>
      </c>
      <c r="AB217" s="55">
        <f t="shared" si="82"/>
        <v>0</v>
      </c>
      <c r="AC217" s="55">
        <f t="shared" si="83"/>
        <v>0</v>
      </c>
      <c r="AD217" s="56">
        <f t="shared" si="84"/>
        <v>16881.63</v>
      </c>
    </row>
    <row r="218" spans="3:30">
      <c r="C218" s="43" t="s">
        <v>429</v>
      </c>
      <c r="D218" s="44" t="s">
        <v>430</v>
      </c>
      <c r="E218" s="44"/>
      <c r="F218" s="45">
        <v>43167.359606481477</v>
      </c>
      <c r="G218" s="46">
        <v>6</v>
      </c>
      <c r="H218" s="47">
        <v>43395</v>
      </c>
      <c r="I218" s="47">
        <v>43433</v>
      </c>
      <c r="J218" s="46">
        <v>17193801</v>
      </c>
      <c r="K218" s="46">
        <v>0</v>
      </c>
      <c r="L218" s="46">
        <v>0</v>
      </c>
      <c r="M218" s="46">
        <f t="shared" si="71"/>
        <v>17193801</v>
      </c>
      <c r="N218" s="46">
        <v>15486671</v>
      </c>
      <c r="O218" s="48">
        <f t="shared" si="72"/>
        <v>0</v>
      </c>
      <c r="P218" s="46">
        <v>0</v>
      </c>
      <c r="Q218" s="46">
        <v>17193801</v>
      </c>
      <c r="R218" s="49">
        <f t="shared" si="73"/>
        <v>1</v>
      </c>
      <c r="S218" s="50">
        <f t="shared" si="74"/>
        <v>0.01</v>
      </c>
      <c r="T218" s="49">
        <f t="shared" si="75"/>
        <v>171938.01</v>
      </c>
      <c r="U218" s="51">
        <f t="shared" si="76"/>
        <v>0</v>
      </c>
      <c r="V218" s="52">
        <f>IF(0&lt;0.8,0,IF(0&lt;1,Sheet3!L196,1))*IF(G218&lt;3,0.12 - O218,0.01) *U218</f>
        <v>0</v>
      </c>
      <c r="W218" s="52">
        <f t="shared" si="77"/>
        <v>0</v>
      </c>
      <c r="X218" s="53">
        <f t="shared" si="78"/>
        <v>0</v>
      </c>
      <c r="Y218" s="53">
        <f t="shared" si="79"/>
        <v>0</v>
      </c>
      <c r="Z218" s="54">
        <f t="shared" si="80"/>
        <v>0</v>
      </c>
      <c r="AA218" s="54">
        <f t="shared" si="81"/>
        <v>0</v>
      </c>
      <c r="AB218" s="55">
        <f t="shared" si="82"/>
        <v>0</v>
      </c>
      <c r="AC218" s="55">
        <f t="shared" si="83"/>
        <v>0</v>
      </c>
      <c r="AD218" s="56">
        <f t="shared" si="84"/>
        <v>171938.01</v>
      </c>
    </row>
    <row r="219" spans="3:30">
      <c r="C219" s="43" t="s">
        <v>431</v>
      </c>
      <c r="D219" s="44" t="s">
        <v>432</v>
      </c>
      <c r="E219" s="44"/>
      <c r="F219" s="45">
        <v>43292.37841435185</v>
      </c>
      <c r="G219" s="46">
        <v>2</v>
      </c>
      <c r="H219" s="47">
        <v>43376</v>
      </c>
      <c r="I219" s="47">
        <v>43453</v>
      </c>
      <c r="J219" s="46">
        <v>2612269</v>
      </c>
      <c r="K219" s="46">
        <v>0</v>
      </c>
      <c r="L219" s="46">
        <v>0</v>
      </c>
      <c r="M219" s="46">
        <f t="shared" si="71"/>
        <v>2612269</v>
      </c>
      <c r="N219" s="46">
        <v>2612269</v>
      </c>
      <c r="O219" s="48">
        <f t="shared" si="72"/>
        <v>0</v>
      </c>
      <c r="P219" s="46">
        <v>2612269</v>
      </c>
      <c r="Q219" s="46">
        <v>0</v>
      </c>
      <c r="R219" s="49">
        <f t="shared" si="73"/>
        <v>0</v>
      </c>
      <c r="S219" s="50">
        <f t="shared" si="74"/>
        <v>0</v>
      </c>
      <c r="T219" s="49">
        <f t="shared" si="75"/>
        <v>0</v>
      </c>
      <c r="U219" s="51">
        <f t="shared" si="76"/>
        <v>2612269</v>
      </c>
      <c r="V219" s="52">
        <f>IF(0&lt;0.8,0,IF(0&lt;1,Sheet3!L196,1))*IF(G219&lt;3,0.12 - O219,0.01) *U219</f>
        <v>0</v>
      </c>
      <c r="W219" s="52">
        <f t="shared" si="77"/>
        <v>0</v>
      </c>
      <c r="X219" s="53">
        <f t="shared" si="78"/>
        <v>0</v>
      </c>
      <c r="Y219" s="53">
        <f t="shared" si="79"/>
        <v>0</v>
      </c>
      <c r="Z219" s="54">
        <f t="shared" si="80"/>
        <v>0</v>
      </c>
      <c r="AA219" s="54">
        <f t="shared" si="81"/>
        <v>0</v>
      </c>
      <c r="AB219" s="55">
        <f t="shared" si="82"/>
        <v>0</v>
      </c>
      <c r="AC219" s="55">
        <f t="shared" si="83"/>
        <v>0</v>
      </c>
      <c r="AD219" s="56">
        <f t="shared" si="84"/>
        <v>0</v>
      </c>
    </row>
    <row r="220" spans="3:30">
      <c r="C220" s="43" t="s">
        <v>433</v>
      </c>
      <c r="D220" s="44" t="s">
        <v>434</v>
      </c>
      <c r="E220" s="44"/>
      <c r="F220" s="45">
        <v>43123.155648148146</v>
      </c>
      <c r="G220" s="46">
        <v>8</v>
      </c>
      <c r="H220" s="47">
        <v>43386</v>
      </c>
      <c r="I220" s="47">
        <v>43395</v>
      </c>
      <c r="J220" s="46">
        <v>6954400</v>
      </c>
      <c r="K220" s="46">
        <v>0</v>
      </c>
      <c r="L220" s="46">
        <v>0</v>
      </c>
      <c r="M220" s="46">
        <f t="shared" si="71"/>
        <v>6954400</v>
      </c>
      <c r="N220" s="46">
        <v>10246280</v>
      </c>
      <c r="O220" s="48">
        <f t="shared" si="72"/>
        <v>0.32127562393375941</v>
      </c>
      <c r="P220" s="46">
        <v>0</v>
      </c>
      <c r="Q220" s="46">
        <v>6954400</v>
      </c>
      <c r="R220" s="49">
        <f t="shared" si="73"/>
        <v>1</v>
      </c>
      <c r="S220" s="50">
        <f t="shared" si="74"/>
        <v>0.01</v>
      </c>
      <c r="T220" s="49">
        <f t="shared" si="75"/>
        <v>69544</v>
      </c>
      <c r="U220" s="51">
        <f t="shared" si="76"/>
        <v>0</v>
      </c>
      <c r="V220" s="52">
        <f>IF(0&lt;0.8,0,IF(0&lt;1,Sheet3!L196,1))*IF(G220&lt;3,0.12 - O220,0.01) *U220</f>
        <v>0</v>
      </c>
      <c r="W220" s="52">
        <f t="shared" si="77"/>
        <v>0</v>
      </c>
      <c r="X220" s="53">
        <f t="shared" si="78"/>
        <v>0</v>
      </c>
      <c r="Y220" s="53">
        <f t="shared" si="79"/>
        <v>0</v>
      </c>
      <c r="Z220" s="54">
        <f t="shared" si="80"/>
        <v>0</v>
      </c>
      <c r="AA220" s="54">
        <f t="shared" si="81"/>
        <v>0</v>
      </c>
      <c r="AB220" s="55">
        <f t="shared" si="82"/>
        <v>0</v>
      </c>
      <c r="AC220" s="55">
        <f t="shared" si="83"/>
        <v>0</v>
      </c>
      <c r="AD220" s="56">
        <f t="shared" si="84"/>
        <v>69544</v>
      </c>
    </row>
    <row r="221" spans="3:30">
      <c r="C221" s="43" t="s">
        <v>435</v>
      </c>
      <c r="D221" s="44" t="s">
        <v>436</v>
      </c>
      <c r="E221" s="44"/>
      <c r="F221" s="45">
        <v>40557.554247685184</v>
      </c>
      <c r="G221" s="46">
        <v>92</v>
      </c>
      <c r="H221" s="47">
        <v>43381</v>
      </c>
      <c r="I221" s="47">
        <v>43396</v>
      </c>
      <c r="J221" s="46">
        <v>9557680</v>
      </c>
      <c r="K221" s="46">
        <v>0</v>
      </c>
      <c r="L221" s="46">
        <v>0</v>
      </c>
      <c r="M221" s="46">
        <f t="shared" si="71"/>
        <v>9557680</v>
      </c>
      <c r="N221" s="46">
        <v>10513448</v>
      </c>
      <c r="O221" s="48">
        <f t="shared" si="72"/>
        <v>9.0909090909090939E-2</v>
      </c>
      <c r="P221" s="46">
        <v>0</v>
      </c>
      <c r="Q221" s="46">
        <v>9557680</v>
      </c>
      <c r="R221" s="49">
        <f t="shared" si="73"/>
        <v>1</v>
      </c>
      <c r="S221" s="50">
        <f t="shared" si="74"/>
        <v>0.01</v>
      </c>
      <c r="T221" s="49">
        <f t="shared" si="75"/>
        <v>95576.8</v>
      </c>
      <c r="U221" s="51">
        <f t="shared" si="76"/>
        <v>0</v>
      </c>
      <c r="V221" s="52">
        <f>IF(0&lt;0.8,0,IF(0&lt;1,Sheet3!L196,1))*IF(G221&lt;3,0.12 - O221,0.01) *U221</f>
        <v>0</v>
      </c>
      <c r="W221" s="52">
        <f t="shared" si="77"/>
        <v>0</v>
      </c>
      <c r="X221" s="53">
        <f t="shared" si="78"/>
        <v>0</v>
      </c>
      <c r="Y221" s="53">
        <f t="shared" si="79"/>
        <v>0</v>
      </c>
      <c r="Z221" s="54">
        <f t="shared" si="80"/>
        <v>0</v>
      </c>
      <c r="AA221" s="54">
        <f t="shared" si="81"/>
        <v>0</v>
      </c>
      <c r="AB221" s="55">
        <f t="shared" si="82"/>
        <v>0</v>
      </c>
      <c r="AC221" s="55">
        <f t="shared" si="83"/>
        <v>0</v>
      </c>
      <c r="AD221" s="56">
        <f t="shared" si="84"/>
        <v>95576.8</v>
      </c>
    </row>
    <row r="222" spans="3:30">
      <c r="C222" s="43" t="s">
        <v>437</v>
      </c>
      <c r="D222" s="44" t="s">
        <v>438</v>
      </c>
      <c r="E222" s="44"/>
      <c r="F222" s="45">
        <v>42571.337222222217</v>
      </c>
      <c r="G222" s="46">
        <v>26</v>
      </c>
      <c r="H222" s="47">
        <v>43396</v>
      </c>
      <c r="I222" s="47">
        <v>43403</v>
      </c>
      <c r="J222" s="46">
        <v>480733</v>
      </c>
      <c r="K222" s="46">
        <v>0</v>
      </c>
      <c r="L222" s="46">
        <v>0</v>
      </c>
      <c r="M222" s="46">
        <f t="shared" si="71"/>
        <v>480733</v>
      </c>
      <c r="N222" s="46">
        <v>480733</v>
      </c>
      <c r="O222" s="48">
        <f t="shared" si="72"/>
        <v>0</v>
      </c>
      <c r="P222" s="46">
        <v>0</v>
      </c>
      <c r="Q222" s="46">
        <v>480733</v>
      </c>
      <c r="R222" s="49">
        <f t="shared" si="73"/>
        <v>1</v>
      </c>
      <c r="S222" s="50">
        <f t="shared" si="74"/>
        <v>0.01</v>
      </c>
      <c r="T222" s="49">
        <f t="shared" si="75"/>
        <v>4807.33</v>
      </c>
      <c r="U222" s="51">
        <f t="shared" si="76"/>
        <v>0</v>
      </c>
      <c r="V222" s="52">
        <f>IF(0&lt;0.8,0,IF(0&lt;1,Sheet3!L196,1))*IF(G222&lt;3,0.12 - O222,0.01) *U222</f>
        <v>0</v>
      </c>
      <c r="W222" s="52">
        <f t="shared" si="77"/>
        <v>0</v>
      </c>
      <c r="X222" s="53">
        <f t="shared" si="78"/>
        <v>0</v>
      </c>
      <c r="Y222" s="53">
        <f t="shared" si="79"/>
        <v>0</v>
      </c>
      <c r="Z222" s="54">
        <f t="shared" si="80"/>
        <v>0</v>
      </c>
      <c r="AA222" s="54">
        <f t="shared" si="81"/>
        <v>0</v>
      </c>
      <c r="AB222" s="55">
        <f t="shared" si="82"/>
        <v>0</v>
      </c>
      <c r="AC222" s="55">
        <f t="shared" si="83"/>
        <v>0</v>
      </c>
      <c r="AD222" s="56">
        <f t="shared" si="84"/>
        <v>4807.33</v>
      </c>
    </row>
    <row r="223" spans="3:30">
      <c r="C223" s="43" t="s">
        <v>439</v>
      </c>
      <c r="D223" s="44" t="s">
        <v>440</v>
      </c>
      <c r="E223" s="44"/>
      <c r="F223" s="45">
        <v>42739.065578703703</v>
      </c>
      <c r="G223" s="46">
        <v>20</v>
      </c>
      <c r="H223" s="47">
        <v>43376</v>
      </c>
      <c r="I223" s="47">
        <v>43419</v>
      </c>
      <c r="J223" s="46">
        <v>385880</v>
      </c>
      <c r="K223" s="46">
        <v>0</v>
      </c>
      <c r="L223" s="46">
        <v>0</v>
      </c>
      <c r="M223" s="46">
        <f t="shared" si="71"/>
        <v>385880</v>
      </c>
      <c r="N223" s="46">
        <v>432652</v>
      </c>
      <c r="O223" s="48">
        <f t="shared" si="72"/>
        <v>0.10810535950371203</v>
      </c>
      <c r="P223" s="46">
        <v>0</v>
      </c>
      <c r="Q223" s="46">
        <v>385880</v>
      </c>
      <c r="R223" s="49">
        <f t="shared" si="73"/>
        <v>1</v>
      </c>
      <c r="S223" s="50">
        <f t="shared" si="74"/>
        <v>0.01</v>
      </c>
      <c r="T223" s="49">
        <f t="shared" si="75"/>
        <v>3858.8</v>
      </c>
      <c r="U223" s="51">
        <f t="shared" si="76"/>
        <v>0</v>
      </c>
      <c r="V223" s="52">
        <f>IF(0&lt;0.8,0,IF(0&lt;1,Sheet3!L196,1))*IF(G223&lt;3,0.12 - O223,0.01) *U223</f>
        <v>0</v>
      </c>
      <c r="W223" s="52">
        <f t="shared" si="77"/>
        <v>0</v>
      </c>
      <c r="X223" s="53">
        <f t="shared" si="78"/>
        <v>0</v>
      </c>
      <c r="Y223" s="53">
        <f t="shared" si="79"/>
        <v>0</v>
      </c>
      <c r="Z223" s="54">
        <f t="shared" si="80"/>
        <v>0</v>
      </c>
      <c r="AA223" s="54">
        <f t="shared" si="81"/>
        <v>0</v>
      </c>
      <c r="AB223" s="55">
        <f t="shared" si="82"/>
        <v>0</v>
      </c>
      <c r="AC223" s="55">
        <f t="shared" si="83"/>
        <v>0</v>
      </c>
      <c r="AD223" s="56">
        <f t="shared" si="84"/>
        <v>3858.8</v>
      </c>
    </row>
    <row r="224" spans="3:30">
      <c r="C224" s="43" t="s">
        <v>441</v>
      </c>
      <c r="D224" s="44" t="s">
        <v>442</v>
      </c>
      <c r="E224" s="44"/>
      <c r="F224" s="45">
        <v>43062.129074074073</v>
      </c>
      <c r="G224" s="46">
        <v>10</v>
      </c>
      <c r="H224" s="47">
        <v>43391</v>
      </c>
      <c r="I224" s="47">
        <v>43403</v>
      </c>
      <c r="J224" s="46">
        <v>954554</v>
      </c>
      <c r="K224" s="46">
        <v>0</v>
      </c>
      <c r="L224" s="46">
        <v>0</v>
      </c>
      <c r="M224" s="46">
        <f t="shared" si="71"/>
        <v>954554</v>
      </c>
      <c r="N224" s="46">
        <v>954136</v>
      </c>
      <c r="O224" s="48">
        <f t="shared" si="72"/>
        <v>0</v>
      </c>
      <c r="P224" s="46">
        <v>0</v>
      </c>
      <c r="Q224" s="46">
        <v>827163</v>
      </c>
      <c r="R224" s="49">
        <f t="shared" si="73"/>
        <v>1</v>
      </c>
      <c r="S224" s="50">
        <f t="shared" si="74"/>
        <v>0.01</v>
      </c>
      <c r="T224" s="49">
        <f t="shared" si="75"/>
        <v>9545.5400000000009</v>
      </c>
      <c r="U224" s="51">
        <f t="shared" si="76"/>
        <v>0</v>
      </c>
      <c r="V224" s="52">
        <f>IF(0&lt;0.8,0,IF(0&lt;1,Sheet3!L196,1))*IF(G224&lt;3,0.12 - O224,0.01) *U224</f>
        <v>0</v>
      </c>
      <c r="W224" s="52">
        <f t="shared" si="77"/>
        <v>0</v>
      </c>
      <c r="X224" s="53">
        <f t="shared" si="78"/>
        <v>0</v>
      </c>
      <c r="Y224" s="53">
        <f t="shared" si="79"/>
        <v>0</v>
      </c>
      <c r="Z224" s="54">
        <f t="shared" si="80"/>
        <v>0</v>
      </c>
      <c r="AA224" s="54">
        <f t="shared" si="81"/>
        <v>0</v>
      </c>
      <c r="AB224" s="55">
        <f t="shared" si="82"/>
        <v>0</v>
      </c>
      <c r="AC224" s="55">
        <f t="shared" si="83"/>
        <v>0</v>
      </c>
      <c r="AD224" s="56">
        <f t="shared" si="84"/>
        <v>9545.5400000000009</v>
      </c>
    </row>
    <row r="225" spans="2:30">
      <c r="C225" s="43" t="s">
        <v>443</v>
      </c>
      <c r="D225" s="44" t="s">
        <v>444</v>
      </c>
      <c r="E225" s="44"/>
      <c r="F225" s="45">
        <v>43122.263449074075</v>
      </c>
      <c r="G225" s="46">
        <v>8</v>
      </c>
      <c r="H225" s="47">
        <v>43376</v>
      </c>
      <c r="I225" s="47">
        <v>43403</v>
      </c>
      <c r="J225" s="46">
        <v>656260</v>
      </c>
      <c r="K225" s="46">
        <v>0</v>
      </c>
      <c r="L225" s="46">
        <v>0</v>
      </c>
      <c r="M225" s="46">
        <f t="shared" si="71"/>
        <v>656260</v>
      </c>
      <c r="N225" s="46">
        <v>722876</v>
      </c>
      <c r="O225" s="48">
        <f t="shared" si="72"/>
        <v>9.2154117718668216E-2</v>
      </c>
      <c r="P225" s="46">
        <v>0</v>
      </c>
      <c r="Q225" s="46">
        <v>656260</v>
      </c>
      <c r="R225" s="49">
        <f t="shared" si="73"/>
        <v>1</v>
      </c>
      <c r="S225" s="50">
        <f t="shared" si="74"/>
        <v>0.01</v>
      </c>
      <c r="T225" s="49">
        <f t="shared" si="75"/>
        <v>6562.6</v>
      </c>
      <c r="U225" s="51">
        <f t="shared" si="76"/>
        <v>0</v>
      </c>
      <c r="V225" s="52">
        <f>IF(0&lt;0.8,0,IF(0&lt;1,Sheet3!L196,1))*IF(G225&lt;3,0.12 - O225,0.01) *U225</f>
        <v>0</v>
      </c>
      <c r="W225" s="52">
        <f t="shared" si="77"/>
        <v>0</v>
      </c>
      <c r="X225" s="53">
        <f t="shared" si="78"/>
        <v>0</v>
      </c>
      <c r="Y225" s="53">
        <f t="shared" si="79"/>
        <v>0</v>
      </c>
      <c r="Z225" s="54">
        <f t="shared" si="80"/>
        <v>0</v>
      </c>
      <c r="AA225" s="54">
        <f t="shared" si="81"/>
        <v>0</v>
      </c>
      <c r="AB225" s="55">
        <f t="shared" si="82"/>
        <v>0</v>
      </c>
      <c r="AC225" s="55">
        <f t="shared" si="83"/>
        <v>0</v>
      </c>
      <c r="AD225" s="56">
        <f t="shared" si="84"/>
        <v>6562.6</v>
      </c>
    </row>
    <row r="226" spans="2:30">
      <c r="C226" s="43" t="s">
        <v>445</v>
      </c>
      <c r="D226" s="44" t="s">
        <v>446</v>
      </c>
      <c r="E226" s="44"/>
      <c r="F226" s="45">
        <v>43239.198252314811</v>
      </c>
      <c r="G226" s="46">
        <v>4</v>
      </c>
      <c r="H226" s="47">
        <v>43396</v>
      </c>
      <c r="I226" s="47">
        <v>43428</v>
      </c>
      <c r="J226" s="46">
        <v>5582939</v>
      </c>
      <c r="K226" s="46">
        <v>0</v>
      </c>
      <c r="L226" s="46">
        <v>0</v>
      </c>
      <c r="M226" s="46">
        <f t="shared" si="71"/>
        <v>5582939</v>
      </c>
      <c r="N226" s="46">
        <v>5489033</v>
      </c>
      <c r="O226" s="48">
        <f t="shared" si="72"/>
        <v>0</v>
      </c>
      <c r="P226" s="46">
        <v>0</v>
      </c>
      <c r="Q226" s="46">
        <v>5582939</v>
      </c>
      <c r="R226" s="49">
        <f t="shared" si="73"/>
        <v>1</v>
      </c>
      <c r="S226" s="50">
        <f t="shared" si="74"/>
        <v>0.01</v>
      </c>
      <c r="T226" s="49">
        <f t="shared" si="75"/>
        <v>55829.39</v>
      </c>
      <c r="U226" s="51">
        <f t="shared" si="76"/>
        <v>0</v>
      </c>
      <c r="V226" s="52">
        <f>IF(0&lt;0.8,0,IF(0&lt;1,Sheet3!L196,1))*IF(G226&lt;3,0.12 - O226,0.01) *U226</f>
        <v>0</v>
      </c>
      <c r="W226" s="52">
        <f t="shared" si="77"/>
        <v>0</v>
      </c>
      <c r="X226" s="53">
        <f t="shared" si="78"/>
        <v>0</v>
      </c>
      <c r="Y226" s="53">
        <f t="shared" si="79"/>
        <v>0</v>
      </c>
      <c r="Z226" s="54">
        <f t="shared" si="80"/>
        <v>0</v>
      </c>
      <c r="AA226" s="54">
        <f t="shared" si="81"/>
        <v>0</v>
      </c>
      <c r="AB226" s="55">
        <f t="shared" si="82"/>
        <v>0</v>
      </c>
      <c r="AC226" s="55">
        <f t="shared" si="83"/>
        <v>0</v>
      </c>
      <c r="AD226" s="56">
        <f t="shared" si="84"/>
        <v>55829.39</v>
      </c>
    </row>
    <row r="227" spans="2:30" ht="23.25" customHeight="1">
      <c r="B227" s="9" t="s">
        <v>5</v>
      </c>
      <c r="C227" s="10" t="s">
        <v>6</v>
      </c>
      <c r="D227" s="10"/>
      <c r="E227" s="11" t="s">
        <v>7</v>
      </c>
      <c r="F227" s="11" t="s">
        <v>8</v>
      </c>
      <c r="G227" s="11" t="s">
        <v>9</v>
      </c>
      <c r="H227" s="11" t="s">
        <v>10</v>
      </c>
      <c r="I227" s="11" t="s">
        <v>11</v>
      </c>
      <c r="J227" s="11" t="s">
        <v>12</v>
      </c>
      <c r="K227" s="11" t="s">
        <v>13</v>
      </c>
      <c r="L227" s="11" t="s">
        <v>14</v>
      </c>
      <c r="M227" s="11" t="s">
        <v>15</v>
      </c>
      <c r="N227" s="11" t="s">
        <v>16</v>
      </c>
      <c r="O227" s="11" t="s">
        <v>17</v>
      </c>
      <c r="P227" s="12" t="s">
        <v>18</v>
      </c>
      <c r="Q227" s="11" t="s">
        <v>19</v>
      </c>
      <c r="R227" s="11"/>
      <c r="S227" s="10" t="s">
        <v>20</v>
      </c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3"/>
    </row>
    <row r="228" spans="2:30">
      <c r="B228" s="14" t="s">
        <v>447</v>
      </c>
      <c r="C228" s="15" t="str">
        <f>"Nguyễn"&amp;" " &amp; "Minh Toàn"</f>
        <v>Nguyễn Minh Toàn</v>
      </c>
      <c r="D228" s="15"/>
      <c r="E228" s="16" t="s">
        <v>314</v>
      </c>
      <c r="F228" s="16" t="s">
        <v>134</v>
      </c>
      <c r="G228" s="17" t="s">
        <v>133</v>
      </c>
      <c r="H228" s="16" t="s">
        <v>388</v>
      </c>
      <c r="I228" s="18">
        <v>0</v>
      </c>
      <c r="J228" s="19">
        <v>42000000</v>
      </c>
      <c r="K228" s="19">
        <f>IFERROR(IF(N228&lt;4,Q228,SUM(Sheet3!J230:J251)),0)</f>
        <v>506374147</v>
      </c>
      <c r="L228" s="20">
        <f>IFERROR(K228/J228,0)</f>
        <v>12.05652730952381</v>
      </c>
      <c r="M228" s="19">
        <f>IFERROR(IF(OR(N228=3,N228=4),SUM(Sheet3!AD230:AD251)+AD228,IF(N228=1,0.6%,IF(N228=2,0.65%,IF(N228=3,0.6%,0)))*IF(L228&lt;0.8,0,IF(L228&lt;1,L228,1))*IF(RIGHT("2018-09",2)="03",1,0)),0)</f>
        <v>4860995.2400000012</v>
      </c>
      <c r="N228" s="19">
        <v>4</v>
      </c>
      <c r="O228" s="18">
        <f>IF(N228=4,0.5%,IF(N228=5,0.3%,0))</f>
        <v>5.0000000000000001E-3</v>
      </c>
      <c r="P228" s="21">
        <f>IFERROR(SUM(Sheet3!P230:P251),0)</f>
        <v>3387307</v>
      </c>
      <c r="Q228" s="19">
        <f>SUMIF($G:$G,B228,$K:$K)</f>
        <v>0</v>
      </c>
      <c r="R228" s="22"/>
      <c r="S228" s="23" t="s">
        <v>26</v>
      </c>
      <c r="T228" s="23"/>
      <c r="U228" s="24" t="s">
        <v>27</v>
      </c>
      <c r="V228" s="24"/>
      <c r="W228" s="24"/>
      <c r="X228" s="25" t="s">
        <v>28</v>
      </c>
      <c r="Y228" s="25"/>
      <c r="Z228" s="26" t="s">
        <v>29</v>
      </c>
      <c r="AA228" s="26"/>
      <c r="AB228" s="27" t="s">
        <v>30</v>
      </c>
      <c r="AC228" s="27"/>
      <c r="AD228" s="28">
        <f>IF(IFERROR(SUM(Sheet3!Y230:Y251)*O228,0)&gt;2000000,2000000,IFERROR(SUM(Sheet3!Y230:Y251)*O228,0))</f>
        <v>0</v>
      </c>
    </row>
    <row r="229" spans="2:30" ht="25.5">
      <c r="C229" s="29" t="s">
        <v>31</v>
      </c>
      <c r="D229" s="30" t="s">
        <v>32</v>
      </c>
      <c r="E229" s="30"/>
      <c r="F229" s="31" t="s">
        <v>33</v>
      </c>
      <c r="G229" s="31" t="s">
        <v>34</v>
      </c>
      <c r="H229" s="32" t="s">
        <v>35</v>
      </c>
      <c r="I229" s="32" t="s">
        <v>36</v>
      </c>
      <c r="J229" s="31" t="s">
        <v>37</v>
      </c>
      <c r="K229" s="31" t="s">
        <v>38</v>
      </c>
      <c r="L229" s="31" t="s">
        <v>39</v>
      </c>
      <c r="M229" s="31" t="s">
        <v>40</v>
      </c>
      <c r="N229" s="31" t="s">
        <v>41</v>
      </c>
      <c r="O229" s="33" t="s">
        <v>42</v>
      </c>
      <c r="P229" s="32" t="s">
        <v>43</v>
      </c>
      <c r="Q229" s="32" t="s">
        <v>44</v>
      </c>
      <c r="R229" s="34" t="s">
        <v>45</v>
      </c>
      <c r="S229" s="34" t="s">
        <v>46</v>
      </c>
      <c r="T229" s="34" t="s">
        <v>47</v>
      </c>
      <c r="U229" s="35" t="s">
        <v>48</v>
      </c>
      <c r="V229" s="36" t="s">
        <v>47</v>
      </c>
      <c r="W229" s="36" t="s">
        <v>49</v>
      </c>
      <c r="X229" s="37" t="s">
        <v>50</v>
      </c>
      <c r="Y229" s="37" t="s">
        <v>51</v>
      </c>
      <c r="Z229" s="38" t="s">
        <v>48</v>
      </c>
      <c r="AA229" s="39" t="s">
        <v>47</v>
      </c>
      <c r="AB229" s="40" t="s">
        <v>48</v>
      </c>
      <c r="AC229" s="41" t="s">
        <v>47</v>
      </c>
      <c r="AD229" s="42" t="s">
        <v>52</v>
      </c>
    </row>
    <row r="230" spans="2:30">
      <c r="C230" s="43" t="s">
        <v>448</v>
      </c>
      <c r="D230" s="44" t="s">
        <v>449</v>
      </c>
      <c r="E230" s="44"/>
      <c r="F230" s="45">
        <v>42530.333148148144</v>
      </c>
      <c r="G230" s="46">
        <v>27</v>
      </c>
      <c r="H230" s="47">
        <v>43379</v>
      </c>
      <c r="I230" s="47">
        <v>43403</v>
      </c>
      <c r="J230" s="46">
        <v>550717</v>
      </c>
      <c r="K230" s="46">
        <v>0</v>
      </c>
      <c r="L230" s="46">
        <v>0</v>
      </c>
      <c r="M230" s="46">
        <f t="shared" ref="M230:M251" si="85">IFERROR(J230-K230-L230,0)</f>
        <v>550717</v>
      </c>
      <c r="N230" s="46">
        <v>550717</v>
      </c>
      <c r="O230" s="48">
        <f t="shared" ref="O230:O251" si="86">IFERROR(IF(1 - M230/N230&lt;0,0,1-M230/N230),0)</f>
        <v>0</v>
      </c>
      <c r="P230" s="46">
        <v>0</v>
      </c>
      <c r="Q230" s="46">
        <v>550717</v>
      </c>
      <c r="R230" s="49">
        <f t="shared" ref="R230:R251" si="87">IF(F230&lt;DATEVALUE("2018-07-01"),1,0)</f>
        <v>1</v>
      </c>
      <c r="S230" s="50">
        <f t="shared" ref="S230:S251" si="88">IF(R230=1,1%,0)</f>
        <v>0.01</v>
      </c>
      <c r="T230" s="49">
        <f t="shared" ref="T230:T251" si="89">IFERROR(S230*M230,0)</f>
        <v>5507.17</v>
      </c>
      <c r="U230" s="51">
        <f t="shared" ref="U230:U251" si="90">IF(O230&lt;=0.12,1,0)*(1-R230)*M230</f>
        <v>0</v>
      </c>
      <c r="V230" s="52">
        <f>IF(0&lt;0.8,0,IF(0&lt;1,Sheet3!L228,1))*IF(G230&lt;3,0.12 - O230,0.01) *U230</f>
        <v>0</v>
      </c>
      <c r="W230" s="52">
        <f t="shared" ref="W230:W251" si="91">IF(0&gt;1,IF(0&lt;=1.1,1,IF(0&lt;=1.2,2,IF(0&lt;=1.5,3,5))),0) * 1000000</f>
        <v>0</v>
      </c>
      <c r="X230" s="53">
        <f t="shared" ref="X230:X251" si="92">IF(AND(P230&gt;=150000000,P230&lt;300000000),5000000,IF(AND(P230&gt;=300000000,P230&lt;500000000),10000000,IF(AND(P230&gt;=300000000,P230&lt;500000000),15000000,IF(AND(P230&gt;=500000000,P230&lt;3000000000),20000000,IF(P230&gt;=30000000000,35000000,0))))) * (1-R230)</f>
        <v>0</v>
      </c>
      <c r="Y230" s="53">
        <f t="shared" ref="Y230:Y251" si="93">IFERROR(Q230 * (1-R230),0)</f>
        <v>0</v>
      </c>
      <c r="Z230" s="54">
        <f t="shared" ref="Z230:Z244" si="94">IF(R230=1,0,0)</f>
        <v>0</v>
      </c>
      <c r="AA230" s="54">
        <f t="shared" ref="AA230:AA251" si="95">IFERROR((1-R230) * Z230 * 2%,0)</f>
        <v>0</v>
      </c>
      <c r="AB230" s="55">
        <f t="shared" ref="AB230:AB244" si="96">IF(R230=0,0,0)</f>
        <v>0</v>
      </c>
      <c r="AC230" s="55">
        <f t="shared" ref="AC230:AC251" si="97">IFERROR(AB230 * (1-R230) * 2%,0)</f>
        <v>0</v>
      </c>
      <c r="AD230" s="56">
        <f t="shared" ref="AD230:AD251" si="98">T230+V230+W230+X230+AA230+AC230</f>
        <v>5507.17</v>
      </c>
    </row>
    <row r="231" spans="2:30">
      <c r="C231" s="43" t="s">
        <v>450</v>
      </c>
      <c r="D231" s="44" t="s">
        <v>451</v>
      </c>
      <c r="E231" s="44"/>
      <c r="F231" s="45">
        <v>42658.070150462961</v>
      </c>
      <c r="G231" s="46">
        <v>23</v>
      </c>
      <c r="H231" s="47">
        <v>43379</v>
      </c>
      <c r="I231" s="47">
        <v>43396</v>
      </c>
      <c r="J231" s="46">
        <v>264436</v>
      </c>
      <c r="K231" s="46">
        <v>0</v>
      </c>
      <c r="L231" s="46">
        <v>0</v>
      </c>
      <c r="M231" s="46">
        <f t="shared" si="85"/>
        <v>264436</v>
      </c>
      <c r="N231" s="46">
        <v>264436</v>
      </c>
      <c r="O231" s="48">
        <f t="shared" si="86"/>
        <v>0</v>
      </c>
      <c r="P231" s="46">
        <v>0</v>
      </c>
      <c r="Q231" s="46">
        <v>264436</v>
      </c>
      <c r="R231" s="49">
        <f t="shared" si="87"/>
        <v>1</v>
      </c>
      <c r="S231" s="50">
        <f t="shared" si="88"/>
        <v>0.01</v>
      </c>
      <c r="T231" s="49">
        <f t="shared" si="89"/>
        <v>2644.36</v>
      </c>
      <c r="U231" s="51">
        <f t="shared" si="90"/>
        <v>0</v>
      </c>
      <c r="V231" s="52">
        <f>IF(0&lt;0.8,0,IF(0&lt;1,Sheet3!L228,1))*IF(G231&lt;3,0.12 - O231,0.01) *U231</f>
        <v>0</v>
      </c>
      <c r="W231" s="52">
        <f t="shared" si="91"/>
        <v>0</v>
      </c>
      <c r="X231" s="53">
        <f t="shared" si="92"/>
        <v>0</v>
      </c>
      <c r="Y231" s="53">
        <f t="shared" si="93"/>
        <v>0</v>
      </c>
      <c r="Z231" s="54">
        <f t="shared" si="94"/>
        <v>0</v>
      </c>
      <c r="AA231" s="54">
        <f t="shared" si="95"/>
        <v>0</v>
      </c>
      <c r="AB231" s="55">
        <f t="shared" si="96"/>
        <v>0</v>
      </c>
      <c r="AC231" s="55">
        <f t="shared" si="97"/>
        <v>0</v>
      </c>
      <c r="AD231" s="56">
        <f t="shared" si="98"/>
        <v>2644.36</v>
      </c>
    </row>
    <row r="232" spans="2:30">
      <c r="C232" s="43" t="s">
        <v>452</v>
      </c>
      <c r="D232" s="44" t="s">
        <v>453</v>
      </c>
      <c r="E232" s="44"/>
      <c r="F232" s="45">
        <v>42881.337523148148</v>
      </c>
      <c r="G232" s="46">
        <v>16</v>
      </c>
      <c r="H232" s="47">
        <v>43379</v>
      </c>
      <c r="I232" s="47">
        <v>43395</v>
      </c>
      <c r="J232" s="46">
        <v>9682900</v>
      </c>
      <c r="K232" s="46">
        <v>0</v>
      </c>
      <c r="L232" s="46">
        <v>0</v>
      </c>
      <c r="M232" s="46">
        <f t="shared" si="85"/>
        <v>9682900</v>
      </c>
      <c r="N232" s="46">
        <v>9682900</v>
      </c>
      <c r="O232" s="48">
        <f t="shared" si="86"/>
        <v>0</v>
      </c>
      <c r="P232" s="46">
        <v>0</v>
      </c>
      <c r="Q232" s="46">
        <v>9682900</v>
      </c>
      <c r="R232" s="49">
        <f t="shared" si="87"/>
        <v>1</v>
      </c>
      <c r="S232" s="50">
        <f t="shared" si="88"/>
        <v>0.01</v>
      </c>
      <c r="T232" s="49">
        <f t="shared" si="89"/>
        <v>96829</v>
      </c>
      <c r="U232" s="51">
        <f t="shared" si="90"/>
        <v>0</v>
      </c>
      <c r="V232" s="52">
        <f>IF(0&lt;0.8,0,IF(0&lt;1,Sheet3!L228,1))*IF(G232&lt;3,0.12 - O232,0.01) *U232</f>
        <v>0</v>
      </c>
      <c r="W232" s="52">
        <f t="shared" si="91"/>
        <v>0</v>
      </c>
      <c r="X232" s="53">
        <f t="shared" si="92"/>
        <v>0</v>
      </c>
      <c r="Y232" s="53">
        <f t="shared" si="93"/>
        <v>0</v>
      </c>
      <c r="Z232" s="54">
        <f t="shared" si="94"/>
        <v>0</v>
      </c>
      <c r="AA232" s="54">
        <f t="shared" si="95"/>
        <v>0</v>
      </c>
      <c r="AB232" s="55">
        <f t="shared" si="96"/>
        <v>0</v>
      </c>
      <c r="AC232" s="55">
        <f t="shared" si="97"/>
        <v>0</v>
      </c>
      <c r="AD232" s="56">
        <f t="shared" si="98"/>
        <v>96829</v>
      </c>
    </row>
    <row r="233" spans="2:30">
      <c r="C233" s="43" t="s">
        <v>454</v>
      </c>
      <c r="D233" s="44" t="s">
        <v>455</v>
      </c>
      <c r="E233" s="44"/>
      <c r="F233" s="45">
        <v>42921.336145833331</v>
      </c>
      <c r="G233" s="46">
        <v>14</v>
      </c>
      <c r="H233" s="47">
        <v>43379</v>
      </c>
      <c r="I233" s="47">
        <v>43405</v>
      </c>
      <c r="J233" s="46">
        <v>31077524</v>
      </c>
      <c r="K233" s="46">
        <v>3798992</v>
      </c>
      <c r="L233" s="46">
        <v>0</v>
      </c>
      <c r="M233" s="46">
        <f t="shared" si="85"/>
        <v>27278532</v>
      </c>
      <c r="N233" s="46">
        <v>39898670</v>
      </c>
      <c r="O233" s="48">
        <f t="shared" si="86"/>
        <v>0.31630472895462425</v>
      </c>
      <c r="P233" s="46">
        <v>0</v>
      </c>
      <c r="Q233" s="46">
        <v>27801524</v>
      </c>
      <c r="R233" s="49">
        <f t="shared" si="87"/>
        <v>1</v>
      </c>
      <c r="S233" s="50">
        <f t="shared" si="88"/>
        <v>0.01</v>
      </c>
      <c r="T233" s="49">
        <f t="shared" si="89"/>
        <v>272785.32</v>
      </c>
      <c r="U233" s="51">
        <f t="shared" si="90"/>
        <v>0</v>
      </c>
      <c r="V233" s="52">
        <f>IF(0&lt;0.8,0,IF(0&lt;1,Sheet3!L228,1))*IF(G233&lt;3,0.12 - O233,0.01) *U233</f>
        <v>0</v>
      </c>
      <c r="W233" s="52">
        <f t="shared" si="91"/>
        <v>0</v>
      </c>
      <c r="X233" s="53">
        <f t="shared" si="92"/>
        <v>0</v>
      </c>
      <c r="Y233" s="53">
        <f t="shared" si="93"/>
        <v>0</v>
      </c>
      <c r="Z233" s="54">
        <f t="shared" si="94"/>
        <v>0</v>
      </c>
      <c r="AA233" s="54">
        <f t="shared" si="95"/>
        <v>0</v>
      </c>
      <c r="AB233" s="55">
        <f t="shared" si="96"/>
        <v>0</v>
      </c>
      <c r="AC233" s="55">
        <f t="shared" si="97"/>
        <v>0</v>
      </c>
      <c r="AD233" s="56">
        <f t="shared" si="98"/>
        <v>272785.32</v>
      </c>
    </row>
    <row r="234" spans="2:30">
      <c r="C234" s="43" t="s">
        <v>456</v>
      </c>
      <c r="D234" s="44" t="s">
        <v>457</v>
      </c>
      <c r="E234" s="44"/>
      <c r="F234" s="45">
        <v>43228.068344907406</v>
      </c>
      <c r="G234" s="46">
        <v>4</v>
      </c>
      <c r="H234" s="47">
        <v>43379</v>
      </c>
      <c r="I234" s="47">
        <v>43389</v>
      </c>
      <c r="J234" s="46">
        <v>17109092</v>
      </c>
      <c r="K234" s="46">
        <v>0</v>
      </c>
      <c r="L234" s="46">
        <v>0</v>
      </c>
      <c r="M234" s="46">
        <f t="shared" si="85"/>
        <v>17109092</v>
      </c>
      <c r="N234" s="46">
        <v>27126842</v>
      </c>
      <c r="O234" s="48">
        <f t="shared" si="86"/>
        <v>0.36929289446961799</v>
      </c>
      <c r="P234" s="46">
        <v>0</v>
      </c>
      <c r="Q234" s="46">
        <v>17109092</v>
      </c>
      <c r="R234" s="49">
        <f t="shared" si="87"/>
        <v>1</v>
      </c>
      <c r="S234" s="50">
        <f t="shared" si="88"/>
        <v>0.01</v>
      </c>
      <c r="T234" s="49">
        <f t="shared" si="89"/>
        <v>171090.92</v>
      </c>
      <c r="U234" s="51">
        <f t="shared" si="90"/>
        <v>0</v>
      </c>
      <c r="V234" s="52">
        <f>IF(0&lt;0.8,0,IF(0&lt;1,Sheet3!L228,1))*IF(G234&lt;3,0.12 - O234,0.01) *U234</f>
        <v>0</v>
      </c>
      <c r="W234" s="52">
        <f t="shared" si="91"/>
        <v>0</v>
      </c>
      <c r="X234" s="53">
        <f t="shared" si="92"/>
        <v>0</v>
      </c>
      <c r="Y234" s="53">
        <f t="shared" si="93"/>
        <v>0</v>
      </c>
      <c r="Z234" s="54">
        <f t="shared" si="94"/>
        <v>0</v>
      </c>
      <c r="AA234" s="54">
        <f t="shared" si="95"/>
        <v>0</v>
      </c>
      <c r="AB234" s="55">
        <f t="shared" si="96"/>
        <v>0</v>
      </c>
      <c r="AC234" s="55">
        <f t="shared" si="97"/>
        <v>0</v>
      </c>
      <c r="AD234" s="56">
        <f t="shared" si="98"/>
        <v>171090.92</v>
      </c>
    </row>
    <row r="235" spans="2:30">
      <c r="C235" s="43" t="s">
        <v>458</v>
      </c>
      <c r="D235" s="44" t="s">
        <v>459</v>
      </c>
      <c r="E235" s="44"/>
      <c r="F235" s="45">
        <v>43283.329571759255</v>
      </c>
      <c r="G235" s="46">
        <v>2</v>
      </c>
      <c r="H235" s="47">
        <v>43379</v>
      </c>
      <c r="I235" s="47">
        <v>43405</v>
      </c>
      <c r="J235" s="46">
        <v>3387307</v>
      </c>
      <c r="K235" s="46">
        <v>0</v>
      </c>
      <c r="L235" s="46">
        <v>0</v>
      </c>
      <c r="M235" s="46">
        <f t="shared" si="85"/>
        <v>3387307</v>
      </c>
      <c r="N235" s="46">
        <v>3387307</v>
      </c>
      <c r="O235" s="48">
        <f t="shared" si="86"/>
        <v>0</v>
      </c>
      <c r="P235" s="46">
        <v>3387307</v>
      </c>
      <c r="Q235" s="46">
        <v>0</v>
      </c>
      <c r="R235" s="49">
        <f t="shared" si="87"/>
        <v>0</v>
      </c>
      <c r="S235" s="50">
        <f t="shared" si="88"/>
        <v>0</v>
      </c>
      <c r="T235" s="49">
        <f t="shared" si="89"/>
        <v>0</v>
      </c>
      <c r="U235" s="51">
        <f t="shared" si="90"/>
        <v>3387307</v>
      </c>
      <c r="V235" s="52">
        <f>IF(0&lt;0.8,0,IF(0&lt;1,Sheet3!L228,1))*IF(G235&lt;3,0.12 - O235,0.01) *U235</f>
        <v>0</v>
      </c>
      <c r="W235" s="52">
        <f t="shared" si="91"/>
        <v>0</v>
      </c>
      <c r="X235" s="53">
        <f t="shared" si="92"/>
        <v>0</v>
      </c>
      <c r="Y235" s="53">
        <f t="shared" si="93"/>
        <v>0</v>
      </c>
      <c r="Z235" s="54">
        <f t="shared" si="94"/>
        <v>0</v>
      </c>
      <c r="AA235" s="54">
        <f t="shared" si="95"/>
        <v>0</v>
      </c>
      <c r="AB235" s="55">
        <f t="shared" si="96"/>
        <v>0</v>
      </c>
      <c r="AC235" s="55">
        <f t="shared" si="97"/>
        <v>0</v>
      </c>
      <c r="AD235" s="56">
        <f t="shared" si="98"/>
        <v>0</v>
      </c>
    </row>
    <row r="236" spans="2:30">
      <c r="C236" s="43" t="s">
        <v>460</v>
      </c>
      <c r="D236" s="44" t="s">
        <v>461</v>
      </c>
      <c r="E236" s="44"/>
      <c r="F236" s="45">
        <v>42941.069502314815</v>
      </c>
      <c r="G236" s="46">
        <v>14</v>
      </c>
      <c r="H236" s="47">
        <v>43388</v>
      </c>
      <c r="I236" s="47">
        <v>43404</v>
      </c>
      <c r="J236" s="46">
        <v>513766</v>
      </c>
      <c r="K236" s="46">
        <v>0</v>
      </c>
      <c r="L236" s="46">
        <v>0</v>
      </c>
      <c r="M236" s="46">
        <f t="shared" si="85"/>
        <v>513766</v>
      </c>
      <c r="N236" s="46">
        <v>513766</v>
      </c>
      <c r="O236" s="48">
        <f t="shared" si="86"/>
        <v>0</v>
      </c>
      <c r="P236" s="46">
        <v>0</v>
      </c>
      <c r="Q236" s="46">
        <v>513766</v>
      </c>
      <c r="R236" s="49">
        <f t="shared" si="87"/>
        <v>1</v>
      </c>
      <c r="S236" s="50">
        <f t="shared" si="88"/>
        <v>0.01</v>
      </c>
      <c r="T236" s="49">
        <f t="shared" si="89"/>
        <v>5137.66</v>
      </c>
      <c r="U236" s="51">
        <f t="shared" si="90"/>
        <v>0</v>
      </c>
      <c r="V236" s="52">
        <f>IF(0&lt;0.8,0,IF(0&lt;1,Sheet3!L228,1))*IF(G236&lt;3,0.12 - O236,0.01) *U236</f>
        <v>0</v>
      </c>
      <c r="W236" s="52">
        <f t="shared" si="91"/>
        <v>0</v>
      </c>
      <c r="X236" s="53">
        <f t="shared" si="92"/>
        <v>0</v>
      </c>
      <c r="Y236" s="53">
        <f t="shared" si="93"/>
        <v>0</v>
      </c>
      <c r="Z236" s="54">
        <f t="shared" si="94"/>
        <v>0</v>
      </c>
      <c r="AA236" s="54">
        <f t="shared" si="95"/>
        <v>0</v>
      </c>
      <c r="AB236" s="55">
        <f t="shared" si="96"/>
        <v>0</v>
      </c>
      <c r="AC236" s="55">
        <f t="shared" si="97"/>
        <v>0</v>
      </c>
      <c r="AD236" s="56">
        <f t="shared" si="98"/>
        <v>5137.66</v>
      </c>
    </row>
    <row r="237" spans="2:30">
      <c r="C237" s="43" t="s">
        <v>462</v>
      </c>
      <c r="D237" s="44" t="s">
        <v>463</v>
      </c>
      <c r="E237" s="44"/>
      <c r="F237" s="45">
        <v>43213.289722222224</v>
      </c>
      <c r="G237" s="46">
        <v>5</v>
      </c>
      <c r="H237" s="47">
        <v>43388</v>
      </c>
      <c r="I237" s="47">
        <v>43424</v>
      </c>
      <c r="J237" s="46">
        <v>807400</v>
      </c>
      <c r="K237" s="46">
        <v>0</v>
      </c>
      <c r="L237" s="46">
        <v>0</v>
      </c>
      <c r="M237" s="46">
        <f t="shared" si="85"/>
        <v>807400</v>
      </c>
      <c r="N237" s="46">
        <v>869891</v>
      </c>
      <c r="O237" s="48">
        <f t="shared" si="86"/>
        <v>7.183773599221055E-2</v>
      </c>
      <c r="P237" s="46">
        <v>0</v>
      </c>
      <c r="Q237" s="46">
        <v>807400</v>
      </c>
      <c r="R237" s="49">
        <f t="shared" si="87"/>
        <v>1</v>
      </c>
      <c r="S237" s="50">
        <f t="shared" si="88"/>
        <v>0.01</v>
      </c>
      <c r="T237" s="49">
        <f t="shared" si="89"/>
        <v>8074</v>
      </c>
      <c r="U237" s="51">
        <f t="shared" si="90"/>
        <v>0</v>
      </c>
      <c r="V237" s="52">
        <f>IF(0&lt;0.8,0,IF(0&lt;1,Sheet3!L228,1))*IF(G237&lt;3,0.12 - O237,0.01) *U237</f>
        <v>0</v>
      </c>
      <c r="W237" s="52">
        <f t="shared" si="91"/>
        <v>0</v>
      </c>
      <c r="X237" s="53">
        <f t="shared" si="92"/>
        <v>0</v>
      </c>
      <c r="Y237" s="53">
        <f t="shared" si="93"/>
        <v>0</v>
      </c>
      <c r="Z237" s="54">
        <f t="shared" si="94"/>
        <v>0</v>
      </c>
      <c r="AA237" s="54">
        <f t="shared" si="95"/>
        <v>0</v>
      </c>
      <c r="AB237" s="55">
        <f t="shared" si="96"/>
        <v>0</v>
      </c>
      <c r="AC237" s="55">
        <f t="shared" si="97"/>
        <v>0</v>
      </c>
      <c r="AD237" s="56">
        <f t="shared" si="98"/>
        <v>8074</v>
      </c>
    </row>
    <row r="238" spans="2:30">
      <c r="C238" s="43" t="s">
        <v>464</v>
      </c>
      <c r="D238" s="44" t="s">
        <v>465</v>
      </c>
      <c r="E238" s="44"/>
      <c r="F238" s="45">
        <v>42900.341493055552</v>
      </c>
      <c r="G238" s="46">
        <v>15</v>
      </c>
      <c r="H238" s="47">
        <v>43383</v>
      </c>
      <c r="I238" s="47">
        <v>43441</v>
      </c>
      <c r="J238" s="46">
        <v>5218912</v>
      </c>
      <c r="K238" s="46">
        <v>0</v>
      </c>
      <c r="L238" s="46">
        <v>0</v>
      </c>
      <c r="M238" s="46">
        <f t="shared" si="85"/>
        <v>5218912</v>
      </c>
      <c r="N238" s="46">
        <v>5218912</v>
      </c>
      <c r="O238" s="48">
        <f t="shared" si="86"/>
        <v>0</v>
      </c>
      <c r="P238" s="46">
        <v>0</v>
      </c>
      <c r="Q238" s="46">
        <v>5218912</v>
      </c>
      <c r="R238" s="49">
        <f t="shared" si="87"/>
        <v>1</v>
      </c>
      <c r="S238" s="50">
        <f t="shared" si="88"/>
        <v>0.01</v>
      </c>
      <c r="T238" s="49">
        <f t="shared" si="89"/>
        <v>52189.120000000003</v>
      </c>
      <c r="U238" s="51">
        <f t="shared" si="90"/>
        <v>0</v>
      </c>
      <c r="V238" s="52">
        <f>IF(0&lt;0.8,0,IF(0&lt;1,Sheet3!L228,1))*IF(G238&lt;3,0.12 - O238,0.01) *U238</f>
        <v>0</v>
      </c>
      <c r="W238" s="52">
        <f t="shared" si="91"/>
        <v>0</v>
      </c>
      <c r="X238" s="53">
        <f t="shared" si="92"/>
        <v>0</v>
      </c>
      <c r="Y238" s="53">
        <f t="shared" si="93"/>
        <v>0</v>
      </c>
      <c r="Z238" s="54">
        <f t="shared" si="94"/>
        <v>0</v>
      </c>
      <c r="AA238" s="54">
        <f t="shared" si="95"/>
        <v>0</v>
      </c>
      <c r="AB238" s="55">
        <f t="shared" si="96"/>
        <v>0</v>
      </c>
      <c r="AC238" s="55">
        <f t="shared" si="97"/>
        <v>0</v>
      </c>
      <c r="AD238" s="56">
        <f t="shared" si="98"/>
        <v>52189.120000000003</v>
      </c>
    </row>
    <row r="239" spans="2:30">
      <c r="C239" s="43" t="s">
        <v>466</v>
      </c>
      <c r="D239" s="44" t="s">
        <v>467</v>
      </c>
      <c r="E239" s="44"/>
      <c r="F239" s="45">
        <v>43235.195138888885</v>
      </c>
      <c r="G239" s="46">
        <v>4</v>
      </c>
      <c r="H239" s="47">
        <v>43383</v>
      </c>
      <c r="I239" s="47">
        <v>43385</v>
      </c>
      <c r="J239" s="46">
        <v>136125</v>
      </c>
      <c r="K239" s="46">
        <v>0</v>
      </c>
      <c r="L239" s="46">
        <v>0</v>
      </c>
      <c r="M239" s="46">
        <f t="shared" si="85"/>
        <v>136125</v>
      </c>
      <c r="N239" s="46">
        <v>136125</v>
      </c>
      <c r="O239" s="48">
        <f t="shared" si="86"/>
        <v>0</v>
      </c>
      <c r="P239" s="46">
        <v>0</v>
      </c>
      <c r="Q239" s="46">
        <v>136125</v>
      </c>
      <c r="R239" s="49">
        <f t="shared" si="87"/>
        <v>1</v>
      </c>
      <c r="S239" s="50">
        <f t="shared" si="88"/>
        <v>0.01</v>
      </c>
      <c r="T239" s="49">
        <f t="shared" si="89"/>
        <v>1361.25</v>
      </c>
      <c r="U239" s="51">
        <f t="shared" si="90"/>
        <v>0</v>
      </c>
      <c r="V239" s="52">
        <f>IF(0&lt;0.8,0,IF(0&lt;1,Sheet3!L228,1))*IF(G239&lt;3,0.12 - O239,0.01) *U239</f>
        <v>0</v>
      </c>
      <c r="W239" s="52">
        <f t="shared" si="91"/>
        <v>0</v>
      </c>
      <c r="X239" s="53">
        <f t="shared" si="92"/>
        <v>0</v>
      </c>
      <c r="Y239" s="53">
        <f t="shared" si="93"/>
        <v>0</v>
      </c>
      <c r="Z239" s="54">
        <f t="shared" si="94"/>
        <v>0</v>
      </c>
      <c r="AA239" s="54">
        <f t="shared" si="95"/>
        <v>0</v>
      </c>
      <c r="AB239" s="55">
        <f t="shared" si="96"/>
        <v>0</v>
      </c>
      <c r="AC239" s="55">
        <f t="shared" si="97"/>
        <v>0</v>
      </c>
      <c r="AD239" s="56">
        <f t="shared" si="98"/>
        <v>1361.25</v>
      </c>
    </row>
    <row r="240" spans="2:30">
      <c r="C240" s="43" t="s">
        <v>468</v>
      </c>
      <c r="D240" s="44" t="s">
        <v>469</v>
      </c>
      <c r="E240" s="44"/>
      <c r="F240" s="45">
        <v>43257.393240740741</v>
      </c>
      <c r="G240" s="46">
        <v>3</v>
      </c>
      <c r="H240" s="47">
        <v>43420</v>
      </c>
      <c r="I240" s="47">
        <v>43446</v>
      </c>
      <c r="J240" s="46">
        <v>4275403</v>
      </c>
      <c r="K240" s="46">
        <v>0</v>
      </c>
      <c r="L240" s="46">
        <v>0</v>
      </c>
      <c r="M240" s="46">
        <f t="shared" si="85"/>
        <v>4275403</v>
      </c>
      <c r="N240" s="46">
        <v>3928348</v>
      </c>
      <c r="O240" s="48">
        <f t="shared" si="86"/>
        <v>0</v>
      </c>
      <c r="P240" s="46">
        <v>0</v>
      </c>
      <c r="Q240" s="46">
        <v>0</v>
      </c>
      <c r="R240" s="49">
        <f t="shared" si="87"/>
        <v>1</v>
      </c>
      <c r="S240" s="50">
        <f t="shared" si="88"/>
        <v>0.01</v>
      </c>
      <c r="T240" s="49">
        <f t="shared" si="89"/>
        <v>42754.03</v>
      </c>
      <c r="U240" s="51">
        <f t="shared" si="90"/>
        <v>0</v>
      </c>
      <c r="V240" s="52">
        <f>IF(0&lt;0.8,0,IF(0&lt;1,Sheet3!L228,1))*IF(G240&lt;3,0.12 - O240,0.01) *U240</f>
        <v>0</v>
      </c>
      <c r="W240" s="52">
        <f t="shared" si="91"/>
        <v>0</v>
      </c>
      <c r="X240" s="53">
        <f t="shared" si="92"/>
        <v>0</v>
      </c>
      <c r="Y240" s="53">
        <f t="shared" si="93"/>
        <v>0</v>
      </c>
      <c r="Z240" s="54">
        <f t="shared" si="94"/>
        <v>0</v>
      </c>
      <c r="AA240" s="54">
        <f t="shared" si="95"/>
        <v>0</v>
      </c>
      <c r="AB240" s="55">
        <f t="shared" si="96"/>
        <v>0</v>
      </c>
      <c r="AC240" s="55">
        <f t="shared" si="97"/>
        <v>0</v>
      </c>
      <c r="AD240" s="56">
        <f t="shared" si="98"/>
        <v>42754.03</v>
      </c>
    </row>
    <row r="241" spans="2:30">
      <c r="C241" s="43" t="s">
        <v>470</v>
      </c>
      <c r="D241" s="44" t="s">
        <v>471</v>
      </c>
      <c r="E241" s="44"/>
      <c r="F241" s="45">
        <v>42745.324513888889</v>
      </c>
      <c r="G241" s="46">
        <v>20</v>
      </c>
      <c r="H241" s="47">
        <v>43396</v>
      </c>
      <c r="I241" s="47">
        <v>43407</v>
      </c>
      <c r="J241" s="46">
        <v>1102552</v>
      </c>
      <c r="K241" s="46">
        <v>0</v>
      </c>
      <c r="L241" s="46">
        <v>0</v>
      </c>
      <c r="M241" s="46">
        <f t="shared" si="85"/>
        <v>1102552</v>
      </c>
      <c r="N241" s="46">
        <v>1102552</v>
      </c>
      <c r="O241" s="48">
        <f t="shared" si="86"/>
        <v>0</v>
      </c>
      <c r="P241" s="46">
        <v>0</v>
      </c>
      <c r="Q241" s="46">
        <v>1102552</v>
      </c>
      <c r="R241" s="49">
        <f t="shared" si="87"/>
        <v>1</v>
      </c>
      <c r="S241" s="50">
        <f t="shared" si="88"/>
        <v>0.01</v>
      </c>
      <c r="T241" s="49">
        <f t="shared" si="89"/>
        <v>11025.52</v>
      </c>
      <c r="U241" s="51">
        <f t="shared" si="90"/>
        <v>0</v>
      </c>
      <c r="V241" s="52">
        <f>IF(0&lt;0.8,0,IF(0&lt;1,Sheet3!L228,1))*IF(G241&lt;3,0.12 - O241,0.01) *U241</f>
        <v>0</v>
      </c>
      <c r="W241" s="52">
        <f t="shared" si="91"/>
        <v>0</v>
      </c>
      <c r="X241" s="53">
        <f t="shared" si="92"/>
        <v>0</v>
      </c>
      <c r="Y241" s="53">
        <f t="shared" si="93"/>
        <v>0</v>
      </c>
      <c r="Z241" s="54">
        <f t="shared" si="94"/>
        <v>0</v>
      </c>
      <c r="AA241" s="54">
        <f t="shared" si="95"/>
        <v>0</v>
      </c>
      <c r="AB241" s="55">
        <f t="shared" si="96"/>
        <v>0</v>
      </c>
      <c r="AC241" s="55">
        <f t="shared" si="97"/>
        <v>0</v>
      </c>
      <c r="AD241" s="56">
        <f t="shared" si="98"/>
        <v>11025.52</v>
      </c>
    </row>
    <row r="242" spans="2:30">
      <c r="C242" s="43" t="s">
        <v>472</v>
      </c>
      <c r="D242" s="44" t="s">
        <v>473</v>
      </c>
      <c r="E242" s="44"/>
      <c r="F242" s="45">
        <v>43214.190613425926</v>
      </c>
      <c r="G242" s="46">
        <v>5</v>
      </c>
      <c r="H242" s="47">
        <v>43382</v>
      </c>
      <c r="I242" s="47">
        <v>43409</v>
      </c>
      <c r="J242" s="46">
        <v>1571350</v>
      </c>
      <c r="K242" s="46">
        <v>0</v>
      </c>
      <c r="L242" s="46">
        <v>0</v>
      </c>
      <c r="M242" s="46">
        <f t="shared" si="85"/>
        <v>1571350</v>
      </c>
      <c r="N242" s="46">
        <v>1674442</v>
      </c>
      <c r="O242" s="48">
        <f t="shared" si="86"/>
        <v>6.1567973091931516E-2</v>
      </c>
      <c r="P242" s="46">
        <v>0</v>
      </c>
      <c r="Q242" s="46">
        <v>1571350</v>
      </c>
      <c r="R242" s="49">
        <f t="shared" si="87"/>
        <v>1</v>
      </c>
      <c r="S242" s="50">
        <f t="shared" si="88"/>
        <v>0.01</v>
      </c>
      <c r="T242" s="49">
        <f t="shared" si="89"/>
        <v>15713.5</v>
      </c>
      <c r="U242" s="51">
        <f t="shared" si="90"/>
        <v>0</v>
      </c>
      <c r="V242" s="52">
        <f>IF(0&lt;0.8,0,IF(0&lt;1,Sheet3!L228,1))*IF(G242&lt;3,0.12 - O242,0.01) *U242</f>
        <v>0</v>
      </c>
      <c r="W242" s="52">
        <f t="shared" si="91"/>
        <v>0</v>
      </c>
      <c r="X242" s="53">
        <f t="shared" si="92"/>
        <v>0</v>
      </c>
      <c r="Y242" s="53">
        <f t="shared" si="93"/>
        <v>0</v>
      </c>
      <c r="Z242" s="54">
        <f t="shared" si="94"/>
        <v>0</v>
      </c>
      <c r="AA242" s="54">
        <f t="shared" si="95"/>
        <v>0</v>
      </c>
      <c r="AB242" s="55">
        <f t="shared" si="96"/>
        <v>0</v>
      </c>
      <c r="AC242" s="55">
        <f t="shared" si="97"/>
        <v>0</v>
      </c>
      <c r="AD242" s="56">
        <f t="shared" si="98"/>
        <v>15713.5</v>
      </c>
    </row>
    <row r="243" spans="2:30">
      <c r="C243" s="43" t="s">
        <v>474</v>
      </c>
      <c r="D243" s="44" t="s">
        <v>475</v>
      </c>
      <c r="E243" s="44"/>
      <c r="F243" s="45">
        <v>43252.29724537037</v>
      </c>
      <c r="G243" s="46">
        <v>3</v>
      </c>
      <c r="H243" s="47">
        <v>43487</v>
      </c>
      <c r="I243" s="47">
        <v>43511</v>
      </c>
      <c r="J243" s="46">
        <v>136950</v>
      </c>
      <c r="K243" s="46">
        <v>0</v>
      </c>
      <c r="L243" s="46">
        <v>0</v>
      </c>
      <c r="M243" s="46">
        <f t="shared" si="85"/>
        <v>136950</v>
      </c>
      <c r="N243" s="46">
        <v>147136</v>
      </c>
      <c r="O243" s="48">
        <f t="shared" si="86"/>
        <v>6.92284688995215E-2</v>
      </c>
      <c r="P243" s="46">
        <v>0</v>
      </c>
      <c r="Q243" s="46">
        <v>0</v>
      </c>
      <c r="R243" s="49">
        <f t="shared" si="87"/>
        <v>1</v>
      </c>
      <c r="S243" s="50">
        <f t="shared" si="88"/>
        <v>0.01</v>
      </c>
      <c r="T243" s="49">
        <f t="shared" si="89"/>
        <v>1369.5</v>
      </c>
      <c r="U243" s="51">
        <f t="shared" si="90"/>
        <v>0</v>
      </c>
      <c r="V243" s="52">
        <f>IF(0&lt;0.8,0,IF(0&lt;1,Sheet3!L228,1))*IF(G243&lt;3,0.12 - O243,0.01) *U243</f>
        <v>0</v>
      </c>
      <c r="W243" s="52">
        <f t="shared" si="91"/>
        <v>0</v>
      </c>
      <c r="X243" s="53">
        <f t="shared" si="92"/>
        <v>0</v>
      </c>
      <c r="Y243" s="53">
        <f t="shared" si="93"/>
        <v>0</v>
      </c>
      <c r="Z243" s="54">
        <f t="shared" si="94"/>
        <v>0</v>
      </c>
      <c r="AA243" s="54">
        <f t="shared" si="95"/>
        <v>0</v>
      </c>
      <c r="AB243" s="55">
        <f t="shared" si="96"/>
        <v>0</v>
      </c>
      <c r="AC243" s="55">
        <f t="shared" si="97"/>
        <v>0</v>
      </c>
      <c r="AD243" s="56">
        <f t="shared" si="98"/>
        <v>1369.5</v>
      </c>
    </row>
    <row r="244" spans="2:30">
      <c r="C244" s="43" t="s">
        <v>476</v>
      </c>
      <c r="D244" s="44" t="s">
        <v>477</v>
      </c>
      <c r="E244" s="44"/>
      <c r="F244" s="45">
        <v>41694.446087962962</v>
      </c>
      <c r="G244" s="46">
        <v>55</v>
      </c>
      <c r="H244" s="47">
        <v>43393</v>
      </c>
      <c r="I244" s="47">
        <v>43423</v>
      </c>
      <c r="J244" s="46">
        <v>21385421</v>
      </c>
      <c r="K244" s="46">
        <v>0</v>
      </c>
      <c r="L244" s="46">
        <v>0</v>
      </c>
      <c r="M244" s="46">
        <f t="shared" si="85"/>
        <v>21385421</v>
      </c>
      <c r="N244" s="46">
        <v>22717570</v>
      </c>
      <c r="O244" s="48">
        <f t="shared" si="86"/>
        <v>5.8639590413939513E-2</v>
      </c>
      <c r="P244" s="46">
        <v>0</v>
      </c>
      <c r="Q244" s="46">
        <v>21385421</v>
      </c>
      <c r="R244" s="49">
        <f t="shared" si="87"/>
        <v>1</v>
      </c>
      <c r="S244" s="50">
        <f t="shared" si="88"/>
        <v>0.01</v>
      </c>
      <c r="T244" s="49">
        <f t="shared" si="89"/>
        <v>213854.21</v>
      </c>
      <c r="U244" s="51">
        <f t="shared" si="90"/>
        <v>0</v>
      </c>
      <c r="V244" s="52">
        <f>IF(0&lt;0.8,0,IF(0&lt;1,Sheet3!L228,1))*IF(G244&lt;3,0.12 - O244,0.01) *U244</f>
        <v>0</v>
      </c>
      <c r="W244" s="52">
        <f t="shared" si="91"/>
        <v>0</v>
      </c>
      <c r="X244" s="53">
        <f t="shared" si="92"/>
        <v>0</v>
      </c>
      <c r="Y244" s="53">
        <f t="shared" si="93"/>
        <v>0</v>
      </c>
      <c r="Z244" s="54">
        <f t="shared" si="94"/>
        <v>0</v>
      </c>
      <c r="AA244" s="54">
        <f t="shared" si="95"/>
        <v>0</v>
      </c>
      <c r="AB244" s="55">
        <f t="shared" si="96"/>
        <v>0</v>
      </c>
      <c r="AC244" s="55">
        <f t="shared" si="97"/>
        <v>0</v>
      </c>
      <c r="AD244" s="56">
        <f t="shared" si="98"/>
        <v>213854.21</v>
      </c>
    </row>
    <row r="245" spans="2:30">
      <c r="C245" s="43" t="s">
        <v>478</v>
      </c>
      <c r="D245" s="44" t="s">
        <v>479</v>
      </c>
      <c r="E245" s="44"/>
      <c r="F245" s="45">
        <v>42895.260324074072</v>
      </c>
      <c r="G245" s="46">
        <v>15</v>
      </c>
      <c r="H245" s="47" t="s">
        <v>24</v>
      </c>
      <c r="I245" s="47" t="s">
        <v>24</v>
      </c>
      <c r="J245" s="46">
        <v>4566781</v>
      </c>
      <c r="K245" s="46">
        <v>0</v>
      </c>
      <c r="L245" s="46">
        <v>0</v>
      </c>
      <c r="M245" s="46">
        <f t="shared" si="85"/>
        <v>4566781</v>
      </c>
      <c r="N245" s="46" t="s">
        <v>24</v>
      </c>
      <c r="O245" s="48">
        <f t="shared" si="86"/>
        <v>0</v>
      </c>
      <c r="P245" s="46">
        <v>0</v>
      </c>
      <c r="Q245" s="46">
        <v>0</v>
      </c>
      <c r="R245" s="49">
        <f t="shared" si="87"/>
        <v>1</v>
      </c>
      <c r="S245" s="50">
        <f t="shared" si="88"/>
        <v>0.01</v>
      </c>
      <c r="T245" s="49">
        <f t="shared" si="89"/>
        <v>45667.81</v>
      </c>
      <c r="U245" s="51">
        <f t="shared" si="90"/>
        <v>0</v>
      </c>
      <c r="V245" s="52">
        <f>IF(0&lt;0.8,0,IF(0&lt;1,Sheet3!L228,1))*IF(G245&lt;3,0.12 - O245,0.01) *U245</f>
        <v>0</v>
      </c>
      <c r="W245" s="52">
        <f t="shared" si="91"/>
        <v>0</v>
      </c>
      <c r="X245" s="53">
        <f t="shared" si="92"/>
        <v>0</v>
      </c>
      <c r="Y245" s="53">
        <f t="shared" si="93"/>
        <v>0</v>
      </c>
      <c r="Z245" s="54">
        <f>IF(R245=1,0,"")</f>
        <v>0</v>
      </c>
      <c r="AA245" s="54">
        <f t="shared" si="95"/>
        <v>0</v>
      </c>
      <c r="AB245" s="55">
        <f>IF(R245=0,"",0)</f>
        <v>0</v>
      </c>
      <c r="AC245" s="55">
        <f t="shared" si="97"/>
        <v>0</v>
      </c>
      <c r="AD245" s="56">
        <f t="shared" si="98"/>
        <v>45667.81</v>
      </c>
    </row>
    <row r="246" spans="2:30">
      <c r="C246" s="43" t="s">
        <v>478</v>
      </c>
      <c r="D246" s="44" t="s">
        <v>479</v>
      </c>
      <c r="E246" s="44"/>
      <c r="F246" s="45">
        <v>42895.260324074072</v>
      </c>
      <c r="G246" s="46">
        <v>15</v>
      </c>
      <c r="H246" s="47" t="s">
        <v>24</v>
      </c>
      <c r="I246" s="47" t="s">
        <v>24</v>
      </c>
      <c r="J246" s="46">
        <v>4566781</v>
      </c>
      <c r="K246" s="46">
        <v>0</v>
      </c>
      <c r="L246" s="46">
        <v>0</v>
      </c>
      <c r="M246" s="46">
        <f t="shared" si="85"/>
        <v>4566781</v>
      </c>
      <c r="N246" s="46" t="s">
        <v>24</v>
      </c>
      <c r="O246" s="48">
        <f t="shared" si="86"/>
        <v>0</v>
      </c>
      <c r="P246" s="46">
        <v>0</v>
      </c>
      <c r="Q246" s="46">
        <v>0</v>
      </c>
      <c r="R246" s="49">
        <f t="shared" si="87"/>
        <v>1</v>
      </c>
      <c r="S246" s="50">
        <f t="shared" si="88"/>
        <v>0.01</v>
      </c>
      <c r="T246" s="49">
        <f t="shared" si="89"/>
        <v>45667.81</v>
      </c>
      <c r="U246" s="51">
        <f t="shared" si="90"/>
        <v>0</v>
      </c>
      <c r="V246" s="52">
        <f>IF(0&lt;0.8,0,IF(0&lt;1,Sheet3!L228,1))*IF(G246&lt;3,0.12 - O246,0.01) *U246</f>
        <v>0</v>
      </c>
      <c r="W246" s="52">
        <f t="shared" si="91"/>
        <v>0</v>
      </c>
      <c r="X246" s="53">
        <f t="shared" si="92"/>
        <v>0</v>
      </c>
      <c r="Y246" s="53">
        <f t="shared" si="93"/>
        <v>0</v>
      </c>
      <c r="Z246" s="54">
        <f>IF(R246=1,0,"")</f>
        <v>0</v>
      </c>
      <c r="AA246" s="54">
        <f t="shared" si="95"/>
        <v>0</v>
      </c>
      <c r="AB246" s="55">
        <f>IF(R246=0,"",0)</f>
        <v>0</v>
      </c>
      <c r="AC246" s="55">
        <f t="shared" si="97"/>
        <v>0</v>
      </c>
      <c r="AD246" s="56">
        <f t="shared" si="98"/>
        <v>45667.81</v>
      </c>
    </row>
    <row r="247" spans="2:30">
      <c r="C247" s="43" t="s">
        <v>480</v>
      </c>
      <c r="D247" s="44" t="s">
        <v>481</v>
      </c>
      <c r="E247" s="44"/>
      <c r="F247" s="45">
        <v>43117.29918981481</v>
      </c>
      <c r="G247" s="46">
        <v>8</v>
      </c>
      <c r="H247" s="47">
        <v>43465</v>
      </c>
      <c r="I247" s="47">
        <v>43486</v>
      </c>
      <c r="J247" s="46">
        <v>392916460</v>
      </c>
      <c r="K247" s="46">
        <v>13088324</v>
      </c>
      <c r="L247" s="46">
        <v>0</v>
      </c>
      <c r="M247" s="46">
        <f t="shared" si="85"/>
        <v>379828136</v>
      </c>
      <c r="N247" s="46">
        <v>604252686</v>
      </c>
      <c r="O247" s="48">
        <f t="shared" si="86"/>
        <v>0.37140844418190966</v>
      </c>
      <c r="P247" s="46">
        <v>0</v>
      </c>
      <c r="Q247" s="46">
        <v>371042062</v>
      </c>
      <c r="R247" s="49">
        <f t="shared" si="87"/>
        <v>1</v>
      </c>
      <c r="S247" s="50">
        <f t="shared" si="88"/>
        <v>0.01</v>
      </c>
      <c r="T247" s="49">
        <f t="shared" si="89"/>
        <v>3798281.36</v>
      </c>
      <c r="U247" s="51">
        <f t="shared" si="90"/>
        <v>0</v>
      </c>
      <c r="V247" s="52">
        <f>IF(0&lt;0.8,0,IF(0&lt;1,Sheet3!L228,1))*IF(G247&lt;3,0.12 - O247,0.01) *U247</f>
        <v>0</v>
      </c>
      <c r="W247" s="52">
        <f t="shared" si="91"/>
        <v>0</v>
      </c>
      <c r="X247" s="53">
        <f t="shared" si="92"/>
        <v>0</v>
      </c>
      <c r="Y247" s="53">
        <f t="shared" si="93"/>
        <v>0</v>
      </c>
      <c r="Z247" s="54">
        <f>IF(R247=1,0,0)</f>
        <v>0</v>
      </c>
      <c r="AA247" s="54">
        <f t="shared" si="95"/>
        <v>0</v>
      </c>
      <c r="AB247" s="55">
        <f>IF(R247=0,0,0)</f>
        <v>0</v>
      </c>
      <c r="AC247" s="55">
        <f t="shared" si="97"/>
        <v>0</v>
      </c>
      <c r="AD247" s="56">
        <f t="shared" si="98"/>
        <v>3798281.36</v>
      </c>
    </row>
    <row r="248" spans="2:30">
      <c r="C248" s="43" t="s">
        <v>482</v>
      </c>
      <c r="D248" s="44" t="s">
        <v>483</v>
      </c>
      <c r="E248" s="44"/>
      <c r="F248" s="45">
        <v>43160.189479166664</v>
      </c>
      <c r="G248" s="46">
        <v>6</v>
      </c>
      <c r="H248" s="47">
        <v>43393</v>
      </c>
      <c r="I248" s="47">
        <v>43410</v>
      </c>
      <c r="J248" s="46">
        <v>452540</v>
      </c>
      <c r="K248" s="46">
        <v>0</v>
      </c>
      <c r="L248" s="46">
        <v>0</v>
      </c>
      <c r="M248" s="46">
        <f t="shared" si="85"/>
        <v>452540</v>
      </c>
      <c r="N248" s="46">
        <v>452540</v>
      </c>
      <c r="O248" s="48">
        <f t="shared" si="86"/>
        <v>0</v>
      </c>
      <c r="P248" s="46">
        <v>0</v>
      </c>
      <c r="Q248" s="46">
        <v>452540</v>
      </c>
      <c r="R248" s="49">
        <f t="shared" si="87"/>
        <v>1</v>
      </c>
      <c r="S248" s="50">
        <f t="shared" si="88"/>
        <v>0.01</v>
      </c>
      <c r="T248" s="49">
        <f t="shared" si="89"/>
        <v>4525.4000000000005</v>
      </c>
      <c r="U248" s="51">
        <f t="shared" si="90"/>
        <v>0</v>
      </c>
      <c r="V248" s="52">
        <f>IF(0&lt;0.8,0,IF(0&lt;1,Sheet3!L228,1))*IF(G248&lt;3,0.12 - O248,0.01) *U248</f>
        <v>0</v>
      </c>
      <c r="W248" s="52">
        <f t="shared" si="91"/>
        <v>0</v>
      </c>
      <c r="X248" s="53">
        <f t="shared" si="92"/>
        <v>0</v>
      </c>
      <c r="Y248" s="53">
        <f t="shared" si="93"/>
        <v>0</v>
      </c>
      <c r="Z248" s="54">
        <f>IF(R248=1,0,0)</f>
        <v>0</v>
      </c>
      <c r="AA248" s="54">
        <f t="shared" si="95"/>
        <v>0</v>
      </c>
      <c r="AB248" s="55">
        <f>IF(R248=0,0,0)</f>
        <v>0</v>
      </c>
      <c r="AC248" s="55">
        <f t="shared" si="97"/>
        <v>0</v>
      </c>
      <c r="AD248" s="56">
        <f t="shared" si="98"/>
        <v>4525.4000000000005</v>
      </c>
    </row>
    <row r="249" spans="2:30">
      <c r="C249" s="43" t="s">
        <v>484</v>
      </c>
      <c r="D249" s="44" t="s">
        <v>485</v>
      </c>
      <c r="E249" s="44"/>
      <c r="F249" s="45">
        <v>43217.191307870366</v>
      </c>
      <c r="G249" s="46">
        <v>5</v>
      </c>
      <c r="H249" s="47">
        <v>43459</v>
      </c>
      <c r="I249" s="47">
        <v>43404</v>
      </c>
      <c r="J249" s="46">
        <v>3162573</v>
      </c>
      <c r="K249" s="46">
        <v>0</v>
      </c>
      <c r="L249" s="46">
        <v>0</v>
      </c>
      <c r="M249" s="46">
        <f t="shared" si="85"/>
        <v>3162573</v>
      </c>
      <c r="N249" s="46">
        <v>3162573</v>
      </c>
      <c r="O249" s="48">
        <f t="shared" si="86"/>
        <v>0</v>
      </c>
      <c r="P249" s="46">
        <v>0</v>
      </c>
      <c r="Q249" s="46">
        <v>3162573</v>
      </c>
      <c r="R249" s="49">
        <f t="shared" si="87"/>
        <v>1</v>
      </c>
      <c r="S249" s="50">
        <f t="shared" si="88"/>
        <v>0.01</v>
      </c>
      <c r="T249" s="49">
        <f t="shared" si="89"/>
        <v>31625.73</v>
      </c>
      <c r="U249" s="51">
        <f t="shared" si="90"/>
        <v>0</v>
      </c>
      <c r="V249" s="52">
        <f>IF(0&lt;0.8,0,IF(0&lt;1,Sheet3!L228,1))*IF(G249&lt;3,0.12 - O249,0.01) *U249</f>
        <v>0</v>
      </c>
      <c r="W249" s="52">
        <f t="shared" si="91"/>
        <v>0</v>
      </c>
      <c r="X249" s="53">
        <f t="shared" si="92"/>
        <v>0</v>
      </c>
      <c r="Y249" s="53">
        <f t="shared" si="93"/>
        <v>0</v>
      </c>
      <c r="Z249" s="54">
        <f>IF(R249=1,0,0)</f>
        <v>0</v>
      </c>
      <c r="AA249" s="54">
        <f t="shared" si="95"/>
        <v>0</v>
      </c>
      <c r="AB249" s="55">
        <f>IF(R249=0,0,0)</f>
        <v>0</v>
      </c>
      <c r="AC249" s="55">
        <f t="shared" si="97"/>
        <v>0</v>
      </c>
      <c r="AD249" s="56">
        <f t="shared" si="98"/>
        <v>31625.73</v>
      </c>
    </row>
    <row r="250" spans="2:30">
      <c r="C250" s="43" t="s">
        <v>486</v>
      </c>
      <c r="D250" s="44" t="s">
        <v>487</v>
      </c>
      <c r="E250" s="44"/>
      <c r="F250" s="45">
        <v>43225.105393518519</v>
      </c>
      <c r="G250" s="46">
        <v>4</v>
      </c>
      <c r="H250" s="47">
        <v>43404</v>
      </c>
      <c r="I250" s="47">
        <v>43434</v>
      </c>
      <c r="J250" s="46">
        <v>47300</v>
      </c>
      <c r="K250" s="46">
        <v>0</v>
      </c>
      <c r="L250" s="46">
        <v>0</v>
      </c>
      <c r="M250" s="46">
        <f t="shared" si="85"/>
        <v>47300</v>
      </c>
      <c r="N250" s="46">
        <v>127050</v>
      </c>
      <c r="O250" s="48">
        <f t="shared" si="86"/>
        <v>0.62770562770562766</v>
      </c>
      <c r="P250" s="46">
        <v>0</v>
      </c>
      <c r="Q250" s="46">
        <v>47300</v>
      </c>
      <c r="R250" s="49">
        <f t="shared" si="87"/>
        <v>1</v>
      </c>
      <c r="S250" s="50">
        <f t="shared" si="88"/>
        <v>0.01</v>
      </c>
      <c r="T250" s="49">
        <f t="shared" si="89"/>
        <v>473</v>
      </c>
      <c r="U250" s="51">
        <f t="shared" si="90"/>
        <v>0</v>
      </c>
      <c r="V250" s="52">
        <f>IF(0&lt;0.8,0,IF(0&lt;1,Sheet3!L228,1))*IF(G250&lt;3,0.12 - O250,0.01) *U250</f>
        <v>0</v>
      </c>
      <c r="W250" s="52">
        <f t="shared" si="91"/>
        <v>0</v>
      </c>
      <c r="X250" s="53">
        <f t="shared" si="92"/>
        <v>0</v>
      </c>
      <c r="Y250" s="53">
        <f t="shared" si="93"/>
        <v>0</v>
      </c>
      <c r="Z250" s="54">
        <f>IF(R250=1,0,0)</f>
        <v>0</v>
      </c>
      <c r="AA250" s="54">
        <f t="shared" si="95"/>
        <v>0</v>
      </c>
      <c r="AB250" s="55">
        <f>IF(R250=0,0,0)</f>
        <v>0</v>
      </c>
      <c r="AC250" s="55">
        <f t="shared" si="97"/>
        <v>0</v>
      </c>
      <c r="AD250" s="56">
        <f t="shared" si="98"/>
        <v>473</v>
      </c>
    </row>
    <row r="251" spans="2:30">
      <c r="C251" s="43" t="s">
        <v>488</v>
      </c>
      <c r="D251" s="44" t="s">
        <v>489</v>
      </c>
      <c r="E251" s="44"/>
      <c r="F251" s="45">
        <v>43169.140208333331</v>
      </c>
      <c r="G251" s="46">
        <v>6</v>
      </c>
      <c r="H251" s="47" t="s">
        <v>24</v>
      </c>
      <c r="I251" s="47" t="s">
        <v>24</v>
      </c>
      <c r="J251" s="46">
        <v>3441857</v>
      </c>
      <c r="K251" s="46">
        <v>0</v>
      </c>
      <c r="L251" s="46">
        <v>0</v>
      </c>
      <c r="M251" s="46">
        <f t="shared" si="85"/>
        <v>3441857</v>
      </c>
      <c r="N251" s="46">
        <v>2821500</v>
      </c>
      <c r="O251" s="48">
        <f t="shared" si="86"/>
        <v>0</v>
      </c>
      <c r="P251" s="46">
        <v>0</v>
      </c>
      <c r="Q251" s="46">
        <v>3441857</v>
      </c>
      <c r="R251" s="49">
        <f t="shared" si="87"/>
        <v>1</v>
      </c>
      <c r="S251" s="50">
        <f t="shared" si="88"/>
        <v>0.01</v>
      </c>
      <c r="T251" s="49">
        <f t="shared" si="89"/>
        <v>34418.57</v>
      </c>
      <c r="U251" s="51">
        <f t="shared" si="90"/>
        <v>0</v>
      </c>
      <c r="V251" s="52">
        <f>IF(0&lt;0.8,0,IF(0&lt;1,Sheet3!L228,1))*IF(G251&lt;3,0.12 - O251,0.01) *U251</f>
        <v>0</v>
      </c>
      <c r="W251" s="52">
        <f t="shared" si="91"/>
        <v>0</v>
      </c>
      <c r="X251" s="53">
        <f t="shared" si="92"/>
        <v>0</v>
      </c>
      <c r="Y251" s="53">
        <f t="shared" si="93"/>
        <v>0</v>
      </c>
      <c r="Z251" s="54">
        <f>IF(R251=1,0,0)</f>
        <v>0</v>
      </c>
      <c r="AA251" s="54">
        <f t="shared" si="95"/>
        <v>0</v>
      </c>
      <c r="AB251" s="55">
        <f>IF(R251=0,0,0)</f>
        <v>0</v>
      </c>
      <c r="AC251" s="55">
        <f t="shared" si="97"/>
        <v>0</v>
      </c>
      <c r="AD251" s="56">
        <f t="shared" si="98"/>
        <v>34418.57</v>
      </c>
    </row>
    <row r="252" spans="2:30" ht="23.25" customHeight="1">
      <c r="B252" s="9" t="s">
        <v>5</v>
      </c>
      <c r="C252" s="10" t="s">
        <v>6</v>
      </c>
      <c r="D252" s="10"/>
      <c r="E252" s="11" t="s">
        <v>7</v>
      </c>
      <c r="F252" s="11" t="s">
        <v>8</v>
      </c>
      <c r="G252" s="11" t="s">
        <v>9</v>
      </c>
      <c r="H252" s="11" t="s">
        <v>10</v>
      </c>
      <c r="I252" s="11" t="s">
        <v>11</v>
      </c>
      <c r="J252" s="11" t="s">
        <v>12</v>
      </c>
      <c r="K252" s="11" t="s">
        <v>13</v>
      </c>
      <c r="L252" s="11" t="s">
        <v>14</v>
      </c>
      <c r="M252" s="11" t="s">
        <v>15</v>
      </c>
      <c r="N252" s="11" t="s">
        <v>16</v>
      </c>
      <c r="O252" s="11" t="s">
        <v>17</v>
      </c>
      <c r="P252" s="12" t="s">
        <v>18</v>
      </c>
      <c r="Q252" s="11" t="s">
        <v>19</v>
      </c>
      <c r="R252" s="11"/>
      <c r="S252" s="10" t="s">
        <v>20</v>
      </c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3"/>
    </row>
    <row r="253" spans="2:30">
      <c r="B253" s="14" t="s">
        <v>490</v>
      </c>
      <c r="C253" s="15" t="str">
        <f>"Đoàn"&amp;" " &amp; "Tiến Dũng"</f>
        <v>Đoàn Tiến Dũng</v>
      </c>
      <c r="D253" s="15"/>
      <c r="E253" s="16" t="s">
        <v>314</v>
      </c>
      <c r="F253" s="16" t="s">
        <v>134</v>
      </c>
      <c r="G253" s="17" t="s">
        <v>133</v>
      </c>
      <c r="H253" s="16" t="s">
        <v>388</v>
      </c>
      <c r="I253" s="18">
        <v>0</v>
      </c>
      <c r="J253" s="19">
        <v>42000000</v>
      </c>
      <c r="K253" s="19">
        <f>IFERROR(IF(N253&lt;4,Q253,SUM(Sheet3!J255:J286)),0)</f>
        <v>188785035</v>
      </c>
      <c r="L253" s="20">
        <f>IFERROR(K253/J253,0)</f>
        <v>4.494881785714286</v>
      </c>
      <c r="M253" s="19">
        <f>IFERROR(IF(OR(N253=3,N253=4),SUM(Sheet3!AD255:AD286)+AD253,IF(N253=1,0.6%,IF(N253=2,0.65%,IF(N253=3,0.6%,0)))*IF(L253&lt;0.8,0,IF(L253&lt;1,L253,1))*IF(RIGHT("2018-09",2)="03",1,0)),0)</f>
        <v>1826299.3</v>
      </c>
      <c r="N253" s="19">
        <v>4</v>
      </c>
      <c r="O253" s="18">
        <f>IF(N253=4,0.5%,IF(N253=5,0.3%,0))</f>
        <v>5.0000000000000001E-3</v>
      </c>
      <c r="P253" s="21">
        <f>IFERROR(SUM(Sheet3!P255:P286),0)</f>
        <v>0</v>
      </c>
      <c r="Q253" s="19">
        <f>SUMIF($G:$G,B253,$K:$K)</f>
        <v>0</v>
      </c>
      <c r="R253" s="22"/>
      <c r="S253" s="23" t="s">
        <v>26</v>
      </c>
      <c r="T253" s="23"/>
      <c r="U253" s="24" t="s">
        <v>27</v>
      </c>
      <c r="V253" s="24"/>
      <c r="W253" s="24"/>
      <c r="X253" s="25" t="s">
        <v>28</v>
      </c>
      <c r="Y253" s="25"/>
      <c r="Z253" s="26" t="s">
        <v>29</v>
      </c>
      <c r="AA253" s="26"/>
      <c r="AB253" s="27" t="s">
        <v>30</v>
      </c>
      <c r="AC253" s="27"/>
      <c r="AD253" s="28">
        <f>IF(IFERROR(SUM(Sheet3!Y255:Y286)*O253,0)&gt;2000000,2000000,IFERROR(SUM(Sheet3!Y255:Y286)*O253,0))</f>
        <v>0</v>
      </c>
    </row>
    <row r="254" spans="2:30" ht="25.5">
      <c r="C254" s="29" t="s">
        <v>31</v>
      </c>
      <c r="D254" s="30" t="s">
        <v>32</v>
      </c>
      <c r="E254" s="30"/>
      <c r="F254" s="31" t="s">
        <v>33</v>
      </c>
      <c r="G254" s="31" t="s">
        <v>34</v>
      </c>
      <c r="H254" s="32" t="s">
        <v>35</v>
      </c>
      <c r="I254" s="32" t="s">
        <v>36</v>
      </c>
      <c r="J254" s="31" t="s">
        <v>37</v>
      </c>
      <c r="K254" s="31" t="s">
        <v>38</v>
      </c>
      <c r="L254" s="31" t="s">
        <v>39</v>
      </c>
      <c r="M254" s="31" t="s">
        <v>40</v>
      </c>
      <c r="N254" s="31" t="s">
        <v>41</v>
      </c>
      <c r="O254" s="33" t="s">
        <v>42</v>
      </c>
      <c r="P254" s="32" t="s">
        <v>43</v>
      </c>
      <c r="Q254" s="32" t="s">
        <v>44</v>
      </c>
      <c r="R254" s="34" t="s">
        <v>45</v>
      </c>
      <c r="S254" s="34" t="s">
        <v>46</v>
      </c>
      <c r="T254" s="34" t="s">
        <v>47</v>
      </c>
      <c r="U254" s="35" t="s">
        <v>48</v>
      </c>
      <c r="V254" s="36" t="s">
        <v>47</v>
      </c>
      <c r="W254" s="36" t="s">
        <v>49</v>
      </c>
      <c r="X254" s="37" t="s">
        <v>50</v>
      </c>
      <c r="Y254" s="37" t="s">
        <v>51</v>
      </c>
      <c r="Z254" s="38" t="s">
        <v>48</v>
      </c>
      <c r="AA254" s="39" t="s">
        <v>47</v>
      </c>
      <c r="AB254" s="40" t="s">
        <v>48</v>
      </c>
      <c r="AC254" s="41" t="s">
        <v>47</v>
      </c>
      <c r="AD254" s="42" t="s">
        <v>52</v>
      </c>
    </row>
    <row r="255" spans="2:30">
      <c r="C255" s="43" t="s">
        <v>491</v>
      </c>
      <c r="D255" s="44" t="s">
        <v>492</v>
      </c>
      <c r="E255" s="44"/>
      <c r="F255" s="45">
        <v>42293.570173611108</v>
      </c>
      <c r="G255" s="46">
        <v>35</v>
      </c>
      <c r="H255" s="47">
        <v>43372</v>
      </c>
      <c r="I255" s="47">
        <v>43445</v>
      </c>
      <c r="J255" s="46">
        <v>772948</v>
      </c>
      <c r="K255" s="46">
        <v>0</v>
      </c>
      <c r="L255" s="46">
        <v>0</v>
      </c>
      <c r="M255" s="46">
        <f t="shared" ref="M255:M286" si="99">IFERROR(J255-K255-L255,0)</f>
        <v>772948</v>
      </c>
      <c r="N255" s="46">
        <v>772948</v>
      </c>
      <c r="O255" s="48">
        <f t="shared" ref="O255:O286" si="100">IFERROR(IF(1 - M255/N255&lt;0,0,1-M255/N255),0)</f>
        <v>0</v>
      </c>
      <c r="P255" s="46">
        <v>0</v>
      </c>
      <c r="Q255" s="46">
        <v>772948</v>
      </c>
      <c r="R255" s="49">
        <f t="shared" ref="R255:R286" si="101">IF(F255&lt;DATEVALUE("2018-07-01"),1,0)</f>
        <v>1</v>
      </c>
      <c r="S255" s="50">
        <f t="shared" ref="S255:S286" si="102">IF(R255=1,1%,0)</f>
        <v>0.01</v>
      </c>
      <c r="T255" s="49">
        <f t="shared" ref="T255:T286" si="103">IFERROR(S255*M255,0)</f>
        <v>7729.4800000000005</v>
      </c>
      <c r="U255" s="51">
        <f t="shared" ref="U255:U286" si="104">IF(O255&lt;=0.12,1,0)*(1-R255)*M255</f>
        <v>0</v>
      </c>
      <c r="V255" s="52">
        <f>IF(0&lt;0.8,0,IF(0&lt;1,Sheet3!L253,1))*IF(G255&lt;3,0.12 - O255,0.01) *U255</f>
        <v>0</v>
      </c>
      <c r="W255" s="52">
        <f t="shared" ref="W255:W286" si="105">IF(0&gt;1,IF(0&lt;=1.1,1,IF(0&lt;=1.2,2,IF(0&lt;=1.5,3,5))),0) * 1000000</f>
        <v>0</v>
      </c>
      <c r="X255" s="53">
        <f t="shared" ref="X255:X286" si="106">IF(AND(P255&gt;=150000000,P255&lt;300000000),5000000,IF(AND(P255&gt;=300000000,P255&lt;500000000),10000000,IF(AND(P255&gt;=300000000,P255&lt;500000000),15000000,IF(AND(P255&gt;=500000000,P255&lt;3000000000),20000000,IF(P255&gt;=30000000000,35000000,0))))) * (1-R255)</f>
        <v>0</v>
      </c>
      <c r="Y255" s="53">
        <f t="shared" ref="Y255:Y286" si="107">IFERROR(Q255 * (1-R255),0)</f>
        <v>0</v>
      </c>
      <c r="Z255" s="54">
        <f t="shared" ref="Z255:Z286" si="108">IF(R255=1,0,0)</f>
        <v>0</v>
      </c>
      <c r="AA255" s="54">
        <f t="shared" ref="AA255:AA286" si="109">IFERROR((1-R255) * Z255 * 2%,0)</f>
        <v>0</v>
      </c>
      <c r="AB255" s="55">
        <f>IF(R255=0,0,0)</f>
        <v>0</v>
      </c>
      <c r="AC255" s="55">
        <f t="shared" ref="AC255:AC286" si="110">IFERROR(AB255 * (1-R255) * 2%,0)</f>
        <v>0</v>
      </c>
      <c r="AD255" s="56">
        <f t="shared" ref="AD255:AD286" si="111">T255+V255+W255+X255+AA255+AC255</f>
        <v>7729.4800000000005</v>
      </c>
    </row>
    <row r="256" spans="2:30">
      <c r="C256" s="43" t="s">
        <v>493</v>
      </c>
      <c r="D256" s="44" t="s">
        <v>494</v>
      </c>
      <c r="E256" s="44"/>
      <c r="F256" s="45">
        <v>42478.387743055551</v>
      </c>
      <c r="G256" s="46">
        <v>29</v>
      </c>
      <c r="H256" s="47">
        <v>43372</v>
      </c>
      <c r="I256" s="47">
        <v>43384</v>
      </c>
      <c r="J256" s="46">
        <v>227251</v>
      </c>
      <c r="K256" s="46">
        <v>0</v>
      </c>
      <c r="L256" s="46">
        <v>0</v>
      </c>
      <c r="M256" s="46">
        <f t="shared" si="99"/>
        <v>227251</v>
      </c>
      <c r="N256" s="46">
        <v>227251</v>
      </c>
      <c r="O256" s="48">
        <f t="shared" si="100"/>
        <v>0</v>
      </c>
      <c r="P256" s="46">
        <v>0</v>
      </c>
      <c r="Q256" s="46">
        <v>227251</v>
      </c>
      <c r="R256" s="49">
        <f t="shared" si="101"/>
        <v>1</v>
      </c>
      <c r="S256" s="50">
        <f t="shared" si="102"/>
        <v>0.01</v>
      </c>
      <c r="T256" s="49">
        <f t="shared" si="103"/>
        <v>2272.5100000000002</v>
      </c>
      <c r="U256" s="51">
        <f t="shared" si="104"/>
        <v>0</v>
      </c>
      <c r="V256" s="52">
        <f>IF(0&lt;0.8,0,IF(0&lt;1,Sheet3!L253,1))*IF(G256&lt;3,0.12 - O256,0.01) *U256</f>
        <v>0</v>
      </c>
      <c r="W256" s="52">
        <f t="shared" si="105"/>
        <v>0</v>
      </c>
      <c r="X256" s="53">
        <f t="shared" si="106"/>
        <v>0</v>
      </c>
      <c r="Y256" s="53">
        <f t="shared" si="107"/>
        <v>0</v>
      </c>
      <c r="Z256" s="54">
        <f t="shared" si="108"/>
        <v>0</v>
      </c>
      <c r="AA256" s="54">
        <f t="shared" si="109"/>
        <v>0</v>
      </c>
      <c r="AB256" s="55">
        <f>IF(R256=0,0,0)</f>
        <v>0</v>
      </c>
      <c r="AC256" s="55">
        <f t="shared" si="110"/>
        <v>0</v>
      </c>
      <c r="AD256" s="56">
        <f t="shared" si="111"/>
        <v>2272.5100000000002</v>
      </c>
    </row>
    <row r="257" spans="3:30">
      <c r="C257" s="43" t="s">
        <v>495</v>
      </c>
      <c r="D257" s="44" t="s">
        <v>496</v>
      </c>
      <c r="E257" s="44"/>
      <c r="F257" s="45">
        <v>42566.187372685185</v>
      </c>
      <c r="G257" s="46">
        <v>26</v>
      </c>
      <c r="H257" s="47">
        <v>43385</v>
      </c>
      <c r="I257" s="47">
        <v>43402</v>
      </c>
      <c r="J257" s="46">
        <v>27269028</v>
      </c>
      <c r="K257" s="46">
        <v>0</v>
      </c>
      <c r="L257" s="46">
        <v>0</v>
      </c>
      <c r="M257" s="46">
        <f t="shared" si="99"/>
        <v>27269028</v>
      </c>
      <c r="N257" s="46">
        <v>18607823</v>
      </c>
      <c r="O257" s="48">
        <f t="shared" si="100"/>
        <v>0</v>
      </c>
      <c r="P257" s="46">
        <v>0</v>
      </c>
      <c r="Q257" s="46">
        <v>27269028</v>
      </c>
      <c r="R257" s="49">
        <f t="shared" si="101"/>
        <v>1</v>
      </c>
      <c r="S257" s="50">
        <f t="shared" si="102"/>
        <v>0.01</v>
      </c>
      <c r="T257" s="49">
        <f t="shared" si="103"/>
        <v>272690.28000000003</v>
      </c>
      <c r="U257" s="51">
        <f t="shared" si="104"/>
        <v>0</v>
      </c>
      <c r="V257" s="52">
        <f>IF(0&lt;0.8,0,IF(0&lt;1,Sheet3!L253,1))*IF(G257&lt;3,0.12 - O257,0.01) *U257</f>
        <v>0</v>
      </c>
      <c r="W257" s="52">
        <f t="shared" si="105"/>
        <v>0</v>
      </c>
      <c r="X257" s="53">
        <f t="shared" si="106"/>
        <v>0</v>
      </c>
      <c r="Y257" s="53">
        <f t="shared" si="107"/>
        <v>0</v>
      </c>
      <c r="Z257" s="54">
        <f t="shared" si="108"/>
        <v>0</v>
      </c>
      <c r="AA257" s="54">
        <f t="shared" si="109"/>
        <v>0</v>
      </c>
      <c r="AB257" s="55">
        <f>IF(R257=0,8661202,0)</f>
        <v>0</v>
      </c>
      <c r="AC257" s="55">
        <f t="shared" si="110"/>
        <v>0</v>
      </c>
      <c r="AD257" s="56">
        <f t="shared" si="111"/>
        <v>272690.28000000003</v>
      </c>
    </row>
    <row r="258" spans="3:30">
      <c r="C258" s="43" t="s">
        <v>497</v>
      </c>
      <c r="D258" s="44" t="s">
        <v>498</v>
      </c>
      <c r="E258" s="44"/>
      <c r="F258" s="45">
        <v>42796.103483796294</v>
      </c>
      <c r="G258" s="46">
        <v>18</v>
      </c>
      <c r="H258" s="47">
        <v>43372</v>
      </c>
      <c r="I258" s="47">
        <v>43446</v>
      </c>
      <c r="J258" s="46">
        <v>1707773</v>
      </c>
      <c r="K258" s="46">
        <v>0</v>
      </c>
      <c r="L258" s="46">
        <v>0</v>
      </c>
      <c r="M258" s="46">
        <f t="shared" si="99"/>
        <v>1707773</v>
      </c>
      <c r="N258" s="46">
        <v>2193626</v>
      </c>
      <c r="O258" s="48">
        <f t="shared" si="100"/>
        <v>0.22148397219945426</v>
      </c>
      <c r="P258" s="46">
        <v>0</v>
      </c>
      <c r="Q258" s="46">
        <v>1707773</v>
      </c>
      <c r="R258" s="49">
        <f t="shared" si="101"/>
        <v>1</v>
      </c>
      <c r="S258" s="50">
        <f t="shared" si="102"/>
        <v>0.01</v>
      </c>
      <c r="T258" s="49">
        <f t="shared" si="103"/>
        <v>17077.73</v>
      </c>
      <c r="U258" s="51">
        <f t="shared" si="104"/>
        <v>0</v>
      </c>
      <c r="V258" s="52">
        <f>IF(0&lt;0.8,0,IF(0&lt;1,Sheet3!L253,1))*IF(G258&lt;3,0.12 - O258,0.01) *U258</f>
        <v>0</v>
      </c>
      <c r="W258" s="52">
        <f t="shared" si="105"/>
        <v>0</v>
      </c>
      <c r="X258" s="53">
        <f t="shared" si="106"/>
        <v>0</v>
      </c>
      <c r="Y258" s="53">
        <f t="shared" si="107"/>
        <v>0</v>
      </c>
      <c r="Z258" s="54">
        <f t="shared" si="108"/>
        <v>0</v>
      </c>
      <c r="AA258" s="54">
        <f t="shared" si="109"/>
        <v>0</v>
      </c>
      <c r="AB258" s="55">
        <f t="shared" ref="AB258:AB274" si="112">IF(R258=0,0,0)</f>
        <v>0</v>
      </c>
      <c r="AC258" s="55">
        <f t="shared" si="110"/>
        <v>0</v>
      </c>
      <c r="AD258" s="56">
        <f t="shared" si="111"/>
        <v>17077.73</v>
      </c>
    </row>
    <row r="259" spans="3:30">
      <c r="C259" s="43" t="s">
        <v>499</v>
      </c>
      <c r="D259" s="44" t="s">
        <v>500</v>
      </c>
      <c r="E259" s="44"/>
      <c r="F259" s="45">
        <v>42873.186597222222</v>
      </c>
      <c r="G259" s="46">
        <v>16</v>
      </c>
      <c r="H259" s="47">
        <v>43374</v>
      </c>
      <c r="I259" s="47">
        <v>43397</v>
      </c>
      <c r="J259" s="46">
        <v>7043773</v>
      </c>
      <c r="K259" s="46">
        <v>640343</v>
      </c>
      <c r="L259" s="46">
        <v>0</v>
      </c>
      <c r="M259" s="46">
        <f t="shared" si="99"/>
        <v>6403430</v>
      </c>
      <c r="N259" s="46">
        <v>7051215</v>
      </c>
      <c r="O259" s="48">
        <f t="shared" si="100"/>
        <v>9.1868564495622418E-2</v>
      </c>
      <c r="P259" s="46">
        <v>0</v>
      </c>
      <c r="Q259" s="46">
        <v>7043773</v>
      </c>
      <c r="R259" s="49">
        <f t="shared" si="101"/>
        <v>1</v>
      </c>
      <c r="S259" s="50">
        <f t="shared" si="102"/>
        <v>0.01</v>
      </c>
      <c r="T259" s="49">
        <f t="shared" si="103"/>
        <v>64034.3</v>
      </c>
      <c r="U259" s="51">
        <f t="shared" si="104"/>
        <v>0</v>
      </c>
      <c r="V259" s="52">
        <f>IF(0&lt;0.8,0,IF(0&lt;1,Sheet3!L253,1))*IF(G259&lt;3,0.12 - O259,0.01) *U259</f>
        <v>0</v>
      </c>
      <c r="W259" s="52">
        <f t="shared" si="105"/>
        <v>0</v>
      </c>
      <c r="X259" s="53">
        <f t="shared" si="106"/>
        <v>0</v>
      </c>
      <c r="Y259" s="53">
        <f t="shared" si="107"/>
        <v>0</v>
      </c>
      <c r="Z259" s="54">
        <f t="shared" si="108"/>
        <v>0</v>
      </c>
      <c r="AA259" s="54">
        <f t="shared" si="109"/>
        <v>0</v>
      </c>
      <c r="AB259" s="55">
        <f t="shared" si="112"/>
        <v>0</v>
      </c>
      <c r="AC259" s="55">
        <f t="shared" si="110"/>
        <v>0</v>
      </c>
      <c r="AD259" s="56">
        <f t="shared" si="111"/>
        <v>64034.3</v>
      </c>
    </row>
    <row r="260" spans="3:30">
      <c r="C260" s="43" t="s">
        <v>501</v>
      </c>
      <c r="D260" s="44" t="s">
        <v>502</v>
      </c>
      <c r="E260" s="44"/>
      <c r="F260" s="45">
        <v>41073.365856481483</v>
      </c>
      <c r="G260" s="46">
        <v>75</v>
      </c>
      <c r="H260" s="47" t="s">
        <v>24</v>
      </c>
      <c r="I260" s="47" t="s">
        <v>24</v>
      </c>
      <c r="J260" s="46">
        <v>398470</v>
      </c>
      <c r="K260" s="46">
        <v>0</v>
      </c>
      <c r="L260" s="46">
        <v>0</v>
      </c>
      <c r="M260" s="46">
        <f t="shared" si="99"/>
        <v>398470</v>
      </c>
      <c r="N260" s="46">
        <v>398470</v>
      </c>
      <c r="O260" s="48">
        <f t="shared" si="100"/>
        <v>0</v>
      </c>
      <c r="P260" s="46">
        <v>0</v>
      </c>
      <c r="Q260" s="46">
        <v>398470</v>
      </c>
      <c r="R260" s="49">
        <f t="shared" si="101"/>
        <v>1</v>
      </c>
      <c r="S260" s="50">
        <f t="shared" si="102"/>
        <v>0.01</v>
      </c>
      <c r="T260" s="49">
        <f t="shared" si="103"/>
        <v>3984.7000000000003</v>
      </c>
      <c r="U260" s="51">
        <f t="shared" si="104"/>
        <v>0</v>
      </c>
      <c r="V260" s="52">
        <f>IF(0&lt;0.8,0,IF(0&lt;1,Sheet3!L253,1))*IF(G260&lt;3,0.12 - O260,0.01) *U260</f>
        <v>0</v>
      </c>
      <c r="W260" s="52">
        <f t="shared" si="105"/>
        <v>0</v>
      </c>
      <c r="X260" s="53">
        <f t="shared" si="106"/>
        <v>0</v>
      </c>
      <c r="Y260" s="53">
        <f t="shared" si="107"/>
        <v>0</v>
      </c>
      <c r="Z260" s="54">
        <f t="shared" si="108"/>
        <v>0</v>
      </c>
      <c r="AA260" s="54">
        <f t="shared" si="109"/>
        <v>0</v>
      </c>
      <c r="AB260" s="55">
        <f t="shared" si="112"/>
        <v>0</v>
      </c>
      <c r="AC260" s="55">
        <f t="shared" si="110"/>
        <v>0</v>
      </c>
      <c r="AD260" s="56">
        <f t="shared" si="111"/>
        <v>3984.7000000000003</v>
      </c>
    </row>
    <row r="261" spans="3:30">
      <c r="C261" s="43" t="s">
        <v>503</v>
      </c>
      <c r="D261" s="44" t="s">
        <v>504</v>
      </c>
      <c r="E261" s="44"/>
      <c r="F261" s="45">
        <v>42653.286689814813</v>
      </c>
      <c r="G261" s="46">
        <v>23</v>
      </c>
      <c r="H261" s="47">
        <v>43465</v>
      </c>
      <c r="I261" s="47">
        <v>43489</v>
      </c>
      <c r="J261" s="46">
        <v>9636527</v>
      </c>
      <c r="K261" s="46">
        <v>828238</v>
      </c>
      <c r="L261" s="46">
        <v>0</v>
      </c>
      <c r="M261" s="46">
        <f t="shared" si="99"/>
        <v>8808289</v>
      </c>
      <c r="N261" s="46">
        <v>9588129</v>
      </c>
      <c r="O261" s="48">
        <f t="shared" si="100"/>
        <v>8.1333907793689431E-2</v>
      </c>
      <c r="P261" s="46">
        <v>0</v>
      </c>
      <c r="Q261" s="46">
        <v>9636527</v>
      </c>
      <c r="R261" s="49">
        <f t="shared" si="101"/>
        <v>1</v>
      </c>
      <c r="S261" s="50">
        <f t="shared" si="102"/>
        <v>0.01</v>
      </c>
      <c r="T261" s="49">
        <f t="shared" si="103"/>
        <v>88082.89</v>
      </c>
      <c r="U261" s="51">
        <f t="shared" si="104"/>
        <v>0</v>
      </c>
      <c r="V261" s="52">
        <f>IF(0&lt;0.8,0,IF(0&lt;1,Sheet3!L253,1))*IF(G261&lt;3,0.12 - O261,0.01) *U261</f>
        <v>0</v>
      </c>
      <c r="W261" s="52">
        <f t="shared" si="105"/>
        <v>0</v>
      </c>
      <c r="X261" s="53">
        <f t="shared" si="106"/>
        <v>0</v>
      </c>
      <c r="Y261" s="53">
        <f t="shared" si="107"/>
        <v>0</v>
      </c>
      <c r="Z261" s="54">
        <f t="shared" si="108"/>
        <v>0</v>
      </c>
      <c r="AA261" s="54">
        <f t="shared" si="109"/>
        <v>0</v>
      </c>
      <c r="AB261" s="55">
        <f t="shared" si="112"/>
        <v>0</v>
      </c>
      <c r="AC261" s="55">
        <f t="shared" si="110"/>
        <v>0</v>
      </c>
      <c r="AD261" s="56">
        <f t="shared" si="111"/>
        <v>88082.89</v>
      </c>
    </row>
    <row r="262" spans="3:30">
      <c r="C262" s="43" t="s">
        <v>505</v>
      </c>
      <c r="D262" s="44" t="s">
        <v>506</v>
      </c>
      <c r="E262" s="44"/>
      <c r="F262" s="45">
        <v>42702.376944444441</v>
      </c>
      <c r="G262" s="46">
        <v>22</v>
      </c>
      <c r="H262" s="47">
        <v>43385</v>
      </c>
      <c r="I262" s="47">
        <v>43406</v>
      </c>
      <c r="J262" s="46">
        <v>5739748</v>
      </c>
      <c r="K262" s="46">
        <v>0</v>
      </c>
      <c r="L262" s="46">
        <v>0</v>
      </c>
      <c r="M262" s="46">
        <f t="shared" si="99"/>
        <v>5739748</v>
      </c>
      <c r="N262" s="46">
        <v>5739748</v>
      </c>
      <c r="O262" s="48">
        <f t="shared" si="100"/>
        <v>0</v>
      </c>
      <c r="P262" s="46">
        <v>0</v>
      </c>
      <c r="Q262" s="46">
        <v>5739748</v>
      </c>
      <c r="R262" s="49">
        <f t="shared" si="101"/>
        <v>1</v>
      </c>
      <c r="S262" s="50">
        <f t="shared" si="102"/>
        <v>0.01</v>
      </c>
      <c r="T262" s="49">
        <f t="shared" si="103"/>
        <v>57397.48</v>
      </c>
      <c r="U262" s="51">
        <f t="shared" si="104"/>
        <v>0</v>
      </c>
      <c r="V262" s="52">
        <f>IF(0&lt;0.8,0,IF(0&lt;1,Sheet3!L253,1))*IF(G262&lt;3,0.12 - O262,0.01) *U262</f>
        <v>0</v>
      </c>
      <c r="W262" s="52">
        <f t="shared" si="105"/>
        <v>0</v>
      </c>
      <c r="X262" s="53">
        <f t="shared" si="106"/>
        <v>0</v>
      </c>
      <c r="Y262" s="53">
        <f t="shared" si="107"/>
        <v>0</v>
      </c>
      <c r="Z262" s="54">
        <f t="shared" si="108"/>
        <v>0</v>
      </c>
      <c r="AA262" s="54">
        <f t="shared" si="109"/>
        <v>0</v>
      </c>
      <c r="AB262" s="55">
        <f t="shared" si="112"/>
        <v>0</v>
      </c>
      <c r="AC262" s="55">
        <f t="shared" si="110"/>
        <v>0</v>
      </c>
      <c r="AD262" s="56">
        <f t="shared" si="111"/>
        <v>57397.48</v>
      </c>
    </row>
    <row r="263" spans="3:30">
      <c r="C263" s="43" t="s">
        <v>507</v>
      </c>
      <c r="D263" s="44" t="s">
        <v>508</v>
      </c>
      <c r="E263" s="44"/>
      <c r="F263" s="45">
        <v>42916.185150462959</v>
      </c>
      <c r="G263" s="46">
        <v>15</v>
      </c>
      <c r="H263" s="47">
        <v>43385</v>
      </c>
      <c r="I263" s="47">
        <v>43426</v>
      </c>
      <c r="J263" s="46">
        <v>2141552</v>
      </c>
      <c r="K263" s="46">
        <v>0</v>
      </c>
      <c r="L263" s="46">
        <v>0</v>
      </c>
      <c r="M263" s="46">
        <f t="shared" si="99"/>
        <v>2141552</v>
      </c>
      <c r="N263" s="46">
        <v>2140402</v>
      </c>
      <c r="O263" s="48">
        <f t="shared" si="100"/>
        <v>0</v>
      </c>
      <c r="P263" s="46">
        <v>0</v>
      </c>
      <c r="Q263" s="46">
        <v>2141552</v>
      </c>
      <c r="R263" s="49">
        <f t="shared" si="101"/>
        <v>1</v>
      </c>
      <c r="S263" s="50">
        <f t="shared" si="102"/>
        <v>0.01</v>
      </c>
      <c r="T263" s="49">
        <f t="shared" si="103"/>
        <v>21415.52</v>
      </c>
      <c r="U263" s="51">
        <f t="shared" si="104"/>
        <v>0</v>
      </c>
      <c r="V263" s="52">
        <f>IF(0&lt;0.8,0,IF(0&lt;1,Sheet3!L253,1))*IF(G263&lt;3,0.12 - O263,0.01) *U263</f>
        <v>0</v>
      </c>
      <c r="W263" s="52">
        <f t="shared" si="105"/>
        <v>0</v>
      </c>
      <c r="X263" s="53">
        <f t="shared" si="106"/>
        <v>0</v>
      </c>
      <c r="Y263" s="53">
        <f t="shared" si="107"/>
        <v>0</v>
      </c>
      <c r="Z263" s="54">
        <f t="shared" si="108"/>
        <v>0</v>
      </c>
      <c r="AA263" s="54">
        <f t="shared" si="109"/>
        <v>0</v>
      </c>
      <c r="AB263" s="55">
        <f t="shared" si="112"/>
        <v>0</v>
      </c>
      <c r="AC263" s="55">
        <f t="shared" si="110"/>
        <v>0</v>
      </c>
      <c r="AD263" s="56">
        <f t="shared" si="111"/>
        <v>21415.52</v>
      </c>
    </row>
    <row r="264" spans="3:30">
      <c r="C264" s="43" t="s">
        <v>509</v>
      </c>
      <c r="D264" s="44" t="s">
        <v>510</v>
      </c>
      <c r="E264" s="44"/>
      <c r="F264" s="45">
        <v>42955.296412037038</v>
      </c>
      <c r="G264" s="46">
        <v>13</v>
      </c>
      <c r="H264" s="47">
        <v>43376</v>
      </c>
      <c r="I264" s="47">
        <v>43409</v>
      </c>
      <c r="J264" s="46">
        <v>742650</v>
      </c>
      <c r="K264" s="46">
        <v>0</v>
      </c>
      <c r="L264" s="46">
        <v>0</v>
      </c>
      <c r="M264" s="46">
        <f t="shared" si="99"/>
        <v>742650</v>
      </c>
      <c r="N264" s="46">
        <v>664000</v>
      </c>
      <c r="O264" s="48">
        <f t="shared" si="100"/>
        <v>0</v>
      </c>
      <c r="P264" s="46">
        <v>0</v>
      </c>
      <c r="Q264" s="46">
        <v>742650</v>
      </c>
      <c r="R264" s="49">
        <f t="shared" si="101"/>
        <v>1</v>
      </c>
      <c r="S264" s="50">
        <f t="shared" si="102"/>
        <v>0.01</v>
      </c>
      <c r="T264" s="49">
        <f t="shared" si="103"/>
        <v>7426.5</v>
      </c>
      <c r="U264" s="51">
        <f t="shared" si="104"/>
        <v>0</v>
      </c>
      <c r="V264" s="52">
        <f>IF(0&lt;0.8,0,IF(0&lt;1,Sheet3!L253,1))*IF(G264&lt;3,0.12 - O264,0.01) *U264</f>
        <v>0</v>
      </c>
      <c r="W264" s="52">
        <f t="shared" si="105"/>
        <v>0</v>
      </c>
      <c r="X264" s="53">
        <f t="shared" si="106"/>
        <v>0</v>
      </c>
      <c r="Y264" s="53">
        <f t="shared" si="107"/>
        <v>0</v>
      </c>
      <c r="Z264" s="54">
        <f t="shared" si="108"/>
        <v>0</v>
      </c>
      <c r="AA264" s="54">
        <f t="shared" si="109"/>
        <v>0</v>
      </c>
      <c r="AB264" s="55">
        <f t="shared" si="112"/>
        <v>0</v>
      </c>
      <c r="AC264" s="55">
        <f t="shared" si="110"/>
        <v>0</v>
      </c>
      <c r="AD264" s="56">
        <f t="shared" si="111"/>
        <v>7426.5</v>
      </c>
    </row>
    <row r="265" spans="3:30">
      <c r="C265" s="43" t="s">
        <v>511</v>
      </c>
      <c r="D265" s="44" t="s">
        <v>512</v>
      </c>
      <c r="E265" s="44"/>
      <c r="F265" s="45">
        <v>43164.196597222217</v>
      </c>
      <c r="G265" s="46">
        <v>6</v>
      </c>
      <c r="H265" s="47">
        <v>43376</v>
      </c>
      <c r="I265" s="47">
        <v>43386</v>
      </c>
      <c r="J265" s="46">
        <v>75612</v>
      </c>
      <c r="K265" s="46">
        <v>0</v>
      </c>
      <c r="L265" s="46">
        <v>0</v>
      </c>
      <c r="M265" s="46">
        <f t="shared" si="99"/>
        <v>75612</v>
      </c>
      <c r="N265" s="46">
        <v>119700</v>
      </c>
      <c r="O265" s="48">
        <f t="shared" si="100"/>
        <v>0.36832080200501249</v>
      </c>
      <c r="P265" s="46">
        <v>0</v>
      </c>
      <c r="Q265" s="46">
        <v>75612</v>
      </c>
      <c r="R265" s="49">
        <f t="shared" si="101"/>
        <v>1</v>
      </c>
      <c r="S265" s="50">
        <f t="shared" si="102"/>
        <v>0.01</v>
      </c>
      <c r="T265" s="49">
        <f t="shared" si="103"/>
        <v>756.12</v>
      </c>
      <c r="U265" s="51">
        <f t="shared" si="104"/>
        <v>0</v>
      </c>
      <c r="V265" s="52">
        <f>IF(0&lt;0.8,0,IF(0&lt;1,Sheet3!L253,1))*IF(G265&lt;3,0.12 - O265,0.01) *U265</f>
        <v>0</v>
      </c>
      <c r="W265" s="52">
        <f t="shared" si="105"/>
        <v>0</v>
      </c>
      <c r="X265" s="53">
        <f t="shared" si="106"/>
        <v>0</v>
      </c>
      <c r="Y265" s="53">
        <f t="shared" si="107"/>
        <v>0</v>
      </c>
      <c r="Z265" s="54">
        <f t="shared" si="108"/>
        <v>0</v>
      </c>
      <c r="AA265" s="54">
        <f t="shared" si="109"/>
        <v>0</v>
      </c>
      <c r="AB265" s="55">
        <f t="shared" si="112"/>
        <v>0</v>
      </c>
      <c r="AC265" s="55">
        <f t="shared" si="110"/>
        <v>0</v>
      </c>
      <c r="AD265" s="56">
        <f t="shared" si="111"/>
        <v>756.12</v>
      </c>
    </row>
    <row r="266" spans="3:30">
      <c r="C266" s="43" t="s">
        <v>513</v>
      </c>
      <c r="D266" s="44" t="s">
        <v>514</v>
      </c>
      <c r="E266" s="44"/>
      <c r="F266" s="45">
        <v>43165.354942129627</v>
      </c>
      <c r="G266" s="46">
        <v>6</v>
      </c>
      <c r="H266" s="47">
        <v>43388</v>
      </c>
      <c r="I266" s="47">
        <v>43391</v>
      </c>
      <c r="J266" s="46">
        <v>10626999</v>
      </c>
      <c r="K266" s="46">
        <v>0</v>
      </c>
      <c r="L266" s="46">
        <v>0</v>
      </c>
      <c r="M266" s="46">
        <f t="shared" si="99"/>
        <v>10626999</v>
      </c>
      <c r="N266" s="46">
        <v>10061522</v>
      </c>
      <c r="O266" s="48">
        <f t="shared" si="100"/>
        <v>0</v>
      </c>
      <c r="P266" s="46">
        <v>0</v>
      </c>
      <c r="Q266" s="46">
        <v>10626999</v>
      </c>
      <c r="R266" s="49">
        <f t="shared" si="101"/>
        <v>1</v>
      </c>
      <c r="S266" s="50">
        <f t="shared" si="102"/>
        <v>0.01</v>
      </c>
      <c r="T266" s="49">
        <f t="shared" si="103"/>
        <v>106269.99</v>
      </c>
      <c r="U266" s="51">
        <f t="shared" si="104"/>
        <v>0</v>
      </c>
      <c r="V266" s="52">
        <f>IF(0&lt;0.8,0,IF(0&lt;1,Sheet3!L253,1))*IF(G266&lt;3,0.12 - O266,0.01) *U266</f>
        <v>0</v>
      </c>
      <c r="W266" s="52">
        <f t="shared" si="105"/>
        <v>0</v>
      </c>
      <c r="X266" s="53">
        <f t="shared" si="106"/>
        <v>0</v>
      </c>
      <c r="Y266" s="53">
        <f t="shared" si="107"/>
        <v>0</v>
      </c>
      <c r="Z266" s="54">
        <f t="shared" si="108"/>
        <v>0</v>
      </c>
      <c r="AA266" s="54">
        <f t="shared" si="109"/>
        <v>0</v>
      </c>
      <c r="AB266" s="55">
        <f t="shared" si="112"/>
        <v>0</v>
      </c>
      <c r="AC266" s="55">
        <f t="shared" si="110"/>
        <v>0</v>
      </c>
      <c r="AD266" s="56">
        <f t="shared" si="111"/>
        <v>106269.99</v>
      </c>
    </row>
    <row r="267" spans="3:30">
      <c r="C267" s="43" t="s">
        <v>515</v>
      </c>
      <c r="D267" s="44" t="s">
        <v>516</v>
      </c>
      <c r="E267" s="44"/>
      <c r="F267" s="45">
        <v>43235.191469907404</v>
      </c>
      <c r="G267" s="46">
        <v>4</v>
      </c>
      <c r="H267" s="47">
        <v>43388</v>
      </c>
      <c r="I267" s="47">
        <v>43410</v>
      </c>
      <c r="J267" s="46">
        <v>3480202</v>
      </c>
      <c r="K267" s="46">
        <v>0</v>
      </c>
      <c r="L267" s="46">
        <v>0</v>
      </c>
      <c r="M267" s="46">
        <f t="shared" si="99"/>
        <v>3480202</v>
      </c>
      <c r="N267" s="46">
        <v>3480202</v>
      </c>
      <c r="O267" s="48">
        <f t="shared" si="100"/>
        <v>0</v>
      </c>
      <c r="P267" s="46">
        <v>0</v>
      </c>
      <c r="Q267" s="46">
        <v>3480202</v>
      </c>
      <c r="R267" s="49">
        <f t="shared" si="101"/>
        <v>1</v>
      </c>
      <c r="S267" s="50">
        <f t="shared" si="102"/>
        <v>0.01</v>
      </c>
      <c r="T267" s="49">
        <f t="shared" si="103"/>
        <v>34802.020000000004</v>
      </c>
      <c r="U267" s="51">
        <f t="shared" si="104"/>
        <v>0</v>
      </c>
      <c r="V267" s="52">
        <f>IF(0&lt;0.8,0,IF(0&lt;1,Sheet3!L253,1))*IF(G267&lt;3,0.12 - O267,0.01) *U267</f>
        <v>0</v>
      </c>
      <c r="W267" s="52">
        <f t="shared" si="105"/>
        <v>0</v>
      </c>
      <c r="X267" s="53">
        <f t="shared" si="106"/>
        <v>0</v>
      </c>
      <c r="Y267" s="53">
        <f t="shared" si="107"/>
        <v>0</v>
      </c>
      <c r="Z267" s="54">
        <f t="shared" si="108"/>
        <v>0</v>
      </c>
      <c r="AA267" s="54">
        <f t="shared" si="109"/>
        <v>0</v>
      </c>
      <c r="AB267" s="55">
        <f t="shared" si="112"/>
        <v>0</v>
      </c>
      <c r="AC267" s="55">
        <f t="shared" si="110"/>
        <v>0</v>
      </c>
      <c r="AD267" s="56">
        <f t="shared" si="111"/>
        <v>34802.020000000004</v>
      </c>
    </row>
    <row r="268" spans="3:30">
      <c r="C268" s="43" t="s">
        <v>517</v>
      </c>
      <c r="D268" s="44" t="s">
        <v>518</v>
      </c>
      <c r="E268" s="44"/>
      <c r="F268" s="45">
        <v>43237.384641203702</v>
      </c>
      <c r="G268" s="46">
        <v>4</v>
      </c>
      <c r="H268" s="47">
        <v>43388</v>
      </c>
      <c r="I268" s="47">
        <v>43418</v>
      </c>
      <c r="J268" s="46">
        <v>2479169</v>
      </c>
      <c r="K268" s="46">
        <v>0</v>
      </c>
      <c r="L268" s="46">
        <v>0</v>
      </c>
      <c r="M268" s="46">
        <f t="shared" si="99"/>
        <v>2479169</v>
      </c>
      <c r="N268" s="46">
        <v>2479169</v>
      </c>
      <c r="O268" s="48">
        <f t="shared" si="100"/>
        <v>0</v>
      </c>
      <c r="P268" s="46">
        <v>0</v>
      </c>
      <c r="Q268" s="46">
        <v>2479169</v>
      </c>
      <c r="R268" s="49">
        <f t="shared" si="101"/>
        <v>1</v>
      </c>
      <c r="S268" s="50">
        <f t="shared" si="102"/>
        <v>0.01</v>
      </c>
      <c r="T268" s="49">
        <f t="shared" si="103"/>
        <v>24791.690000000002</v>
      </c>
      <c r="U268" s="51">
        <f t="shared" si="104"/>
        <v>0</v>
      </c>
      <c r="V268" s="52">
        <f>IF(0&lt;0.8,0,IF(0&lt;1,Sheet3!L253,1))*IF(G268&lt;3,0.12 - O268,0.01) *U268</f>
        <v>0</v>
      </c>
      <c r="W268" s="52">
        <f t="shared" si="105"/>
        <v>0</v>
      </c>
      <c r="X268" s="53">
        <f t="shared" si="106"/>
        <v>0</v>
      </c>
      <c r="Y268" s="53">
        <f t="shared" si="107"/>
        <v>0</v>
      </c>
      <c r="Z268" s="54">
        <f t="shared" si="108"/>
        <v>0</v>
      </c>
      <c r="AA268" s="54">
        <f t="shared" si="109"/>
        <v>0</v>
      </c>
      <c r="AB268" s="55">
        <f t="shared" si="112"/>
        <v>0</v>
      </c>
      <c r="AC268" s="55">
        <f t="shared" si="110"/>
        <v>0</v>
      </c>
      <c r="AD268" s="56">
        <f t="shared" si="111"/>
        <v>24791.690000000002</v>
      </c>
    </row>
    <row r="269" spans="3:30">
      <c r="C269" s="43" t="s">
        <v>519</v>
      </c>
      <c r="D269" s="44" t="s">
        <v>520</v>
      </c>
      <c r="E269" s="44"/>
      <c r="F269" s="45">
        <v>43241.327002314814</v>
      </c>
      <c r="G269" s="46">
        <v>4</v>
      </c>
      <c r="H269" s="47">
        <v>43376</v>
      </c>
      <c r="I269" s="47">
        <v>43392</v>
      </c>
      <c r="J269" s="46">
        <v>1781450</v>
      </c>
      <c r="K269" s="46">
        <v>0</v>
      </c>
      <c r="L269" s="46">
        <v>0</v>
      </c>
      <c r="M269" s="46">
        <f t="shared" si="99"/>
        <v>1781450</v>
      </c>
      <c r="N269" s="46">
        <v>1942897</v>
      </c>
      <c r="O269" s="48">
        <f t="shared" si="100"/>
        <v>8.3096015897909159E-2</v>
      </c>
      <c r="P269" s="46">
        <v>0</v>
      </c>
      <c r="Q269" s="46">
        <v>1781450</v>
      </c>
      <c r="R269" s="49">
        <f t="shared" si="101"/>
        <v>1</v>
      </c>
      <c r="S269" s="50">
        <f t="shared" si="102"/>
        <v>0.01</v>
      </c>
      <c r="T269" s="49">
        <f t="shared" si="103"/>
        <v>17814.5</v>
      </c>
      <c r="U269" s="51">
        <f t="shared" si="104"/>
        <v>0</v>
      </c>
      <c r="V269" s="52">
        <f>IF(0&lt;0.8,0,IF(0&lt;1,Sheet3!L253,1))*IF(G269&lt;3,0.12 - O269,0.01) *U269</f>
        <v>0</v>
      </c>
      <c r="W269" s="52">
        <f t="shared" si="105"/>
        <v>0</v>
      </c>
      <c r="X269" s="53">
        <f t="shared" si="106"/>
        <v>0</v>
      </c>
      <c r="Y269" s="53">
        <f t="shared" si="107"/>
        <v>0</v>
      </c>
      <c r="Z269" s="54">
        <f t="shared" si="108"/>
        <v>0</v>
      </c>
      <c r="AA269" s="54">
        <f t="shared" si="109"/>
        <v>0</v>
      </c>
      <c r="AB269" s="55">
        <f t="shared" si="112"/>
        <v>0</v>
      </c>
      <c r="AC269" s="55">
        <f t="shared" si="110"/>
        <v>0</v>
      </c>
      <c r="AD269" s="56">
        <f t="shared" si="111"/>
        <v>17814.5</v>
      </c>
    </row>
    <row r="270" spans="3:30">
      <c r="C270" s="43" t="s">
        <v>521</v>
      </c>
      <c r="D270" s="44" t="s">
        <v>522</v>
      </c>
      <c r="E270" s="44"/>
      <c r="F270" s="45">
        <v>43129.145543981482</v>
      </c>
      <c r="G270" s="46">
        <v>8</v>
      </c>
      <c r="H270" s="47">
        <v>43396</v>
      </c>
      <c r="I270" s="47">
        <v>43416</v>
      </c>
      <c r="J270" s="46">
        <v>4681281</v>
      </c>
      <c r="K270" s="46">
        <v>0</v>
      </c>
      <c r="L270" s="46">
        <v>0</v>
      </c>
      <c r="M270" s="46">
        <f t="shared" si="99"/>
        <v>4681281</v>
      </c>
      <c r="N270" s="46">
        <v>4540921</v>
      </c>
      <c r="O270" s="48">
        <f t="shared" si="100"/>
        <v>0</v>
      </c>
      <c r="P270" s="46">
        <v>0</v>
      </c>
      <c r="Q270" s="46">
        <v>4681281</v>
      </c>
      <c r="R270" s="49">
        <f t="shared" si="101"/>
        <v>1</v>
      </c>
      <c r="S270" s="50">
        <f t="shared" si="102"/>
        <v>0.01</v>
      </c>
      <c r="T270" s="49">
        <f t="shared" si="103"/>
        <v>46812.81</v>
      </c>
      <c r="U270" s="51">
        <f t="shared" si="104"/>
        <v>0</v>
      </c>
      <c r="V270" s="52">
        <f>IF(0&lt;0.8,0,IF(0&lt;1,Sheet3!L253,1))*IF(G270&lt;3,0.12 - O270,0.01) *U270</f>
        <v>0</v>
      </c>
      <c r="W270" s="52">
        <f t="shared" si="105"/>
        <v>0</v>
      </c>
      <c r="X270" s="53">
        <f t="shared" si="106"/>
        <v>0</v>
      </c>
      <c r="Y270" s="53">
        <f t="shared" si="107"/>
        <v>0</v>
      </c>
      <c r="Z270" s="54">
        <f t="shared" si="108"/>
        <v>0</v>
      </c>
      <c r="AA270" s="54">
        <f t="shared" si="109"/>
        <v>0</v>
      </c>
      <c r="AB270" s="55">
        <f t="shared" si="112"/>
        <v>0</v>
      </c>
      <c r="AC270" s="55">
        <f t="shared" si="110"/>
        <v>0</v>
      </c>
      <c r="AD270" s="56">
        <f t="shared" si="111"/>
        <v>46812.81</v>
      </c>
    </row>
    <row r="271" spans="3:30">
      <c r="C271" s="43" t="s">
        <v>523</v>
      </c>
      <c r="D271" s="44" t="s">
        <v>524</v>
      </c>
      <c r="E271" s="44"/>
      <c r="F271" s="45">
        <v>43164.192928240736</v>
      </c>
      <c r="G271" s="46">
        <v>6</v>
      </c>
      <c r="H271" s="47">
        <v>43376</v>
      </c>
      <c r="I271" s="47">
        <v>43395</v>
      </c>
      <c r="J271" s="46">
        <v>2430010</v>
      </c>
      <c r="K271" s="46">
        <v>0</v>
      </c>
      <c r="L271" s="46">
        <v>0</v>
      </c>
      <c r="M271" s="46">
        <f t="shared" si="99"/>
        <v>2430010</v>
      </c>
      <c r="N271" s="46">
        <v>2236141</v>
      </c>
      <c r="O271" s="48">
        <f t="shared" si="100"/>
        <v>0</v>
      </c>
      <c r="P271" s="46">
        <v>0</v>
      </c>
      <c r="Q271" s="46">
        <v>2430010</v>
      </c>
      <c r="R271" s="49">
        <f t="shared" si="101"/>
        <v>1</v>
      </c>
      <c r="S271" s="50">
        <f t="shared" si="102"/>
        <v>0.01</v>
      </c>
      <c r="T271" s="49">
        <f t="shared" si="103"/>
        <v>24300.100000000002</v>
      </c>
      <c r="U271" s="51">
        <f t="shared" si="104"/>
        <v>0</v>
      </c>
      <c r="V271" s="52">
        <f>IF(0&lt;0.8,0,IF(0&lt;1,Sheet3!L253,1))*IF(G271&lt;3,0.12 - O271,0.01) *U271</f>
        <v>0</v>
      </c>
      <c r="W271" s="52">
        <f t="shared" si="105"/>
        <v>0</v>
      </c>
      <c r="X271" s="53">
        <f t="shared" si="106"/>
        <v>0</v>
      </c>
      <c r="Y271" s="53">
        <f t="shared" si="107"/>
        <v>0</v>
      </c>
      <c r="Z271" s="54">
        <f t="shared" si="108"/>
        <v>0</v>
      </c>
      <c r="AA271" s="54">
        <f t="shared" si="109"/>
        <v>0</v>
      </c>
      <c r="AB271" s="55">
        <f t="shared" si="112"/>
        <v>0</v>
      </c>
      <c r="AC271" s="55">
        <f t="shared" si="110"/>
        <v>0</v>
      </c>
      <c r="AD271" s="56">
        <f t="shared" si="111"/>
        <v>24300.100000000002</v>
      </c>
    </row>
    <row r="272" spans="3:30">
      <c r="C272" s="43" t="s">
        <v>525</v>
      </c>
      <c r="D272" s="44" t="s">
        <v>526</v>
      </c>
      <c r="E272" s="44"/>
      <c r="F272" s="45">
        <v>41751.656273148146</v>
      </c>
      <c r="G272" s="46">
        <v>53</v>
      </c>
      <c r="H272" s="47">
        <v>43392</v>
      </c>
      <c r="I272" s="47">
        <v>43402</v>
      </c>
      <c r="J272" s="46">
        <v>46878018</v>
      </c>
      <c r="K272" s="46">
        <v>4137129</v>
      </c>
      <c r="L272" s="46">
        <v>0</v>
      </c>
      <c r="M272" s="46">
        <f t="shared" si="99"/>
        <v>42740889</v>
      </c>
      <c r="N272" s="46">
        <v>46406366</v>
      </c>
      <c r="O272" s="48">
        <f t="shared" si="100"/>
        <v>7.8986512324623726E-2</v>
      </c>
      <c r="P272" s="46">
        <v>0</v>
      </c>
      <c r="Q272" s="46">
        <v>46878018</v>
      </c>
      <c r="R272" s="49">
        <f t="shared" si="101"/>
        <v>1</v>
      </c>
      <c r="S272" s="50">
        <f t="shared" si="102"/>
        <v>0.01</v>
      </c>
      <c r="T272" s="49">
        <f t="shared" si="103"/>
        <v>427408.89</v>
      </c>
      <c r="U272" s="51">
        <f t="shared" si="104"/>
        <v>0</v>
      </c>
      <c r="V272" s="52">
        <f>IF(0&lt;0.8,0,IF(0&lt;1,Sheet3!L253,1))*IF(G272&lt;3,0.12 - O272,0.01) *U272</f>
        <v>0</v>
      </c>
      <c r="W272" s="52">
        <f t="shared" si="105"/>
        <v>0</v>
      </c>
      <c r="X272" s="53">
        <f t="shared" si="106"/>
        <v>0</v>
      </c>
      <c r="Y272" s="53">
        <f t="shared" si="107"/>
        <v>0</v>
      </c>
      <c r="Z272" s="54">
        <f t="shared" si="108"/>
        <v>0</v>
      </c>
      <c r="AA272" s="54">
        <f t="shared" si="109"/>
        <v>0</v>
      </c>
      <c r="AB272" s="55">
        <f t="shared" si="112"/>
        <v>0</v>
      </c>
      <c r="AC272" s="55">
        <f t="shared" si="110"/>
        <v>0</v>
      </c>
      <c r="AD272" s="56">
        <f t="shared" si="111"/>
        <v>427408.89</v>
      </c>
    </row>
    <row r="273" spans="2:30">
      <c r="C273" s="43" t="s">
        <v>527</v>
      </c>
      <c r="D273" s="44" t="s">
        <v>528</v>
      </c>
      <c r="E273" s="44"/>
      <c r="F273" s="45">
        <v>43178.364525462959</v>
      </c>
      <c r="G273" s="46">
        <v>6</v>
      </c>
      <c r="H273" s="47">
        <v>43388</v>
      </c>
      <c r="I273" s="47">
        <v>43459</v>
      </c>
      <c r="J273" s="46">
        <v>29300889</v>
      </c>
      <c r="K273" s="46">
        <v>0</v>
      </c>
      <c r="L273" s="46">
        <v>0</v>
      </c>
      <c r="M273" s="46">
        <f t="shared" si="99"/>
        <v>29300889</v>
      </c>
      <c r="N273" s="46">
        <v>27821682</v>
      </c>
      <c r="O273" s="48">
        <f t="shared" si="100"/>
        <v>0</v>
      </c>
      <c r="P273" s="46">
        <v>0</v>
      </c>
      <c r="Q273" s="46">
        <v>29300889</v>
      </c>
      <c r="R273" s="49">
        <f t="shared" si="101"/>
        <v>1</v>
      </c>
      <c r="S273" s="50">
        <f t="shared" si="102"/>
        <v>0.01</v>
      </c>
      <c r="T273" s="49">
        <f t="shared" si="103"/>
        <v>293008.89</v>
      </c>
      <c r="U273" s="51">
        <f t="shared" si="104"/>
        <v>0</v>
      </c>
      <c r="V273" s="52">
        <f>IF(0&lt;0.8,0,IF(0&lt;1,Sheet3!L253,1))*IF(G273&lt;3,0.12 - O273,0.01) *U273</f>
        <v>0</v>
      </c>
      <c r="W273" s="52">
        <f t="shared" si="105"/>
        <v>0</v>
      </c>
      <c r="X273" s="53">
        <f t="shared" si="106"/>
        <v>0</v>
      </c>
      <c r="Y273" s="53">
        <f t="shared" si="107"/>
        <v>0</v>
      </c>
      <c r="Z273" s="54">
        <f t="shared" si="108"/>
        <v>0</v>
      </c>
      <c r="AA273" s="54">
        <f t="shared" si="109"/>
        <v>0</v>
      </c>
      <c r="AB273" s="55">
        <f t="shared" si="112"/>
        <v>0</v>
      </c>
      <c r="AC273" s="55">
        <f t="shared" si="110"/>
        <v>0</v>
      </c>
      <c r="AD273" s="56">
        <f t="shared" si="111"/>
        <v>293008.89</v>
      </c>
    </row>
    <row r="274" spans="2:30">
      <c r="C274" s="43" t="s">
        <v>529</v>
      </c>
      <c r="D274" s="44" t="s">
        <v>530</v>
      </c>
      <c r="E274" s="44"/>
      <c r="F274" s="45">
        <v>43236.166712962964</v>
      </c>
      <c r="G274" s="46">
        <v>4</v>
      </c>
      <c r="H274" s="47">
        <v>43391</v>
      </c>
      <c r="I274" s="47">
        <v>43400</v>
      </c>
      <c r="J274" s="46">
        <v>1287550</v>
      </c>
      <c r="K274" s="46">
        <v>0</v>
      </c>
      <c r="L274" s="46">
        <v>0</v>
      </c>
      <c r="M274" s="46">
        <f t="shared" si="99"/>
        <v>1287550</v>
      </c>
      <c r="N274" s="46">
        <v>1404084</v>
      </c>
      <c r="O274" s="48">
        <f t="shared" si="100"/>
        <v>8.2996458901319348E-2</v>
      </c>
      <c r="P274" s="46">
        <v>0</v>
      </c>
      <c r="Q274" s="46">
        <v>1287550</v>
      </c>
      <c r="R274" s="49">
        <f t="shared" si="101"/>
        <v>1</v>
      </c>
      <c r="S274" s="50">
        <f t="shared" si="102"/>
        <v>0.01</v>
      </c>
      <c r="T274" s="49">
        <f t="shared" si="103"/>
        <v>12875.5</v>
      </c>
      <c r="U274" s="51">
        <f t="shared" si="104"/>
        <v>0</v>
      </c>
      <c r="V274" s="52">
        <f>IF(0&lt;0.8,0,IF(0&lt;1,Sheet3!L253,1))*IF(G274&lt;3,0.12 - O274,0.01) *U274</f>
        <v>0</v>
      </c>
      <c r="W274" s="52">
        <f t="shared" si="105"/>
        <v>0</v>
      </c>
      <c r="X274" s="53">
        <f t="shared" si="106"/>
        <v>0</v>
      </c>
      <c r="Y274" s="53">
        <f t="shared" si="107"/>
        <v>0</v>
      </c>
      <c r="Z274" s="54">
        <f t="shared" si="108"/>
        <v>0</v>
      </c>
      <c r="AA274" s="54">
        <f t="shared" si="109"/>
        <v>0</v>
      </c>
      <c r="AB274" s="55">
        <f t="shared" si="112"/>
        <v>0</v>
      </c>
      <c r="AC274" s="55">
        <f t="shared" si="110"/>
        <v>0</v>
      </c>
      <c r="AD274" s="56">
        <f t="shared" si="111"/>
        <v>12875.5</v>
      </c>
    </row>
    <row r="275" spans="2:30">
      <c r="C275" s="43" t="s">
        <v>531</v>
      </c>
      <c r="D275" s="44" t="s">
        <v>532</v>
      </c>
      <c r="E275" s="44"/>
      <c r="F275" s="45">
        <v>42886.108680555553</v>
      </c>
      <c r="G275" s="46">
        <v>16</v>
      </c>
      <c r="H275" s="47">
        <v>43376</v>
      </c>
      <c r="I275" s="47">
        <v>43399</v>
      </c>
      <c r="J275" s="46">
        <v>3275820</v>
      </c>
      <c r="K275" s="46">
        <v>0</v>
      </c>
      <c r="L275" s="46">
        <v>0</v>
      </c>
      <c r="M275" s="46">
        <f t="shared" si="99"/>
        <v>3275820</v>
      </c>
      <c r="N275" s="46">
        <v>2462182</v>
      </c>
      <c r="O275" s="48">
        <f t="shared" si="100"/>
        <v>0</v>
      </c>
      <c r="P275" s="46">
        <v>0</v>
      </c>
      <c r="Q275" s="46">
        <v>3275820</v>
      </c>
      <c r="R275" s="49">
        <f t="shared" si="101"/>
        <v>1</v>
      </c>
      <c r="S275" s="50">
        <f t="shared" si="102"/>
        <v>0.01</v>
      </c>
      <c r="T275" s="49">
        <f t="shared" si="103"/>
        <v>32758.2</v>
      </c>
      <c r="U275" s="51">
        <f t="shared" si="104"/>
        <v>0</v>
      </c>
      <c r="V275" s="52">
        <f>IF(0&lt;0.8,0,IF(0&lt;1,Sheet3!L253,1))*IF(G275&lt;3,0.12 - O275,0.01) *U275</f>
        <v>0</v>
      </c>
      <c r="W275" s="52">
        <f t="shared" si="105"/>
        <v>0</v>
      </c>
      <c r="X275" s="53">
        <f t="shared" si="106"/>
        <v>0</v>
      </c>
      <c r="Y275" s="53">
        <f t="shared" si="107"/>
        <v>0</v>
      </c>
      <c r="Z275" s="54">
        <f t="shared" si="108"/>
        <v>0</v>
      </c>
      <c r="AA275" s="54">
        <f t="shared" si="109"/>
        <v>0</v>
      </c>
      <c r="AB275" s="55">
        <f>IF(R275=0,1300000,0)</f>
        <v>0</v>
      </c>
      <c r="AC275" s="55">
        <f t="shared" si="110"/>
        <v>0</v>
      </c>
      <c r="AD275" s="56">
        <f t="shared" si="111"/>
        <v>32758.2</v>
      </c>
    </row>
    <row r="276" spans="2:30">
      <c r="C276" s="43" t="s">
        <v>533</v>
      </c>
      <c r="D276" s="44" t="s">
        <v>534</v>
      </c>
      <c r="E276" s="44"/>
      <c r="F276" s="45">
        <v>43207.29409722222</v>
      </c>
      <c r="G276" s="46">
        <v>5</v>
      </c>
      <c r="H276" s="47">
        <v>43382</v>
      </c>
      <c r="I276" s="47">
        <v>43451</v>
      </c>
      <c r="J276" s="46">
        <v>841071</v>
      </c>
      <c r="K276" s="46">
        <v>0</v>
      </c>
      <c r="L276" s="46">
        <v>0</v>
      </c>
      <c r="M276" s="46">
        <f t="shared" si="99"/>
        <v>841071</v>
      </c>
      <c r="N276" s="46">
        <v>841071</v>
      </c>
      <c r="O276" s="48">
        <f t="shared" si="100"/>
        <v>0</v>
      </c>
      <c r="P276" s="46">
        <v>0</v>
      </c>
      <c r="Q276" s="46">
        <v>841071</v>
      </c>
      <c r="R276" s="49">
        <f t="shared" si="101"/>
        <v>1</v>
      </c>
      <c r="S276" s="50">
        <f t="shared" si="102"/>
        <v>0.01</v>
      </c>
      <c r="T276" s="49">
        <f t="shared" si="103"/>
        <v>8410.7100000000009</v>
      </c>
      <c r="U276" s="51">
        <f t="shared" si="104"/>
        <v>0</v>
      </c>
      <c r="V276" s="52">
        <f>IF(0&lt;0.8,0,IF(0&lt;1,Sheet3!L253,1))*IF(G276&lt;3,0.12 - O276,0.01) *U276</f>
        <v>0</v>
      </c>
      <c r="W276" s="52">
        <f t="shared" si="105"/>
        <v>0</v>
      </c>
      <c r="X276" s="53">
        <f t="shared" si="106"/>
        <v>0</v>
      </c>
      <c r="Y276" s="53">
        <f t="shared" si="107"/>
        <v>0</v>
      </c>
      <c r="Z276" s="54">
        <f t="shared" si="108"/>
        <v>0</v>
      </c>
      <c r="AA276" s="54">
        <f t="shared" si="109"/>
        <v>0</v>
      </c>
      <c r="AB276" s="55">
        <f t="shared" ref="AB276:AB286" si="113">IF(R276=0,0,0)</f>
        <v>0</v>
      </c>
      <c r="AC276" s="55">
        <f t="shared" si="110"/>
        <v>0</v>
      </c>
      <c r="AD276" s="56">
        <f t="shared" si="111"/>
        <v>8410.7100000000009</v>
      </c>
    </row>
    <row r="277" spans="2:30">
      <c r="C277" s="43" t="s">
        <v>535</v>
      </c>
      <c r="D277" s="44" t="s">
        <v>536</v>
      </c>
      <c r="E277" s="44"/>
      <c r="F277" s="45">
        <v>42959.086099537039</v>
      </c>
      <c r="G277" s="46">
        <v>13</v>
      </c>
      <c r="H277" s="47">
        <v>43395</v>
      </c>
      <c r="I277" s="47">
        <v>43424</v>
      </c>
      <c r="J277" s="46">
        <v>10946154</v>
      </c>
      <c r="K277" s="46">
        <v>0</v>
      </c>
      <c r="L277" s="46">
        <v>0</v>
      </c>
      <c r="M277" s="46">
        <f t="shared" si="99"/>
        <v>10946154</v>
      </c>
      <c r="N277" s="46">
        <v>11525281</v>
      </c>
      <c r="O277" s="48">
        <f t="shared" si="100"/>
        <v>5.024840609092307E-2</v>
      </c>
      <c r="P277" s="46">
        <v>0</v>
      </c>
      <c r="Q277" s="46">
        <v>10946154</v>
      </c>
      <c r="R277" s="49">
        <f t="shared" si="101"/>
        <v>1</v>
      </c>
      <c r="S277" s="50">
        <f t="shared" si="102"/>
        <v>0.01</v>
      </c>
      <c r="T277" s="49">
        <f t="shared" si="103"/>
        <v>109461.54000000001</v>
      </c>
      <c r="U277" s="51">
        <f t="shared" si="104"/>
        <v>0</v>
      </c>
      <c r="V277" s="52">
        <f>IF(0&lt;0.8,0,IF(0&lt;1,Sheet3!L253,1))*IF(G277&lt;3,0.12 - O277,0.01) *U277</f>
        <v>0</v>
      </c>
      <c r="W277" s="52">
        <f t="shared" si="105"/>
        <v>0</v>
      </c>
      <c r="X277" s="53">
        <f t="shared" si="106"/>
        <v>0</v>
      </c>
      <c r="Y277" s="53">
        <f t="shared" si="107"/>
        <v>0</v>
      </c>
      <c r="Z277" s="54">
        <f t="shared" si="108"/>
        <v>0</v>
      </c>
      <c r="AA277" s="54">
        <f t="shared" si="109"/>
        <v>0</v>
      </c>
      <c r="AB277" s="55">
        <f t="shared" si="113"/>
        <v>0</v>
      </c>
      <c r="AC277" s="55">
        <f t="shared" si="110"/>
        <v>0</v>
      </c>
      <c r="AD277" s="56">
        <f t="shared" si="111"/>
        <v>109461.54000000001</v>
      </c>
    </row>
    <row r="278" spans="2:30">
      <c r="C278" s="43" t="s">
        <v>537</v>
      </c>
      <c r="D278" s="44" t="s">
        <v>538</v>
      </c>
      <c r="E278" s="44"/>
      <c r="F278" s="45">
        <v>43112.284259259257</v>
      </c>
      <c r="G278" s="46">
        <v>8</v>
      </c>
      <c r="H278" s="47">
        <v>43376</v>
      </c>
      <c r="I278" s="47">
        <v>43411</v>
      </c>
      <c r="J278" s="46">
        <v>348359</v>
      </c>
      <c r="K278" s="46">
        <v>0</v>
      </c>
      <c r="L278" s="46">
        <v>0</v>
      </c>
      <c r="M278" s="46">
        <f t="shared" si="99"/>
        <v>348359</v>
      </c>
      <c r="N278" s="46">
        <v>348359</v>
      </c>
      <c r="O278" s="48">
        <f t="shared" si="100"/>
        <v>0</v>
      </c>
      <c r="P278" s="46">
        <v>0</v>
      </c>
      <c r="Q278" s="46">
        <v>348359</v>
      </c>
      <c r="R278" s="49">
        <f t="shared" si="101"/>
        <v>1</v>
      </c>
      <c r="S278" s="50">
        <f t="shared" si="102"/>
        <v>0.01</v>
      </c>
      <c r="T278" s="49">
        <f t="shared" si="103"/>
        <v>3483.59</v>
      </c>
      <c r="U278" s="51">
        <f t="shared" si="104"/>
        <v>0</v>
      </c>
      <c r="V278" s="52">
        <f>IF(0&lt;0.8,0,IF(0&lt;1,Sheet3!L253,1))*IF(G278&lt;3,0.12 - O278,0.01) *U278</f>
        <v>0</v>
      </c>
      <c r="W278" s="52">
        <f t="shared" si="105"/>
        <v>0</v>
      </c>
      <c r="X278" s="53">
        <f t="shared" si="106"/>
        <v>0</v>
      </c>
      <c r="Y278" s="53">
        <f t="shared" si="107"/>
        <v>0</v>
      </c>
      <c r="Z278" s="54">
        <f t="shared" si="108"/>
        <v>0</v>
      </c>
      <c r="AA278" s="54">
        <f t="shared" si="109"/>
        <v>0</v>
      </c>
      <c r="AB278" s="55">
        <f t="shared" si="113"/>
        <v>0</v>
      </c>
      <c r="AC278" s="55">
        <f t="shared" si="110"/>
        <v>0</v>
      </c>
      <c r="AD278" s="56">
        <f t="shared" si="111"/>
        <v>3483.59</v>
      </c>
    </row>
    <row r="279" spans="2:30">
      <c r="C279" s="43" t="s">
        <v>539</v>
      </c>
      <c r="D279" s="44" t="s">
        <v>540</v>
      </c>
      <c r="E279" s="44"/>
      <c r="F279" s="45">
        <v>43131.292268518519</v>
      </c>
      <c r="G279" s="46">
        <v>8</v>
      </c>
      <c r="H279" s="47">
        <v>43376</v>
      </c>
      <c r="I279" s="47">
        <v>43411</v>
      </c>
      <c r="J279" s="46">
        <v>106480</v>
      </c>
      <c r="K279" s="46">
        <v>0</v>
      </c>
      <c r="L279" s="46">
        <v>0</v>
      </c>
      <c r="M279" s="46">
        <f t="shared" si="99"/>
        <v>106480</v>
      </c>
      <c r="N279" s="46">
        <v>106480</v>
      </c>
      <c r="O279" s="48">
        <f t="shared" si="100"/>
        <v>0</v>
      </c>
      <c r="P279" s="46">
        <v>0</v>
      </c>
      <c r="Q279" s="46">
        <v>106480</v>
      </c>
      <c r="R279" s="49">
        <f t="shared" si="101"/>
        <v>1</v>
      </c>
      <c r="S279" s="50">
        <f t="shared" si="102"/>
        <v>0.01</v>
      </c>
      <c r="T279" s="49">
        <f t="shared" si="103"/>
        <v>1064.8</v>
      </c>
      <c r="U279" s="51">
        <f t="shared" si="104"/>
        <v>0</v>
      </c>
      <c r="V279" s="52">
        <f>IF(0&lt;0.8,0,IF(0&lt;1,Sheet3!L253,1))*IF(G279&lt;3,0.12 - O279,0.01) *U279</f>
        <v>0</v>
      </c>
      <c r="W279" s="52">
        <f t="shared" si="105"/>
        <v>0</v>
      </c>
      <c r="X279" s="53">
        <f t="shared" si="106"/>
        <v>0</v>
      </c>
      <c r="Y279" s="53">
        <f t="shared" si="107"/>
        <v>0</v>
      </c>
      <c r="Z279" s="54">
        <f t="shared" si="108"/>
        <v>0</v>
      </c>
      <c r="AA279" s="54">
        <f t="shared" si="109"/>
        <v>0</v>
      </c>
      <c r="AB279" s="55">
        <f t="shared" si="113"/>
        <v>0</v>
      </c>
      <c r="AC279" s="55">
        <f t="shared" si="110"/>
        <v>0</v>
      </c>
      <c r="AD279" s="56">
        <f t="shared" si="111"/>
        <v>1064.8</v>
      </c>
    </row>
    <row r="280" spans="2:30">
      <c r="C280" s="43" t="s">
        <v>541</v>
      </c>
      <c r="D280" s="44" t="s">
        <v>542</v>
      </c>
      <c r="E280" s="44"/>
      <c r="F280" s="45">
        <v>43195.361759259256</v>
      </c>
      <c r="G280" s="46">
        <v>5</v>
      </c>
      <c r="H280" s="47">
        <v>43390</v>
      </c>
      <c r="I280" s="47">
        <v>43427</v>
      </c>
      <c r="J280" s="46">
        <v>1437700</v>
      </c>
      <c r="K280" s="46">
        <v>0</v>
      </c>
      <c r="L280" s="46">
        <v>0</v>
      </c>
      <c r="M280" s="46">
        <f t="shared" si="99"/>
        <v>1437700</v>
      </c>
      <c r="N280" s="46">
        <v>1722919</v>
      </c>
      <c r="O280" s="48">
        <f t="shared" si="100"/>
        <v>0.16554405633694913</v>
      </c>
      <c r="P280" s="46">
        <v>0</v>
      </c>
      <c r="Q280" s="46">
        <v>1437700</v>
      </c>
      <c r="R280" s="49">
        <f t="shared" si="101"/>
        <v>1</v>
      </c>
      <c r="S280" s="50">
        <f t="shared" si="102"/>
        <v>0.01</v>
      </c>
      <c r="T280" s="49">
        <f t="shared" si="103"/>
        <v>14377</v>
      </c>
      <c r="U280" s="51">
        <f t="shared" si="104"/>
        <v>0</v>
      </c>
      <c r="V280" s="52">
        <f>IF(0&lt;0.8,0,IF(0&lt;1,Sheet3!L253,1))*IF(G280&lt;3,0.12 - O280,0.01) *U280</f>
        <v>0</v>
      </c>
      <c r="W280" s="52">
        <f t="shared" si="105"/>
        <v>0</v>
      </c>
      <c r="X280" s="53">
        <f t="shared" si="106"/>
        <v>0</v>
      </c>
      <c r="Y280" s="53">
        <f t="shared" si="107"/>
        <v>0</v>
      </c>
      <c r="Z280" s="54">
        <f t="shared" si="108"/>
        <v>0</v>
      </c>
      <c r="AA280" s="54">
        <f t="shared" si="109"/>
        <v>0</v>
      </c>
      <c r="AB280" s="55">
        <f t="shared" si="113"/>
        <v>0</v>
      </c>
      <c r="AC280" s="55">
        <f t="shared" si="110"/>
        <v>0</v>
      </c>
      <c r="AD280" s="56">
        <f t="shared" si="111"/>
        <v>14377</v>
      </c>
    </row>
    <row r="281" spans="2:30">
      <c r="C281" s="43" t="s">
        <v>543</v>
      </c>
      <c r="D281" s="44" t="s">
        <v>544</v>
      </c>
      <c r="E281" s="44"/>
      <c r="F281" s="45">
        <v>42952.172395833331</v>
      </c>
      <c r="G281" s="46">
        <v>13</v>
      </c>
      <c r="H281" s="47">
        <v>43388</v>
      </c>
      <c r="I281" s="47">
        <v>43419</v>
      </c>
      <c r="J281" s="46">
        <v>4054150</v>
      </c>
      <c r="K281" s="46">
        <v>0</v>
      </c>
      <c r="L281" s="46">
        <v>0</v>
      </c>
      <c r="M281" s="46">
        <f t="shared" si="99"/>
        <v>4054150</v>
      </c>
      <c r="N281" s="46">
        <v>3907495</v>
      </c>
      <c r="O281" s="48">
        <f t="shared" si="100"/>
        <v>0</v>
      </c>
      <c r="P281" s="46">
        <v>0</v>
      </c>
      <c r="Q281" s="46">
        <v>4054150</v>
      </c>
      <c r="R281" s="49">
        <f t="shared" si="101"/>
        <v>1</v>
      </c>
      <c r="S281" s="50">
        <f t="shared" si="102"/>
        <v>0.01</v>
      </c>
      <c r="T281" s="49">
        <f t="shared" si="103"/>
        <v>40541.5</v>
      </c>
      <c r="U281" s="51">
        <f t="shared" si="104"/>
        <v>0</v>
      </c>
      <c r="V281" s="52">
        <f>IF(0&lt;0.8,0,IF(0&lt;1,Sheet3!L253,1))*IF(G281&lt;3,0.12 - O281,0.01) *U281</f>
        <v>0</v>
      </c>
      <c r="W281" s="52">
        <f t="shared" si="105"/>
        <v>0</v>
      </c>
      <c r="X281" s="53">
        <f t="shared" si="106"/>
        <v>0</v>
      </c>
      <c r="Y281" s="53">
        <f t="shared" si="107"/>
        <v>0</v>
      </c>
      <c r="Z281" s="54">
        <f t="shared" si="108"/>
        <v>0</v>
      </c>
      <c r="AA281" s="54">
        <f t="shared" si="109"/>
        <v>0</v>
      </c>
      <c r="AB281" s="55">
        <f t="shared" si="113"/>
        <v>0</v>
      </c>
      <c r="AC281" s="55">
        <f t="shared" si="110"/>
        <v>0</v>
      </c>
      <c r="AD281" s="56">
        <f t="shared" si="111"/>
        <v>40541.5</v>
      </c>
    </row>
    <row r="282" spans="2:30">
      <c r="C282" s="43" t="s">
        <v>545</v>
      </c>
      <c r="D282" s="44" t="s">
        <v>546</v>
      </c>
      <c r="E282" s="44"/>
      <c r="F282" s="45">
        <v>43216.28565972222</v>
      </c>
      <c r="G282" s="46">
        <v>5</v>
      </c>
      <c r="H282" s="47">
        <v>43386</v>
      </c>
      <c r="I282" s="47">
        <v>43410</v>
      </c>
      <c r="J282" s="46">
        <v>620400</v>
      </c>
      <c r="K282" s="46">
        <v>0</v>
      </c>
      <c r="L282" s="46">
        <v>0</v>
      </c>
      <c r="M282" s="46">
        <f t="shared" si="99"/>
        <v>620400</v>
      </c>
      <c r="N282" s="46">
        <v>745360</v>
      </c>
      <c r="O282" s="48">
        <f t="shared" si="100"/>
        <v>0.16765053128689489</v>
      </c>
      <c r="P282" s="46">
        <v>0</v>
      </c>
      <c r="Q282" s="46">
        <v>620400</v>
      </c>
      <c r="R282" s="49">
        <f t="shared" si="101"/>
        <v>1</v>
      </c>
      <c r="S282" s="50">
        <f t="shared" si="102"/>
        <v>0.01</v>
      </c>
      <c r="T282" s="49">
        <f t="shared" si="103"/>
        <v>6204</v>
      </c>
      <c r="U282" s="51">
        <f t="shared" si="104"/>
        <v>0</v>
      </c>
      <c r="V282" s="52">
        <f>IF(0&lt;0.8,0,IF(0&lt;1,Sheet3!L253,1))*IF(G282&lt;3,0.12 - O282,0.01) *U282</f>
        <v>0</v>
      </c>
      <c r="W282" s="52">
        <f t="shared" si="105"/>
        <v>0</v>
      </c>
      <c r="X282" s="53">
        <f t="shared" si="106"/>
        <v>0</v>
      </c>
      <c r="Y282" s="53">
        <f t="shared" si="107"/>
        <v>0</v>
      </c>
      <c r="Z282" s="54">
        <f t="shared" si="108"/>
        <v>0</v>
      </c>
      <c r="AA282" s="54">
        <f t="shared" si="109"/>
        <v>0</v>
      </c>
      <c r="AB282" s="55">
        <f t="shared" si="113"/>
        <v>0</v>
      </c>
      <c r="AC282" s="55">
        <f t="shared" si="110"/>
        <v>0</v>
      </c>
      <c r="AD282" s="56">
        <f t="shared" si="111"/>
        <v>6204</v>
      </c>
    </row>
    <row r="283" spans="2:30">
      <c r="C283" s="43" t="s">
        <v>547</v>
      </c>
      <c r="D283" s="44" t="s">
        <v>548</v>
      </c>
      <c r="E283" s="44"/>
      <c r="F283" s="45">
        <v>43244.325810185182</v>
      </c>
      <c r="G283" s="46">
        <v>4</v>
      </c>
      <c r="H283" s="47">
        <v>43390</v>
      </c>
      <c r="I283" s="47">
        <v>43398</v>
      </c>
      <c r="J283" s="46">
        <v>691680</v>
      </c>
      <c r="K283" s="46">
        <v>0</v>
      </c>
      <c r="L283" s="46">
        <v>0</v>
      </c>
      <c r="M283" s="46">
        <f t="shared" si="99"/>
        <v>691680</v>
      </c>
      <c r="N283" s="46">
        <v>713746</v>
      </c>
      <c r="O283" s="48">
        <f t="shared" si="100"/>
        <v>3.0915759948216825E-2</v>
      </c>
      <c r="P283" s="46">
        <v>0</v>
      </c>
      <c r="Q283" s="46">
        <v>691680</v>
      </c>
      <c r="R283" s="49">
        <f t="shared" si="101"/>
        <v>1</v>
      </c>
      <c r="S283" s="50">
        <f t="shared" si="102"/>
        <v>0.01</v>
      </c>
      <c r="T283" s="49">
        <f t="shared" si="103"/>
        <v>6916.8</v>
      </c>
      <c r="U283" s="51">
        <f t="shared" si="104"/>
        <v>0</v>
      </c>
      <c r="V283" s="52">
        <f>IF(0&lt;0.8,0,IF(0&lt;1,Sheet3!L253,1))*IF(G283&lt;3,0.12 - O283,0.01) *U283</f>
        <v>0</v>
      </c>
      <c r="W283" s="52">
        <f t="shared" si="105"/>
        <v>0</v>
      </c>
      <c r="X283" s="53">
        <f t="shared" si="106"/>
        <v>0</v>
      </c>
      <c r="Y283" s="53">
        <f t="shared" si="107"/>
        <v>0</v>
      </c>
      <c r="Z283" s="54">
        <f t="shared" si="108"/>
        <v>0</v>
      </c>
      <c r="AA283" s="54">
        <f t="shared" si="109"/>
        <v>0</v>
      </c>
      <c r="AB283" s="55">
        <f t="shared" si="113"/>
        <v>0</v>
      </c>
      <c r="AC283" s="55">
        <f t="shared" si="110"/>
        <v>0</v>
      </c>
      <c r="AD283" s="56">
        <f t="shared" si="111"/>
        <v>6916.8</v>
      </c>
    </row>
    <row r="284" spans="2:30">
      <c r="C284" s="43" t="s">
        <v>549</v>
      </c>
      <c r="D284" s="44" t="s">
        <v>550</v>
      </c>
      <c r="E284" s="44"/>
      <c r="F284" s="45">
        <v>43161.174571759257</v>
      </c>
      <c r="G284" s="46">
        <v>6</v>
      </c>
      <c r="H284" s="47">
        <v>43396</v>
      </c>
      <c r="I284" s="47">
        <v>43411</v>
      </c>
      <c r="J284" s="46">
        <v>1292720</v>
      </c>
      <c r="K284" s="46">
        <v>0</v>
      </c>
      <c r="L284" s="46">
        <v>0</v>
      </c>
      <c r="M284" s="46">
        <f t="shared" si="99"/>
        <v>1292720</v>
      </c>
      <c r="N284" s="46">
        <v>1326765</v>
      </c>
      <c r="O284" s="48">
        <f t="shared" si="100"/>
        <v>2.5660158355096829E-2</v>
      </c>
      <c r="P284" s="46">
        <v>0</v>
      </c>
      <c r="Q284" s="46">
        <v>1292720</v>
      </c>
      <c r="R284" s="49">
        <f t="shared" si="101"/>
        <v>1</v>
      </c>
      <c r="S284" s="50">
        <f t="shared" si="102"/>
        <v>0.01</v>
      </c>
      <c r="T284" s="49">
        <f t="shared" si="103"/>
        <v>12927.2</v>
      </c>
      <c r="U284" s="51">
        <f t="shared" si="104"/>
        <v>0</v>
      </c>
      <c r="V284" s="52">
        <f>IF(0&lt;0.8,0,IF(0&lt;1,Sheet3!L253,1))*IF(G284&lt;3,0.12 - O284,0.01) *U284</f>
        <v>0</v>
      </c>
      <c r="W284" s="52">
        <f t="shared" si="105"/>
        <v>0</v>
      </c>
      <c r="X284" s="53">
        <f t="shared" si="106"/>
        <v>0</v>
      </c>
      <c r="Y284" s="53">
        <f t="shared" si="107"/>
        <v>0</v>
      </c>
      <c r="Z284" s="54">
        <f t="shared" si="108"/>
        <v>0</v>
      </c>
      <c r="AA284" s="54">
        <f t="shared" si="109"/>
        <v>0</v>
      </c>
      <c r="AB284" s="55">
        <f t="shared" si="113"/>
        <v>0</v>
      </c>
      <c r="AC284" s="55">
        <f t="shared" si="110"/>
        <v>0</v>
      </c>
      <c r="AD284" s="56">
        <f t="shared" si="111"/>
        <v>12927.2</v>
      </c>
    </row>
    <row r="285" spans="2:30">
      <c r="C285" s="43" t="s">
        <v>551</v>
      </c>
      <c r="D285" s="44" t="s">
        <v>552</v>
      </c>
      <c r="E285" s="44"/>
      <c r="F285" s="45">
        <v>43136.19149305555</v>
      </c>
      <c r="G285" s="46">
        <v>7</v>
      </c>
      <c r="H285" s="47">
        <v>43376</v>
      </c>
      <c r="I285" s="47">
        <v>43409</v>
      </c>
      <c r="J285" s="46">
        <v>356257</v>
      </c>
      <c r="K285" s="46">
        <v>0</v>
      </c>
      <c r="L285" s="46">
        <v>0</v>
      </c>
      <c r="M285" s="46">
        <f t="shared" si="99"/>
        <v>356257</v>
      </c>
      <c r="N285" s="46">
        <v>403293</v>
      </c>
      <c r="O285" s="48">
        <f t="shared" si="100"/>
        <v>0.11662984480266203</v>
      </c>
      <c r="P285" s="46">
        <v>0</v>
      </c>
      <c r="Q285" s="46">
        <v>356257</v>
      </c>
      <c r="R285" s="49">
        <f t="shared" si="101"/>
        <v>1</v>
      </c>
      <c r="S285" s="50">
        <f t="shared" si="102"/>
        <v>0.01</v>
      </c>
      <c r="T285" s="49">
        <f t="shared" si="103"/>
        <v>3562.57</v>
      </c>
      <c r="U285" s="51">
        <f t="shared" si="104"/>
        <v>0</v>
      </c>
      <c r="V285" s="52">
        <f>IF(0&lt;0.8,0,IF(0&lt;1,Sheet3!L253,1))*IF(G285&lt;3,0.12 - O285,0.01) *U285</f>
        <v>0</v>
      </c>
      <c r="W285" s="52">
        <f t="shared" si="105"/>
        <v>0</v>
      </c>
      <c r="X285" s="53">
        <f t="shared" si="106"/>
        <v>0</v>
      </c>
      <c r="Y285" s="53">
        <f t="shared" si="107"/>
        <v>0</v>
      </c>
      <c r="Z285" s="54">
        <f t="shared" si="108"/>
        <v>0</v>
      </c>
      <c r="AA285" s="54">
        <f t="shared" si="109"/>
        <v>0</v>
      </c>
      <c r="AB285" s="55">
        <f t="shared" si="113"/>
        <v>0</v>
      </c>
      <c r="AC285" s="55">
        <f t="shared" si="110"/>
        <v>0</v>
      </c>
      <c r="AD285" s="56">
        <f t="shared" si="111"/>
        <v>3562.57</v>
      </c>
    </row>
    <row r="286" spans="2:30">
      <c r="C286" s="43" t="s">
        <v>553</v>
      </c>
      <c r="D286" s="44" t="s">
        <v>554</v>
      </c>
      <c r="E286" s="44"/>
      <c r="F286" s="45">
        <v>43112.339629629627</v>
      </c>
      <c r="G286" s="46">
        <v>8</v>
      </c>
      <c r="H286" s="47">
        <v>43391</v>
      </c>
      <c r="I286" s="47">
        <v>43431</v>
      </c>
      <c r="J286" s="46">
        <v>6113344</v>
      </c>
      <c r="K286" s="46">
        <v>549395</v>
      </c>
      <c r="L286" s="46">
        <v>0</v>
      </c>
      <c r="M286" s="46">
        <f t="shared" si="99"/>
        <v>5563949</v>
      </c>
      <c r="N286" s="46">
        <v>6003656</v>
      </c>
      <c r="O286" s="48">
        <f t="shared" si="100"/>
        <v>7.3239872504354042E-2</v>
      </c>
      <c r="P286" s="46">
        <v>0</v>
      </c>
      <c r="Q286" s="46">
        <v>6113344</v>
      </c>
      <c r="R286" s="49">
        <f t="shared" si="101"/>
        <v>1</v>
      </c>
      <c r="S286" s="50">
        <f t="shared" si="102"/>
        <v>0.01</v>
      </c>
      <c r="T286" s="49">
        <f t="shared" si="103"/>
        <v>55639.49</v>
      </c>
      <c r="U286" s="51">
        <f t="shared" si="104"/>
        <v>0</v>
      </c>
      <c r="V286" s="52">
        <f>IF(0&lt;0.8,0,IF(0&lt;1,Sheet3!L253,1))*IF(G286&lt;3,0.12 - O286,0.01) *U286</f>
        <v>0</v>
      </c>
      <c r="W286" s="52">
        <f t="shared" si="105"/>
        <v>0</v>
      </c>
      <c r="X286" s="53">
        <f t="shared" si="106"/>
        <v>0</v>
      </c>
      <c r="Y286" s="53">
        <f t="shared" si="107"/>
        <v>0</v>
      </c>
      <c r="Z286" s="54">
        <f t="shared" si="108"/>
        <v>0</v>
      </c>
      <c r="AA286" s="54">
        <f t="shared" si="109"/>
        <v>0</v>
      </c>
      <c r="AB286" s="55">
        <f t="shared" si="113"/>
        <v>0</v>
      </c>
      <c r="AC286" s="55">
        <f t="shared" si="110"/>
        <v>0</v>
      </c>
      <c r="AD286" s="56">
        <f t="shared" si="111"/>
        <v>55639.49</v>
      </c>
    </row>
    <row r="287" spans="2:30" ht="23.25" customHeight="1">
      <c r="B287" s="9" t="s">
        <v>5</v>
      </c>
      <c r="C287" s="10" t="s">
        <v>6</v>
      </c>
      <c r="D287" s="10"/>
      <c r="E287" s="11" t="s">
        <v>7</v>
      </c>
      <c r="F287" s="11" t="s">
        <v>8</v>
      </c>
      <c r="G287" s="11" t="s">
        <v>9</v>
      </c>
      <c r="H287" s="11" t="s">
        <v>10</v>
      </c>
      <c r="I287" s="11" t="s">
        <v>11</v>
      </c>
      <c r="J287" s="11" t="s">
        <v>12</v>
      </c>
      <c r="K287" s="11" t="s">
        <v>13</v>
      </c>
      <c r="L287" s="11" t="s">
        <v>14</v>
      </c>
      <c r="M287" s="11" t="s">
        <v>15</v>
      </c>
      <c r="N287" s="11" t="s">
        <v>16</v>
      </c>
      <c r="O287" s="11" t="s">
        <v>17</v>
      </c>
      <c r="P287" s="12" t="s">
        <v>18</v>
      </c>
      <c r="Q287" s="11" t="s">
        <v>19</v>
      </c>
      <c r="R287" s="11"/>
      <c r="S287" s="10" t="s">
        <v>20</v>
      </c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3"/>
    </row>
    <row r="288" spans="2:30">
      <c r="B288" s="14" t="s">
        <v>555</v>
      </c>
      <c r="C288" s="15" t="str">
        <f>"Nguyễn"&amp;" " &amp; "Thị Thảo Nguyên"</f>
        <v>Nguyễn Thị Thảo Nguyên</v>
      </c>
      <c r="D288" s="15"/>
      <c r="E288" s="16" t="s">
        <v>314</v>
      </c>
      <c r="F288" s="16" t="s">
        <v>134</v>
      </c>
      <c r="G288" s="17" t="s">
        <v>133</v>
      </c>
      <c r="H288" s="16" t="s">
        <v>388</v>
      </c>
      <c r="I288" s="18">
        <v>0</v>
      </c>
      <c r="J288" s="19">
        <v>42000000</v>
      </c>
      <c r="K288" s="19">
        <f>IFERROR(IF(N288&lt;4,Q288,SUM(#VALUE!)),0)</f>
        <v>0</v>
      </c>
      <c r="L288" s="20">
        <f>IFERROR(K288/J288,0)</f>
        <v>0</v>
      </c>
      <c r="M288" s="19">
        <f>IFERROR(IF(OR(N288=3,N288=4),SUM(#VALUE!)+AD288,IF(N288=1,0.6%,IF(N288=2,0.65%,IF(N288=3,0.6%,0)))*IF(L288&lt;0.8,0,IF(L288&lt;1,L288,1))*IF(RIGHT("2018-09",2)="03",1,0)),0)</f>
        <v>0</v>
      </c>
      <c r="N288" s="19">
        <v>4</v>
      </c>
      <c r="O288" s="18">
        <f>IF(N288=4,0.5%,IF(N288=5,0.3%,0))</f>
        <v>5.0000000000000001E-3</v>
      </c>
      <c r="P288" s="21">
        <f>IFERROR(SUM(#VALUE!),0)</f>
        <v>0</v>
      </c>
      <c r="Q288" s="19">
        <f>SUMIF($G:$G,B288,$K:$K)</f>
        <v>0</v>
      </c>
      <c r="R288" s="22"/>
      <c r="S288" s="23" t="s">
        <v>26</v>
      </c>
      <c r="T288" s="23"/>
      <c r="U288" s="24" t="s">
        <v>27</v>
      </c>
      <c r="V288" s="24"/>
      <c r="W288" s="24"/>
      <c r="X288" s="25" t="s">
        <v>28</v>
      </c>
      <c r="Y288" s="25"/>
      <c r="Z288" s="26" t="s">
        <v>29</v>
      </c>
      <c r="AA288" s="26"/>
      <c r="AB288" s="27" t="s">
        <v>30</v>
      </c>
      <c r="AC288" s="27"/>
      <c r="AD288" s="28">
        <f>IF(IFERROR(SUM(#VALUE!)*O288,0)&gt;2000000,2000000,IFERROR(SUM(#VALUE!)*O288,0))</f>
        <v>0</v>
      </c>
    </row>
    <row r="289" spans="2:30" ht="25.5">
      <c r="C289" s="29" t="s">
        <v>31</v>
      </c>
      <c r="D289" s="30" t="s">
        <v>32</v>
      </c>
      <c r="E289" s="30"/>
      <c r="F289" s="31" t="s">
        <v>33</v>
      </c>
      <c r="G289" s="31" t="s">
        <v>34</v>
      </c>
      <c r="H289" s="32" t="s">
        <v>35</v>
      </c>
      <c r="I289" s="32" t="s">
        <v>36</v>
      </c>
      <c r="J289" s="31" t="s">
        <v>37</v>
      </c>
      <c r="K289" s="31" t="s">
        <v>38</v>
      </c>
      <c r="L289" s="31" t="s">
        <v>39</v>
      </c>
      <c r="M289" s="31" t="s">
        <v>40</v>
      </c>
      <c r="N289" s="31" t="s">
        <v>41</v>
      </c>
      <c r="O289" s="33" t="s">
        <v>42</v>
      </c>
      <c r="P289" s="32" t="s">
        <v>43</v>
      </c>
      <c r="Q289" s="32" t="s">
        <v>44</v>
      </c>
      <c r="R289" s="34" t="s">
        <v>45</v>
      </c>
      <c r="S289" s="34" t="s">
        <v>46</v>
      </c>
      <c r="T289" s="34" t="s">
        <v>47</v>
      </c>
      <c r="U289" s="35" t="s">
        <v>48</v>
      </c>
      <c r="V289" s="36" t="s">
        <v>47</v>
      </c>
      <c r="W289" s="36" t="s">
        <v>49</v>
      </c>
      <c r="X289" s="37" t="s">
        <v>50</v>
      </c>
      <c r="Y289" s="37" t="s">
        <v>51</v>
      </c>
      <c r="Z289" s="38" t="s">
        <v>48</v>
      </c>
      <c r="AA289" s="39" t="s">
        <v>47</v>
      </c>
      <c r="AB289" s="40" t="s">
        <v>48</v>
      </c>
      <c r="AC289" s="41" t="s">
        <v>47</v>
      </c>
      <c r="AD289" s="42" t="s">
        <v>52</v>
      </c>
    </row>
    <row r="290" spans="2:30" ht="23.25" customHeight="1">
      <c r="B290" s="9" t="s">
        <v>5</v>
      </c>
      <c r="C290" s="10" t="s">
        <v>6</v>
      </c>
      <c r="D290" s="10"/>
      <c r="E290" s="11" t="s">
        <v>7</v>
      </c>
      <c r="F290" s="11" t="s">
        <v>8</v>
      </c>
      <c r="G290" s="11" t="s">
        <v>9</v>
      </c>
      <c r="H290" s="11" t="s">
        <v>10</v>
      </c>
      <c r="I290" s="11" t="s">
        <v>11</v>
      </c>
      <c r="J290" s="11" t="s">
        <v>12</v>
      </c>
      <c r="K290" s="11" t="s">
        <v>13</v>
      </c>
      <c r="L290" s="11" t="s">
        <v>14</v>
      </c>
      <c r="M290" s="11" t="s">
        <v>15</v>
      </c>
      <c r="N290" s="11" t="s">
        <v>16</v>
      </c>
      <c r="O290" s="11" t="s">
        <v>17</v>
      </c>
      <c r="P290" s="12" t="s">
        <v>18</v>
      </c>
      <c r="Q290" s="11" t="s">
        <v>19</v>
      </c>
      <c r="R290" s="11"/>
      <c r="S290" s="10" t="s">
        <v>20</v>
      </c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3"/>
    </row>
    <row r="291" spans="2:30">
      <c r="B291" s="14" t="s">
        <v>556</v>
      </c>
      <c r="C291" s="15" t="str">
        <f>"Tô"&amp;" " &amp; "Thị Thanh"</f>
        <v>Tô Thị Thanh</v>
      </c>
      <c r="D291" s="15"/>
      <c r="E291" s="16" t="s">
        <v>314</v>
      </c>
      <c r="F291" s="16" t="s">
        <v>134</v>
      </c>
      <c r="G291" s="17" t="s">
        <v>133</v>
      </c>
      <c r="H291" s="16" t="s">
        <v>388</v>
      </c>
      <c r="I291" s="18">
        <v>0</v>
      </c>
      <c r="J291" s="19">
        <v>42000000</v>
      </c>
      <c r="K291" s="19">
        <f>IFERROR(IF(N291&lt;4,Q291,SUM(#VALUE!)),0)</f>
        <v>0</v>
      </c>
      <c r="L291" s="20">
        <f>IFERROR(K291/J291,0)</f>
        <v>0</v>
      </c>
      <c r="M291" s="19">
        <f>IFERROR(IF(OR(N291=3,N291=4),SUM(#VALUE!)+AD291,IF(N291=1,0.6%,IF(N291=2,0.65%,IF(N291=3,0.6%,0)))*IF(L291&lt;0.8,0,IF(L291&lt;1,L291,1))*IF(RIGHT("2018-09",2)="03",1,0)),0)</f>
        <v>0</v>
      </c>
      <c r="N291" s="19">
        <v>4</v>
      </c>
      <c r="O291" s="18">
        <f>IF(N291=4,0.5%,IF(N291=5,0.3%,0))</f>
        <v>5.0000000000000001E-3</v>
      </c>
      <c r="P291" s="21">
        <f>IFERROR(SUM(#VALUE!),0)</f>
        <v>0</v>
      </c>
      <c r="Q291" s="19">
        <f>SUMIF($G:$G,B291,$K:$K)</f>
        <v>0</v>
      </c>
      <c r="R291" s="22"/>
      <c r="S291" s="23" t="s">
        <v>26</v>
      </c>
      <c r="T291" s="23"/>
      <c r="U291" s="24" t="s">
        <v>27</v>
      </c>
      <c r="V291" s="24"/>
      <c r="W291" s="24"/>
      <c r="X291" s="25" t="s">
        <v>28</v>
      </c>
      <c r="Y291" s="25"/>
      <c r="Z291" s="26" t="s">
        <v>29</v>
      </c>
      <c r="AA291" s="26"/>
      <c r="AB291" s="27" t="s">
        <v>30</v>
      </c>
      <c r="AC291" s="27"/>
      <c r="AD291" s="28">
        <f>IF(IFERROR(SUM(#VALUE!)*O291,0)&gt;2000000,2000000,IFERROR(SUM(#VALUE!)*O291,0))</f>
        <v>0</v>
      </c>
    </row>
    <row r="292" spans="2:30" ht="25.5">
      <c r="C292" s="29" t="s">
        <v>31</v>
      </c>
      <c r="D292" s="30" t="s">
        <v>32</v>
      </c>
      <c r="E292" s="30"/>
      <c r="F292" s="31" t="s">
        <v>33</v>
      </c>
      <c r="G292" s="31" t="s">
        <v>34</v>
      </c>
      <c r="H292" s="32" t="s">
        <v>35</v>
      </c>
      <c r="I292" s="32" t="s">
        <v>36</v>
      </c>
      <c r="J292" s="31" t="s">
        <v>37</v>
      </c>
      <c r="K292" s="31" t="s">
        <v>38</v>
      </c>
      <c r="L292" s="31" t="s">
        <v>39</v>
      </c>
      <c r="M292" s="31" t="s">
        <v>40</v>
      </c>
      <c r="N292" s="31" t="s">
        <v>41</v>
      </c>
      <c r="O292" s="33" t="s">
        <v>42</v>
      </c>
      <c r="P292" s="32" t="s">
        <v>43</v>
      </c>
      <c r="Q292" s="32" t="s">
        <v>44</v>
      </c>
      <c r="R292" s="34" t="s">
        <v>45</v>
      </c>
      <c r="S292" s="34" t="s">
        <v>46</v>
      </c>
      <c r="T292" s="34" t="s">
        <v>47</v>
      </c>
      <c r="U292" s="35" t="s">
        <v>48</v>
      </c>
      <c r="V292" s="36" t="s">
        <v>47</v>
      </c>
      <c r="W292" s="36" t="s">
        <v>49</v>
      </c>
      <c r="X292" s="37" t="s">
        <v>50</v>
      </c>
      <c r="Y292" s="37" t="s">
        <v>51</v>
      </c>
      <c r="Z292" s="38" t="s">
        <v>48</v>
      </c>
      <c r="AA292" s="39" t="s">
        <v>47</v>
      </c>
      <c r="AB292" s="40" t="s">
        <v>48</v>
      </c>
      <c r="AC292" s="41" t="s">
        <v>47</v>
      </c>
      <c r="AD292" s="42" t="s">
        <v>52</v>
      </c>
    </row>
    <row r="293" spans="2:30" ht="23.25" customHeight="1">
      <c r="B293" s="9" t="s">
        <v>5</v>
      </c>
      <c r="C293" s="10" t="s">
        <v>6</v>
      </c>
      <c r="D293" s="10"/>
      <c r="E293" s="11" t="s">
        <v>7</v>
      </c>
      <c r="F293" s="11" t="s">
        <v>8</v>
      </c>
      <c r="G293" s="11" t="s">
        <v>9</v>
      </c>
      <c r="H293" s="11" t="s">
        <v>10</v>
      </c>
      <c r="I293" s="11" t="s">
        <v>11</v>
      </c>
      <c r="J293" s="11" t="s">
        <v>12</v>
      </c>
      <c r="K293" s="11" t="s">
        <v>13</v>
      </c>
      <c r="L293" s="11" t="s">
        <v>14</v>
      </c>
      <c r="M293" s="11" t="s">
        <v>15</v>
      </c>
      <c r="N293" s="11" t="s">
        <v>16</v>
      </c>
      <c r="O293" s="11" t="s">
        <v>17</v>
      </c>
      <c r="P293" s="12" t="s">
        <v>18</v>
      </c>
      <c r="Q293" s="11" t="s">
        <v>19</v>
      </c>
      <c r="R293" s="11"/>
      <c r="S293" s="10" t="s">
        <v>20</v>
      </c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3"/>
    </row>
    <row r="294" spans="2:30">
      <c r="B294" s="14" t="s">
        <v>557</v>
      </c>
      <c r="C294" s="15" t="str">
        <f>"Nguyễn"&amp;" " &amp; "Ngọc Kim Loan"</f>
        <v>Nguyễn Ngọc Kim Loan</v>
      </c>
      <c r="D294" s="15"/>
      <c r="E294" s="16" t="s">
        <v>314</v>
      </c>
      <c r="F294" s="16" t="s">
        <v>134</v>
      </c>
      <c r="G294" s="17" t="s">
        <v>133</v>
      </c>
      <c r="H294" s="16" t="s">
        <v>388</v>
      </c>
      <c r="I294" s="18">
        <v>0</v>
      </c>
      <c r="J294" s="19">
        <v>42000000</v>
      </c>
      <c r="K294" s="19">
        <f>IFERROR(IF(N294&lt;4,Q294,SUM(#VALUE!)),0)</f>
        <v>0</v>
      </c>
      <c r="L294" s="20">
        <f>IFERROR(K294/J294,0)</f>
        <v>0</v>
      </c>
      <c r="M294" s="19">
        <f>IFERROR(IF(OR(N294=3,N294=4),SUM(#VALUE!)+AD294,IF(N294=1,0.6%,IF(N294=2,0.65%,IF(N294=3,0.6%,0)))*IF(L294&lt;0.8,0,IF(L294&lt;1,L294,1))*IF(RIGHT("2018-09",2)="03",1,0)),0)</f>
        <v>0</v>
      </c>
      <c r="N294" s="19">
        <v>4</v>
      </c>
      <c r="O294" s="18">
        <f>IF(N294=4,0.5%,IF(N294=5,0.3%,0))</f>
        <v>5.0000000000000001E-3</v>
      </c>
      <c r="P294" s="21">
        <f>IFERROR(SUM(#VALUE!),0)</f>
        <v>0</v>
      </c>
      <c r="Q294" s="19">
        <f>SUMIF($G:$G,B294,$K:$K)</f>
        <v>0</v>
      </c>
      <c r="R294" s="22"/>
      <c r="S294" s="23" t="s">
        <v>26</v>
      </c>
      <c r="T294" s="23"/>
      <c r="U294" s="24" t="s">
        <v>27</v>
      </c>
      <c r="V294" s="24"/>
      <c r="W294" s="24"/>
      <c r="X294" s="25" t="s">
        <v>28</v>
      </c>
      <c r="Y294" s="25"/>
      <c r="Z294" s="26" t="s">
        <v>29</v>
      </c>
      <c r="AA294" s="26"/>
      <c r="AB294" s="27" t="s">
        <v>30</v>
      </c>
      <c r="AC294" s="27"/>
      <c r="AD294" s="28">
        <f>IF(IFERROR(SUM(#VALUE!)*O294,0)&gt;2000000,2000000,IFERROR(SUM(#VALUE!)*O294,0))</f>
        <v>0</v>
      </c>
    </row>
    <row r="295" spans="2:30" ht="25.5">
      <c r="C295" s="29" t="s">
        <v>31</v>
      </c>
      <c r="D295" s="30" t="s">
        <v>32</v>
      </c>
      <c r="E295" s="30"/>
      <c r="F295" s="31" t="s">
        <v>33</v>
      </c>
      <c r="G295" s="31" t="s">
        <v>34</v>
      </c>
      <c r="H295" s="32" t="s">
        <v>35</v>
      </c>
      <c r="I295" s="32" t="s">
        <v>36</v>
      </c>
      <c r="J295" s="31" t="s">
        <v>37</v>
      </c>
      <c r="K295" s="31" t="s">
        <v>38</v>
      </c>
      <c r="L295" s="31" t="s">
        <v>39</v>
      </c>
      <c r="M295" s="31" t="s">
        <v>40</v>
      </c>
      <c r="N295" s="31" t="s">
        <v>41</v>
      </c>
      <c r="O295" s="33" t="s">
        <v>42</v>
      </c>
      <c r="P295" s="32" t="s">
        <v>43</v>
      </c>
      <c r="Q295" s="32" t="s">
        <v>44</v>
      </c>
      <c r="R295" s="34" t="s">
        <v>45</v>
      </c>
      <c r="S295" s="34" t="s">
        <v>46</v>
      </c>
      <c r="T295" s="34" t="s">
        <v>47</v>
      </c>
      <c r="U295" s="35" t="s">
        <v>48</v>
      </c>
      <c r="V295" s="36" t="s">
        <v>47</v>
      </c>
      <c r="W295" s="36" t="s">
        <v>49</v>
      </c>
      <c r="X295" s="37" t="s">
        <v>50</v>
      </c>
      <c r="Y295" s="37" t="s">
        <v>51</v>
      </c>
      <c r="Z295" s="38" t="s">
        <v>48</v>
      </c>
      <c r="AA295" s="39" t="s">
        <v>47</v>
      </c>
      <c r="AB295" s="40" t="s">
        <v>48</v>
      </c>
      <c r="AC295" s="41" t="s">
        <v>47</v>
      </c>
      <c r="AD295" s="42" t="s">
        <v>52</v>
      </c>
    </row>
    <row r="296" spans="2:30" ht="23.25" customHeight="1">
      <c r="B296" s="9" t="s">
        <v>5</v>
      </c>
      <c r="C296" s="10" t="s">
        <v>6</v>
      </c>
      <c r="D296" s="10"/>
      <c r="E296" s="11" t="s">
        <v>7</v>
      </c>
      <c r="F296" s="11" t="s">
        <v>8</v>
      </c>
      <c r="G296" s="11" t="s">
        <v>9</v>
      </c>
      <c r="H296" s="11" t="s">
        <v>10</v>
      </c>
      <c r="I296" s="11" t="s">
        <v>11</v>
      </c>
      <c r="J296" s="11" t="s">
        <v>12</v>
      </c>
      <c r="K296" s="11" t="s">
        <v>13</v>
      </c>
      <c r="L296" s="11" t="s">
        <v>14</v>
      </c>
      <c r="M296" s="11" t="s">
        <v>15</v>
      </c>
      <c r="N296" s="11" t="s">
        <v>16</v>
      </c>
      <c r="O296" s="11" t="s">
        <v>17</v>
      </c>
      <c r="P296" s="12" t="s">
        <v>18</v>
      </c>
      <c r="Q296" s="11" t="s">
        <v>19</v>
      </c>
      <c r="R296" s="11"/>
      <c r="S296" s="10" t="s">
        <v>20</v>
      </c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3"/>
    </row>
    <row r="297" spans="2:30">
      <c r="B297" s="14" t="s">
        <v>558</v>
      </c>
      <c r="C297" s="15" t="str">
        <f>"Nguyễn"&amp;" " &amp; "Thị Ái Như"</f>
        <v>Nguyễn Thị Ái Như</v>
      </c>
      <c r="D297" s="15"/>
      <c r="E297" s="16" t="s">
        <v>314</v>
      </c>
      <c r="F297" s="16" t="s">
        <v>134</v>
      </c>
      <c r="G297" s="17" t="s">
        <v>133</v>
      </c>
      <c r="H297" s="16" t="s">
        <v>388</v>
      </c>
      <c r="I297" s="18">
        <v>0</v>
      </c>
      <c r="J297" s="19">
        <v>42000000</v>
      </c>
      <c r="K297" s="19">
        <f>IFERROR(IF(N297&lt;4,Q297,SUM(#VALUE!)),0)</f>
        <v>0</v>
      </c>
      <c r="L297" s="20">
        <f>IFERROR(K297/J297,0)</f>
        <v>0</v>
      </c>
      <c r="M297" s="19">
        <f>IFERROR(IF(OR(N297=3,N297=4),SUM(#VALUE!)+AD297,IF(N297=1,0.6%,IF(N297=2,0.65%,IF(N297=3,0.6%,0)))*IF(L297&lt;0.8,0,IF(L297&lt;1,L297,1))*IF(RIGHT("2018-09",2)="03",1,0)),0)</f>
        <v>0</v>
      </c>
      <c r="N297" s="19">
        <v>4</v>
      </c>
      <c r="O297" s="18">
        <f>IF(N297=4,0.5%,IF(N297=5,0.3%,0))</f>
        <v>5.0000000000000001E-3</v>
      </c>
      <c r="P297" s="21">
        <f>IFERROR(SUM(#VALUE!),0)</f>
        <v>0</v>
      </c>
      <c r="Q297" s="19">
        <f>SUMIF($G:$G,B297,$K:$K)</f>
        <v>0</v>
      </c>
      <c r="R297" s="22"/>
      <c r="S297" s="23" t="s">
        <v>26</v>
      </c>
      <c r="T297" s="23"/>
      <c r="U297" s="24" t="s">
        <v>27</v>
      </c>
      <c r="V297" s="24"/>
      <c r="W297" s="24"/>
      <c r="X297" s="25" t="s">
        <v>28</v>
      </c>
      <c r="Y297" s="25"/>
      <c r="Z297" s="26" t="s">
        <v>29</v>
      </c>
      <c r="AA297" s="26"/>
      <c r="AB297" s="27" t="s">
        <v>30</v>
      </c>
      <c r="AC297" s="27"/>
      <c r="AD297" s="28">
        <f>IF(IFERROR(SUM(#VALUE!)*O297,0)&gt;2000000,2000000,IFERROR(SUM(#VALUE!)*O297,0))</f>
        <v>0</v>
      </c>
    </row>
    <row r="298" spans="2:30" ht="25.5">
      <c r="C298" s="29" t="s">
        <v>31</v>
      </c>
      <c r="D298" s="30" t="s">
        <v>32</v>
      </c>
      <c r="E298" s="30"/>
      <c r="F298" s="31" t="s">
        <v>33</v>
      </c>
      <c r="G298" s="31" t="s">
        <v>34</v>
      </c>
      <c r="H298" s="32" t="s">
        <v>35</v>
      </c>
      <c r="I298" s="32" t="s">
        <v>36</v>
      </c>
      <c r="J298" s="31" t="s">
        <v>37</v>
      </c>
      <c r="K298" s="31" t="s">
        <v>38</v>
      </c>
      <c r="L298" s="31" t="s">
        <v>39</v>
      </c>
      <c r="M298" s="31" t="s">
        <v>40</v>
      </c>
      <c r="N298" s="31" t="s">
        <v>41</v>
      </c>
      <c r="O298" s="33" t="s">
        <v>42</v>
      </c>
      <c r="P298" s="32" t="s">
        <v>43</v>
      </c>
      <c r="Q298" s="32" t="s">
        <v>44</v>
      </c>
      <c r="R298" s="34" t="s">
        <v>45</v>
      </c>
      <c r="S298" s="34" t="s">
        <v>46</v>
      </c>
      <c r="T298" s="34" t="s">
        <v>47</v>
      </c>
      <c r="U298" s="35" t="s">
        <v>48</v>
      </c>
      <c r="V298" s="36" t="s">
        <v>47</v>
      </c>
      <c r="W298" s="36" t="s">
        <v>49</v>
      </c>
      <c r="X298" s="37" t="s">
        <v>50</v>
      </c>
      <c r="Y298" s="37" t="s">
        <v>51</v>
      </c>
      <c r="Z298" s="38" t="s">
        <v>48</v>
      </c>
      <c r="AA298" s="39" t="s">
        <v>47</v>
      </c>
      <c r="AB298" s="40" t="s">
        <v>48</v>
      </c>
      <c r="AC298" s="41" t="s">
        <v>47</v>
      </c>
      <c r="AD298" s="42" t="s">
        <v>52</v>
      </c>
    </row>
    <row r="299" spans="2:30" ht="23.25" customHeight="1">
      <c r="B299" s="9" t="s">
        <v>5</v>
      </c>
      <c r="C299" s="10" t="s">
        <v>6</v>
      </c>
      <c r="D299" s="10"/>
      <c r="E299" s="11" t="s">
        <v>7</v>
      </c>
      <c r="F299" s="11" t="s">
        <v>8</v>
      </c>
      <c r="G299" s="11" t="s">
        <v>9</v>
      </c>
      <c r="H299" s="11" t="s">
        <v>10</v>
      </c>
      <c r="I299" s="11" t="s">
        <v>11</v>
      </c>
      <c r="J299" s="11" t="s">
        <v>12</v>
      </c>
      <c r="K299" s="11" t="s">
        <v>13</v>
      </c>
      <c r="L299" s="11" t="s">
        <v>14</v>
      </c>
      <c r="M299" s="11" t="s">
        <v>15</v>
      </c>
      <c r="N299" s="11" t="s">
        <v>16</v>
      </c>
      <c r="O299" s="11" t="s">
        <v>17</v>
      </c>
      <c r="P299" s="12" t="s">
        <v>18</v>
      </c>
      <c r="Q299" s="11" t="s">
        <v>19</v>
      </c>
      <c r="R299" s="11"/>
      <c r="S299" s="10" t="s">
        <v>20</v>
      </c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3"/>
    </row>
    <row r="300" spans="2:30">
      <c r="B300" s="14" t="s">
        <v>559</v>
      </c>
      <c r="C300" s="15" t="str">
        <f>"Đinh"&amp;" " &amp; "Văn Quynh"</f>
        <v>Đinh Văn Quynh</v>
      </c>
      <c r="D300" s="15"/>
      <c r="E300" s="16" t="s">
        <v>314</v>
      </c>
      <c r="F300" s="16" t="s">
        <v>134</v>
      </c>
      <c r="G300" s="17" t="s">
        <v>133</v>
      </c>
      <c r="H300" s="16" t="s">
        <v>388</v>
      </c>
      <c r="I300" s="18">
        <v>0</v>
      </c>
      <c r="J300" s="19">
        <v>42000000</v>
      </c>
      <c r="K300" s="19">
        <f>IFERROR(IF(N300&lt;4,Q300,SUM(Sheet3!J302:J349)),0)</f>
        <v>291868616</v>
      </c>
      <c r="L300" s="20">
        <f>IFERROR(K300/J300,0)</f>
        <v>6.9492527619047619</v>
      </c>
      <c r="M300" s="19">
        <f>IFERROR(IF(OR(N300=3,N300=4),SUM(Sheet3!AD302:AD349)+AD300,IF(N300=1,0.6%,IF(N300=2,0.65%,IF(N300=3,0.6%,0)))*IF(L300&lt;0.8,0,IF(L300&lt;1,L300,1))*IF(RIGHT("2018-09",2)="03",1,0)),0)</f>
        <v>2804855.560000001</v>
      </c>
      <c r="N300" s="19">
        <v>4</v>
      </c>
      <c r="O300" s="18">
        <f>IF(N300=4,0.5%,IF(N300=5,0.3%,0))</f>
        <v>5.0000000000000001E-3</v>
      </c>
      <c r="P300" s="21">
        <f>IFERROR(SUM(Sheet3!P302:P349),0)</f>
        <v>4902871</v>
      </c>
      <c r="Q300" s="19">
        <f>SUMIF($G:$G,B300,$K:$K)</f>
        <v>0</v>
      </c>
      <c r="R300" s="22"/>
      <c r="S300" s="23" t="s">
        <v>26</v>
      </c>
      <c r="T300" s="23"/>
      <c r="U300" s="24" t="s">
        <v>27</v>
      </c>
      <c r="V300" s="24"/>
      <c r="W300" s="24"/>
      <c r="X300" s="25" t="s">
        <v>28</v>
      </c>
      <c r="Y300" s="25"/>
      <c r="Z300" s="26" t="s">
        <v>29</v>
      </c>
      <c r="AA300" s="26"/>
      <c r="AB300" s="27" t="s">
        <v>30</v>
      </c>
      <c r="AC300" s="27"/>
      <c r="AD300" s="28">
        <f>IF(IFERROR(SUM(Sheet3!Y302:Y349)*O300,0)&gt;2000000,2000000,IFERROR(SUM(Sheet3!Y302:Y349)*O300,0))</f>
        <v>0</v>
      </c>
    </row>
    <row r="301" spans="2:30" ht="25.5">
      <c r="C301" s="29" t="s">
        <v>31</v>
      </c>
      <c r="D301" s="30" t="s">
        <v>32</v>
      </c>
      <c r="E301" s="30"/>
      <c r="F301" s="31" t="s">
        <v>33</v>
      </c>
      <c r="G301" s="31" t="s">
        <v>34</v>
      </c>
      <c r="H301" s="32" t="s">
        <v>35</v>
      </c>
      <c r="I301" s="32" t="s">
        <v>36</v>
      </c>
      <c r="J301" s="31" t="s">
        <v>37</v>
      </c>
      <c r="K301" s="31" t="s">
        <v>38</v>
      </c>
      <c r="L301" s="31" t="s">
        <v>39</v>
      </c>
      <c r="M301" s="31" t="s">
        <v>40</v>
      </c>
      <c r="N301" s="31" t="s">
        <v>41</v>
      </c>
      <c r="O301" s="33" t="s">
        <v>42</v>
      </c>
      <c r="P301" s="32" t="s">
        <v>43</v>
      </c>
      <c r="Q301" s="32" t="s">
        <v>44</v>
      </c>
      <c r="R301" s="34" t="s">
        <v>45</v>
      </c>
      <c r="S301" s="34" t="s">
        <v>46</v>
      </c>
      <c r="T301" s="34" t="s">
        <v>47</v>
      </c>
      <c r="U301" s="35" t="s">
        <v>48</v>
      </c>
      <c r="V301" s="36" t="s">
        <v>47</v>
      </c>
      <c r="W301" s="36" t="s">
        <v>49</v>
      </c>
      <c r="X301" s="37" t="s">
        <v>50</v>
      </c>
      <c r="Y301" s="37" t="s">
        <v>51</v>
      </c>
      <c r="Z301" s="38" t="s">
        <v>48</v>
      </c>
      <c r="AA301" s="39" t="s">
        <v>47</v>
      </c>
      <c r="AB301" s="40" t="s">
        <v>48</v>
      </c>
      <c r="AC301" s="41" t="s">
        <v>47</v>
      </c>
      <c r="AD301" s="42" t="s">
        <v>52</v>
      </c>
    </row>
    <row r="302" spans="2:30">
      <c r="C302" s="43" t="s">
        <v>560</v>
      </c>
      <c r="D302" s="44" t="s">
        <v>561</v>
      </c>
      <c r="E302" s="44"/>
      <c r="F302" s="45">
        <v>43048.34443287037</v>
      </c>
      <c r="G302" s="46">
        <v>10</v>
      </c>
      <c r="H302" s="47">
        <v>43382</v>
      </c>
      <c r="I302" s="47">
        <v>43390</v>
      </c>
      <c r="J302" s="46">
        <v>1163418</v>
      </c>
      <c r="K302" s="46">
        <v>0</v>
      </c>
      <c r="L302" s="46">
        <v>0</v>
      </c>
      <c r="M302" s="46">
        <f t="shared" ref="M302:M349" si="114">IFERROR(J302-K302-L302,0)</f>
        <v>1163418</v>
      </c>
      <c r="N302" s="46">
        <v>1163418</v>
      </c>
      <c r="O302" s="48">
        <f t="shared" ref="O302:O349" si="115">IFERROR(IF(1 - M302/N302&lt;0,0,1-M302/N302),0)</f>
        <v>0</v>
      </c>
      <c r="P302" s="46">
        <v>0</v>
      </c>
      <c r="Q302" s="46">
        <v>1163418</v>
      </c>
      <c r="R302" s="49">
        <f t="shared" ref="R302:R349" si="116">IF(F302&lt;DATEVALUE("2018-07-01"),1,0)</f>
        <v>1</v>
      </c>
      <c r="S302" s="50">
        <f t="shared" ref="S302:S349" si="117">IF(R302=1,1%,0)</f>
        <v>0.01</v>
      </c>
      <c r="T302" s="49">
        <f t="shared" ref="T302:T349" si="118">IFERROR(S302*M302,0)</f>
        <v>11634.18</v>
      </c>
      <c r="U302" s="51">
        <f t="shared" ref="U302:U349" si="119">IF(O302&lt;=0.12,1,0)*(1-R302)*M302</f>
        <v>0</v>
      </c>
      <c r="V302" s="52">
        <f>IF(0&lt;0.8,0,IF(0&lt;1,Sheet3!L300,1))*IF(G302&lt;3,0.12 - O302,0.01) *U302</f>
        <v>0</v>
      </c>
      <c r="W302" s="52">
        <f t="shared" ref="W302:W349" si="120">IF(0&gt;1,IF(0&lt;=1.1,1,IF(0&lt;=1.2,2,IF(0&lt;=1.5,3,5))),0) * 1000000</f>
        <v>0</v>
      </c>
      <c r="X302" s="53">
        <f t="shared" ref="X302:X349" si="121">IF(AND(P302&gt;=150000000,P302&lt;300000000),5000000,IF(AND(P302&gt;=300000000,P302&lt;500000000),10000000,IF(AND(P302&gt;=300000000,P302&lt;500000000),15000000,IF(AND(P302&gt;=500000000,P302&lt;3000000000),20000000,IF(P302&gt;=30000000000,35000000,0))))) * (1-R302)</f>
        <v>0</v>
      </c>
      <c r="Y302" s="53">
        <f t="shared" ref="Y302:Y349" si="122">IFERROR(Q302 * (1-R302),0)</f>
        <v>0</v>
      </c>
      <c r="Z302" s="54">
        <f>IF(R302=1,0,0)</f>
        <v>0</v>
      </c>
      <c r="AA302" s="54">
        <f t="shared" ref="AA302:AA349" si="123">IFERROR((1-R302) * Z302 * 2%,0)</f>
        <v>0</v>
      </c>
      <c r="AB302" s="55">
        <f>IF(R302=0,0,0)</f>
        <v>0</v>
      </c>
      <c r="AC302" s="55">
        <f t="shared" ref="AC302:AC349" si="124">IFERROR(AB302 * (1-R302) * 2%,0)</f>
        <v>0</v>
      </c>
      <c r="AD302" s="56">
        <f t="shared" ref="AD302:AD349" si="125">T302+V302+W302+X302+AA302+AC302</f>
        <v>11634.18</v>
      </c>
    </row>
    <row r="303" spans="2:30">
      <c r="C303" s="43" t="s">
        <v>562</v>
      </c>
      <c r="D303" s="44" t="s">
        <v>563</v>
      </c>
      <c r="E303" s="44"/>
      <c r="F303" s="45">
        <v>43055.104814814811</v>
      </c>
      <c r="G303" s="46">
        <v>10</v>
      </c>
      <c r="H303" s="47">
        <v>43377</v>
      </c>
      <c r="I303" s="47">
        <v>43395</v>
      </c>
      <c r="J303" s="46">
        <v>6180800</v>
      </c>
      <c r="K303" s="46">
        <v>0</v>
      </c>
      <c r="L303" s="46">
        <v>0</v>
      </c>
      <c r="M303" s="46">
        <f t="shared" si="114"/>
        <v>6180800</v>
      </c>
      <c r="N303" s="46">
        <v>5170022</v>
      </c>
      <c r="O303" s="48">
        <f t="shared" si="115"/>
        <v>0</v>
      </c>
      <c r="P303" s="46">
        <v>0</v>
      </c>
      <c r="Q303" s="46">
        <v>6180800</v>
      </c>
      <c r="R303" s="49">
        <f t="shared" si="116"/>
        <v>1</v>
      </c>
      <c r="S303" s="50">
        <f t="shared" si="117"/>
        <v>0.01</v>
      </c>
      <c r="T303" s="49">
        <f t="shared" si="118"/>
        <v>61808</v>
      </c>
      <c r="U303" s="51">
        <f t="shared" si="119"/>
        <v>0</v>
      </c>
      <c r="V303" s="52">
        <f>IF(0&lt;0.8,0,IF(0&lt;1,Sheet3!L300,1))*IF(G303&lt;3,0.12 - O303,0.01) *U303</f>
        <v>0</v>
      </c>
      <c r="W303" s="52">
        <f t="shared" si="120"/>
        <v>0</v>
      </c>
      <c r="X303" s="53">
        <f t="shared" si="121"/>
        <v>0</v>
      </c>
      <c r="Y303" s="53">
        <f t="shared" si="122"/>
        <v>0</v>
      </c>
      <c r="Z303" s="54">
        <f>IF(R303=1,0,0)</f>
        <v>0</v>
      </c>
      <c r="AA303" s="54">
        <f t="shared" si="123"/>
        <v>0</v>
      </c>
      <c r="AB303" s="55">
        <f>IF(R303=0,1010777,0)</f>
        <v>0</v>
      </c>
      <c r="AC303" s="55">
        <f t="shared" si="124"/>
        <v>0</v>
      </c>
      <c r="AD303" s="56">
        <f t="shared" si="125"/>
        <v>61808</v>
      </c>
    </row>
    <row r="304" spans="2:30">
      <c r="C304" s="43" t="s">
        <v>564</v>
      </c>
      <c r="D304" s="44" t="s">
        <v>565</v>
      </c>
      <c r="E304" s="44"/>
      <c r="F304" s="45">
        <v>43059.281238425923</v>
      </c>
      <c r="G304" s="46">
        <v>10</v>
      </c>
      <c r="H304" s="47">
        <v>43376</v>
      </c>
      <c r="I304" s="47">
        <v>43404</v>
      </c>
      <c r="J304" s="46">
        <v>379702</v>
      </c>
      <c r="K304" s="46">
        <v>0</v>
      </c>
      <c r="L304" s="46">
        <v>0</v>
      </c>
      <c r="M304" s="46">
        <f t="shared" si="114"/>
        <v>379702</v>
      </c>
      <c r="N304" s="46">
        <v>379702</v>
      </c>
      <c r="O304" s="48">
        <f t="shared" si="115"/>
        <v>0</v>
      </c>
      <c r="P304" s="46">
        <v>0</v>
      </c>
      <c r="Q304" s="46">
        <v>379702</v>
      </c>
      <c r="R304" s="49">
        <f t="shared" si="116"/>
        <v>1</v>
      </c>
      <c r="S304" s="50">
        <f t="shared" si="117"/>
        <v>0.01</v>
      </c>
      <c r="T304" s="49">
        <f t="shared" si="118"/>
        <v>3797.02</v>
      </c>
      <c r="U304" s="51">
        <f t="shared" si="119"/>
        <v>0</v>
      </c>
      <c r="V304" s="52">
        <f>IF(0&lt;0.8,0,IF(0&lt;1,Sheet3!L300,1))*IF(G304&lt;3,0.12 - O304,0.01) *U304</f>
        <v>0</v>
      </c>
      <c r="W304" s="52">
        <f t="shared" si="120"/>
        <v>0</v>
      </c>
      <c r="X304" s="53">
        <f t="shared" si="121"/>
        <v>0</v>
      </c>
      <c r="Y304" s="53">
        <f t="shared" si="122"/>
        <v>0</v>
      </c>
      <c r="Z304" s="54">
        <f>IF(R304=1,0,0)</f>
        <v>0</v>
      </c>
      <c r="AA304" s="54">
        <f t="shared" si="123"/>
        <v>0</v>
      </c>
      <c r="AB304" s="55">
        <f>IF(R304=0,0,0)</f>
        <v>0</v>
      </c>
      <c r="AC304" s="55">
        <f t="shared" si="124"/>
        <v>0</v>
      </c>
      <c r="AD304" s="56">
        <f t="shared" si="125"/>
        <v>3797.02</v>
      </c>
    </row>
    <row r="305" spans="3:30">
      <c r="C305" s="43" t="s">
        <v>566</v>
      </c>
      <c r="D305" s="44" t="s">
        <v>567</v>
      </c>
      <c r="E305" s="44"/>
      <c r="F305" s="45">
        <v>43071.086168981477</v>
      </c>
      <c r="G305" s="46">
        <v>9</v>
      </c>
      <c r="H305" s="47">
        <v>43388</v>
      </c>
      <c r="I305" s="47">
        <v>43392</v>
      </c>
      <c r="J305" s="46">
        <v>3092796</v>
      </c>
      <c r="K305" s="46">
        <v>0</v>
      </c>
      <c r="L305" s="46">
        <v>0</v>
      </c>
      <c r="M305" s="46">
        <f t="shared" si="114"/>
        <v>3092796</v>
      </c>
      <c r="N305" s="46">
        <v>3092796</v>
      </c>
      <c r="O305" s="48">
        <f t="shared" si="115"/>
        <v>0</v>
      </c>
      <c r="P305" s="46">
        <v>0</v>
      </c>
      <c r="Q305" s="46">
        <v>3092796</v>
      </c>
      <c r="R305" s="49">
        <f t="shared" si="116"/>
        <v>1</v>
      </c>
      <c r="S305" s="50">
        <f t="shared" si="117"/>
        <v>0.01</v>
      </c>
      <c r="T305" s="49">
        <f t="shared" si="118"/>
        <v>30927.96</v>
      </c>
      <c r="U305" s="51">
        <f t="shared" si="119"/>
        <v>0</v>
      </c>
      <c r="V305" s="52">
        <f>IF(0&lt;0.8,0,IF(0&lt;1,Sheet3!L300,1))*IF(G305&lt;3,0.12 - O305,0.01) *U305</f>
        <v>0</v>
      </c>
      <c r="W305" s="52">
        <f t="shared" si="120"/>
        <v>0</v>
      </c>
      <c r="X305" s="53">
        <f t="shared" si="121"/>
        <v>0</v>
      </c>
      <c r="Y305" s="53">
        <f t="shared" si="122"/>
        <v>0</v>
      </c>
      <c r="Z305" s="54">
        <f>IF(R305=1,0,0)</f>
        <v>0</v>
      </c>
      <c r="AA305" s="54">
        <f t="shared" si="123"/>
        <v>0</v>
      </c>
      <c r="AB305" s="55">
        <f>IF(R305=0,0,0)</f>
        <v>0</v>
      </c>
      <c r="AC305" s="55">
        <f t="shared" si="124"/>
        <v>0</v>
      </c>
      <c r="AD305" s="56">
        <f t="shared" si="125"/>
        <v>30927.96</v>
      </c>
    </row>
    <row r="306" spans="3:30">
      <c r="C306" s="43" t="s">
        <v>568</v>
      </c>
      <c r="D306" s="44" t="s">
        <v>569</v>
      </c>
      <c r="E306" s="44"/>
      <c r="F306" s="45">
        <v>43081.318668981483</v>
      </c>
      <c r="G306" s="46">
        <v>9</v>
      </c>
      <c r="H306" s="47" t="s">
        <v>24</v>
      </c>
      <c r="I306" s="47" t="s">
        <v>24</v>
      </c>
      <c r="J306" s="46">
        <v>178636</v>
      </c>
      <c r="K306" s="46">
        <v>0</v>
      </c>
      <c r="L306" s="46">
        <v>0</v>
      </c>
      <c r="M306" s="46">
        <f t="shared" si="114"/>
        <v>178636</v>
      </c>
      <c r="N306" s="46" t="s">
        <v>24</v>
      </c>
      <c r="O306" s="48">
        <f t="shared" si="115"/>
        <v>0</v>
      </c>
      <c r="P306" s="46">
        <v>0</v>
      </c>
      <c r="Q306" s="46">
        <v>0</v>
      </c>
      <c r="R306" s="49">
        <f t="shared" si="116"/>
        <v>1</v>
      </c>
      <c r="S306" s="50">
        <f t="shared" si="117"/>
        <v>0.01</v>
      </c>
      <c r="T306" s="49">
        <f t="shared" si="118"/>
        <v>1786.3600000000001</v>
      </c>
      <c r="U306" s="51">
        <f t="shared" si="119"/>
        <v>0</v>
      </c>
      <c r="V306" s="52">
        <f>IF(0&lt;0.8,0,IF(0&lt;1,Sheet3!L300,1))*IF(G306&lt;3,0.12 - O306,0.01) *U306</f>
        <v>0</v>
      </c>
      <c r="W306" s="52">
        <f t="shared" si="120"/>
        <v>0</v>
      </c>
      <c r="X306" s="53">
        <f t="shared" si="121"/>
        <v>0</v>
      </c>
      <c r="Y306" s="53">
        <f t="shared" si="122"/>
        <v>0</v>
      </c>
      <c r="Z306" s="54">
        <f>IF(R306=1,0,"")</f>
        <v>0</v>
      </c>
      <c r="AA306" s="54">
        <f t="shared" si="123"/>
        <v>0</v>
      </c>
      <c r="AB306" s="55">
        <f>IF(R306=0,"",0)</f>
        <v>0</v>
      </c>
      <c r="AC306" s="55">
        <f t="shared" si="124"/>
        <v>0</v>
      </c>
      <c r="AD306" s="56">
        <f t="shared" si="125"/>
        <v>1786.3600000000001</v>
      </c>
    </row>
    <row r="307" spans="3:30">
      <c r="C307" s="43" t="s">
        <v>570</v>
      </c>
      <c r="D307" s="44" t="s">
        <v>571</v>
      </c>
      <c r="E307" s="44"/>
      <c r="F307" s="45">
        <v>43089.078206018516</v>
      </c>
      <c r="G307" s="46">
        <v>9</v>
      </c>
      <c r="H307" s="47">
        <v>43376</v>
      </c>
      <c r="I307" s="47">
        <v>43390</v>
      </c>
      <c r="J307" s="46">
        <v>65519</v>
      </c>
      <c r="K307" s="46">
        <v>0</v>
      </c>
      <c r="L307" s="46">
        <v>0</v>
      </c>
      <c r="M307" s="46">
        <f t="shared" si="114"/>
        <v>65519</v>
      </c>
      <c r="N307" s="46">
        <v>65519</v>
      </c>
      <c r="O307" s="48">
        <f t="shared" si="115"/>
        <v>0</v>
      </c>
      <c r="P307" s="46">
        <v>0</v>
      </c>
      <c r="Q307" s="46">
        <v>65519</v>
      </c>
      <c r="R307" s="49">
        <f t="shared" si="116"/>
        <v>1</v>
      </c>
      <c r="S307" s="50">
        <f t="shared" si="117"/>
        <v>0.01</v>
      </c>
      <c r="T307" s="49">
        <f t="shared" si="118"/>
        <v>655.19000000000005</v>
      </c>
      <c r="U307" s="51">
        <f t="shared" si="119"/>
        <v>0</v>
      </c>
      <c r="V307" s="52">
        <f>IF(0&lt;0.8,0,IF(0&lt;1,Sheet3!L300,1))*IF(G307&lt;3,0.12 - O307,0.01) *U307</f>
        <v>0</v>
      </c>
      <c r="W307" s="52">
        <f t="shared" si="120"/>
        <v>0</v>
      </c>
      <c r="X307" s="53">
        <f t="shared" si="121"/>
        <v>0</v>
      </c>
      <c r="Y307" s="53">
        <f t="shared" si="122"/>
        <v>0</v>
      </c>
      <c r="Z307" s="54">
        <f t="shared" ref="Z307:Z349" si="126">IF(R307=1,0,0)</f>
        <v>0</v>
      </c>
      <c r="AA307" s="54">
        <f t="shared" si="123"/>
        <v>0</v>
      </c>
      <c r="AB307" s="55">
        <f t="shared" ref="AB307:AB349" si="127">IF(R307=0,0,0)</f>
        <v>0</v>
      </c>
      <c r="AC307" s="55">
        <f t="shared" si="124"/>
        <v>0</v>
      </c>
      <c r="AD307" s="56">
        <f t="shared" si="125"/>
        <v>655.19000000000005</v>
      </c>
    </row>
    <row r="308" spans="3:30">
      <c r="C308" s="43" t="s">
        <v>572</v>
      </c>
      <c r="D308" s="44" t="s">
        <v>573</v>
      </c>
      <c r="E308" s="44"/>
      <c r="F308" s="45">
        <v>43102.374756944446</v>
      </c>
      <c r="G308" s="46">
        <v>8</v>
      </c>
      <c r="H308" s="47">
        <v>43376</v>
      </c>
      <c r="I308" s="47">
        <v>43385</v>
      </c>
      <c r="J308" s="46">
        <v>1419814</v>
      </c>
      <c r="K308" s="46">
        <v>0</v>
      </c>
      <c r="L308" s="46">
        <v>0</v>
      </c>
      <c r="M308" s="46">
        <f t="shared" si="114"/>
        <v>1419814</v>
      </c>
      <c r="N308" s="46">
        <v>1419814</v>
      </c>
      <c r="O308" s="48">
        <f t="shared" si="115"/>
        <v>0</v>
      </c>
      <c r="P308" s="46">
        <v>0</v>
      </c>
      <c r="Q308" s="46">
        <v>1419814</v>
      </c>
      <c r="R308" s="49">
        <f t="shared" si="116"/>
        <v>1</v>
      </c>
      <c r="S308" s="50">
        <f t="shared" si="117"/>
        <v>0.01</v>
      </c>
      <c r="T308" s="49">
        <f t="shared" si="118"/>
        <v>14198.14</v>
      </c>
      <c r="U308" s="51">
        <f t="shared" si="119"/>
        <v>0</v>
      </c>
      <c r="V308" s="52">
        <f>IF(0&lt;0.8,0,IF(0&lt;1,Sheet3!L300,1))*IF(G308&lt;3,0.12 - O308,0.01) *U308</f>
        <v>0</v>
      </c>
      <c r="W308" s="52">
        <f t="shared" si="120"/>
        <v>0</v>
      </c>
      <c r="X308" s="53">
        <f t="shared" si="121"/>
        <v>0</v>
      </c>
      <c r="Y308" s="53">
        <f t="shared" si="122"/>
        <v>0</v>
      </c>
      <c r="Z308" s="54">
        <f t="shared" si="126"/>
        <v>0</v>
      </c>
      <c r="AA308" s="54">
        <f t="shared" si="123"/>
        <v>0</v>
      </c>
      <c r="AB308" s="55">
        <f t="shared" si="127"/>
        <v>0</v>
      </c>
      <c r="AC308" s="55">
        <f t="shared" si="124"/>
        <v>0</v>
      </c>
      <c r="AD308" s="56">
        <f t="shared" si="125"/>
        <v>14198.14</v>
      </c>
    </row>
    <row r="309" spans="3:30">
      <c r="C309" s="43" t="s">
        <v>574</v>
      </c>
      <c r="D309" s="44" t="s">
        <v>575</v>
      </c>
      <c r="E309" s="44"/>
      <c r="F309" s="45">
        <v>43111.282060185185</v>
      </c>
      <c r="G309" s="46">
        <v>8</v>
      </c>
      <c r="H309" s="47" t="s">
        <v>24</v>
      </c>
      <c r="I309" s="47" t="s">
        <v>24</v>
      </c>
      <c r="J309" s="46">
        <v>352062</v>
      </c>
      <c r="K309" s="46">
        <v>0</v>
      </c>
      <c r="L309" s="46">
        <v>0</v>
      </c>
      <c r="M309" s="46">
        <f t="shared" si="114"/>
        <v>352062</v>
      </c>
      <c r="N309" s="46">
        <v>352062</v>
      </c>
      <c r="O309" s="48">
        <f t="shared" si="115"/>
        <v>0</v>
      </c>
      <c r="P309" s="46">
        <v>0</v>
      </c>
      <c r="Q309" s="46">
        <v>352062</v>
      </c>
      <c r="R309" s="49">
        <f t="shared" si="116"/>
        <v>1</v>
      </c>
      <c r="S309" s="50">
        <f t="shared" si="117"/>
        <v>0.01</v>
      </c>
      <c r="T309" s="49">
        <f t="shared" si="118"/>
        <v>3520.62</v>
      </c>
      <c r="U309" s="51">
        <f t="shared" si="119"/>
        <v>0</v>
      </c>
      <c r="V309" s="52">
        <f>IF(0&lt;0.8,0,IF(0&lt;1,Sheet3!L300,1))*IF(G309&lt;3,0.12 - O309,0.01) *U309</f>
        <v>0</v>
      </c>
      <c r="W309" s="52">
        <f t="shared" si="120"/>
        <v>0</v>
      </c>
      <c r="X309" s="53">
        <f t="shared" si="121"/>
        <v>0</v>
      </c>
      <c r="Y309" s="53">
        <f t="shared" si="122"/>
        <v>0</v>
      </c>
      <c r="Z309" s="54">
        <f t="shared" si="126"/>
        <v>0</v>
      </c>
      <c r="AA309" s="54">
        <f t="shared" si="123"/>
        <v>0</v>
      </c>
      <c r="AB309" s="55">
        <f t="shared" si="127"/>
        <v>0</v>
      </c>
      <c r="AC309" s="55">
        <f t="shared" si="124"/>
        <v>0</v>
      </c>
      <c r="AD309" s="56">
        <f t="shared" si="125"/>
        <v>3520.62</v>
      </c>
    </row>
    <row r="310" spans="3:30">
      <c r="C310" s="43" t="s">
        <v>576</v>
      </c>
      <c r="D310" s="44" t="s">
        <v>577</v>
      </c>
      <c r="E310" s="44"/>
      <c r="F310" s="45">
        <v>43112.303402777776</v>
      </c>
      <c r="G310" s="46">
        <v>8</v>
      </c>
      <c r="H310" s="47">
        <v>43376</v>
      </c>
      <c r="I310" s="47">
        <v>43390</v>
      </c>
      <c r="J310" s="46">
        <v>164579</v>
      </c>
      <c r="K310" s="46">
        <v>0</v>
      </c>
      <c r="L310" s="46">
        <v>0</v>
      </c>
      <c r="M310" s="46">
        <f t="shared" si="114"/>
        <v>164579</v>
      </c>
      <c r="N310" s="46">
        <v>164579</v>
      </c>
      <c r="O310" s="48">
        <f t="shared" si="115"/>
        <v>0</v>
      </c>
      <c r="P310" s="46">
        <v>0</v>
      </c>
      <c r="Q310" s="46">
        <v>164579</v>
      </c>
      <c r="R310" s="49">
        <f t="shared" si="116"/>
        <v>1</v>
      </c>
      <c r="S310" s="50">
        <f t="shared" si="117"/>
        <v>0.01</v>
      </c>
      <c r="T310" s="49">
        <f t="shared" si="118"/>
        <v>1645.79</v>
      </c>
      <c r="U310" s="51">
        <f t="shared" si="119"/>
        <v>0</v>
      </c>
      <c r="V310" s="52">
        <f>IF(0&lt;0.8,0,IF(0&lt;1,Sheet3!L300,1))*IF(G310&lt;3,0.12 - O310,0.01) *U310</f>
        <v>0</v>
      </c>
      <c r="W310" s="52">
        <f t="shared" si="120"/>
        <v>0</v>
      </c>
      <c r="X310" s="53">
        <f t="shared" si="121"/>
        <v>0</v>
      </c>
      <c r="Y310" s="53">
        <f t="shared" si="122"/>
        <v>0</v>
      </c>
      <c r="Z310" s="54">
        <f t="shared" si="126"/>
        <v>0</v>
      </c>
      <c r="AA310" s="54">
        <f t="shared" si="123"/>
        <v>0</v>
      </c>
      <c r="AB310" s="55">
        <f t="shared" si="127"/>
        <v>0</v>
      </c>
      <c r="AC310" s="55">
        <f t="shared" si="124"/>
        <v>0</v>
      </c>
      <c r="AD310" s="56">
        <f t="shared" si="125"/>
        <v>1645.79</v>
      </c>
    </row>
    <row r="311" spans="3:30">
      <c r="C311" s="43" t="s">
        <v>578</v>
      </c>
      <c r="D311" s="44" t="s">
        <v>579</v>
      </c>
      <c r="E311" s="44"/>
      <c r="F311" s="45">
        <v>43112.300891203704</v>
      </c>
      <c r="G311" s="46">
        <v>8</v>
      </c>
      <c r="H311" s="47">
        <v>43377</v>
      </c>
      <c r="I311" s="47">
        <v>43391</v>
      </c>
      <c r="J311" s="46">
        <v>2755279</v>
      </c>
      <c r="K311" s="46">
        <v>0</v>
      </c>
      <c r="L311" s="46">
        <v>0</v>
      </c>
      <c r="M311" s="46">
        <f t="shared" si="114"/>
        <v>2755279</v>
      </c>
      <c r="N311" s="46">
        <v>2755279</v>
      </c>
      <c r="O311" s="48">
        <f t="shared" si="115"/>
        <v>0</v>
      </c>
      <c r="P311" s="46">
        <v>0</v>
      </c>
      <c r="Q311" s="46">
        <v>2755279</v>
      </c>
      <c r="R311" s="49">
        <f t="shared" si="116"/>
        <v>1</v>
      </c>
      <c r="S311" s="50">
        <f t="shared" si="117"/>
        <v>0.01</v>
      </c>
      <c r="T311" s="49">
        <f t="shared" si="118"/>
        <v>27552.79</v>
      </c>
      <c r="U311" s="51">
        <f t="shared" si="119"/>
        <v>0</v>
      </c>
      <c r="V311" s="52">
        <f>IF(0&lt;0.8,0,IF(0&lt;1,Sheet3!L300,1))*IF(G311&lt;3,0.12 - O311,0.01) *U311</f>
        <v>0</v>
      </c>
      <c r="W311" s="52">
        <f t="shared" si="120"/>
        <v>0</v>
      </c>
      <c r="X311" s="53">
        <f t="shared" si="121"/>
        <v>0</v>
      </c>
      <c r="Y311" s="53">
        <f t="shared" si="122"/>
        <v>0</v>
      </c>
      <c r="Z311" s="54">
        <f t="shared" si="126"/>
        <v>0</v>
      </c>
      <c r="AA311" s="54">
        <f t="shared" si="123"/>
        <v>0</v>
      </c>
      <c r="AB311" s="55">
        <f t="shared" si="127"/>
        <v>0</v>
      </c>
      <c r="AC311" s="55">
        <f t="shared" si="124"/>
        <v>0</v>
      </c>
      <c r="AD311" s="56">
        <f t="shared" si="125"/>
        <v>27552.79</v>
      </c>
    </row>
    <row r="312" spans="3:30">
      <c r="C312" s="43" t="s">
        <v>580</v>
      </c>
      <c r="D312" s="44" t="s">
        <v>581</v>
      </c>
      <c r="E312" s="44"/>
      <c r="F312" s="45">
        <v>43112.304722222223</v>
      </c>
      <c r="G312" s="46">
        <v>8</v>
      </c>
      <c r="H312" s="47">
        <v>43376</v>
      </c>
      <c r="I312" s="47">
        <v>43385</v>
      </c>
      <c r="J312" s="46">
        <v>574017</v>
      </c>
      <c r="K312" s="46">
        <v>0</v>
      </c>
      <c r="L312" s="46">
        <v>0</v>
      </c>
      <c r="M312" s="46">
        <f t="shared" si="114"/>
        <v>574017</v>
      </c>
      <c r="N312" s="46">
        <v>574017</v>
      </c>
      <c r="O312" s="48">
        <f t="shared" si="115"/>
        <v>0</v>
      </c>
      <c r="P312" s="46">
        <v>0</v>
      </c>
      <c r="Q312" s="46">
        <v>574017</v>
      </c>
      <c r="R312" s="49">
        <f t="shared" si="116"/>
        <v>1</v>
      </c>
      <c r="S312" s="50">
        <f t="shared" si="117"/>
        <v>0.01</v>
      </c>
      <c r="T312" s="49">
        <f t="shared" si="118"/>
        <v>5740.17</v>
      </c>
      <c r="U312" s="51">
        <f t="shared" si="119"/>
        <v>0</v>
      </c>
      <c r="V312" s="52">
        <f>IF(0&lt;0.8,0,IF(0&lt;1,Sheet3!L300,1))*IF(G312&lt;3,0.12 - O312,0.01) *U312</f>
        <v>0</v>
      </c>
      <c r="W312" s="52">
        <f t="shared" si="120"/>
        <v>0</v>
      </c>
      <c r="X312" s="53">
        <f t="shared" si="121"/>
        <v>0</v>
      </c>
      <c r="Y312" s="53">
        <f t="shared" si="122"/>
        <v>0</v>
      </c>
      <c r="Z312" s="54">
        <f t="shared" si="126"/>
        <v>0</v>
      </c>
      <c r="AA312" s="54">
        <f t="shared" si="123"/>
        <v>0</v>
      </c>
      <c r="AB312" s="55">
        <f t="shared" si="127"/>
        <v>0</v>
      </c>
      <c r="AC312" s="55">
        <f t="shared" si="124"/>
        <v>0</v>
      </c>
      <c r="AD312" s="56">
        <f t="shared" si="125"/>
        <v>5740.17</v>
      </c>
    </row>
    <row r="313" spans="3:30">
      <c r="C313" s="43" t="s">
        <v>582</v>
      </c>
      <c r="D313" s="44" t="s">
        <v>583</v>
      </c>
      <c r="E313" s="44"/>
      <c r="F313" s="45">
        <v>43116.082523148143</v>
      </c>
      <c r="G313" s="46">
        <v>8</v>
      </c>
      <c r="H313" s="47">
        <v>43384</v>
      </c>
      <c r="I313" s="47">
        <v>43452</v>
      </c>
      <c r="J313" s="46">
        <v>12300699</v>
      </c>
      <c r="K313" s="46">
        <v>0</v>
      </c>
      <c r="L313" s="46">
        <v>0</v>
      </c>
      <c r="M313" s="46">
        <f t="shared" si="114"/>
        <v>12300699</v>
      </c>
      <c r="N313" s="46">
        <v>12300699</v>
      </c>
      <c r="O313" s="48">
        <f t="shared" si="115"/>
        <v>0</v>
      </c>
      <c r="P313" s="46">
        <v>0</v>
      </c>
      <c r="Q313" s="46">
        <v>12300699</v>
      </c>
      <c r="R313" s="49">
        <f t="shared" si="116"/>
        <v>1</v>
      </c>
      <c r="S313" s="50">
        <f t="shared" si="117"/>
        <v>0.01</v>
      </c>
      <c r="T313" s="49">
        <f t="shared" si="118"/>
        <v>123006.99</v>
      </c>
      <c r="U313" s="51">
        <f t="shared" si="119"/>
        <v>0</v>
      </c>
      <c r="V313" s="52">
        <f>IF(0&lt;0.8,0,IF(0&lt;1,Sheet3!L300,1))*IF(G313&lt;3,0.12 - O313,0.01) *U313</f>
        <v>0</v>
      </c>
      <c r="W313" s="52">
        <f t="shared" si="120"/>
        <v>0</v>
      </c>
      <c r="X313" s="53">
        <f t="shared" si="121"/>
        <v>0</v>
      </c>
      <c r="Y313" s="53">
        <f t="shared" si="122"/>
        <v>0</v>
      </c>
      <c r="Z313" s="54">
        <f t="shared" si="126"/>
        <v>0</v>
      </c>
      <c r="AA313" s="54">
        <f t="shared" si="123"/>
        <v>0</v>
      </c>
      <c r="AB313" s="55">
        <f t="shared" si="127"/>
        <v>0</v>
      </c>
      <c r="AC313" s="55">
        <f t="shared" si="124"/>
        <v>0</v>
      </c>
      <c r="AD313" s="56">
        <f t="shared" si="125"/>
        <v>123006.99</v>
      </c>
    </row>
    <row r="314" spans="3:30">
      <c r="C314" s="43" t="s">
        <v>584</v>
      </c>
      <c r="D314" s="44" t="s">
        <v>585</v>
      </c>
      <c r="E314" s="44"/>
      <c r="F314" s="45">
        <v>43175.095196759255</v>
      </c>
      <c r="G314" s="46">
        <v>6</v>
      </c>
      <c r="H314" s="47">
        <v>43376</v>
      </c>
      <c r="I314" s="47">
        <v>43385</v>
      </c>
      <c r="J314" s="46">
        <v>168417</v>
      </c>
      <c r="K314" s="46">
        <v>0</v>
      </c>
      <c r="L314" s="46">
        <v>0</v>
      </c>
      <c r="M314" s="46">
        <f t="shared" si="114"/>
        <v>168417</v>
      </c>
      <c r="N314" s="46">
        <v>168417</v>
      </c>
      <c r="O314" s="48">
        <f t="shared" si="115"/>
        <v>0</v>
      </c>
      <c r="P314" s="46">
        <v>0</v>
      </c>
      <c r="Q314" s="46">
        <v>168417</v>
      </c>
      <c r="R314" s="49">
        <f t="shared" si="116"/>
        <v>1</v>
      </c>
      <c r="S314" s="50">
        <f t="shared" si="117"/>
        <v>0.01</v>
      </c>
      <c r="T314" s="49">
        <f t="shared" si="118"/>
        <v>1684.17</v>
      </c>
      <c r="U314" s="51">
        <f t="shared" si="119"/>
        <v>0</v>
      </c>
      <c r="V314" s="52">
        <f>IF(0&lt;0.8,0,IF(0&lt;1,Sheet3!L300,1))*IF(G314&lt;3,0.12 - O314,0.01) *U314</f>
        <v>0</v>
      </c>
      <c r="W314" s="52">
        <f t="shared" si="120"/>
        <v>0</v>
      </c>
      <c r="X314" s="53">
        <f t="shared" si="121"/>
        <v>0</v>
      </c>
      <c r="Y314" s="53">
        <f t="shared" si="122"/>
        <v>0</v>
      </c>
      <c r="Z314" s="54">
        <f t="shared" si="126"/>
        <v>0</v>
      </c>
      <c r="AA314" s="54">
        <f t="shared" si="123"/>
        <v>0</v>
      </c>
      <c r="AB314" s="55">
        <f t="shared" si="127"/>
        <v>0</v>
      </c>
      <c r="AC314" s="55">
        <f t="shared" si="124"/>
        <v>0</v>
      </c>
      <c r="AD314" s="56">
        <f t="shared" si="125"/>
        <v>1684.17</v>
      </c>
    </row>
    <row r="315" spans="3:30">
      <c r="C315" s="43" t="s">
        <v>586</v>
      </c>
      <c r="D315" s="44" t="s">
        <v>587</v>
      </c>
      <c r="E315" s="44"/>
      <c r="F315" s="45">
        <v>43175.094409722224</v>
      </c>
      <c r="G315" s="46">
        <v>6</v>
      </c>
      <c r="H315" s="47">
        <v>43382</v>
      </c>
      <c r="I315" s="47">
        <v>43406</v>
      </c>
      <c r="J315" s="46">
        <v>770361</v>
      </c>
      <c r="K315" s="46">
        <v>0</v>
      </c>
      <c r="L315" s="46">
        <v>0</v>
      </c>
      <c r="M315" s="46">
        <f t="shared" si="114"/>
        <v>770361</v>
      </c>
      <c r="N315" s="46">
        <v>770361</v>
      </c>
      <c r="O315" s="48">
        <f t="shared" si="115"/>
        <v>0</v>
      </c>
      <c r="P315" s="46">
        <v>0</v>
      </c>
      <c r="Q315" s="46">
        <v>770361</v>
      </c>
      <c r="R315" s="49">
        <f t="shared" si="116"/>
        <v>1</v>
      </c>
      <c r="S315" s="50">
        <f t="shared" si="117"/>
        <v>0.01</v>
      </c>
      <c r="T315" s="49">
        <f t="shared" si="118"/>
        <v>7703.6100000000006</v>
      </c>
      <c r="U315" s="51">
        <f t="shared" si="119"/>
        <v>0</v>
      </c>
      <c r="V315" s="52">
        <f>IF(0&lt;0.8,0,IF(0&lt;1,Sheet3!L300,1))*IF(G315&lt;3,0.12 - O315,0.01) *U315</f>
        <v>0</v>
      </c>
      <c r="W315" s="52">
        <f t="shared" si="120"/>
        <v>0</v>
      </c>
      <c r="X315" s="53">
        <f t="shared" si="121"/>
        <v>0</v>
      </c>
      <c r="Y315" s="53">
        <f t="shared" si="122"/>
        <v>0</v>
      </c>
      <c r="Z315" s="54">
        <f t="shared" si="126"/>
        <v>0</v>
      </c>
      <c r="AA315" s="54">
        <f t="shared" si="123"/>
        <v>0</v>
      </c>
      <c r="AB315" s="55">
        <f t="shared" si="127"/>
        <v>0</v>
      </c>
      <c r="AC315" s="55">
        <f t="shared" si="124"/>
        <v>0</v>
      </c>
      <c r="AD315" s="56">
        <f t="shared" si="125"/>
        <v>7703.6100000000006</v>
      </c>
    </row>
    <row r="316" spans="3:30">
      <c r="C316" s="43" t="s">
        <v>588</v>
      </c>
      <c r="D316" s="44" t="s">
        <v>589</v>
      </c>
      <c r="E316" s="44"/>
      <c r="F316" s="45">
        <v>42886.395532407405</v>
      </c>
      <c r="G316" s="46">
        <v>16</v>
      </c>
      <c r="H316" s="47">
        <v>43385</v>
      </c>
      <c r="I316" s="47">
        <v>43437</v>
      </c>
      <c r="J316" s="46">
        <v>11122384</v>
      </c>
      <c r="K316" s="46">
        <v>0</v>
      </c>
      <c r="L316" s="46">
        <v>0</v>
      </c>
      <c r="M316" s="46">
        <f t="shared" si="114"/>
        <v>11122384</v>
      </c>
      <c r="N316" s="46">
        <v>11096811</v>
      </c>
      <c r="O316" s="48">
        <f t="shared" si="115"/>
        <v>0</v>
      </c>
      <c r="P316" s="46">
        <v>0</v>
      </c>
      <c r="Q316" s="46">
        <v>11122384</v>
      </c>
      <c r="R316" s="49">
        <f t="shared" si="116"/>
        <v>1</v>
      </c>
      <c r="S316" s="50">
        <f t="shared" si="117"/>
        <v>0.01</v>
      </c>
      <c r="T316" s="49">
        <f t="shared" si="118"/>
        <v>111223.84</v>
      </c>
      <c r="U316" s="51">
        <f t="shared" si="119"/>
        <v>0</v>
      </c>
      <c r="V316" s="52">
        <f>IF(0&lt;0.8,0,IF(0&lt;1,Sheet3!L300,1))*IF(G316&lt;3,0.12 - O316,0.01) *U316</f>
        <v>0</v>
      </c>
      <c r="W316" s="52">
        <f t="shared" si="120"/>
        <v>0</v>
      </c>
      <c r="X316" s="53">
        <f t="shared" si="121"/>
        <v>0</v>
      </c>
      <c r="Y316" s="53">
        <f t="shared" si="122"/>
        <v>0</v>
      </c>
      <c r="Z316" s="54">
        <f t="shared" si="126"/>
        <v>0</v>
      </c>
      <c r="AA316" s="54">
        <f t="shared" si="123"/>
        <v>0</v>
      </c>
      <c r="AB316" s="55">
        <f t="shared" si="127"/>
        <v>0</v>
      </c>
      <c r="AC316" s="55">
        <f t="shared" si="124"/>
        <v>0</v>
      </c>
      <c r="AD316" s="56">
        <f t="shared" si="125"/>
        <v>111223.84</v>
      </c>
    </row>
    <row r="317" spans="3:30">
      <c r="C317" s="43" t="s">
        <v>590</v>
      </c>
      <c r="D317" s="44" t="s">
        <v>591</v>
      </c>
      <c r="E317" s="44"/>
      <c r="F317" s="45">
        <v>43203.387083333335</v>
      </c>
      <c r="G317" s="46">
        <v>5</v>
      </c>
      <c r="H317" s="47">
        <v>43376</v>
      </c>
      <c r="I317" s="47">
        <v>43390</v>
      </c>
      <c r="J317" s="46">
        <v>114400</v>
      </c>
      <c r="K317" s="46">
        <v>0</v>
      </c>
      <c r="L317" s="46">
        <v>0</v>
      </c>
      <c r="M317" s="46">
        <f t="shared" si="114"/>
        <v>114400</v>
      </c>
      <c r="N317" s="46">
        <v>84700</v>
      </c>
      <c r="O317" s="48">
        <f t="shared" si="115"/>
        <v>0</v>
      </c>
      <c r="P317" s="46">
        <v>0</v>
      </c>
      <c r="Q317" s="46">
        <v>114400</v>
      </c>
      <c r="R317" s="49">
        <f t="shared" si="116"/>
        <v>1</v>
      </c>
      <c r="S317" s="50">
        <f t="shared" si="117"/>
        <v>0.01</v>
      </c>
      <c r="T317" s="49">
        <f t="shared" si="118"/>
        <v>1144</v>
      </c>
      <c r="U317" s="51">
        <f t="shared" si="119"/>
        <v>0</v>
      </c>
      <c r="V317" s="52">
        <f>IF(0&lt;0.8,0,IF(0&lt;1,Sheet3!L300,1))*IF(G317&lt;3,0.12 - O317,0.01) *U317</f>
        <v>0</v>
      </c>
      <c r="W317" s="52">
        <f t="shared" si="120"/>
        <v>0</v>
      </c>
      <c r="X317" s="53">
        <f t="shared" si="121"/>
        <v>0</v>
      </c>
      <c r="Y317" s="53">
        <f t="shared" si="122"/>
        <v>0</v>
      </c>
      <c r="Z317" s="54">
        <f t="shared" si="126"/>
        <v>0</v>
      </c>
      <c r="AA317" s="54">
        <f t="shared" si="123"/>
        <v>0</v>
      </c>
      <c r="AB317" s="55">
        <f t="shared" si="127"/>
        <v>0</v>
      </c>
      <c r="AC317" s="55">
        <f t="shared" si="124"/>
        <v>0</v>
      </c>
      <c r="AD317" s="56">
        <f t="shared" si="125"/>
        <v>1144</v>
      </c>
    </row>
    <row r="318" spans="3:30">
      <c r="C318" s="43" t="s">
        <v>592</v>
      </c>
      <c r="D318" s="44" t="s">
        <v>593</v>
      </c>
      <c r="E318" s="44"/>
      <c r="F318" s="45">
        <v>41457.386018518519</v>
      </c>
      <c r="G318" s="46">
        <v>62</v>
      </c>
      <c r="H318" s="47">
        <v>43376</v>
      </c>
      <c r="I318" s="47">
        <v>43451</v>
      </c>
      <c r="J318" s="46">
        <v>11877259</v>
      </c>
      <c r="K318" s="46">
        <v>0</v>
      </c>
      <c r="L318" s="46">
        <v>0</v>
      </c>
      <c r="M318" s="46">
        <f t="shared" si="114"/>
        <v>11877259</v>
      </c>
      <c r="N318" s="46">
        <v>11745974</v>
      </c>
      <c r="O318" s="48">
        <f t="shared" si="115"/>
        <v>0</v>
      </c>
      <c r="P318" s="46">
        <v>0</v>
      </c>
      <c r="Q318" s="46">
        <v>11877259</v>
      </c>
      <c r="R318" s="49">
        <f t="shared" si="116"/>
        <v>1</v>
      </c>
      <c r="S318" s="50">
        <f t="shared" si="117"/>
        <v>0.01</v>
      </c>
      <c r="T318" s="49">
        <f t="shared" si="118"/>
        <v>118772.59</v>
      </c>
      <c r="U318" s="51">
        <f t="shared" si="119"/>
        <v>0</v>
      </c>
      <c r="V318" s="52">
        <f>IF(0&lt;0.8,0,IF(0&lt;1,Sheet3!L300,1))*IF(G318&lt;3,0.12 - O318,0.01) *U318</f>
        <v>0</v>
      </c>
      <c r="W318" s="52">
        <f t="shared" si="120"/>
        <v>0</v>
      </c>
      <c r="X318" s="53">
        <f t="shared" si="121"/>
        <v>0</v>
      </c>
      <c r="Y318" s="53">
        <f t="shared" si="122"/>
        <v>0</v>
      </c>
      <c r="Z318" s="54">
        <f t="shared" si="126"/>
        <v>0</v>
      </c>
      <c r="AA318" s="54">
        <f t="shared" si="123"/>
        <v>0</v>
      </c>
      <c r="AB318" s="55">
        <f t="shared" si="127"/>
        <v>0</v>
      </c>
      <c r="AC318" s="55">
        <f t="shared" si="124"/>
        <v>0</v>
      </c>
      <c r="AD318" s="56">
        <f t="shared" si="125"/>
        <v>118772.59</v>
      </c>
    </row>
    <row r="319" spans="3:30">
      <c r="C319" s="43" t="s">
        <v>594</v>
      </c>
      <c r="D319" s="44" t="s">
        <v>595</v>
      </c>
      <c r="E319" s="44"/>
      <c r="F319" s="45">
        <v>42692.393761574072</v>
      </c>
      <c r="G319" s="46">
        <v>22</v>
      </c>
      <c r="H319" s="47">
        <v>43391</v>
      </c>
      <c r="I319" s="47">
        <v>43407</v>
      </c>
      <c r="J319" s="46">
        <v>1508628</v>
      </c>
      <c r="K319" s="46">
        <v>0</v>
      </c>
      <c r="L319" s="46">
        <v>0</v>
      </c>
      <c r="M319" s="46">
        <f t="shared" si="114"/>
        <v>1508628</v>
      </c>
      <c r="N319" s="46">
        <v>1508628</v>
      </c>
      <c r="O319" s="48">
        <f t="shared" si="115"/>
        <v>0</v>
      </c>
      <c r="P319" s="46">
        <v>0</v>
      </c>
      <c r="Q319" s="46">
        <v>1508628</v>
      </c>
      <c r="R319" s="49">
        <f t="shared" si="116"/>
        <v>1</v>
      </c>
      <c r="S319" s="50">
        <f t="shared" si="117"/>
        <v>0.01</v>
      </c>
      <c r="T319" s="49">
        <f t="shared" si="118"/>
        <v>15086.28</v>
      </c>
      <c r="U319" s="51">
        <f t="shared" si="119"/>
        <v>0</v>
      </c>
      <c r="V319" s="52">
        <f>IF(0&lt;0.8,0,IF(0&lt;1,Sheet3!L300,1))*IF(G319&lt;3,0.12 - O319,0.01) *U319</f>
        <v>0</v>
      </c>
      <c r="W319" s="52">
        <f t="shared" si="120"/>
        <v>0</v>
      </c>
      <c r="X319" s="53">
        <f t="shared" si="121"/>
        <v>0</v>
      </c>
      <c r="Y319" s="53">
        <f t="shared" si="122"/>
        <v>0</v>
      </c>
      <c r="Z319" s="54">
        <f t="shared" si="126"/>
        <v>0</v>
      </c>
      <c r="AA319" s="54">
        <f t="shared" si="123"/>
        <v>0</v>
      </c>
      <c r="AB319" s="55">
        <f t="shared" si="127"/>
        <v>0</v>
      </c>
      <c r="AC319" s="55">
        <f t="shared" si="124"/>
        <v>0</v>
      </c>
      <c r="AD319" s="56">
        <f t="shared" si="125"/>
        <v>15086.28</v>
      </c>
    </row>
    <row r="320" spans="3:30">
      <c r="C320" s="43" t="s">
        <v>596</v>
      </c>
      <c r="D320" s="44" t="s">
        <v>597</v>
      </c>
      <c r="E320" s="44"/>
      <c r="F320" s="45">
        <v>43077.162418981483</v>
      </c>
      <c r="G320" s="46">
        <v>9</v>
      </c>
      <c r="H320" s="47">
        <v>43391</v>
      </c>
      <c r="I320" s="47">
        <v>43403</v>
      </c>
      <c r="J320" s="46">
        <v>176781</v>
      </c>
      <c r="K320" s="46">
        <v>0</v>
      </c>
      <c r="L320" s="46">
        <v>0</v>
      </c>
      <c r="M320" s="46">
        <f t="shared" si="114"/>
        <v>176781</v>
      </c>
      <c r="N320" s="46">
        <v>176781</v>
      </c>
      <c r="O320" s="48">
        <f t="shared" si="115"/>
        <v>0</v>
      </c>
      <c r="P320" s="46">
        <v>0</v>
      </c>
      <c r="Q320" s="46">
        <v>176781</v>
      </c>
      <c r="R320" s="49">
        <f t="shared" si="116"/>
        <v>1</v>
      </c>
      <c r="S320" s="50">
        <f t="shared" si="117"/>
        <v>0.01</v>
      </c>
      <c r="T320" s="49">
        <f t="shared" si="118"/>
        <v>1767.81</v>
      </c>
      <c r="U320" s="51">
        <f t="shared" si="119"/>
        <v>0</v>
      </c>
      <c r="V320" s="52">
        <f>IF(0&lt;0.8,0,IF(0&lt;1,Sheet3!L300,1))*IF(G320&lt;3,0.12 - O320,0.01) *U320</f>
        <v>0</v>
      </c>
      <c r="W320" s="52">
        <f t="shared" si="120"/>
        <v>0</v>
      </c>
      <c r="X320" s="53">
        <f t="shared" si="121"/>
        <v>0</v>
      </c>
      <c r="Y320" s="53">
        <f t="shared" si="122"/>
        <v>0</v>
      </c>
      <c r="Z320" s="54">
        <f t="shared" si="126"/>
        <v>0</v>
      </c>
      <c r="AA320" s="54">
        <f t="shared" si="123"/>
        <v>0</v>
      </c>
      <c r="AB320" s="55">
        <f t="shared" si="127"/>
        <v>0</v>
      </c>
      <c r="AC320" s="55">
        <f t="shared" si="124"/>
        <v>0</v>
      </c>
      <c r="AD320" s="56">
        <f t="shared" si="125"/>
        <v>1767.81</v>
      </c>
    </row>
    <row r="321" spans="3:30">
      <c r="C321" s="43" t="s">
        <v>598</v>
      </c>
      <c r="D321" s="44" t="s">
        <v>599</v>
      </c>
      <c r="E321" s="44"/>
      <c r="F321" s="45">
        <v>43010.294456018513</v>
      </c>
      <c r="G321" s="46">
        <v>11</v>
      </c>
      <c r="H321" s="47">
        <v>43386</v>
      </c>
      <c r="I321" s="47">
        <v>43427</v>
      </c>
      <c r="J321" s="46">
        <v>2081442</v>
      </c>
      <c r="K321" s="46">
        <v>0</v>
      </c>
      <c r="L321" s="46">
        <v>0</v>
      </c>
      <c r="M321" s="46">
        <f t="shared" si="114"/>
        <v>2081442</v>
      </c>
      <c r="N321" s="46">
        <v>2081442</v>
      </c>
      <c r="O321" s="48">
        <f t="shared" si="115"/>
        <v>0</v>
      </c>
      <c r="P321" s="46">
        <v>0</v>
      </c>
      <c r="Q321" s="46">
        <v>2081442</v>
      </c>
      <c r="R321" s="49">
        <f t="shared" si="116"/>
        <v>1</v>
      </c>
      <c r="S321" s="50">
        <f t="shared" si="117"/>
        <v>0.01</v>
      </c>
      <c r="T321" s="49">
        <f t="shared" si="118"/>
        <v>20814.420000000002</v>
      </c>
      <c r="U321" s="51">
        <f t="shared" si="119"/>
        <v>0</v>
      </c>
      <c r="V321" s="52">
        <f>IF(0&lt;0.8,0,IF(0&lt;1,Sheet3!L300,1))*IF(G321&lt;3,0.12 - O321,0.01) *U321</f>
        <v>0</v>
      </c>
      <c r="W321" s="52">
        <f t="shared" si="120"/>
        <v>0</v>
      </c>
      <c r="X321" s="53">
        <f t="shared" si="121"/>
        <v>0</v>
      </c>
      <c r="Y321" s="53">
        <f t="shared" si="122"/>
        <v>0</v>
      </c>
      <c r="Z321" s="54">
        <f t="shared" si="126"/>
        <v>0</v>
      </c>
      <c r="AA321" s="54">
        <f t="shared" si="123"/>
        <v>0</v>
      </c>
      <c r="AB321" s="55">
        <f t="shared" si="127"/>
        <v>0</v>
      </c>
      <c r="AC321" s="55">
        <f t="shared" si="124"/>
        <v>0</v>
      </c>
      <c r="AD321" s="56">
        <f t="shared" si="125"/>
        <v>20814.420000000002</v>
      </c>
    </row>
    <row r="322" spans="3:30">
      <c r="C322" s="43" t="s">
        <v>600</v>
      </c>
      <c r="D322" s="44" t="s">
        <v>601</v>
      </c>
      <c r="E322" s="44"/>
      <c r="F322" s="45">
        <v>42675.384074074071</v>
      </c>
      <c r="G322" s="46">
        <v>22</v>
      </c>
      <c r="H322" s="47">
        <v>43399</v>
      </c>
      <c r="I322" s="47">
        <v>43432</v>
      </c>
      <c r="J322" s="46">
        <v>25266018</v>
      </c>
      <c r="K322" s="46">
        <v>818043</v>
      </c>
      <c r="L322" s="46">
        <v>0</v>
      </c>
      <c r="M322" s="46">
        <f t="shared" si="114"/>
        <v>24447975</v>
      </c>
      <c r="N322" s="46">
        <v>26782497</v>
      </c>
      <c r="O322" s="48">
        <f t="shared" si="115"/>
        <v>8.7165957677508565E-2</v>
      </c>
      <c r="P322" s="46">
        <v>0</v>
      </c>
      <c r="Q322" s="46">
        <v>25266018</v>
      </c>
      <c r="R322" s="49">
        <f t="shared" si="116"/>
        <v>1</v>
      </c>
      <c r="S322" s="50">
        <f t="shared" si="117"/>
        <v>0.01</v>
      </c>
      <c r="T322" s="49">
        <f t="shared" si="118"/>
        <v>244479.75</v>
      </c>
      <c r="U322" s="51">
        <f t="shared" si="119"/>
        <v>0</v>
      </c>
      <c r="V322" s="52">
        <f>IF(0&lt;0.8,0,IF(0&lt;1,Sheet3!L300,1))*IF(G322&lt;3,0.12 - O322,0.01) *U322</f>
        <v>0</v>
      </c>
      <c r="W322" s="52">
        <f t="shared" si="120"/>
        <v>0</v>
      </c>
      <c r="X322" s="53">
        <f t="shared" si="121"/>
        <v>0</v>
      </c>
      <c r="Y322" s="53">
        <f t="shared" si="122"/>
        <v>0</v>
      </c>
      <c r="Z322" s="54">
        <f t="shared" si="126"/>
        <v>0</v>
      </c>
      <c r="AA322" s="54">
        <f t="shared" si="123"/>
        <v>0</v>
      </c>
      <c r="AB322" s="55">
        <f t="shared" si="127"/>
        <v>0</v>
      </c>
      <c r="AC322" s="55">
        <f t="shared" si="124"/>
        <v>0</v>
      </c>
      <c r="AD322" s="56">
        <f t="shared" si="125"/>
        <v>244479.75</v>
      </c>
    </row>
    <row r="323" spans="3:30">
      <c r="C323" s="43" t="s">
        <v>602</v>
      </c>
      <c r="D323" s="44" t="s">
        <v>603</v>
      </c>
      <c r="E323" s="44"/>
      <c r="F323" s="45">
        <v>43018.08079861111</v>
      </c>
      <c r="G323" s="46">
        <v>11</v>
      </c>
      <c r="H323" s="47">
        <v>43383</v>
      </c>
      <c r="I323" s="47">
        <v>43437</v>
      </c>
      <c r="J323" s="46">
        <v>415877</v>
      </c>
      <c r="K323" s="46">
        <v>0</v>
      </c>
      <c r="L323" s="46">
        <v>0</v>
      </c>
      <c r="M323" s="46">
        <f t="shared" si="114"/>
        <v>415877</v>
      </c>
      <c r="N323" s="46">
        <v>415877</v>
      </c>
      <c r="O323" s="48">
        <f t="shared" si="115"/>
        <v>0</v>
      </c>
      <c r="P323" s="46">
        <v>0</v>
      </c>
      <c r="Q323" s="46">
        <v>415877</v>
      </c>
      <c r="R323" s="49">
        <f t="shared" si="116"/>
        <v>1</v>
      </c>
      <c r="S323" s="50">
        <f t="shared" si="117"/>
        <v>0.01</v>
      </c>
      <c r="T323" s="49">
        <f t="shared" si="118"/>
        <v>4158.7700000000004</v>
      </c>
      <c r="U323" s="51">
        <f t="shared" si="119"/>
        <v>0</v>
      </c>
      <c r="V323" s="52">
        <f>IF(0&lt;0.8,0,IF(0&lt;1,Sheet3!L300,1))*IF(G323&lt;3,0.12 - O323,0.01) *U323</f>
        <v>0</v>
      </c>
      <c r="W323" s="52">
        <f t="shared" si="120"/>
        <v>0</v>
      </c>
      <c r="X323" s="53">
        <f t="shared" si="121"/>
        <v>0</v>
      </c>
      <c r="Y323" s="53">
        <f t="shared" si="122"/>
        <v>0</v>
      </c>
      <c r="Z323" s="54">
        <f t="shared" si="126"/>
        <v>0</v>
      </c>
      <c r="AA323" s="54">
        <f t="shared" si="123"/>
        <v>0</v>
      </c>
      <c r="AB323" s="55">
        <f t="shared" si="127"/>
        <v>0</v>
      </c>
      <c r="AC323" s="55">
        <f t="shared" si="124"/>
        <v>0</v>
      </c>
      <c r="AD323" s="56">
        <f t="shared" si="125"/>
        <v>4158.7700000000004</v>
      </c>
    </row>
    <row r="324" spans="3:30">
      <c r="C324" s="43" t="s">
        <v>604</v>
      </c>
      <c r="D324" s="44" t="s">
        <v>605</v>
      </c>
      <c r="E324" s="44"/>
      <c r="F324" s="45">
        <v>43264.371921296297</v>
      </c>
      <c r="G324" s="46">
        <v>3</v>
      </c>
      <c r="H324" s="47">
        <v>43383</v>
      </c>
      <c r="I324" s="47">
        <v>43397</v>
      </c>
      <c r="J324" s="46">
        <v>17869038</v>
      </c>
      <c r="K324" s="46">
        <v>0</v>
      </c>
      <c r="L324" s="46">
        <v>0</v>
      </c>
      <c r="M324" s="46">
        <f t="shared" si="114"/>
        <v>17869038</v>
      </c>
      <c r="N324" s="46">
        <v>17869038</v>
      </c>
      <c r="O324" s="48">
        <f t="shared" si="115"/>
        <v>0</v>
      </c>
      <c r="P324" s="46">
        <v>0</v>
      </c>
      <c r="Q324" s="46">
        <v>0</v>
      </c>
      <c r="R324" s="49">
        <f t="shared" si="116"/>
        <v>1</v>
      </c>
      <c r="S324" s="50">
        <f t="shared" si="117"/>
        <v>0.01</v>
      </c>
      <c r="T324" s="49">
        <f t="shared" si="118"/>
        <v>178690.38</v>
      </c>
      <c r="U324" s="51">
        <f t="shared" si="119"/>
        <v>0</v>
      </c>
      <c r="V324" s="52">
        <f>IF(0&lt;0.8,0,IF(0&lt;1,Sheet3!L300,1))*IF(G324&lt;3,0.12 - O324,0.01) *U324</f>
        <v>0</v>
      </c>
      <c r="W324" s="52">
        <f t="shared" si="120"/>
        <v>0</v>
      </c>
      <c r="X324" s="53">
        <f t="shared" si="121"/>
        <v>0</v>
      </c>
      <c r="Y324" s="53">
        <f t="shared" si="122"/>
        <v>0</v>
      </c>
      <c r="Z324" s="54">
        <f t="shared" si="126"/>
        <v>0</v>
      </c>
      <c r="AA324" s="54">
        <f t="shared" si="123"/>
        <v>0</v>
      </c>
      <c r="AB324" s="55">
        <f t="shared" si="127"/>
        <v>0</v>
      </c>
      <c r="AC324" s="55">
        <f t="shared" si="124"/>
        <v>0</v>
      </c>
      <c r="AD324" s="56">
        <f t="shared" si="125"/>
        <v>178690.38</v>
      </c>
    </row>
    <row r="325" spans="3:30">
      <c r="C325" s="43" t="s">
        <v>606</v>
      </c>
      <c r="D325" s="44" t="s">
        <v>607</v>
      </c>
      <c r="E325" s="44"/>
      <c r="F325" s="45">
        <v>43276.410092592589</v>
      </c>
      <c r="G325" s="46">
        <v>3</v>
      </c>
      <c r="H325" s="47">
        <v>43418</v>
      </c>
      <c r="I325" s="47">
        <v>43426</v>
      </c>
      <c r="J325" s="46">
        <v>628466</v>
      </c>
      <c r="K325" s="46">
        <v>0</v>
      </c>
      <c r="L325" s="46">
        <v>0</v>
      </c>
      <c r="M325" s="46">
        <f t="shared" si="114"/>
        <v>628466</v>
      </c>
      <c r="N325" s="46">
        <v>626851</v>
      </c>
      <c r="O325" s="48">
        <f t="shared" si="115"/>
        <v>0</v>
      </c>
      <c r="P325" s="46">
        <v>0</v>
      </c>
      <c r="Q325" s="46">
        <v>0</v>
      </c>
      <c r="R325" s="49">
        <f t="shared" si="116"/>
        <v>1</v>
      </c>
      <c r="S325" s="50">
        <f t="shared" si="117"/>
        <v>0.01</v>
      </c>
      <c r="T325" s="49">
        <f t="shared" si="118"/>
        <v>6284.66</v>
      </c>
      <c r="U325" s="51">
        <f t="shared" si="119"/>
        <v>0</v>
      </c>
      <c r="V325" s="52">
        <f>IF(0&lt;0.8,0,IF(0&lt;1,Sheet3!L300,1))*IF(G325&lt;3,0.12 - O325,0.01) *U325</f>
        <v>0</v>
      </c>
      <c r="W325" s="52">
        <f t="shared" si="120"/>
        <v>0</v>
      </c>
      <c r="X325" s="53">
        <f t="shared" si="121"/>
        <v>0</v>
      </c>
      <c r="Y325" s="53">
        <f t="shared" si="122"/>
        <v>0</v>
      </c>
      <c r="Z325" s="54">
        <f t="shared" si="126"/>
        <v>0</v>
      </c>
      <c r="AA325" s="54">
        <f t="shared" si="123"/>
        <v>0</v>
      </c>
      <c r="AB325" s="55">
        <f t="shared" si="127"/>
        <v>0</v>
      </c>
      <c r="AC325" s="55">
        <f t="shared" si="124"/>
        <v>0</v>
      </c>
      <c r="AD325" s="56">
        <f t="shared" si="125"/>
        <v>6284.66</v>
      </c>
    </row>
    <row r="326" spans="3:30">
      <c r="C326" s="43" t="s">
        <v>608</v>
      </c>
      <c r="D326" s="44" t="s">
        <v>609</v>
      </c>
      <c r="E326" s="44"/>
      <c r="F326" s="45">
        <v>43019.25708333333</v>
      </c>
      <c r="G326" s="46">
        <v>11</v>
      </c>
      <c r="H326" s="47">
        <v>43383</v>
      </c>
      <c r="I326" s="47">
        <v>43412</v>
      </c>
      <c r="J326" s="46">
        <v>2642398</v>
      </c>
      <c r="K326" s="46">
        <v>0</v>
      </c>
      <c r="L326" s="46">
        <v>0</v>
      </c>
      <c r="M326" s="46">
        <f t="shared" si="114"/>
        <v>2642398</v>
      </c>
      <c r="N326" s="46">
        <v>2642398</v>
      </c>
      <c r="O326" s="48">
        <f t="shared" si="115"/>
        <v>0</v>
      </c>
      <c r="P326" s="46">
        <v>0</v>
      </c>
      <c r="Q326" s="46">
        <v>2642398</v>
      </c>
      <c r="R326" s="49">
        <f t="shared" si="116"/>
        <v>1</v>
      </c>
      <c r="S326" s="50">
        <f t="shared" si="117"/>
        <v>0.01</v>
      </c>
      <c r="T326" s="49">
        <f t="shared" si="118"/>
        <v>26423.98</v>
      </c>
      <c r="U326" s="51">
        <f t="shared" si="119"/>
        <v>0</v>
      </c>
      <c r="V326" s="52">
        <f>IF(0&lt;0.8,0,IF(0&lt;1,Sheet3!L300,1))*IF(G326&lt;3,0.12 - O326,0.01) *U326</f>
        <v>0</v>
      </c>
      <c r="W326" s="52">
        <f t="shared" si="120"/>
        <v>0</v>
      </c>
      <c r="X326" s="53">
        <f t="shared" si="121"/>
        <v>0</v>
      </c>
      <c r="Y326" s="53">
        <f t="shared" si="122"/>
        <v>0</v>
      </c>
      <c r="Z326" s="54">
        <f t="shared" si="126"/>
        <v>0</v>
      </c>
      <c r="AA326" s="54">
        <f t="shared" si="123"/>
        <v>0</v>
      </c>
      <c r="AB326" s="55">
        <f t="shared" si="127"/>
        <v>0</v>
      </c>
      <c r="AC326" s="55">
        <f t="shared" si="124"/>
        <v>0</v>
      </c>
      <c r="AD326" s="56">
        <f t="shared" si="125"/>
        <v>26423.98</v>
      </c>
    </row>
    <row r="327" spans="3:30">
      <c r="C327" s="43" t="s">
        <v>610</v>
      </c>
      <c r="D327" s="44" t="s">
        <v>611</v>
      </c>
      <c r="E327" s="44"/>
      <c r="F327" s="45">
        <v>41393.447349537033</v>
      </c>
      <c r="G327" s="46">
        <v>65</v>
      </c>
      <c r="H327" s="47">
        <v>43459</v>
      </c>
      <c r="I327" s="47">
        <v>43487</v>
      </c>
      <c r="J327" s="46">
        <v>58388693</v>
      </c>
      <c r="K327" s="46">
        <v>0</v>
      </c>
      <c r="L327" s="46">
        <v>0</v>
      </c>
      <c r="M327" s="46">
        <f t="shared" si="114"/>
        <v>58388693</v>
      </c>
      <c r="N327" s="46">
        <v>151181899</v>
      </c>
      <c r="O327" s="48">
        <f t="shared" si="115"/>
        <v>0.61378515955802349</v>
      </c>
      <c r="P327" s="46">
        <v>0</v>
      </c>
      <c r="Q327" s="46">
        <v>58619693</v>
      </c>
      <c r="R327" s="49">
        <f t="shared" si="116"/>
        <v>1</v>
      </c>
      <c r="S327" s="50">
        <f t="shared" si="117"/>
        <v>0.01</v>
      </c>
      <c r="T327" s="49">
        <f t="shared" si="118"/>
        <v>583886.93000000005</v>
      </c>
      <c r="U327" s="51">
        <f t="shared" si="119"/>
        <v>0</v>
      </c>
      <c r="V327" s="52">
        <f>IF(0&lt;0.8,0,IF(0&lt;1,Sheet3!L300,1))*IF(G327&lt;3,0.12 - O327,0.01) *U327</f>
        <v>0</v>
      </c>
      <c r="W327" s="52">
        <f t="shared" si="120"/>
        <v>0</v>
      </c>
      <c r="X327" s="53">
        <f t="shared" si="121"/>
        <v>0</v>
      </c>
      <c r="Y327" s="53">
        <f t="shared" si="122"/>
        <v>0</v>
      </c>
      <c r="Z327" s="54">
        <f t="shared" si="126"/>
        <v>0</v>
      </c>
      <c r="AA327" s="54">
        <f t="shared" si="123"/>
        <v>0</v>
      </c>
      <c r="AB327" s="55">
        <f t="shared" si="127"/>
        <v>0</v>
      </c>
      <c r="AC327" s="55">
        <f t="shared" si="124"/>
        <v>0</v>
      </c>
      <c r="AD327" s="56">
        <f t="shared" si="125"/>
        <v>583886.93000000005</v>
      </c>
    </row>
    <row r="328" spans="3:30">
      <c r="C328" s="43" t="s">
        <v>612</v>
      </c>
      <c r="D328" s="44" t="s">
        <v>613</v>
      </c>
      <c r="E328" s="44"/>
      <c r="F328" s="45">
        <v>41522.431805555556</v>
      </c>
      <c r="G328" s="46">
        <v>60</v>
      </c>
      <c r="H328" s="47">
        <v>43385</v>
      </c>
      <c r="I328" s="47">
        <v>43391</v>
      </c>
      <c r="J328" s="46">
        <v>19375178</v>
      </c>
      <c r="K328" s="46">
        <v>1753988</v>
      </c>
      <c r="L328" s="46">
        <v>0</v>
      </c>
      <c r="M328" s="46">
        <f t="shared" si="114"/>
        <v>17621190</v>
      </c>
      <c r="N328" s="46">
        <v>24377056</v>
      </c>
      <c r="O328" s="48">
        <f t="shared" si="115"/>
        <v>0.27714035689953698</v>
      </c>
      <c r="P328" s="46">
        <v>0</v>
      </c>
      <c r="Q328" s="46">
        <v>19375178</v>
      </c>
      <c r="R328" s="49">
        <f t="shared" si="116"/>
        <v>1</v>
      </c>
      <c r="S328" s="50">
        <f t="shared" si="117"/>
        <v>0.01</v>
      </c>
      <c r="T328" s="49">
        <f t="shared" si="118"/>
        <v>176211.9</v>
      </c>
      <c r="U328" s="51">
        <f t="shared" si="119"/>
        <v>0</v>
      </c>
      <c r="V328" s="52">
        <f>IF(0&lt;0.8,0,IF(0&lt;1,Sheet3!L300,1))*IF(G328&lt;3,0.12 - O328,0.01) *U328</f>
        <v>0</v>
      </c>
      <c r="W328" s="52">
        <f t="shared" si="120"/>
        <v>0</v>
      </c>
      <c r="X328" s="53">
        <f t="shared" si="121"/>
        <v>0</v>
      </c>
      <c r="Y328" s="53">
        <f t="shared" si="122"/>
        <v>0</v>
      </c>
      <c r="Z328" s="54">
        <f t="shared" si="126"/>
        <v>0</v>
      </c>
      <c r="AA328" s="54">
        <f t="shared" si="123"/>
        <v>0</v>
      </c>
      <c r="AB328" s="55">
        <f t="shared" si="127"/>
        <v>0</v>
      </c>
      <c r="AC328" s="55">
        <f t="shared" si="124"/>
        <v>0</v>
      </c>
      <c r="AD328" s="56">
        <f t="shared" si="125"/>
        <v>176211.9</v>
      </c>
    </row>
    <row r="329" spans="3:30">
      <c r="C329" s="43" t="s">
        <v>614</v>
      </c>
      <c r="D329" s="44" t="s">
        <v>615</v>
      </c>
      <c r="E329" s="44"/>
      <c r="F329" s="45">
        <v>42609.081412037034</v>
      </c>
      <c r="G329" s="46">
        <v>25</v>
      </c>
      <c r="H329" s="47">
        <v>43388</v>
      </c>
      <c r="I329" s="47">
        <v>43397</v>
      </c>
      <c r="J329" s="46">
        <v>306735</v>
      </c>
      <c r="K329" s="46">
        <v>0</v>
      </c>
      <c r="L329" s="46">
        <v>0</v>
      </c>
      <c r="M329" s="46">
        <f t="shared" si="114"/>
        <v>306735</v>
      </c>
      <c r="N329" s="46">
        <v>306735</v>
      </c>
      <c r="O329" s="48">
        <f t="shared" si="115"/>
        <v>0</v>
      </c>
      <c r="P329" s="46">
        <v>0</v>
      </c>
      <c r="Q329" s="46">
        <v>306735</v>
      </c>
      <c r="R329" s="49">
        <f t="shared" si="116"/>
        <v>1</v>
      </c>
      <c r="S329" s="50">
        <f t="shared" si="117"/>
        <v>0.01</v>
      </c>
      <c r="T329" s="49">
        <f t="shared" si="118"/>
        <v>3067.35</v>
      </c>
      <c r="U329" s="51">
        <f t="shared" si="119"/>
        <v>0</v>
      </c>
      <c r="V329" s="52">
        <f>IF(0&lt;0.8,0,IF(0&lt;1,Sheet3!L300,1))*IF(G329&lt;3,0.12 - O329,0.01) *U329</f>
        <v>0</v>
      </c>
      <c r="W329" s="52">
        <f t="shared" si="120"/>
        <v>0</v>
      </c>
      <c r="X329" s="53">
        <f t="shared" si="121"/>
        <v>0</v>
      </c>
      <c r="Y329" s="53">
        <f t="shared" si="122"/>
        <v>0</v>
      </c>
      <c r="Z329" s="54">
        <f t="shared" si="126"/>
        <v>0</v>
      </c>
      <c r="AA329" s="54">
        <f t="shared" si="123"/>
        <v>0</v>
      </c>
      <c r="AB329" s="55">
        <f t="shared" si="127"/>
        <v>0</v>
      </c>
      <c r="AC329" s="55">
        <f t="shared" si="124"/>
        <v>0</v>
      </c>
      <c r="AD329" s="56">
        <f t="shared" si="125"/>
        <v>3067.35</v>
      </c>
    </row>
    <row r="330" spans="3:30">
      <c r="C330" s="43" t="s">
        <v>616</v>
      </c>
      <c r="D330" s="44" t="s">
        <v>617</v>
      </c>
      <c r="E330" s="44"/>
      <c r="F330" s="45">
        <v>43123.166539351849</v>
      </c>
      <c r="G330" s="46">
        <v>8</v>
      </c>
      <c r="H330" s="47">
        <v>43390</v>
      </c>
      <c r="I330" s="47">
        <v>43397</v>
      </c>
      <c r="J330" s="46">
        <v>398200</v>
      </c>
      <c r="K330" s="46">
        <v>0</v>
      </c>
      <c r="L330" s="46">
        <v>0</v>
      </c>
      <c r="M330" s="46">
        <f t="shared" si="114"/>
        <v>398200</v>
      </c>
      <c r="N330" s="46">
        <v>428351</v>
      </c>
      <c r="O330" s="48">
        <f t="shared" si="115"/>
        <v>7.0388536503941834E-2</v>
      </c>
      <c r="P330" s="46">
        <v>0</v>
      </c>
      <c r="Q330" s="46">
        <v>398200</v>
      </c>
      <c r="R330" s="49">
        <f t="shared" si="116"/>
        <v>1</v>
      </c>
      <c r="S330" s="50">
        <f t="shared" si="117"/>
        <v>0.01</v>
      </c>
      <c r="T330" s="49">
        <f t="shared" si="118"/>
        <v>3982</v>
      </c>
      <c r="U330" s="51">
        <f t="shared" si="119"/>
        <v>0</v>
      </c>
      <c r="V330" s="52">
        <f>IF(0&lt;0.8,0,IF(0&lt;1,Sheet3!L300,1))*IF(G330&lt;3,0.12 - O330,0.01) *U330</f>
        <v>0</v>
      </c>
      <c r="W330" s="52">
        <f t="shared" si="120"/>
        <v>0</v>
      </c>
      <c r="X330" s="53">
        <f t="shared" si="121"/>
        <v>0</v>
      </c>
      <c r="Y330" s="53">
        <f t="shared" si="122"/>
        <v>0</v>
      </c>
      <c r="Z330" s="54">
        <f t="shared" si="126"/>
        <v>0</v>
      </c>
      <c r="AA330" s="54">
        <f t="shared" si="123"/>
        <v>0</v>
      </c>
      <c r="AB330" s="55">
        <f t="shared" si="127"/>
        <v>0</v>
      </c>
      <c r="AC330" s="55">
        <f t="shared" si="124"/>
        <v>0</v>
      </c>
      <c r="AD330" s="56">
        <f t="shared" si="125"/>
        <v>3982</v>
      </c>
    </row>
    <row r="331" spans="3:30">
      <c r="C331" s="43" t="s">
        <v>618</v>
      </c>
      <c r="D331" s="44" t="s">
        <v>619</v>
      </c>
      <c r="E331" s="44"/>
      <c r="F331" s="45">
        <v>43192.227650462963</v>
      </c>
      <c r="G331" s="46">
        <v>5</v>
      </c>
      <c r="H331" s="47">
        <v>43390</v>
      </c>
      <c r="I331" s="47">
        <v>43461</v>
      </c>
      <c r="J331" s="46">
        <v>245597</v>
      </c>
      <c r="K331" s="46">
        <v>0</v>
      </c>
      <c r="L331" s="46">
        <v>0</v>
      </c>
      <c r="M331" s="46">
        <f t="shared" si="114"/>
        <v>245597</v>
      </c>
      <c r="N331" s="46">
        <v>314237</v>
      </c>
      <c r="O331" s="48">
        <f t="shared" si="115"/>
        <v>0.21843385724787345</v>
      </c>
      <c r="P331" s="46">
        <v>0</v>
      </c>
      <c r="Q331" s="46">
        <v>245597</v>
      </c>
      <c r="R331" s="49">
        <f t="shared" si="116"/>
        <v>1</v>
      </c>
      <c r="S331" s="50">
        <f t="shared" si="117"/>
        <v>0.01</v>
      </c>
      <c r="T331" s="49">
        <f t="shared" si="118"/>
        <v>2455.9700000000003</v>
      </c>
      <c r="U331" s="51">
        <f t="shared" si="119"/>
        <v>0</v>
      </c>
      <c r="V331" s="52">
        <f>IF(0&lt;0.8,0,IF(0&lt;1,Sheet3!L300,1))*IF(G331&lt;3,0.12 - O331,0.01) *U331</f>
        <v>0</v>
      </c>
      <c r="W331" s="52">
        <f t="shared" si="120"/>
        <v>0</v>
      </c>
      <c r="X331" s="53">
        <f t="shared" si="121"/>
        <v>0</v>
      </c>
      <c r="Y331" s="53">
        <f t="shared" si="122"/>
        <v>0</v>
      </c>
      <c r="Z331" s="54">
        <f t="shared" si="126"/>
        <v>0</v>
      </c>
      <c r="AA331" s="54">
        <f t="shared" si="123"/>
        <v>0</v>
      </c>
      <c r="AB331" s="55">
        <f t="shared" si="127"/>
        <v>0</v>
      </c>
      <c r="AC331" s="55">
        <f t="shared" si="124"/>
        <v>0</v>
      </c>
      <c r="AD331" s="56">
        <f t="shared" si="125"/>
        <v>2455.9700000000003</v>
      </c>
    </row>
    <row r="332" spans="3:30">
      <c r="C332" s="43" t="s">
        <v>620</v>
      </c>
      <c r="D332" s="44" t="s">
        <v>621</v>
      </c>
      <c r="E332" s="44"/>
      <c r="F332" s="45">
        <v>43203.34474537037</v>
      </c>
      <c r="G332" s="46">
        <v>5</v>
      </c>
      <c r="H332" s="47">
        <v>43382</v>
      </c>
      <c r="I332" s="47">
        <v>43441</v>
      </c>
      <c r="J332" s="46">
        <v>1192576</v>
      </c>
      <c r="K332" s="46">
        <v>0</v>
      </c>
      <c r="L332" s="46">
        <v>0</v>
      </c>
      <c r="M332" s="46">
        <f t="shared" si="114"/>
        <v>1192576</v>
      </c>
      <c r="N332" s="46">
        <v>1098735</v>
      </c>
      <c r="O332" s="48">
        <f t="shared" si="115"/>
        <v>0</v>
      </c>
      <c r="P332" s="46">
        <v>0</v>
      </c>
      <c r="Q332" s="46">
        <v>1192576</v>
      </c>
      <c r="R332" s="49">
        <f t="shared" si="116"/>
        <v>1</v>
      </c>
      <c r="S332" s="50">
        <f t="shared" si="117"/>
        <v>0.01</v>
      </c>
      <c r="T332" s="49">
        <f t="shared" si="118"/>
        <v>11925.76</v>
      </c>
      <c r="U332" s="51">
        <f t="shared" si="119"/>
        <v>0</v>
      </c>
      <c r="V332" s="52">
        <f>IF(0&lt;0.8,0,IF(0&lt;1,Sheet3!L300,1))*IF(G332&lt;3,0.12 - O332,0.01) *U332</f>
        <v>0</v>
      </c>
      <c r="W332" s="52">
        <f t="shared" si="120"/>
        <v>0</v>
      </c>
      <c r="X332" s="53">
        <f t="shared" si="121"/>
        <v>0</v>
      </c>
      <c r="Y332" s="53">
        <f t="shared" si="122"/>
        <v>0</v>
      </c>
      <c r="Z332" s="54">
        <f t="shared" si="126"/>
        <v>0</v>
      </c>
      <c r="AA332" s="54">
        <f t="shared" si="123"/>
        <v>0</v>
      </c>
      <c r="AB332" s="55">
        <f t="shared" si="127"/>
        <v>0</v>
      </c>
      <c r="AC332" s="55">
        <f t="shared" si="124"/>
        <v>0</v>
      </c>
      <c r="AD332" s="56">
        <f t="shared" si="125"/>
        <v>11925.76</v>
      </c>
    </row>
    <row r="333" spans="3:30">
      <c r="C333" s="43" t="s">
        <v>622</v>
      </c>
      <c r="D333" s="44" t="s">
        <v>623</v>
      </c>
      <c r="E333" s="44"/>
      <c r="F333" s="45">
        <v>43239.11719907407</v>
      </c>
      <c r="G333" s="46">
        <v>4</v>
      </c>
      <c r="H333" s="47">
        <v>43395</v>
      </c>
      <c r="I333" s="47">
        <v>43430</v>
      </c>
      <c r="J333" s="46">
        <v>1028520</v>
      </c>
      <c r="K333" s="46">
        <v>0</v>
      </c>
      <c r="L333" s="46">
        <v>0</v>
      </c>
      <c r="M333" s="46">
        <f t="shared" si="114"/>
        <v>1028520</v>
      </c>
      <c r="N333" s="46">
        <v>1043262</v>
      </c>
      <c r="O333" s="48">
        <f t="shared" si="115"/>
        <v>1.4130678583136325E-2</v>
      </c>
      <c r="P333" s="46">
        <v>0</v>
      </c>
      <c r="Q333" s="46">
        <v>1028520</v>
      </c>
      <c r="R333" s="49">
        <f t="shared" si="116"/>
        <v>1</v>
      </c>
      <c r="S333" s="50">
        <f t="shared" si="117"/>
        <v>0.01</v>
      </c>
      <c r="T333" s="49">
        <f t="shared" si="118"/>
        <v>10285.200000000001</v>
      </c>
      <c r="U333" s="51">
        <f t="shared" si="119"/>
        <v>0</v>
      </c>
      <c r="V333" s="52">
        <f>IF(0&lt;0.8,0,IF(0&lt;1,Sheet3!L300,1))*IF(G333&lt;3,0.12 - O333,0.01) *U333</f>
        <v>0</v>
      </c>
      <c r="W333" s="52">
        <f t="shared" si="120"/>
        <v>0</v>
      </c>
      <c r="X333" s="53">
        <f t="shared" si="121"/>
        <v>0</v>
      </c>
      <c r="Y333" s="53">
        <f t="shared" si="122"/>
        <v>0</v>
      </c>
      <c r="Z333" s="54">
        <f t="shared" si="126"/>
        <v>0</v>
      </c>
      <c r="AA333" s="54">
        <f t="shared" si="123"/>
        <v>0</v>
      </c>
      <c r="AB333" s="55">
        <f t="shared" si="127"/>
        <v>0</v>
      </c>
      <c r="AC333" s="55">
        <f t="shared" si="124"/>
        <v>0</v>
      </c>
      <c r="AD333" s="56">
        <f t="shared" si="125"/>
        <v>10285.200000000001</v>
      </c>
    </row>
    <row r="334" spans="3:30">
      <c r="C334" s="43" t="s">
        <v>624</v>
      </c>
      <c r="D334" s="44" t="s">
        <v>625</v>
      </c>
      <c r="E334" s="44"/>
      <c r="F334" s="45">
        <v>42677.374826388885</v>
      </c>
      <c r="G334" s="46">
        <v>22</v>
      </c>
      <c r="H334" s="47">
        <v>43389</v>
      </c>
      <c r="I334" s="47">
        <v>43437</v>
      </c>
      <c r="J334" s="46">
        <v>10640658</v>
      </c>
      <c r="K334" s="46">
        <v>967332</v>
      </c>
      <c r="L334" s="46">
        <v>0</v>
      </c>
      <c r="M334" s="46">
        <f t="shared" si="114"/>
        <v>9673326</v>
      </c>
      <c r="N334" s="46">
        <v>11570136</v>
      </c>
      <c r="O334" s="48">
        <f t="shared" si="115"/>
        <v>0.16394016457542071</v>
      </c>
      <c r="P334" s="46">
        <v>0</v>
      </c>
      <c r="Q334" s="46">
        <v>10640658</v>
      </c>
      <c r="R334" s="49">
        <f t="shared" si="116"/>
        <v>1</v>
      </c>
      <c r="S334" s="50">
        <f t="shared" si="117"/>
        <v>0.01</v>
      </c>
      <c r="T334" s="49">
        <f t="shared" si="118"/>
        <v>96733.26</v>
      </c>
      <c r="U334" s="51">
        <f t="shared" si="119"/>
        <v>0</v>
      </c>
      <c r="V334" s="52">
        <f>IF(0&lt;0.8,0,IF(0&lt;1,Sheet3!L300,1))*IF(G334&lt;3,0.12 - O334,0.01) *U334</f>
        <v>0</v>
      </c>
      <c r="W334" s="52">
        <f t="shared" si="120"/>
        <v>0</v>
      </c>
      <c r="X334" s="53">
        <f t="shared" si="121"/>
        <v>0</v>
      </c>
      <c r="Y334" s="53">
        <f t="shared" si="122"/>
        <v>0</v>
      </c>
      <c r="Z334" s="54">
        <f t="shared" si="126"/>
        <v>0</v>
      </c>
      <c r="AA334" s="54">
        <f t="shared" si="123"/>
        <v>0</v>
      </c>
      <c r="AB334" s="55">
        <f t="shared" si="127"/>
        <v>0</v>
      </c>
      <c r="AC334" s="55">
        <f t="shared" si="124"/>
        <v>0</v>
      </c>
      <c r="AD334" s="56">
        <f t="shared" si="125"/>
        <v>96733.26</v>
      </c>
    </row>
    <row r="335" spans="3:30">
      <c r="C335" s="43" t="s">
        <v>626</v>
      </c>
      <c r="D335" s="44" t="s">
        <v>627</v>
      </c>
      <c r="E335" s="44"/>
      <c r="F335" s="45">
        <v>43132.054421296292</v>
      </c>
      <c r="G335" s="46">
        <v>7</v>
      </c>
      <c r="H335" s="47">
        <v>43376</v>
      </c>
      <c r="I335" s="47">
        <v>43442</v>
      </c>
      <c r="J335" s="46">
        <v>72600</v>
      </c>
      <c r="K335" s="46">
        <v>0</v>
      </c>
      <c r="L335" s="46">
        <v>0</v>
      </c>
      <c r="M335" s="46">
        <f t="shared" si="114"/>
        <v>72600</v>
      </c>
      <c r="N335" s="46">
        <v>79860</v>
      </c>
      <c r="O335" s="48">
        <f t="shared" si="115"/>
        <v>9.0909090909090939E-2</v>
      </c>
      <c r="P335" s="46">
        <v>0</v>
      </c>
      <c r="Q335" s="46">
        <v>72600</v>
      </c>
      <c r="R335" s="49">
        <f t="shared" si="116"/>
        <v>1</v>
      </c>
      <c r="S335" s="50">
        <f t="shared" si="117"/>
        <v>0.01</v>
      </c>
      <c r="T335" s="49">
        <f t="shared" si="118"/>
        <v>726</v>
      </c>
      <c r="U335" s="51">
        <f t="shared" si="119"/>
        <v>0</v>
      </c>
      <c r="V335" s="52">
        <f>IF(0&lt;0.8,0,IF(0&lt;1,Sheet3!L300,1))*IF(G335&lt;3,0.12 - O335,0.01) *U335</f>
        <v>0</v>
      </c>
      <c r="W335" s="52">
        <f t="shared" si="120"/>
        <v>0</v>
      </c>
      <c r="X335" s="53">
        <f t="shared" si="121"/>
        <v>0</v>
      </c>
      <c r="Y335" s="53">
        <f t="shared" si="122"/>
        <v>0</v>
      </c>
      <c r="Z335" s="54">
        <f t="shared" si="126"/>
        <v>0</v>
      </c>
      <c r="AA335" s="54">
        <f t="shared" si="123"/>
        <v>0</v>
      </c>
      <c r="AB335" s="55">
        <f t="shared" si="127"/>
        <v>0</v>
      </c>
      <c r="AC335" s="55">
        <f t="shared" si="124"/>
        <v>0</v>
      </c>
      <c r="AD335" s="56">
        <f t="shared" si="125"/>
        <v>726</v>
      </c>
    </row>
    <row r="336" spans="3:30">
      <c r="C336" s="43" t="s">
        <v>628</v>
      </c>
      <c r="D336" s="44" t="s">
        <v>629</v>
      </c>
      <c r="E336" s="44"/>
      <c r="F336" s="45">
        <v>42909.092465277776</v>
      </c>
      <c r="G336" s="46">
        <v>15</v>
      </c>
      <c r="H336" s="47">
        <v>43390</v>
      </c>
      <c r="I336" s="47">
        <v>43444</v>
      </c>
      <c r="J336" s="46">
        <v>2763277</v>
      </c>
      <c r="K336" s="46">
        <v>0</v>
      </c>
      <c r="L336" s="46">
        <v>0</v>
      </c>
      <c r="M336" s="46">
        <f t="shared" si="114"/>
        <v>2763277</v>
      </c>
      <c r="N336" s="46">
        <v>2763277</v>
      </c>
      <c r="O336" s="48">
        <f t="shared" si="115"/>
        <v>0</v>
      </c>
      <c r="P336" s="46">
        <v>0</v>
      </c>
      <c r="Q336" s="46">
        <v>2763277</v>
      </c>
      <c r="R336" s="49">
        <f t="shared" si="116"/>
        <v>1</v>
      </c>
      <c r="S336" s="50">
        <f t="shared" si="117"/>
        <v>0.01</v>
      </c>
      <c r="T336" s="49">
        <f t="shared" si="118"/>
        <v>27632.77</v>
      </c>
      <c r="U336" s="51">
        <f t="shared" si="119"/>
        <v>0</v>
      </c>
      <c r="V336" s="52">
        <f>IF(0&lt;0.8,0,IF(0&lt;1,Sheet3!L300,1))*IF(G336&lt;3,0.12 - O336,0.01) *U336</f>
        <v>0</v>
      </c>
      <c r="W336" s="52">
        <f t="shared" si="120"/>
        <v>0</v>
      </c>
      <c r="X336" s="53">
        <f t="shared" si="121"/>
        <v>0</v>
      </c>
      <c r="Y336" s="53">
        <f t="shared" si="122"/>
        <v>0</v>
      </c>
      <c r="Z336" s="54">
        <f t="shared" si="126"/>
        <v>0</v>
      </c>
      <c r="AA336" s="54">
        <f t="shared" si="123"/>
        <v>0</v>
      </c>
      <c r="AB336" s="55">
        <f t="shared" si="127"/>
        <v>0</v>
      </c>
      <c r="AC336" s="55">
        <f t="shared" si="124"/>
        <v>0</v>
      </c>
      <c r="AD336" s="56">
        <f t="shared" si="125"/>
        <v>27632.77</v>
      </c>
    </row>
    <row r="337" spans="2:30">
      <c r="C337" s="43" t="s">
        <v>630</v>
      </c>
      <c r="D337" s="44" t="s">
        <v>631</v>
      </c>
      <c r="E337" s="44"/>
      <c r="F337" s="45">
        <v>42924.180347222224</v>
      </c>
      <c r="G337" s="46">
        <v>14</v>
      </c>
      <c r="H337" s="47">
        <v>43404</v>
      </c>
      <c r="I337" s="47">
        <v>43483</v>
      </c>
      <c r="J337" s="46">
        <v>16735714</v>
      </c>
      <c r="K337" s="46">
        <v>435664</v>
      </c>
      <c r="L337" s="46">
        <v>0</v>
      </c>
      <c r="M337" s="46">
        <f t="shared" si="114"/>
        <v>16300050</v>
      </c>
      <c r="N337" s="46">
        <v>23442448</v>
      </c>
      <c r="O337" s="48">
        <f t="shared" si="115"/>
        <v>0.30467799267380269</v>
      </c>
      <c r="P337" s="46">
        <v>0</v>
      </c>
      <c r="Q337" s="46">
        <v>16735714</v>
      </c>
      <c r="R337" s="49">
        <f t="shared" si="116"/>
        <v>1</v>
      </c>
      <c r="S337" s="50">
        <f t="shared" si="117"/>
        <v>0.01</v>
      </c>
      <c r="T337" s="49">
        <f t="shared" si="118"/>
        <v>163000.5</v>
      </c>
      <c r="U337" s="51">
        <f t="shared" si="119"/>
        <v>0</v>
      </c>
      <c r="V337" s="52">
        <f>IF(0&lt;0.8,0,IF(0&lt;1,Sheet3!L300,1))*IF(G337&lt;3,0.12 - O337,0.01) *U337</f>
        <v>0</v>
      </c>
      <c r="W337" s="52">
        <f t="shared" si="120"/>
        <v>0</v>
      </c>
      <c r="X337" s="53">
        <f t="shared" si="121"/>
        <v>0</v>
      </c>
      <c r="Y337" s="53">
        <f t="shared" si="122"/>
        <v>0</v>
      </c>
      <c r="Z337" s="54">
        <f t="shared" si="126"/>
        <v>0</v>
      </c>
      <c r="AA337" s="54">
        <f t="shared" si="123"/>
        <v>0</v>
      </c>
      <c r="AB337" s="55">
        <f t="shared" si="127"/>
        <v>0</v>
      </c>
      <c r="AC337" s="55">
        <f t="shared" si="124"/>
        <v>0</v>
      </c>
      <c r="AD337" s="56">
        <f t="shared" si="125"/>
        <v>163000.5</v>
      </c>
    </row>
    <row r="338" spans="2:30">
      <c r="C338" s="43" t="s">
        <v>632</v>
      </c>
      <c r="D338" s="44" t="s">
        <v>633</v>
      </c>
      <c r="E338" s="44"/>
      <c r="F338" s="45">
        <v>42907.168298611112</v>
      </c>
      <c r="G338" s="46">
        <v>15</v>
      </c>
      <c r="H338" s="47">
        <v>43378</v>
      </c>
      <c r="I338" s="47">
        <v>43455</v>
      </c>
      <c r="J338" s="46">
        <v>777062</v>
      </c>
      <c r="K338" s="46">
        <v>0</v>
      </c>
      <c r="L338" s="46">
        <v>0</v>
      </c>
      <c r="M338" s="46">
        <f t="shared" si="114"/>
        <v>777062</v>
      </c>
      <c r="N338" s="46">
        <v>763752</v>
      </c>
      <c r="O338" s="48">
        <f t="shared" si="115"/>
        <v>0</v>
      </c>
      <c r="P338" s="46">
        <v>0</v>
      </c>
      <c r="Q338" s="46">
        <v>777062</v>
      </c>
      <c r="R338" s="49">
        <f t="shared" si="116"/>
        <v>1</v>
      </c>
      <c r="S338" s="50">
        <f t="shared" si="117"/>
        <v>0.01</v>
      </c>
      <c r="T338" s="49">
        <f t="shared" si="118"/>
        <v>7770.62</v>
      </c>
      <c r="U338" s="51">
        <f t="shared" si="119"/>
        <v>0</v>
      </c>
      <c r="V338" s="52">
        <f>IF(0&lt;0.8,0,IF(0&lt;1,Sheet3!L300,1))*IF(G338&lt;3,0.12 - O338,0.01) *U338</f>
        <v>0</v>
      </c>
      <c r="W338" s="52">
        <f t="shared" si="120"/>
        <v>0</v>
      </c>
      <c r="X338" s="53">
        <f t="shared" si="121"/>
        <v>0</v>
      </c>
      <c r="Y338" s="53">
        <f t="shared" si="122"/>
        <v>0</v>
      </c>
      <c r="Z338" s="54">
        <f t="shared" si="126"/>
        <v>0</v>
      </c>
      <c r="AA338" s="54">
        <f t="shared" si="123"/>
        <v>0</v>
      </c>
      <c r="AB338" s="55">
        <f t="shared" si="127"/>
        <v>0</v>
      </c>
      <c r="AC338" s="55">
        <f t="shared" si="124"/>
        <v>0</v>
      </c>
      <c r="AD338" s="56">
        <f t="shared" si="125"/>
        <v>7770.62</v>
      </c>
    </row>
    <row r="339" spans="2:30">
      <c r="C339" s="43" t="s">
        <v>634</v>
      </c>
      <c r="D339" s="44" t="s">
        <v>635</v>
      </c>
      <c r="E339" s="44"/>
      <c r="F339" s="45">
        <v>41526.604895833334</v>
      </c>
      <c r="G339" s="46">
        <v>60</v>
      </c>
      <c r="H339" s="47">
        <v>43376</v>
      </c>
      <c r="I339" s="47">
        <v>43395</v>
      </c>
      <c r="J339" s="46">
        <v>28756618</v>
      </c>
      <c r="K339" s="46">
        <v>2505162</v>
      </c>
      <c r="L339" s="46">
        <v>0</v>
      </c>
      <c r="M339" s="46">
        <f t="shared" si="114"/>
        <v>26251456</v>
      </c>
      <c r="N339" s="46">
        <v>28756618</v>
      </c>
      <c r="O339" s="48">
        <f t="shared" si="115"/>
        <v>8.7116016215815106E-2</v>
      </c>
      <c r="P339" s="46">
        <v>0</v>
      </c>
      <c r="Q339" s="46">
        <v>28756618</v>
      </c>
      <c r="R339" s="49">
        <f t="shared" si="116"/>
        <v>1</v>
      </c>
      <c r="S339" s="50">
        <f t="shared" si="117"/>
        <v>0.01</v>
      </c>
      <c r="T339" s="49">
        <f t="shared" si="118"/>
        <v>262514.56</v>
      </c>
      <c r="U339" s="51">
        <f t="shared" si="119"/>
        <v>0</v>
      </c>
      <c r="V339" s="52">
        <f>IF(0&lt;0.8,0,IF(0&lt;1,Sheet3!L300,1))*IF(G339&lt;3,0.12 - O339,0.01) *U339</f>
        <v>0</v>
      </c>
      <c r="W339" s="52">
        <f t="shared" si="120"/>
        <v>0</v>
      </c>
      <c r="X339" s="53">
        <f t="shared" si="121"/>
        <v>0</v>
      </c>
      <c r="Y339" s="53">
        <f t="shared" si="122"/>
        <v>0</v>
      </c>
      <c r="Z339" s="54">
        <f t="shared" si="126"/>
        <v>0</v>
      </c>
      <c r="AA339" s="54">
        <f t="shared" si="123"/>
        <v>0</v>
      </c>
      <c r="AB339" s="55">
        <f t="shared" si="127"/>
        <v>0</v>
      </c>
      <c r="AC339" s="55">
        <f t="shared" si="124"/>
        <v>0</v>
      </c>
      <c r="AD339" s="56">
        <f t="shared" si="125"/>
        <v>262514.56</v>
      </c>
    </row>
    <row r="340" spans="2:30">
      <c r="C340" s="43" t="s">
        <v>636</v>
      </c>
      <c r="D340" s="44" t="s">
        <v>637</v>
      </c>
      <c r="E340" s="44"/>
      <c r="F340" s="45">
        <v>42621.176631944443</v>
      </c>
      <c r="G340" s="46">
        <v>24</v>
      </c>
      <c r="H340" s="47">
        <v>43396</v>
      </c>
      <c r="I340" s="47">
        <v>43407</v>
      </c>
      <c r="J340" s="46">
        <v>2985820</v>
      </c>
      <c r="K340" s="46">
        <v>0</v>
      </c>
      <c r="L340" s="46">
        <v>0</v>
      </c>
      <c r="M340" s="46">
        <f t="shared" si="114"/>
        <v>2985820</v>
      </c>
      <c r="N340" s="46">
        <v>3200423</v>
      </c>
      <c r="O340" s="48">
        <f t="shared" si="115"/>
        <v>6.705457372353596E-2</v>
      </c>
      <c r="P340" s="46">
        <v>0</v>
      </c>
      <c r="Q340" s="46">
        <v>2985820</v>
      </c>
      <c r="R340" s="49">
        <f t="shared" si="116"/>
        <v>1</v>
      </c>
      <c r="S340" s="50">
        <f t="shared" si="117"/>
        <v>0.01</v>
      </c>
      <c r="T340" s="49">
        <f t="shared" si="118"/>
        <v>29858.2</v>
      </c>
      <c r="U340" s="51">
        <f t="shared" si="119"/>
        <v>0</v>
      </c>
      <c r="V340" s="52">
        <f>IF(0&lt;0.8,0,IF(0&lt;1,Sheet3!L300,1))*IF(G340&lt;3,0.12 - O340,0.01) *U340</f>
        <v>0</v>
      </c>
      <c r="W340" s="52">
        <f t="shared" si="120"/>
        <v>0</v>
      </c>
      <c r="X340" s="53">
        <f t="shared" si="121"/>
        <v>0</v>
      </c>
      <c r="Y340" s="53">
        <f t="shared" si="122"/>
        <v>0</v>
      </c>
      <c r="Z340" s="54">
        <f t="shared" si="126"/>
        <v>0</v>
      </c>
      <c r="AA340" s="54">
        <f t="shared" si="123"/>
        <v>0</v>
      </c>
      <c r="AB340" s="55">
        <f t="shared" si="127"/>
        <v>0</v>
      </c>
      <c r="AC340" s="55">
        <f t="shared" si="124"/>
        <v>0</v>
      </c>
      <c r="AD340" s="56">
        <f t="shared" si="125"/>
        <v>29858.2</v>
      </c>
    </row>
    <row r="341" spans="2:30">
      <c r="C341" s="43" t="s">
        <v>638</v>
      </c>
      <c r="D341" s="44" t="s">
        <v>639</v>
      </c>
      <c r="E341" s="44"/>
      <c r="F341" s="45">
        <v>42872.164375</v>
      </c>
      <c r="G341" s="46">
        <v>16</v>
      </c>
      <c r="H341" s="47">
        <v>43396</v>
      </c>
      <c r="I341" s="47">
        <v>43406</v>
      </c>
      <c r="J341" s="46">
        <v>457719</v>
      </c>
      <c r="K341" s="46">
        <v>0</v>
      </c>
      <c r="L341" s="46">
        <v>0</v>
      </c>
      <c r="M341" s="46">
        <f t="shared" si="114"/>
        <v>457719</v>
      </c>
      <c r="N341" s="46">
        <v>457719</v>
      </c>
      <c r="O341" s="48">
        <f t="shared" si="115"/>
        <v>0</v>
      </c>
      <c r="P341" s="46">
        <v>0</v>
      </c>
      <c r="Q341" s="46">
        <v>457719</v>
      </c>
      <c r="R341" s="49">
        <f t="shared" si="116"/>
        <v>1</v>
      </c>
      <c r="S341" s="50">
        <f t="shared" si="117"/>
        <v>0.01</v>
      </c>
      <c r="T341" s="49">
        <f t="shared" si="118"/>
        <v>4577.1900000000005</v>
      </c>
      <c r="U341" s="51">
        <f t="shared" si="119"/>
        <v>0</v>
      </c>
      <c r="V341" s="52">
        <f>IF(0&lt;0.8,0,IF(0&lt;1,Sheet3!L300,1))*IF(G341&lt;3,0.12 - O341,0.01) *U341</f>
        <v>0</v>
      </c>
      <c r="W341" s="52">
        <f t="shared" si="120"/>
        <v>0</v>
      </c>
      <c r="X341" s="53">
        <f t="shared" si="121"/>
        <v>0</v>
      </c>
      <c r="Y341" s="53">
        <f t="shared" si="122"/>
        <v>0</v>
      </c>
      <c r="Z341" s="54">
        <f t="shared" si="126"/>
        <v>0</v>
      </c>
      <c r="AA341" s="54">
        <f t="shared" si="123"/>
        <v>0</v>
      </c>
      <c r="AB341" s="55">
        <f t="shared" si="127"/>
        <v>0</v>
      </c>
      <c r="AC341" s="55">
        <f t="shared" si="124"/>
        <v>0</v>
      </c>
      <c r="AD341" s="56">
        <f t="shared" si="125"/>
        <v>4577.1900000000005</v>
      </c>
    </row>
    <row r="342" spans="2:30">
      <c r="C342" s="43" t="s">
        <v>640</v>
      </c>
      <c r="D342" s="44" t="s">
        <v>641</v>
      </c>
      <c r="E342" s="44"/>
      <c r="F342" s="45">
        <v>42872.166122685187</v>
      </c>
      <c r="G342" s="46">
        <v>16</v>
      </c>
      <c r="H342" s="47">
        <v>43383</v>
      </c>
      <c r="I342" s="47">
        <v>43390</v>
      </c>
      <c r="J342" s="46">
        <v>528286</v>
      </c>
      <c r="K342" s="46">
        <v>0</v>
      </c>
      <c r="L342" s="46">
        <v>0</v>
      </c>
      <c r="M342" s="46">
        <f t="shared" si="114"/>
        <v>528286</v>
      </c>
      <c r="N342" s="46">
        <v>528286</v>
      </c>
      <c r="O342" s="48">
        <f t="shared" si="115"/>
        <v>0</v>
      </c>
      <c r="P342" s="46">
        <v>0</v>
      </c>
      <c r="Q342" s="46">
        <v>528286</v>
      </c>
      <c r="R342" s="49">
        <f t="shared" si="116"/>
        <v>1</v>
      </c>
      <c r="S342" s="50">
        <f t="shared" si="117"/>
        <v>0.01</v>
      </c>
      <c r="T342" s="49">
        <f t="shared" si="118"/>
        <v>5282.86</v>
      </c>
      <c r="U342" s="51">
        <f t="shared" si="119"/>
        <v>0</v>
      </c>
      <c r="V342" s="52">
        <f>IF(0&lt;0.8,0,IF(0&lt;1,Sheet3!L300,1))*IF(G342&lt;3,0.12 - O342,0.01) *U342</f>
        <v>0</v>
      </c>
      <c r="W342" s="52">
        <f t="shared" si="120"/>
        <v>0</v>
      </c>
      <c r="X342" s="53">
        <f t="shared" si="121"/>
        <v>0</v>
      </c>
      <c r="Y342" s="53">
        <f t="shared" si="122"/>
        <v>0</v>
      </c>
      <c r="Z342" s="54">
        <f t="shared" si="126"/>
        <v>0</v>
      </c>
      <c r="AA342" s="54">
        <f t="shared" si="123"/>
        <v>0</v>
      </c>
      <c r="AB342" s="55">
        <f t="shared" si="127"/>
        <v>0</v>
      </c>
      <c r="AC342" s="55">
        <f t="shared" si="124"/>
        <v>0</v>
      </c>
      <c r="AD342" s="56">
        <f t="shared" si="125"/>
        <v>5282.86</v>
      </c>
    </row>
    <row r="343" spans="2:30">
      <c r="C343" s="43" t="s">
        <v>642</v>
      </c>
      <c r="D343" s="44" t="s">
        <v>643</v>
      </c>
      <c r="E343" s="44"/>
      <c r="F343" s="45">
        <v>43132.057152777779</v>
      </c>
      <c r="G343" s="46">
        <v>7</v>
      </c>
      <c r="H343" s="47">
        <v>43396</v>
      </c>
      <c r="I343" s="47">
        <v>43412</v>
      </c>
      <c r="J343" s="46">
        <v>291610</v>
      </c>
      <c r="K343" s="46">
        <v>0</v>
      </c>
      <c r="L343" s="46">
        <v>0</v>
      </c>
      <c r="M343" s="46">
        <f t="shared" si="114"/>
        <v>291610</v>
      </c>
      <c r="N343" s="46">
        <v>291610</v>
      </c>
      <c r="O343" s="48">
        <f t="shared" si="115"/>
        <v>0</v>
      </c>
      <c r="P343" s="46">
        <v>0</v>
      </c>
      <c r="Q343" s="46">
        <v>291610</v>
      </c>
      <c r="R343" s="49">
        <f t="shared" si="116"/>
        <v>1</v>
      </c>
      <c r="S343" s="50">
        <f t="shared" si="117"/>
        <v>0.01</v>
      </c>
      <c r="T343" s="49">
        <f t="shared" si="118"/>
        <v>2916.1</v>
      </c>
      <c r="U343" s="51">
        <f t="shared" si="119"/>
        <v>0</v>
      </c>
      <c r="V343" s="52">
        <f>IF(0&lt;0.8,0,IF(0&lt;1,Sheet3!L300,1))*IF(G343&lt;3,0.12 - O343,0.01) *U343</f>
        <v>0</v>
      </c>
      <c r="W343" s="52">
        <f t="shared" si="120"/>
        <v>0</v>
      </c>
      <c r="X343" s="53">
        <f t="shared" si="121"/>
        <v>0</v>
      </c>
      <c r="Y343" s="53">
        <f t="shared" si="122"/>
        <v>0</v>
      </c>
      <c r="Z343" s="54">
        <f t="shared" si="126"/>
        <v>0</v>
      </c>
      <c r="AA343" s="54">
        <f t="shared" si="123"/>
        <v>0</v>
      </c>
      <c r="AB343" s="55">
        <f t="shared" si="127"/>
        <v>0</v>
      </c>
      <c r="AC343" s="55">
        <f t="shared" si="124"/>
        <v>0</v>
      </c>
      <c r="AD343" s="56">
        <f t="shared" si="125"/>
        <v>2916.1</v>
      </c>
    </row>
    <row r="344" spans="2:30">
      <c r="C344" s="43" t="s">
        <v>644</v>
      </c>
      <c r="D344" s="44" t="s">
        <v>645</v>
      </c>
      <c r="E344" s="44"/>
      <c r="F344" s="45">
        <v>43181.363136574073</v>
      </c>
      <c r="G344" s="46">
        <v>6</v>
      </c>
      <c r="H344" s="47">
        <v>43396</v>
      </c>
      <c r="I344" s="47">
        <v>43410</v>
      </c>
      <c r="J344" s="46">
        <v>1082730</v>
      </c>
      <c r="K344" s="46">
        <v>0</v>
      </c>
      <c r="L344" s="46">
        <v>0</v>
      </c>
      <c r="M344" s="46">
        <f t="shared" si="114"/>
        <v>1082730</v>
      </c>
      <c r="N344" s="46">
        <v>1082730</v>
      </c>
      <c r="O344" s="48">
        <f t="shared" si="115"/>
        <v>0</v>
      </c>
      <c r="P344" s="46">
        <v>0</v>
      </c>
      <c r="Q344" s="46">
        <v>1082730</v>
      </c>
      <c r="R344" s="49">
        <f t="shared" si="116"/>
        <v>1</v>
      </c>
      <c r="S344" s="50">
        <f t="shared" si="117"/>
        <v>0.01</v>
      </c>
      <c r="T344" s="49">
        <f t="shared" si="118"/>
        <v>10827.300000000001</v>
      </c>
      <c r="U344" s="51">
        <f t="shared" si="119"/>
        <v>0</v>
      </c>
      <c r="V344" s="52">
        <f>IF(0&lt;0.8,0,IF(0&lt;1,Sheet3!L300,1))*IF(G344&lt;3,0.12 - O344,0.01) *U344</f>
        <v>0</v>
      </c>
      <c r="W344" s="52">
        <f t="shared" si="120"/>
        <v>0</v>
      </c>
      <c r="X344" s="53">
        <f t="shared" si="121"/>
        <v>0</v>
      </c>
      <c r="Y344" s="53">
        <f t="shared" si="122"/>
        <v>0</v>
      </c>
      <c r="Z344" s="54">
        <f t="shared" si="126"/>
        <v>0</v>
      </c>
      <c r="AA344" s="54">
        <f t="shared" si="123"/>
        <v>0</v>
      </c>
      <c r="AB344" s="55">
        <f t="shared" si="127"/>
        <v>0</v>
      </c>
      <c r="AC344" s="55">
        <f t="shared" si="124"/>
        <v>0</v>
      </c>
      <c r="AD344" s="56">
        <f t="shared" si="125"/>
        <v>10827.300000000001</v>
      </c>
    </row>
    <row r="345" spans="2:30">
      <c r="C345" s="43" t="s">
        <v>646</v>
      </c>
      <c r="D345" s="44" t="s">
        <v>647</v>
      </c>
      <c r="E345" s="44"/>
      <c r="F345" s="45">
        <v>42689.081956018519</v>
      </c>
      <c r="G345" s="46">
        <v>22</v>
      </c>
      <c r="H345" s="47">
        <v>43393</v>
      </c>
      <c r="I345" s="47">
        <v>43405</v>
      </c>
      <c r="J345" s="46">
        <v>4004616</v>
      </c>
      <c r="K345" s="46">
        <v>0</v>
      </c>
      <c r="L345" s="46">
        <v>0</v>
      </c>
      <c r="M345" s="46">
        <f t="shared" si="114"/>
        <v>4004616</v>
      </c>
      <c r="N345" s="46">
        <v>4004616</v>
      </c>
      <c r="O345" s="48">
        <f t="shared" si="115"/>
        <v>0</v>
      </c>
      <c r="P345" s="46">
        <v>0</v>
      </c>
      <c r="Q345" s="46">
        <v>4004616</v>
      </c>
      <c r="R345" s="49">
        <f t="shared" si="116"/>
        <v>1</v>
      </c>
      <c r="S345" s="50">
        <f t="shared" si="117"/>
        <v>0.01</v>
      </c>
      <c r="T345" s="49">
        <f t="shared" si="118"/>
        <v>40046.160000000003</v>
      </c>
      <c r="U345" s="51">
        <f t="shared" si="119"/>
        <v>0</v>
      </c>
      <c r="V345" s="52">
        <f>IF(0&lt;0.8,0,IF(0&lt;1,Sheet3!L300,1))*IF(G345&lt;3,0.12 - O345,0.01) *U345</f>
        <v>0</v>
      </c>
      <c r="W345" s="52">
        <f t="shared" si="120"/>
        <v>0</v>
      </c>
      <c r="X345" s="53">
        <f t="shared" si="121"/>
        <v>0</v>
      </c>
      <c r="Y345" s="53">
        <f t="shared" si="122"/>
        <v>0</v>
      </c>
      <c r="Z345" s="54">
        <f t="shared" si="126"/>
        <v>0</v>
      </c>
      <c r="AA345" s="54">
        <f t="shared" si="123"/>
        <v>0</v>
      </c>
      <c r="AB345" s="55">
        <f t="shared" si="127"/>
        <v>0</v>
      </c>
      <c r="AC345" s="55">
        <f t="shared" si="124"/>
        <v>0</v>
      </c>
      <c r="AD345" s="56">
        <f t="shared" si="125"/>
        <v>40046.160000000003</v>
      </c>
    </row>
    <row r="346" spans="2:30">
      <c r="C346" s="43" t="s">
        <v>648</v>
      </c>
      <c r="D346" s="44" t="s">
        <v>649</v>
      </c>
      <c r="E346" s="44"/>
      <c r="F346" s="45">
        <v>42937.384270833332</v>
      </c>
      <c r="G346" s="46">
        <v>14</v>
      </c>
      <c r="H346" s="47">
        <v>43402</v>
      </c>
      <c r="I346" s="47">
        <v>43430</v>
      </c>
      <c r="J346" s="46">
        <v>26803141</v>
      </c>
      <c r="K346" s="46">
        <v>0</v>
      </c>
      <c r="L346" s="46">
        <v>0</v>
      </c>
      <c r="M346" s="46">
        <f t="shared" si="114"/>
        <v>26803141</v>
      </c>
      <c r="N346" s="46">
        <v>26803773</v>
      </c>
      <c r="O346" s="48">
        <f t="shared" si="115"/>
        <v>2.3578770048549025E-5</v>
      </c>
      <c r="P346" s="46">
        <v>0</v>
      </c>
      <c r="Q346" s="46">
        <v>26803141</v>
      </c>
      <c r="R346" s="49">
        <f t="shared" si="116"/>
        <v>1</v>
      </c>
      <c r="S346" s="50">
        <f t="shared" si="117"/>
        <v>0.01</v>
      </c>
      <c r="T346" s="49">
        <f t="shared" si="118"/>
        <v>268031.41000000003</v>
      </c>
      <c r="U346" s="51">
        <f t="shared" si="119"/>
        <v>0</v>
      </c>
      <c r="V346" s="52">
        <f>IF(0&lt;0.8,0,IF(0&lt;1,Sheet3!L300,1))*IF(G346&lt;3,0.12 - O346,0.01) *U346</f>
        <v>0</v>
      </c>
      <c r="W346" s="52">
        <f t="shared" si="120"/>
        <v>0</v>
      </c>
      <c r="X346" s="53">
        <f t="shared" si="121"/>
        <v>0</v>
      </c>
      <c r="Y346" s="53">
        <f t="shared" si="122"/>
        <v>0</v>
      </c>
      <c r="Z346" s="54">
        <f t="shared" si="126"/>
        <v>0</v>
      </c>
      <c r="AA346" s="54">
        <f t="shared" si="123"/>
        <v>0</v>
      </c>
      <c r="AB346" s="55">
        <f t="shared" si="127"/>
        <v>0</v>
      </c>
      <c r="AC346" s="55">
        <f t="shared" si="124"/>
        <v>0</v>
      </c>
      <c r="AD346" s="56">
        <f t="shared" si="125"/>
        <v>268031.41000000003</v>
      </c>
    </row>
    <row r="347" spans="2:30">
      <c r="C347" s="43" t="s">
        <v>650</v>
      </c>
      <c r="D347" s="44" t="s">
        <v>651</v>
      </c>
      <c r="E347" s="44"/>
      <c r="F347" s="45">
        <v>43311.35765046296</v>
      </c>
      <c r="G347" s="46">
        <v>2</v>
      </c>
      <c r="H347" s="47">
        <v>43382</v>
      </c>
      <c r="I347" s="47">
        <v>43483</v>
      </c>
      <c r="J347" s="46">
        <v>4902871</v>
      </c>
      <c r="K347" s="46">
        <v>0</v>
      </c>
      <c r="L347" s="46">
        <v>0</v>
      </c>
      <c r="M347" s="46">
        <f t="shared" si="114"/>
        <v>4902871</v>
      </c>
      <c r="N347" s="46">
        <v>4849374</v>
      </c>
      <c r="O347" s="48">
        <f t="shared" si="115"/>
        <v>0</v>
      </c>
      <c r="P347" s="46">
        <v>4902871</v>
      </c>
      <c r="Q347" s="46">
        <v>0</v>
      </c>
      <c r="R347" s="49">
        <f t="shared" si="116"/>
        <v>0</v>
      </c>
      <c r="S347" s="50">
        <f t="shared" si="117"/>
        <v>0</v>
      </c>
      <c r="T347" s="49">
        <f t="shared" si="118"/>
        <v>0</v>
      </c>
      <c r="U347" s="51">
        <f t="shared" si="119"/>
        <v>4902871</v>
      </c>
      <c r="V347" s="52">
        <f>IF(0&lt;0.8,0,IF(0&lt;1,Sheet3!L300,1))*IF(G347&lt;3,0.12 - O347,0.01) *U347</f>
        <v>0</v>
      </c>
      <c r="W347" s="52">
        <f t="shared" si="120"/>
        <v>0</v>
      </c>
      <c r="X347" s="53">
        <f t="shared" si="121"/>
        <v>0</v>
      </c>
      <c r="Y347" s="53">
        <f t="shared" si="122"/>
        <v>0</v>
      </c>
      <c r="Z347" s="54">
        <f t="shared" si="126"/>
        <v>0</v>
      </c>
      <c r="AA347" s="54">
        <f t="shared" si="123"/>
        <v>0</v>
      </c>
      <c r="AB347" s="55">
        <f t="shared" si="127"/>
        <v>0</v>
      </c>
      <c r="AC347" s="55">
        <f t="shared" si="124"/>
        <v>0</v>
      </c>
      <c r="AD347" s="56">
        <f t="shared" si="125"/>
        <v>0</v>
      </c>
    </row>
    <row r="348" spans="2:30">
      <c r="C348" s="43" t="s">
        <v>652</v>
      </c>
      <c r="D348" s="44" t="s">
        <v>653</v>
      </c>
      <c r="E348" s="44"/>
      <c r="F348" s="45">
        <v>43159.336562500001</v>
      </c>
      <c r="G348" s="46">
        <v>7</v>
      </c>
      <c r="H348" s="47">
        <v>43404</v>
      </c>
      <c r="I348" s="47">
        <v>43417</v>
      </c>
      <c r="J348" s="46">
        <v>6399506</v>
      </c>
      <c r="K348" s="46">
        <v>0</v>
      </c>
      <c r="L348" s="46">
        <v>0</v>
      </c>
      <c r="M348" s="46">
        <f t="shared" si="114"/>
        <v>6399506</v>
      </c>
      <c r="N348" s="46">
        <v>6688727</v>
      </c>
      <c r="O348" s="48">
        <f t="shared" si="115"/>
        <v>4.3240066458086868E-2</v>
      </c>
      <c r="P348" s="46">
        <v>0</v>
      </c>
      <c r="Q348" s="46">
        <v>6399506</v>
      </c>
      <c r="R348" s="49">
        <f t="shared" si="116"/>
        <v>1</v>
      </c>
      <c r="S348" s="50">
        <f t="shared" si="117"/>
        <v>0.01</v>
      </c>
      <c r="T348" s="49">
        <f t="shared" si="118"/>
        <v>63995.060000000005</v>
      </c>
      <c r="U348" s="51">
        <f t="shared" si="119"/>
        <v>0</v>
      </c>
      <c r="V348" s="52">
        <f>IF(0&lt;0.8,0,IF(0&lt;1,Sheet3!L300,1))*IF(G348&lt;3,0.12 - O348,0.01) *U348</f>
        <v>0</v>
      </c>
      <c r="W348" s="52">
        <f t="shared" si="120"/>
        <v>0</v>
      </c>
      <c r="X348" s="53">
        <f t="shared" si="121"/>
        <v>0</v>
      </c>
      <c r="Y348" s="53">
        <f t="shared" si="122"/>
        <v>0</v>
      </c>
      <c r="Z348" s="54">
        <f t="shared" si="126"/>
        <v>0</v>
      </c>
      <c r="AA348" s="54">
        <f t="shared" si="123"/>
        <v>0</v>
      </c>
      <c r="AB348" s="55">
        <f t="shared" si="127"/>
        <v>0</v>
      </c>
      <c r="AC348" s="55">
        <f t="shared" si="124"/>
        <v>0</v>
      </c>
      <c r="AD348" s="56">
        <f t="shared" si="125"/>
        <v>63995.060000000005</v>
      </c>
    </row>
    <row r="349" spans="2:30">
      <c r="C349" s="43" t="s">
        <v>654</v>
      </c>
      <c r="D349" s="44" t="s">
        <v>655</v>
      </c>
      <c r="E349" s="44"/>
      <c r="F349" s="45">
        <v>43098.168240740742</v>
      </c>
      <c r="G349" s="46">
        <v>9</v>
      </c>
      <c r="H349" s="47">
        <v>43372</v>
      </c>
      <c r="I349" s="47">
        <v>43402</v>
      </c>
      <c r="J349" s="46">
        <v>462099</v>
      </c>
      <c r="K349" s="46">
        <v>0</v>
      </c>
      <c r="L349" s="46">
        <v>0</v>
      </c>
      <c r="M349" s="46">
        <f t="shared" si="114"/>
        <v>462099</v>
      </c>
      <c r="N349" s="46">
        <v>462099</v>
      </c>
      <c r="O349" s="48">
        <f t="shared" si="115"/>
        <v>0</v>
      </c>
      <c r="P349" s="46">
        <v>0</v>
      </c>
      <c r="Q349" s="46">
        <v>462099</v>
      </c>
      <c r="R349" s="49">
        <f t="shared" si="116"/>
        <v>1</v>
      </c>
      <c r="S349" s="50">
        <f t="shared" si="117"/>
        <v>0.01</v>
      </c>
      <c r="T349" s="49">
        <f t="shared" si="118"/>
        <v>4620.99</v>
      </c>
      <c r="U349" s="51">
        <f t="shared" si="119"/>
        <v>0</v>
      </c>
      <c r="V349" s="52">
        <f>IF(0&lt;0.8,0,IF(0&lt;1,Sheet3!L300,1))*IF(G349&lt;3,0.12 - O349,0.01) *U349</f>
        <v>0</v>
      </c>
      <c r="W349" s="52">
        <f t="shared" si="120"/>
        <v>0</v>
      </c>
      <c r="X349" s="53">
        <f t="shared" si="121"/>
        <v>0</v>
      </c>
      <c r="Y349" s="53">
        <f t="shared" si="122"/>
        <v>0</v>
      </c>
      <c r="Z349" s="54">
        <f t="shared" si="126"/>
        <v>0</v>
      </c>
      <c r="AA349" s="54">
        <f t="shared" si="123"/>
        <v>0</v>
      </c>
      <c r="AB349" s="55">
        <f t="shared" si="127"/>
        <v>0</v>
      </c>
      <c r="AC349" s="55">
        <f t="shared" si="124"/>
        <v>0</v>
      </c>
      <c r="AD349" s="56">
        <f t="shared" si="125"/>
        <v>4620.99</v>
      </c>
    </row>
    <row r="350" spans="2:30" ht="23.25" customHeight="1">
      <c r="B350" s="9" t="s">
        <v>5</v>
      </c>
      <c r="C350" s="10" t="s">
        <v>6</v>
      </c>
      <c r="D350" s="10"/>
      <c r="E350" s="11" t="s">
        <v>7</v>
      </c>
      <c r="F350" s="11" t="s">
        <v>8</v>
      </c>
      <c r="G350" s="11" t="s">
        <v>9</v>
      </c>
      <c r="H350" s="11" t="s">
        <v>10</v>
      </c>
      <c r="I350" s="11" t="s">
        <v>11</v>
      </c>
      <c r="J350" s="11" t="s">
        <v>12</v>
      </c>
      <c r="K350" s="11" t="s">
        <v>13</v>
      </c>
      <c r="L350" s="11" t="s">
        <v>14</v>
      </c>
      <c r="M350" s="11" t="s">
        <v>15</v>
      </c>
      <c r="N350" s="11" t="s">
        <v>16</v>
      </c>
      <c r="O350" s="11" t="s">
        <v>17</v>
      </c>
      <c r="P350" s="12" t="s">
        <v>18</v>
      </c>
      <c r="Q350" s="11" t="s">
        <v>19</v>
      </c>
      <c r="R350" s="11"/>
      <c r="S350" s="10" t="s">
        <v>20</v>
      </c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3"/>
    </row>
    <row r="351" spans="2:30">
      <c r="B351" s="14" t="s">
        <v>656</v>
      </c>
      <c r="C351" s="15" t="str">
        <f>"Lê"&amp;" " &amp; "Thị Thúy Uyên"</f>
        <v>Lê Thị Thúy Uyên</v>
      </c>
      <c r="D351" s="15"/>
      <c r="E351" s="16" t="s">
        <v>314</v>
      </c>
      <c r="F351" s="16" t="s">
        <v>134</v>
      </c>
      <c r="G351" s="17" t="s">
        <v>133</v>
      </c>
      <c r="H351" s="16" t="s">
        <v>388</v>
      </c>
      <c r="I351" s="18">
        <v>0</v>
      </c>
      <c r="J351" s="19">
        <v>42000000</v>
      </c>
      <c r="K351" s="19">
        <f>IFERROR(IF(N351&lt;4,Q351,SUM(#VALUE!)),0)</f>
        <v>0</v>
      </c>
      <c r="L351" s="20">
        <f>IFERROR(K351/J351,0)</f>
        <v>0</v>
      </c>
      <c r="M351" s="19">
        <f>IFERROR(IF(OR(N351=3,N351=4),SUM(#VALUE!)+AD351,IF(N351=1,0.6%,IF(N351=2,0.65%,IF(N351=3,0.6%,0)))*IF(L351&lt;0.8,0,IF(L351&lt;1,L351,1))*IF(RIGHT("2018-09",2)="03",1,0)),0)</f>
        <v>0</v>
      </c>
      <c r="N351" s="19">
        <v>4</v>
      </c>
      <c r="O351" s="18">
        <f>IF(N351=4,0.5%,IF(N351=5,0.3%,0))</f>
        <v>5.0000000000000001E-3</v>
      </c>
      <c r="P351" s="21">
        <f>IFERROR(SUM(#VALUE!),0)</f>
        <v>0</v>
      </c>
      <c r="Q351" s="19">
        <f>SUMIF($G:$G,B351,$K:$K)</f>
        <v>0</v>
      </c>
      <c r="R351" s="22"/>
      <c r="S351" s="23" t="s">
        <v>26</v>
      </c>
      <c r="T351" s="23"/>
      <c r="U351" s="24" t="s">
        <v>27</v>
      </c>
      <c r="V351" s="24"/>
      <c r="W351" s="24"/>
      <c r="X351" s="25" t="s">
        <v>28</v>
      </c>
      <c r="Y351" s="25"/>
      <c r="Z351" s="26" t="s">
        <v>29</v>
      </c>
      <c r="AA351" s="26"/>
      <c r="AB351" s="27" t="s">
        <v>30</v>
      </c>
      <c r="AC351" s="27"/>
      <c r="AD351" s="28">
        <f>IF(IFERROR(SUM(#VALUE!)*O351,0)&gt;2000000,2000000,IFERROR(SUM(#VALUE!)*O351,0))</f>
        <v>0</v>
      </c>
    </row>
    <row r="352" spans="2:30" ht="25.5">
      <c r="C352" s="29" t="s">
        <v>31</v>
      </c>
      <c r="D352" s="30" t="s">
        <v>32</v>
      </c>
      <c r="E352" s="30"/>
      <c r="F352" s="31" t="s">
        <v>33</v>
      </c>
      <c r="G352" s="31" t="s">
        <v>34</v>
      </c>
      <c r="H352" s="32" t="s">
        <v>35</v>
      </c>
      <c r="I352" s="32" t="s">
        <v>36</v>
      </c>
      <c r="J352" s="31" t="s">
        <v>37</v>
      </c>
      <c r="K352" s="31" t="s">
        <v>38</v>
      </c>
      <c r="L352" s="31" t="s">
        <v>39</v>
      </c>
      <c r="M352" s="31" t="s">
        <v>40</v>
      </c>
      <c r="N352" s="31" t="s">
        <v>41</v>
      </c>
      <c r="O352" s="33" t="s">
        <v>42</v>
      </c>
      <c r="P352" s="32" t="s">
        <v>43</v>
      </c>
      <c r="Q352" s="32" t="s">
        <v>44</v>
      </c>
      <c r="R352" s="34" t="s">
        <v>45</v>
      </c>
      <c r="S352" s="34" t="s">
        <v>46</v>
      </c>
      <c r="T352" s="34" t="s">
        <v>47</v>
      </c>
      <c r="U352" s="35" t="s">
        <v>48</v>
      </c>
      <c r="V352" s="36" t="s">
        <v>47</v>
      </c>
      <c r="W352" s="36" t="s">
        <v>49</v>
      </c>
      <c r="X352" s="37" t="s">
        <v>50</v>
      </c>
      <c r="Y352" s="37" t="s">
        <v>51</v>
      </c>
      <c r="Z352" s="38" t="s">
        <v>48</v>
      </c>
      <c r="AA352" s="39" t="s">
        <v>47</v>
      </c>
      <c r="AB352" s="40" t="s">
        <v>48</v>
      </c>
      <c r="AC352" s="41" t="s">
        <v>47</v>
      </c>
      <c r="AD352" s="42" t="s">
        <v>52</v>
      </c>
    </row>
    <row r="353" spans="2:30" ht="23.25" customHeight="1">
      <c r="B353" s="9" t="s">
        <v>5</v>
      </c>
      <c r="C353" s="10" t="s">
        <v>6</v>
      </c>
      <c r="D353" s="10"/>
      <c r="E353" s="11" t="s">
        <v>7</v>
      </c>
      <c r="F353" s="11" t="s">
        <v>8</v>
      </c>
      <c r="G353" s="11" t="s">
        <v>9</v>
      </c>
      <c r="H353" s="11" t="s">
        <v>10</v>
      </c>
      <c r="I353" s="11" t="s">
        <v>11</v>
      </c>
      <c r="J353" s="11" t="s">
        <v>12</v>
      </c>
      <c r="K353" s="11" t="s">
        <v>13</v>
      </c>
      <c r="L353" s="11" t="s">
        <v>14</v>
      </c>
      <c r="M353" s="11" t="s">
        <v>15</v>
      </c>
      <c r="N353" s="11" t="s">
        <v>16</v>
      </c>
      <c r="O353" s="11" t="s">
        <v>17</v>
      </c>
      <c r="P353" s="12" t="s">
        <v>18</v>
      </c>
      <c r="Q353" s="11" t="s">
        <v>19</v>
      </c>
      <c r="R353" s="11"/>
      <c r="S353" s="10" t="s">
        <v>20</v>
      </c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3"/>
    </row>
    <row r="354" spans="2:30">
      <c r="B354" s="14" t="s">
        <v>657</v>
      </c>
      <c r="C354" s="15" t="str">
        <f>"Phạm"&amp;" " &amp; "Tiến Đức"</f>
        <v>Phạm Tiến Đức</v>
      </c>
      <c r="D354" s="15"/>
      <c r="E354" s="16" t="s">
        <v>314</v>
      </c>
      <c r="F354" s="16" t="s">
        <v>134</v>
      </c>
      <c r="G354" s="17" t="s">
        <v>133</v>
      </c>
      <c r="H354" s="16" t="s">
        <v>388</v>
      </c>
      <c r="I354" s="18">
        <v>0</v>
      </c>
      <c r="J354" s="19">
        <v>42000000</v>
      </c>
      <c r="K354" s="19">
        <f>IFERROR(IF(N354&lt;4,Q354,SUM(Sheet3!J356:J436)),0)</f>
        <v>258673710</v>
      </c>
      <c r="L354" s="20">
        <f>IFERROR(K354/J354,0)</f>
        <v>6.1588978571428568</v>
      </c>
      <c r="M354" s="19">
        <f>IFERROR(IF(OR(N354=3,N354=4),SUM(Sheet3!AD356:AD436)+AD354,IF(N354=1,0.6%,IF(N354=2,0.65%,IF(N354=3,0.6%,0)))*IF(L354&lt;0.8,0,IF(L354&lt;1,L354,1))*IF(RIGHT("2018-09",2)="03",1,0)),0)</f>
        <v>2547564.7899999996</v>
      </c>
      <c r="N354" s="19">
        <v>4</v>
      </c>
      <c r="O354" s="18">
        <f>IF(N354=4,0.5%,IF(N354=5,0.3%,0))</f>
        <v>5.0000000000000001E-3</v>
      </c>
      <c r="P354" s="21">
        <f>IFERROR(SUM(Sheet3!P356:P436),0)</f>
        <v>969100</v>
      </c>
      <c r="Q354" s="19">
        <f>SUMIF($G:$G,B354,$K:$K)</f>
        <v>0</v>
      </c>
      <c r="R354" s="22"/>
      <c r="S354" s="23" t="s">
        <v>26</v>
      </c>
      <c r="T354" s="23"/>
      <c r="U354" s="24" t="s">
        <v>27</v>
      </c>
      <c r="V354" s="24"/>
      <c r="W354" s="24"/>
      <c r="X354" s="25" t="s">
        <v>28</v>
      </c>
      <c r="Y354" s="25"/>
      <c r="Z354" s="26" t="s">
        <v>29</v>
      </c>
      <c r="AA354" s="26"/>
      <c r="AB354" s="27" t="s">
        <v>30</v>
      </c>
      <c r="AC354" s="27"/>
      <c r="AD354" s="28">
        <f>IF(IFERROR(SUM(Sheet3!Y356:Y436)*O354,0)&gt;2000000,2000000,IFERROR(SUM(Sheet3!Y356:Y436)*O354,0))</f>
        <v>0</v>
      </c>
    </row>
    <row r="355" spans="2:30" ht="25.5">
      <c r="C355" s="29" t="s">
        <v>31</v>
      </c>
      <c r="D355" s="30" t="s">
        <v>32</v>
      </c>
      <c r="E355" s="30"/>
      <c r="F355" s="31" t="s">
        <v>33</v>
      </c>
      <c r="G355" s="31" t="s">
        <v>34</v>
      </c>
      <c r="H355" s="32" t="s">
        <v>35</v>
      </c>
      <c r="I355" s="32" t="s">
        <v>36</v>
      </c>
      <c r="J355" s="31" t="s">
        <v>37</v>
      </c>
      <c r="K355" s="31" t="s">
        <v>38</v>
      </c>
      <c r="L355" s="31" t="s">
        <v>39</v>
      </c>
      <c r="M355" s="31" t="s">
        <v>40</v>
      </c>
      <c r="N355" s="31" t="s">
        <v>41</v>
      </c>
      <c r="O355" s="33" t="s">
        <v>42</v>
      </c>
      <c r="P355" s="32" t="s">
        <v>43</v>
      </c>
      <c r="Q355" s="32" t="s">
        <v>44</v>
      </c>
      <c r="R355" s="34" t="s">
        <v>45</v>
      </c>
      <c r="S355" s="34" t="s">
        <v>46</v>
      </c>
      <c r="T355" s="34" t="s">
        <v>47</v>
      </c>
      <c r="U355" s="35" t="s">
        <v>48</v>
      </c>
      <c r="V355" s="36" t="s">
        <v>47</v>
      </c>
      <c r="W355" s="36" t="s">
        <v>49</v>
      </c>
      <c r="X355" s="37" t="s">
        <v>50</v>
      </c>
      <c r="Y355" s="37" t="s">
        <v>51</v>
      </c>
      <c r="Z355" s="38" t="s">
        <v>48</v>
      </c>
      <c r="AA355" s="39" t="s">
        <v>47</v>
      </c>
      <c r="AB355" s="40" t="s">
        <v>48</v>
      </c>
      <c r="AC355" s="41" t="s">
        <v>47</v>
      </c>
      <c r="AD355" s="42" t="s">
        <v>52</v>
      </c>
    </row>
    <row r="356" spans="2:30">
      <c r="C356" s="43" t="s">
        <v>658</v>
      </c>
      <c r="D356" s="44" t="s">
        <v>659</v>
      </c>
      <c r="E356" s="44"/>
      <c r="F356" s="45">
        <v>43159.092291666668</v>
      </c>
      <c r="G356" s="46">
        <v>7</v>
      </c>
      <c r="H356" s="47">
        <v>43404</v>
      </c>
      <c r="I356" s="47">
        <v>43425</v>
      </c>
      <c r="J356" s="46">
        <v>3044623</v>
      </c>
      <c r="K356" s="46">
        <v>0</v>
      </c>
      <c r="L356" s="46">
        <v>0</v>
      </c>
      <c r="M356" s="46">
        <f t="shared" ref="M356:M419" si="128">IFERROR(J356-K356-L356,0)</f>
        <v>3044623</v>
      </c>
      <c r="N356" s="46">
        <v>3044623</v>
      </c>
      <c r="O356" s="48">
        <f t="shared" ref="O356:O419" si="129">IFERROR(IF(1 - M356/N356&lt;0,0,1-M356/N356),0)</f>
        <v>0</v>
      </c>
      <c r="P356" s="46">
        <v>0</v>
      </c>
      <c r="Q356" s="46">
        <v>3044623</v>
      </c>
      <c r="R356" s="49">
        <f t="shared" ref="R356:R419" si="130">IF(F356&lt;DATEVALUE("2018-07-01"),1,0)</f>
        <v>1</v>
      </c>
      <c r="S356" s="50">
        <f t="shared" ref="S356:S419" si="131">IF(R356=1,1%,0)</f>
        <v>0.01</v>
      </c>
      <c r="T356" s="49">
        <f t="shared" ref="T356:T419" si="132">IFERROR(S356*M356,0)</f>
        <v>30446.23</v>
      </c>
      <c r="U356" s="51">
        <f t="shared" ref="U356:U419" si="133">IF(O356&lt;=0.12,1,0)*(1-R356)*M356</f>
        <v>0</v>
      </c>
      <c r="V356" s="52">
        <f>IF(0&lt;0.8,0,IF(0&lt;1,Sheet3!L354,1))*IF(G356&lt;3,0.12 - O356,0.01) *U356</f>
        <v>0</v>
      </c>
      <c r="W356" s="52">
        <f t="shared" ref="W356:W419" si="134">IF(0&gt;1,IF(0&lt;=1.1,1,IF(0&lt;=1.2,2,IF(0&lt;=1.5,3,5))),0) * 1000000</f>
        <v>0</v>
      </c>
      <c r="X356" s="53">
        <f t="shared" ref="X356:X419" si="135">IF(AND(P356&gt;=150000000,P356&lt;300000000),5000000,IF(AND(P356&gt;=300000000,P356&lt;500000000),10000000,IF(AND(P356&gt;=300000000,P356&lt;500000000),15000000,IF(AND(P356&gt;=500000000,P356&lt;3000000000),20000000,IF(P356&gt;=30000000000,35000000,0))))) * (1-R356)</f>
        <v>0</v>
      </c>
      <c r="Y356" s="53">
        <f t="shared" ref="Y356:Y419" si="136">IFERROR(Q356 * (1-R356),0)</f>
        <v>0</v>
      </c>
      <c r="Z356" s="54">
        <f t="shared" ref="Z356:Z419" si="137">IF(R356=1,0,0)</f>
        <v>0</v>
      </c>
      <c r="AA356" s="54">
        <f t="shared" ref="AA356:AA419" si="138">IFERROR((1-R356) * Z356 * 2%,0)</f>
        <v>0</v>
      </c>
      <c r="AB356" s="55">
        <f t="shared" ref="AB356:AB370" si="139">IF(R356=0,0,0)</f>
        <v>0</v>
      </c>
      <c r="AC356" s="55">
        <f t="shared" ref="AC356:AC419" si="140">IFERROR(AB356 * (1-R356) * 2%,0)</f>
        <v>0</v>
      </c>
      <c r="AD356" s="56">
        <f t="shared" ref="AD356:AD419" si="141">T356+V356+W356+X356+AA356+AC356</f>
        <v>30446.23</v>
      </c>
    </row>
    <row r="357" spans="2:30">
      <c r="C357" s="43" t="s">
        <v>660</v>
      </c>
      <c r="D357" s="44" t="s">
        <v>661</v>
      </c>
      <c r="E357" s="44"/>
      <c r="F357" s="45">
        <v>43166.355752314812</v>
      </c>
      <c r="G357" s="46">
        <v>6</v>
      </c>
      <c r="H357" s="47">
        <v>43398</v>
      </c>
      <c r="I357" s="47">
        <v>43426</v>
      </c>
      <c r="J357" s="46">
        <v>5184200</v>
      </c>
      <c r="K357" s="46">
        <v>0</v>
      </c>
      <c r="L357" s="46">
        <v>0</v>
      </c>
      <c r="M357" s="46">
        <f t="shared" si="128"/>
        <v>5184200</v>
      </c>
      <c r="N357" s="46">
        <v>5184200</v>
      </c>
      <c r="O357" s="48">
        <f t="shared" si="129"/>
        <v>0</v>
      </c>
      <c r="P357" s="46">
        <v>0</v>
      </c>
      <c r="Q357" s="46">
        <v>7292383</v>
      </c>
      <c r="R357" s="49">
        <f t="shared" si="130"/>
        <v>1</v>
      </c>
      <c r="S357" s="50">
        <f t="shared" si="131"/>
        <v>0.01</v>
      </c>
      <c r="T357" s="49">
        <f t="shared" si="132"/>
        <v>51842</v>
      </c>
      <c r="U357" s="51">
        <f t="shared" si="133"/>
        <v>0</v>
      </c>
      <c r="V357" s="52">
        <f>IF(0&lt;0.8,0,IF(0&lt;1,Sheet3!L354,1))*IF(G357&lt;3,0.12 - O357,0.01) *U357</f>
        <v>0</v>
      </c>
      <c r="W357" s="52">
        <f t="shared" si="134"/>
        <v>0</v>
      </c>
      <c r="X357" s="53">
        <f t="shared" si="135"/>
        <v>0</v>
      </c>
      <c r="Y357" s="53">
        <f t="shared" si="136"/>
        <v>0</v>
      </c>
      <c r="Z357" s="54">
        <f t="shared" si="137"/>
        <v>0</v>
      </c>
      <c r="AA357" s="54">
        <f t="shared" si="138"/>
        <v>0</v>
      </c>
      <c r="AB357" s="55">
        <f t="shared" si="139"/>
        <v>0</v>
      </c>
      <c r="AC357" s="55">
        <f t="shared" si="140"/>
        <v>0</v>
      </c>
      <c r="AD357" s="56">
        <f t="shared" si="141"/>
        <v>51842</v>
      </c>
    </row>
    <row r="358" spans="2:30">
      <c r="C358" s="43" t="s">
        <v>662</v>
      </c>
      <c r="D358" s="44" t="s">
        <v>663</v>
      </c>
      <c r="E358" s="44"/>
      <c r="F358" s="45">
        <v>39702.73606481481</v>
      </c>
      <c r="G358" s="46">
        <v>120</v>
      </c>
      <c r="H358" s="47">
        <v>43384</v>
      </c>
      <c r="I358" s="47">
        <v>43426</v>
      </c>
      <c r="J358" s="46">
        <v>6004639</v>
      </c>
      <c r="K358" s="46">
        <v>542055</v>
      </c>
      <c r="L358" s="46">
        <v>0</v>
      </c>
      <c r="M358" s="46">
        <f t="shared" si="128"/>
        <v>5462584</v>
      </c>
      <c r="N358" s="46">
        <v>6003779</v>
      </c>
      <c r="O358" s="48">
        <f t="shared" si="129"/>
        <v>9.0142391983449088E-2</v>
      </c>
      <c r="P358" s="46">
        <v>0</v>
      </c>
      <c r="Q358" s="46">
        <v>6004639</v>
      </c>
      <c r="R358" s="49">
        <f t="shared" si="130"/>
        <v>1</v>
      </c>
      <c r="S358" s="50">
        <f t="shared" si="131"/>
        <v>0.01</v>
      </c>
      <c r="T358" s="49">
        <f t="shared" si="132"/>
        <v>54625.840000000004</v>
      </c>
      <c r="U358" s="51">
        <f t="shared" si="133"/>
        <v>0</v>
      </c>
      <c r="V358" s="52">
        <f>IF(0&lt;0.8,0,IF(0&lt;1,Sheet3!L354,1))*IF(G358&lt;3,0.12 - O358,0.01) *U358</f>
        <v>0</v>
      </c>
      <c r="W358" s="52">
        <f t="shared" si="134"/>
        <v>0</v>
      </c>
      <c r="X358" s="53">
        <f t="shared" si="135"/>
        <v>0</v>
      </c>
      <c r="Y358" s="53">
        <f t="shared" si="136"/>
        <v>0</v>
      </c>
      <c r="Z358" s="54">
        <f t="shared" si="137"/>
        <v>0</v>
      </c>
      <c r="AA358" s="54">
        <f t="shared" si="138"/>
        <v>0</v>
      </c>
      <c r="AB358" s="55">
        <f t="shared" si="139"/>
        <v>0</v>
      </c>
      <c r="AC358" s="55">
        <f t="shared" si="140"/>
        <v>0</v>
      </c>
      <c r="AD358" s="56">
        <f t="shared" si="141"/>
        <v>54625.840000000004</v>
      </c>
    </row>
    <row r="359" spans="2:30">
      <c r="C359" s="43" t="s">
        <v>664</v>
      </c>
      <c r="D359" s="44" t="s">
        <v>665</v>
      </c>
      <c r="E359" s="44"/>
      <c r="F359" s="45">
        <v>41505.443969907406</v>
      </c>
      <c r="G359" s="46">
        <v>61</v>
      </c>
      <c r="H359" s="47">
        <v>43385</v>
      </c>
      <c r="I359" s="47">
        <v>43410</v>
      </c>
      <c r="J359" s="46">
        <v>3922781</v>
      </c>
      <c r="K359" s="46">
        <v>0</v>
      </c>
      <c r="L359" s="46">
        <v>0</v>
      </c>
      <c r="M359" s="46">
        <f t="shared" si="128"/>
        <v>3922781</v>
      </c>
      <c r="N359" s="46">
        <v>3922689</v>
      </c>
      <c r="O359" s="48">
        <f t="shared" si="129"/>
        <v>0</v>
      </c>
      <c r="P359" s="46">
        <v>0</v>
      </c>
      <c r="Q359" s="46">
        <v>3922781</v>
      </c>
      <c r="R359" s="49">
        <f t="shared" si="130"/>
        <v>1</v>
      </c>
      <c r="S359" s="50">
        <f t="shared" si="131"/>
        <v>0.01</v>
      </c>
      <c r="T359" s="49">
        <f t="shared" si="132"/>
        <v>39227.81</v>
      </c>
      <c r="U359" s="51">
        <f t="shared" si="133"/>
        <v>0</v>
      </c>
      <c r="V359" s="52">
        <f>IF(0&lt;0.8,0,IF(0&lt;1,Sheet3!L354,1))*IF(G359&lt;3,0.12 - O359,0.01) *U359</f>
        <v>0</v>
      </c>
      <c r="W359" s="52">
        <f t="shared" si="134"/>
        <v>0</v>
      </c>
      <c r="X359" s="53">
        <f t="shared" si="135"/>
        <v>0</v>
      </c>
      <c r="Y359" s="53">
        <f t="shared" si="136"/>
        <v>0</v>
      </c>
      <c r="Z359" s="54">
        <f t="shared" si="137"/>
        <v>0</v>
      </c>
      <c r="AA359" s="54">
        <f t="shared" si="138"/>
        <v>0</v>
      </c>
      <c r="AB359" s="55">
        <f t="shared" si="139"/>
        <v>0</v>
      </c>
      <c r="AC359" s="55">
        <f t="shared" si="140"/>
        <v>0</v>
      </c>
      <c r="AD359" s="56">
        <f t="shared" si="141"/>
        <v>39227.81</v>
      </c>
    </row>
    <row r="360" spans="2:30">
      <c r="C360" s="43" t="s">
        <v>666</v>
      </c>
      <c r="D360" s="44" t="s">
        <v>667</v>
      </c>
      <c r="E360" s="44"/>
      <c r="F360" s="45">
        <v>43159.135833333334</v>
      </c>
      <c r="G360" s="46">
        <v>7</v>
      </c>
      <c r="H360" s="47">
        <v>43377</v>
      </c>
      <c r="I360" s="47">
        <v>43384</v>
      </c>
      <c r="J360" s="46">
        <v>9340051</v>
      </c>
      <c r="K360" s="46">
        <v>0</v>
      </c>
      <c r="L360" s="46">
        <v>0</v>
      </c>
      <c r="M360" s="46">
        <f t="shared" si="128"/>
        <v>9340051</v>
      </c>
      <c r="N360" s="46">
        <v>9340051</v>
      </c>
      <c r="O360" s="48">
        <f t="shared" si="129"/>
        <v>0</v>
      </c>
      <c r="P360" s="46">
        <v>0</v>
      </c>
      <c r="Q360" s="46">
        <v>9340051</v>
      </c>
      <c r="R360" s="49">
        <f t="shared" si="130"/>
        <v>1</v>
      </c>
      <c r="S360" s="50">
        <f t="shared" si="131"/>
        <v>0.01</v>
      </c>
      <c r="T360" s="49">
        <f t="shared" si="132"/>
        <v>93400.51</v>
      </c>
      <c r="U360" s="51">
        <f t="shared" si="133"/>
        <v>0</v>
      </c>
      <c r="V360" s="52">
        <f>IF(0&lt;0.8,0,IF(0&lt;1,Sheet3!L354,1))*IF(G360&lt;3,0.12 - O360,0.01) *U360</f>
        <v>0</v>
      </c>
      <c r="W360" s="52">
        <f t="shared" si="134"/>
        <v>0</v>
      </c>
      <c r="X360" s="53">
        <f t="shared" si="135"/>
        <v>0</v>
      </c>
      <c r="Y360" s="53">
        <f t="shared" si="136"/>
        <v>0</v>
      </c>
      <c r="Z360" s="54">
        <f t="shared" si="137"/>
        <v>0</v>
      </c>
      <c r="AA360" s="54">
        <f t="shared" si="138"/>
        <v>0</v>
      </c>
      <c r="AB360" s="55">
        <f t="shared" si="139"/>
        <v>0</v>
      </c>
      <c r="AC360" s="55">
        <f t="shared" si="140"/>
        <v>0</v>
      </c>
      <c r="AD360" s="56">
        <f t="shared" si="141"/>
        <v>93400.51</v>
      </c>
    </row>
    <row r="361" spans="2:30">
      <c r="C361" s="43" t="s">
        <v>668</v>
      </c>
      <c r="D361" s="44" t="s">
        <v>669</v>
      </c>
      <c r="E361" s="44"/>
      <c r="F361" s="45">
        <v>40730.601666666662</v>
      </c>
      <c r="G361" s="46">
        <v>86</v>
      </c>
      <c r="H361" s="47">
        <v>43391</v>
      </c>
      <c r="I361" s="47">
        <v>43427</v>
      </c>
      <c r="J361" s="46">
        <v>2127358</v>
      </c>
      <c r="K361" s="46">
        <v>0</v>
      </c>
      <c r="L361" s="46">
        <v>0</v>
      </c>
      <c r="M361" s="46">
        <f t="shared" si="128"/>
        <v>2127358</v>
      </c>
      <c r="N361" s="46">
        <v>2125164</v>
      </c>
      <c r="O361" s="48">
        <f t="shared" si="129"/>
        <v>0</v>
      </c>
      <c r="P361" s="46">
        <v>0</v>
      </c>
      <c r="Q361" s="46">
        <v>2127358</v>
      </c>
      <c r="R361" s="49">
        <f t="shared" si="130"/>
        <v>1</v>
      </c>
      <c r="S361" s="50">
        <f t="shared" si="131"/>
        <v>0.01</v>
      </c>
      <c r="T361" s="49">
        <f t="shared" si="132"/>
        <v>21273.58</v>
      </c>
      <c r="U361" s="51">
        <f t="shared" si="133"/>
        <v>0</v>
      </c>
      <c r="V361" s="52">
        <f>IF(0&lt;0.8,0,IF(0&lt;1,Sheet3!L354,1))*IF(G361&lt;3,0.12 - O361,0.01) *U361</f>
        <v>0</v>
      </c>
      <c r="W361" s="52">
        <f t="shared" si="134"/>
        <v>0</v>
      </c>
      <c r="X361" s="53">
        <f t="shared" si="135"/>
        <v>0</v>
      </c>
      <c r="Y361" s="53">
        <f t="shared" si="136"/>
        <v>0</v>
      </c>
      <c r="Z361" s="54">
        <f t="shared" si="137"/>
        <v>0</v>
      </c>
      <c r="AA361" s="54">
        <f t="shared" si="138"/>
        <v>0</v>
      </c>
      <c r="AB361" s="55">
        <f t="shared" si="139"/>
        <v>0</v>
      </c>
      <c r="AC361" s="55">
        <f t="shared" si="140"/>
        <v>0</v>
      </c>
      <c r="AD361" s="56">
        <f t="shared" si="141"/>
        <v>21273.58</v>
      </c>
    </row>
    <row r="362" spans="2:30">
      <c r="C362" s="43" t="s">
        <v>670</v>
      </c>
      <c r="D362" s="44" t="s">
        <v>671</v>
      </c>
      <c r="E362" s="44"/>
      <c r="F362" s="45">
        <v>41010.373124999998</v>
      </c>
      <c r="G362" s="46">
        <v>77</v>
      </c>
      <c r="H362" s="47">
        <v>43391</v>
      </c>
      <c r="I362" s="47">
        <v>43440</v>
      </c>
      <c r="J362" s="46">
        <v>10530837</v>
      </c>
      <c r="K362" s="46">
        <v>0</v>
      </c>
      <c r="L362" s="46">
        <v>0</v>
      </c>
      <c r="M362" s="46">
        <f t="shared" si="128"/>
        <v>10530837</v>
      </c>
      <c r="N362" s="46">
        <v>10530837</v>
      </c>
      <c r="O362" s="48">
        <f t="shared" si="129"/>
        <v>0</v>
      </c>
      <c r="P362" s="46">
        <v>0</v>
      </c>
      <c r="Q362" s="46">
        <v>10530837</v>
      </c>
      <c r="R362" s="49">
        <f t="shared" si="130"/>
        <v>1</v>
      </c>
      <c r="S362" s="50">
        <f t="shared" si="131"/>
        <v>0.01</v>
      </c>
      <c r="T362" s="49">
        <f t="shared" si="132"/>
        <v>105308.37</v>
      </c>
      <c r="U362" s="51">
        <f t="shared" si="133"/>
        <v>0</v>
      </c>
      <c r="V362" s="52">
        <f>IF(0&lt;0.8,0,IF(0&lt;1,Sheet3!L354,1))*IF(G362&lt;3,0.12 - O362,0.01) *U362</f>
        <v>0</v>
      </c>
      <c r="W362" s="52">
        <f t="shared" si="134"/>
        <v>0</v>
      </c>
      <c r="X362" s="53">
        <f t="shared" si="135"/>
        <v>0</v>
      </c>
      <c r="Y362" s="53">
        <f t="shared" si="136"/>
        <v>0</v>
      </c>
      <c r="Z362" s="54">
        <f t="shared" si="137"/>
        <v>0</v>
      </c>
      <c r="AA362" s="54">
        <f t="shared" si="138"/>
        <v>0</v>
      </c>
      <c r="AB362" s="55">
        <f t="shared" si="139"/>
        <v>0</v>
      </c>
      <c r="AC362" s="55">
        <f t="shared" si="140"/>
        <v>0</v>
      </c>
      <c r="AD362" s="56">
        <f t="shared" si="141"/>
        <v>105308.37</v>
      </c>
    </row>
    <row r="363" spans="2:30">
      <c r="C363" s="43" t="s">
        <v>672</v>
      </c>
      <c r="D363" s="44" t="s">
        <v>673</v>
      </c>
      <c r="E363" s="44"/>
      <c r="F363" s="45">
        <v>42191.479409722218</v>
      </c>
      <c r="G363" s="46">
        <v>38</v>
      </c>
      <c r="H363" s="47">
        <v>43396</v>
      </c>
      <c r="I363" s="47">
        <v>43410</v>
      </c>
      <c r="J363" s="46">
        <v>207200</v>
      </c>
      <c r="K363" s="46">
        <v>0</v>
      </c>
      <c r="L363" s="46">
        <v>0</v>
      </c>
      <c r="M363" s="46">
        <f t="shared" si="128"/>
        <v>207200</v>
      </c>
      <c r="N363" s="46">
        <v>207200</v>
      </c>
      <c r="O363" s="48">
        <f t="shared" si="129"/>
        <v>0</v>
      </c>
      <c r="P363" s="46">
        <v>0</v>
      </c>
      <c r="Q363" s="46">
        <v>207200</v>
      </c>
      <c r="R363" s="49">
        <f t="shared" si="130"/>
        <v>1</v>
      </c>
      <c r="S363" s="50">
        <f t="shared" si="131"/>
        <v>0.01</v>
      </c>
      <c r="T363" s="49">
        <f t="shared" si="132"/>
        <v>2072</v>
      </c>
      <c r="U363" s="51">
        <f t="shared" si="133"/>
        <v>0</v>
      </c>
      <c r="V363" s="52">
        <f>IF(0&lt;0.8,0,IF(0&lt;1,Sheet3!L354,1))*IF(G363&lt;3,0.12 - O363,0.01) *U363</f>
        <v>0</v>
      </c>
      <c r="W363" s="52">
        <f t="shared" si="134"/>
        <v>0</v>
      </c>
      <c r="X363" s="53">
        <f t="shared" si="135"/>
        <v>0</v>
      </c>
      <c r="Y363" s="53">
        <f t="shared" si="136"/>
        <v>0</v>
      </c>
      <c r="Z363" s="54">
        <f t="shared" si="137"/>
        <v>0</v>
      </c>
      <c r="AA363" s="54">
        <f t="shared" si="138"/>
        <v>0</v>
      </c>
      <c r="AB363" s="55">
        <f t="shared" si="139"/>
        <v>0</v>
      </c>
      <c r="AC363" s="55">
        <f t="shared" si="140"/>
        <v>0</v>
      </c>
      <c r="AD363" s="56">
        <f t="shared" si="141"/>
        <v>2072</v>
      </c>
    </row>
    <row r="364" spans="2:30">
      <c r="C364" s="43" t="s">
        <v>674</v>
      </c>
      <c r="D364" s="44" t="s">
        <v>675</v>
      </c>
      <c r="E364" s="44"/>
      <c r="F364" s="45">
        <v>42199.572384259256</v>
      </c>
      <c r="G364" s="46">
        <v>38</v>
      </c>
      <c r="H364" s="47">
        <v>43396</v>
      </c>
      <c r="I364" s="47">
        <v>43406</v>
      </c>
      <c r="J364" s="46">
        <v>2339035</v>
      </c>
      <c r="K364" s="46">
        <v>0</v>
      </c>
      <c r="L364" s="46">
        <v>0</v>
      </c>
      <c r="M364" s="46">
        <f t="shared" si="128"/>
        <v>2339035</v>
      </c>
      <c r="N364" s="46">
        <v>2339035</v>
      </c>
      <c r="O364" s="48">
        <f t="shared" si="129"/>
        <v>0</v>
      </c>
      <c r="P364" s="46">
        <v>0</v>
      </c>
      <c r="Q364" s="46">
        <v>2339035</v>
      </c>
      <c r="R364" s="49">
        <f t="shared" si="130"/>
        <v>1</v>
      </c>
      <c r="S364" s="50">
        <f t="shared" si="131"/>
        <v>0.01</v>
      </c>
      <c r="T364" s="49">
        <f t="shared" si="132"/>
        <v>23390.350000000002</v>
      </c>
      <c r="U364" s="51">
        <f t="shared" si="133"/>
        <v>0</v>
      </c>
      <c r="V364" s="52">
        <f>IF(0&lt;0.8,0,IF(0&lt;1,Sheet3!L354,1))*IF(G364&lt;3,0.12 - O364,0.01) *U364</f>
        <v>0</v>
      </c>
      <c r="W364" s="52">
        <f t="shared" si="134"/>
        <v>0</v>
      </c>
      <c r="X364" s="53">
        <f t="shared" si="135"/>
        <v>0</v>
      </c>
      <c r="Y364" s="53">
        <f t="shared" si="136"/>
        <v>0</v>
      </c>
      <c r="Z364" s="54">
        <f t="shared" si="137"/>
        <v>0</v>
      </c>
      <c r="AA364" s="54">
        <f t="shared" si="138"/>
        <v>0</v>
      </c>
      <c r="AB364" s="55">
        <f t="shared" si="139"/>
        <v>0</v>
      </c>
      <c r="AC364" s="55">
        <f t="shared" si="140"/>
        <v>0</v>
      </c>
      <c r="AD364" s="56">
        <f t="shared" si="141"/>
        <v>23390.350000000002</v>
      </c>
    </row>
    <row r="365" spans="2:30">
      <c r="C365" s="43" t="s">
        <v>676</v>
      </c>
      <c r="D365" s="44" t="s">
        <v>677</v>
      </c>
      <c r="E365" s="44"/>
      <c r="F365" s="45">
        <v>42201.439386574071</v>
      </c>
      <c r="G365" s="46">
        <v>38</v>
      </c>
      <c r="H365" s="47">
        <v>43391</v>
      </c>
      <c r="I365" s="47">
        <v>43412</v>
      </c>
      <c r="J365" s="46">
        <v>12201410</v>
      </c>
      <c r="K365" s="46">
        <v>1091017</v>
      </c>
      <c r="L365" s="46">
        <v>0</v>
      </c>
      <c r="M365" s="46">
        <f t="shared" si="128"/>
        <v>11110393</v>
      </c>
      <c r="N365" s="46">
        <v>12201410</v>
      </c>
      <c r="O365" s="48">
        <f t="shared" si="129"/>
        <v>8.9417288657622329E-2</v>
      </c>
      <c r="P365" s="46">
        <v>0</v>
      </c>
      <c r="Q365" s="46">
        <v>12201410</v>
      </c>
      <c r="R365" s="49">
        <f t="shared" si="130"/>
        <v>1</v>
      </c>
      <c r="S365" s="50">
        <f t="shared" si="131"/>
        <v>0.01</v>
      </c>
      <c r="T365" s="49">
        <f t="shared" si="132"/>
        <v>111103.93000000001</v>
      </c>
      <c r="U365" s="51">
        <f t="shared" si="133"/>
        <v>0</v>
      </c>
      <c r="V365" s="52">
        <f>IF(0&lt;0.8,0,IF(0&lt;1,Sheet3!L354,1))*IF(G365&lt;3,0.12 - O365,0.01) *U365</f>
        <v>0</v>
      </c>
      <c r="W365" s="52">
        <f t="shared" si="134"/>
        <v>0</v>
      </c>
      <c r="X365" s="53">
        <f t="shared" si="135"/>
        <v>0</v>
      </c>
      <c r="Y365" s="53">
        <f t="shared" si="136"/>
        <v>0</v>
      </c>
      <c r="Z365" s="54">
        <f t="shared" si="137"/>
        <v>0</v>
      </c>
      <c r="AA365" s="54">
        <f t="shared" si="138"/>
        <v>0</v>
      </c>
      <c r="AB365" s="55">
        <f t="shared" si="139"/>
        <v>0</v>
      </c>
      <c r="AC365" s="55">
        <f t="shared" si="140"/>
        <v>0</v>
      </c>
      <c r="AD365" s="56">
        <f t="shared" si="141"/>
        <v>111103.93000000001</v>
      </c>
    </row>
    <row r="366" spans="2:30">
      <c r="C366" s="43" t="s">
        <v>678</v>
      </c>
      <c r="D366" s="44" t="s">
        <v>679</v>
      </c>
      <c r="E366" s="44"/>
      <c r="F366" s="45">
        <v>42451.586331018516</v>
      </c>
      <c r="G366" s="46">
        <v>30</v>
      </c>
      <c r="H366" s="47">
        <v>43376</v>
      </c>
      <c r="I366" s="47">
        <v>43406</v>
      </c>
      <c r="J366" s="46">
        <v>1460160</v>
      </c>
      <c r="K366" s="46">
        <v>0</v>
      </c>
      <c r="L366" s="46">
        <v>0</v>
      </c>
      <c r="M366" s="46">
        <f t="shared" si="128"/>
        <v>1460160</v>
      </c>
      <c r="N366" s="46">
        <v>1458405</v>
      </c>
      <c r="O366" s="48">
        <f t="shared" si="129"/>
        <v>0</v>
      </c>
      <c r="P366" s="46">
        <v>0</v>
      </c>
      <c r="Q366" s="46">
        <v>1460160</v>
      </c>
      <c r="R366" s="49">
        <f t="shared" si="130"/>
        <v>1</v>
      </c>
      <c r="S366" s="50">
        <f t="shared" si="131"/>
        <v>0.01</v>
      </c>
      <c r="T366" s="49">
        <f t="shared" si="132"/>
        <v>14601.6</v>
      </c>
      <c r="U366" s="51">
        <f t="shared" si="133"/>
        <v>0</v>
      </c>
      <c r="V366" s="52">
        <f>IF(0&lt;0.8,0,IF(0&lt;1,Sheet3!L354,1))*IF(G366&lt;3,0.12 - O366,0.01) *U366</f>
        <v>0</v>
      </c>
      <c r="W366" s="52">
        <f t="shared" si="134"/>
        <v>0</v>
      </c>
      <c r="X366" s="53">
        <f t="shared" si="135"/>
        <v>0</v>
      </c>
      <c r="Y366" s="53">
        <f t="shared" si="136"/>
        <v>0</v>
      </c>
      <c r="Z366" s="54">
        <f t="shared" si="137"/>
        <v>0</v>
      </c>
      <c r="AA366" s="54">
        <f t="shared" si="138"/>
        <v>0</v>
      </c>
      <c r="AB366" s="55">
        <f t="shared" si="139"/>
        <v>0</v>
      </c>
      <c r="AC366" s="55">
        <f t="shared" si="140"/>
        <v>0</v>
      </c>
      <c r="AD366" s="56">
        <f t="shared" si="141"/>
        <v>14601.6</v>
      </c>
    </row>
    <row r="367" spans="2:30">
      <c r="C367" s="43" t="s">
        <v>680</v>
      </c>
      <c r="D367" s="44" t="s">
        <v>681</v>
      </c>
      <c r="E367" s="44"/>
      <c r="F367" s="45">
        <v>42914.384004629625</v>
      </c>
      <c r="G367" s="46">
        <v>15</v>
      </c>
      <c r="H367" s="47">
        <v>43396</v>
      </c>
      <c r="I367" s="47">
        <v>43430</v>
      </c>
      <c r="J367" s="46">
        <v>1015069</v>
      </c>
      <c r="K367" s="46">
        <v>0</v>
      </c>
      <c r="L367" s="46">
        <v>0</v>
      </c>
      <c r="M367" s="46">
        <f t="shared" si="128"/>
        <v>1015069</v>
      </c>
      <c r="N367" s="46">
        <v>1015069</v>
      </c>
      <c r="O367" s="48">
        <f t="shared" si="129"/>
        <v>0</v>
      </c>
      <c r="P367" s="46">
        <v>0</v>
      </c>
      <c r="Q367" s="46">
        <v>1015069</v>
      </c>
      <c r="R367" s="49">
        <f t="shared" si="130"/>
        <v>1</v>
      </c>
      <c r="S367" s="50">
        <f t="shared" si="131"/>
        <v>0.01</v>
      </c>
      <c r="T367" s="49">
        <f t="shared" si="132"/>
        <v>10150.69</v>
      </c>
      <c r="U367" s="51">
        <f t="shared" si="133"/>
        <v>0</v>
      </c>
      <c r="V367" s="52">
        <f>IF(0&lt;0.8,0,IF(0&lt;1,Sheet3!L354,1))*IF(G367&lt;3,0.12 - O367,0.01) *U367</f>
        <v>0</v>
      </c>
      <c r="W367" s="52">
        <f t="shared" si="134"/>
        <v>0</v>
      </c>
      <c r="X367" s="53">
        <f t="shared" si="135"/>
        <v>0</v>
      </c>
      <c r="Y367" s="53">
        <f t="shared" si="136"/>
        <v>0</v>
      </c>
      <c r="Z367" s="54">
        <f t="shared" si="137"/>
        <v>0</v>
      </c>
      <c r="AA367" s="54">
        <f t="shared" si="138"/>
        <v>0</v>
      </c>
      <c r="AB367" s="55">
        <f t="shared" si="139"/>
        <v>0</v>
      </c>
      <c r="AC367" s="55">
        <f t="shared" si="140"/>
        <v>0</v>
      </c>
      <c r="AD367" s="56">
        <f t="shared" si="141"/>
        <v>10150.69</v>
      </c>
    </row>
    <row r="368" spans="2:30">
      <c r="C368" s="43" t="s">
        <v>682</v>
      </c>
      <c r="D368" s="44" t="s">
        <v>683</v>
      </c>
      <c r="E368" s="44"/>
      <c r="F368" s="45">
        <v>42916.12332175926</v>
      </c>
      <c r="G368" s="46">
        <v>15</v>
      </c>
      <c r="H368" s="47">
        <v>43396</v>
      </c>
      <c r="I368" s="47">
        <v>43406</v>
      </c>
      <c r="J368" s="46">
        <v>1332089</v>
      </c>
      <c r="K368" s="46">
        <v>0</v>
      </c>
      <c r="L368" s="46">
        <v>0</v>
      </c>
      <c r="M368" s="46">
        <f t="shared" si="128"/>
        <v>1332089</v>
      </c>
      <c r="N368" s="46">
        <v>1332089</v>
      </c>
      <c r="O368" s="48">
        <f t="shared" si="129"/>
        <v>0</v>
      </c>
      <c r="P368" s="46">
        <v>0</v>
      </c>
      <c r="Q368" s="46">
        <v>1332089</v>
      </c>
      <c r="R368" s="49">
        <f t="shared" si="130"/>
        <v>1</v>
      </c>
      <c r="S368" s="50">
        <f t="shared" si="131"/>
        <v>0.01</v>
      </c>
      <c r="T368" s="49">
        <f t="shared" si="132"/>
        <v>13320.89</v>
      </c>
      <c r="U368" s="51">
        <f t="shared" si="133"/>
        <v>0</v>
      </c>
      <c r="V368" s="52">
        <f>IF(0&lt;0.8,0,IF(0&lt;1,Sheet3!L354,1))*IF(G368&lt;3,0.12 - O368,0.01) *U368</f>
        <v>0</v>
      </c>
      <c r="W368" s="52">
        <f t="shared" si="134"/>
        <v>0</v>
      </c>
      <c r="X368" s="53">
        <f t="shared" si="135"/>
        <v>0</v>
      </c>
      <c r="Y368" s="53">
        <f t="shared" si="136"/>
        <v>0</v>
      </c>
      <c r="Z368" s="54">
        <f t="shared" si="137"/>
        <v>0</v>
      </c>
      <c r="AA368" s="54">
        <f t="shared" si="138"/>
        <v>0</v>
      </c>
      <c r="AB368" s="55">
        <f t="shared" si="139"/>
        <v>0</v>
      </c>
      <c r="AC368" s="55">
        <f t="shared" si="140"/>
        <v>0</v>
      </c>
      <c r="AD368" s="56">
        <f t="shared" si="141"/>
        <v>13320.89</v>
      </c>
    </row>
    <row r="369" spans="3:30">
      <c r="C369" s="43" t="s">
        <v>684</v>
      </c>
      <c r="D369" s="44" t="s">
        <v>685</v>
      </c>
      <c r="E369" s="44"/>
      <c r="F369" s="45">
        <v>42916.125486111108</v>
      </c>
      <c r="G369" s="46">
        <v>15</v>
      </c>
      <c r="H369" s="47">
        <v>43391</v>
      </c>
      <c r="I369" s="47">
        <v>43413</v>
      </c>
      <c r="J369" s="46">
        <v>10306325</v>
      </c>
      <c r="K369" s="46">
        <v>0</v>
      </c>
      <c r="L369" s="46">
        <v>0</v>
      </c>
      <c r="M369" s="46">
        <f t="shared" si="128"/>
        <v>10306325</v>
      </c>
      <c r="N369" s="46">
        <v>10306205</v>
      </c>
      <c r="O369" s="48">
        <f t="shared" si="129"/>
        <v>0</v>
      </c>
      <c r="P369" s="46">
        <v>0</v>
      </c>
      <c r="Q369" s="46">
        <v>10306325</v>
      </c>
      <c r="R369" s="49">
        <f t="shared" si="130"/>
        <v>1</v>
      </c>
      <c r="S369" s="50">
        <f t="shared" si="131"/>
        <v>0.01</v>
      </c>
      <c r="T369" s="49">
        <f t="shared" si="132"/>
        <v>103063.25</v>
      </c>
      <c r="U369" s="51">
        <f t="shared" si="133"/>
        <v>0</v>
      </c>
      <c r="V369" s="52">
        <f>IF(0&lt;0.8,0,IF(0&lt;1,Sheet3!L354,1))*IF(G369&lt;3,0.12 - O369,0.01) *U369</f>
        <v>0</v>
      </c>
      <c r="W369" s="52">
        <f t="shared" si="134"/>
        <v>0</v>
      </c>
      <c r="X369" s="53">
        <f t="shared" si="135"/>
        <v>0</v>
      </c>
      <c r="Y369" s="53">
        <f t="shared" si="136"/>
        <v>0</v>
      </c>
      <c r="Z369" s="54">
        <f t="shared" si="137"/>
        <v>0</v>
      </c>
      <c r="AA369" s="54">
        <f t="shared" si="138"/>
        <v>0</v>
      </c>
      <c r="AB369" s="55">
        <f t="shared" si="139"/>
        <v>0</v>
      </c>
      <c r="AC369" s="55">
        <f t="shared" si="140"/>
        <v>0</v>
      </c>
      <c r="AD369" s="56">
        <f t="shared" si="141"/>
        <v>103063.25</v>
      </c>
    </row>
    <row r="370" spans="3:30">
      <c r="C370" s="43" t="s">
        <v>686</v>
      </c>
      <c r="D370" s="44" t="s">
        <v>687</v>
      </c>
      <c r="E370" s="44"/>
      <c r="F370" s="45">
        <v>42916.128506944442</v>
      </c>
      <c r="G370" s="46">
        <v>15</v>
      </c>
      <c r="H370" s="47">
        <v>43404</v>
      </c>
      <c r="I370" s="47">
        <v>43439</v>
      </c>
      <c r="J370" s="46">
        <v>4170753</v>
      </c>
      <c r="K370" s="46">
        <v>0</v>
      </c>
      <c r="L370" s="46">
        <v>0</v>
      </c>
      <c r="M370" s="46">
        <f t="shared" si="128"/>
        <v>4170753</v>
      </c>
      <c r="N370" s="46">
        <v>4487796</v>
      </c>
      <c r="O370" s="48">
        <f t="shared" si="129"/>
        <v>7.0645590842364547E-2</v>
      </c>
      <c r="P370" s="46">
        <v>0</v>
      </c>
      <c r="Q370" s="46">
        <v>4446953</v>
      </c>
      <c r="R370" s="49">
        <f t="shared" si="130"/>
        <v>1</v>
      </c>
      <c r="S370" s="50">
        <f t="shared" si="131"/>
        <v>0.01</v>
      </c>
      <c r="T370" s="49">
        <f t="shared" si="132"/>
        <v>41707.53</v>
      </c>
      <c r="U370" s="51">
        <f t="shared" si="133"/>
        <v>0</v>
      </c>
      <c r="V370" s="52">
        <f>IF(0&lt;0.8,0,IF(0&lt;1,Sheet3!L354,1))*IF(G370&lt;3,0.12 - O370,0.01) *U370</f>
        <v>0</v>
      </c>
      <c r="W370" s="52">
        <f t="shared" si="134"/>
        <v>0</v>
      </c>
      <c r="X370" s="53">
        <f t="shared" si="135"/>
        <v>0</v>
      </c>
      <c r="Y370" s="53">
        <f t="shared" si="136"/>
        <v>0</v>
      </c>
      <c r="Z370" s="54">
        <f t="shared" si="137"/>
        <v>0</v>
      </c>
      <c r="AA370" s="54">
        <f t="shared" si="138"/>
        <v>0</v>
      </c>
      <c r="AB370" s="55">
        <f t="shared" si="139"/>
        <v>0</v>
      </c>
      <c r="AC370" s="55">
        <f t="shared" si="140"/>
        <v>0</v>
      </c>
      <c r="AD370" s="56">
        <f t="shared" si="141"/>
        <v>41707.53</v>
      </c>
    </row>
    <row r="371" spans="3:30">
      <c r="C371" s="43" t="s">
        <v>688</v>
      </c>
      <c r="D371" s="44" t="s">
        <v>689</v>
      </c>
      <c r="E371" s="44"/>
      <c r="F371" s="45">
        <v>42917.303935185184</v>
      </c>
      <c r="G371" s="46">
        <v>14</v>
      </c>
      <c r="H371" s="47">
        <v>43391</v>
      </c>
      <c r="I371" s="47">
        <v>43404</v>
      </c>
      <c r="J371" s="46">
        <v>2670575</v>
      </c>
      <c r="K371" s="46">
        <v>0</v>
      </c>
      <c r="L371" s="46">
        <v>0</v>
      </c>
      <c r="M371" s="46">
        <f t="shared" si="128"/>
        <v>2670575</v>
      </c>
      <c r="N371" s="46">
        <v>2216574</v>
      </c>
      <c r="O371" s="48">
        <f t="shared" si="129"/>
        <v>0</v>
      </c>
      <c r="P371" s="46">
        <v>0</v>
      </c>
      <c r="Q371" s="46">
        <v>2670575</v>
      </c>
      <c r="R371" s="49">
        <f t="shared" si="130"/>
        <v>1</v>
      </c>
      <c r="S371" s="50">
        <f t="shared" si="131"/>
        <v>0.01</v>
      </c>
      <c r="T371" s="49">
        <f t="shared" si="132"/>
        <v>26705.75</v>
      </c>
      <c r="U371" s="51">
        <f t="shared" si="133"/>
        <v>0</v>
      </c>
      <c r="V371" s="52">
        <f>IF(0&lt;0.8,0,IF(0&lt;1,Sheet3!L354,1))*IF(G371&lt;3,0.12 - O371,0.01) *U371</f>
        <v>0</v>
      </c>
      <c r="W371" s="52">
        <f t="shared" si="134"/>
        <v>0</v>
      </c>
      <c r="X371" s="53">
        <f t="shared" si="135"/>
        <v>0</v>
      </c>
      <c r="Y371" s="53">
        <f t="shared" si="136"/>
        <v>0</v>
      </c>
      <c r="Z371" s="54">
        <f t="shared" si="137"/>
        <v>0</v>
      </c>
      <c r="AA371" s="54">
        <f t="shared" si="138"/>
        <v>0</v>
      </c>
      <c r="AB371" s="55">
        <f>IF(R371=0,454000,0)</f>
        <v>0</v>
      </c>
      <c r="AC371" s="55">
        <f t="shared" si="140"/>
        <v>0</v>
      </c>
      <c r="AD371" s="56">
        <f t="shared" si="141"/>
        <v>26705.75</v>
      </c>
    </row>
    <row r="372" spans="3:30">
      <c r="C372" s="43" t="s">
        <v>690</v>
      </c>
      <c r="D372" s="44" t="s">
        <v>691</v>
      </c>
      <c r="E372" s="44"/>
      <c r="F372" s="45">
        <v>42920.387233796297</v>
      </c>
      <c r="G372" s="46">
        <v>14</v>
      </c>
      <c r="H372" s="47">
        <v>43396</v>
      </c>
      <c r="I372" s="47">
        <v>43404</v>
      </c>
      <c r="J372" s="46">
        <v>641651</v>
      </c>
      <c r="K372" s="46">
        <v>0</v>
      </c>
      <c r="L372" s="46">
        <v>0</v>
      </c>
      <c r="M372" s="46">
        <f t="shared" si="128"/>
        <v>641651</v>
      </c>
      <c r="N372" s="46">
        <v>641651</v>
      </c>
      <c r="O372" s="48">
        <f t="shared" si="129"/>
        <v>0</v>
      </c>
      <c r="P372" s="46">
        <v>0</v>
      </c>
      <c r="Q372" s="46">
        <v>641651</v>
      </c>
      <c r="R372" s="49">
        <f t="shared" si="130"/>
        <v>1</v>
      </c>
      <c r="S372" s="50">
        <f t="shared" si="131"/>
        <v>0.01</v>
      </c>
      <c r="T372" s="49">
        <f t="shared" si="132"/>
        <v>6416.51</v>
      </c>
      <c r="U372" s="51">
        <f t="shared" si="133"/>
        <v>0</v>
      </c>
      <c r="V372" s="52">
        <f>IF(0&lt;0.8,0,IF(0&lt;1,Sheet3!L354,1))*IF(G372&lt;3,0.12 - O372,0.01) *U372</f>
        <v>0</v>
      </c>
      <c r="W372" s="52">
        <f t="shared" si="134"/>
        <v>0</v>
      </c>
      <c r="X372" s="53">
        <f t="shared" si="135"/>
        <v>0</v>
      </c>
      <c r="Y372" s="53">
        <f t="shared" si="136"/>
        <v>0</v>
      </c>
      <c r="Z372" s="54">
        <f t="shared" si="137"/>
        <v>0</v>
      </c>
      <c r="AA372" s="54">
        <f t="shared" si="138"/>
        <v>0</v>
      </c>
      <c r="AB372" s="55">
        <f t="shared" ref="AB372:AB389" si="142">IF(R372=0,0,0)</f>
        <v>0</v>
      </c>
      <c r="AC372" s="55">
        <f t="shared" si="140"/>
        <v>0</v>
      </c>
      <c r="AD372" s="56">
        <f t="shared" si="141"/>
        <v>6416.51</v>
      </c>
    </row>
    <row r="373" spans="3:30">
      <c r="C373" s="43" t="s">
        <v>692</v>
      </c>
      <c r="D373" s="44" t="s">
        <v>693</v>
      </c>
      <c r="E373" s="44"/>
      <c r="F373" s="45">
        <v>42930.142731481479</v>
      </c>
      <c r="G373" s="46">
        <v>14</v>
      </c>
      <c r="H373" s="47">
        <v>43391</v>
      </c>
      <c r="I373" s="47">
        <v>43402</v>
      </c>
      <c r="J373" s="46">
        <v>549195</v>
      </c>
      <c r="K373" s="46">
        <v>0</v>
      </c>
      <c r="L373" s="46">
        <v>0</v>
      </c>
      <c r="M373" s="46">
        <f t="shared" si="128"/>
        <v>549195</v>
      </c>
      <c r="N373" s="46">
        <v>549195</v>
      </c>
      <c r="O373" s="48">
        <f t="shared" si="129"/>
        <v>0</v>
      </c>
      <c r="P373" s="46">
        <v>0</v>
      </c>
      <c r="Q373" s="46">
        <v>549195</v>
      </c>
      <c r="R373" s="49">
        <f t="shared" si="130"/>
        <v>1</v>
      </c>
      <c r="S373" s="50">
        <f t="shared" si="131"/>
        <v>0.01</v>
      </c>
      <c r="T373" s="49">
        <f t="shared" si="132"/>
        <v>5491.95</v>
      </c>
      <c r="U373" s="51">
        <f t="shared" si="133"/>
        <v>0</v>
      </c>
      <c r="V373" s="52">
        <f>IF(0&lt;0.8,0,IF(0&lt;1,Sheet3!L354,1))*IF(G373&lt;3,0.12 - O373,0.01) *U373</f>
        <v>0</v>
      </c>
      <c r="W373" s="52">
        <f t="shared" si="134"/>
        <v>0</v>
      </c>
      <c r="X373" s="53">
        <f t="shared" si="135"/>
        <v>0</v>
      </c>
      <c r="Y373" s="53">
        <f t="shared" si="136"/>
        <v>0</v>
      </c>
      <c r="Z373" s="54">
        <f t="shared" si="137"/>
        <v>0</v>
      </c>
      <c r="AA373" s="54">
        <f t="shared" si="138"/>
        <v>0</v>
      </c>
      <c r="AB373" s="55">
        <f t="shared" si="142"/>
        <v>0</v>
      </c>
      <c r="AC373" s="55">
        <f t="shared" si="140"/>
        <v>0</v>
      </c>
      <c r="AD373" s="56">
        <f t="shared" si="141"/>
        <v>5491.95</v>
      </c>
    </row>
    <row r="374" spans="3:30">
      <c r="C374" s="43" t="s">
        <v>694</v>
      </c>
      <c r="D374" s="44" t="s">
        <v>695</v>
      </c>
      <c r="E374" s="44"/>
      <c r="F374" s="45">
        <v>42937.286874999998</v>
      </c>
      <c r="G374" s="46">
        <v>14</v>
      </c>
      <c r="H374" s="47">
        <v>43396</v>
      </c>
      <c r="I374" s="47">
        <v>43410</v>
      </c>
      <c r="J374" s="46">
        <v>181848</v>
      </c>
      <c r="K374" s="46">
        <v>0</v>
      </c>
      <c r="L374" s="46">
        <v>0</v>
      </c>
      <c r="M374" s="46">
        <f t="shared" si="128"/>
        <v>181848</v>
      </c>
      <c r="N374" s="46">
        <v>181500</v>
      </c>
      <c r="O374" s="48">
        <f t="shared" si="129"/>
        <v>0</v>
      </c>
      <c r="P374" s="46">
        <v>0</v>
      </c>
      <c r="Q374" s="46">
        <v>181848</v>
      </c>
      <c r="R374" s="49">
        <f t="shared" si="130"/>
        <v>1</v>
      </c>
      <c r="S374" s="50">
        <f t="shared" si="131"/>
        <v>0.01</v>
      </c>
      <c r="T374" s="49">
        <f t="shared" si="132"/>
        <v>1818.48</v>
      </c>
      <c r="U374" s="51">
        <f t="shared" si="133"/>
        <v>0</v>
      </c>
      <c r="V374" s="52">
        <f>IF(0&lt;0.8,0,IF(0&lt;1,Sheet3!L354,1))*IF(G374&lt;3,0.12 - O374,0.01) *U374</f>
        <v>0</v>
      </c>
      <c r="W374" s="52">
        <f t="shared" si="134"/>
        <v>0</v>
      </c>
      <c r="X374" s="53">
        <f t="shared" si="135"/>
        <v>0</v>
      </c>
      <c r="Y374" s="53">
        <f t="shared" si="136"/>
        <v>0</v>
      </c>
      <c r="Z374" s="54">
        <f t="shared" si="137"/>
        <v>0</v>
      </c>
      <c r="AA374" s="54">
        <f t="shared" si="138"/>
        <v>0</v>
      </c>
      <c r="AB374" s="55">
        <f t="shared" si="142"/>
        <v>0</v>
      </c>
      <c r="AC374" s="55">
        <f t="shared" si="140"/>
        <v>0</v>
      </c>
      <c r="AD374" s="56">
        <f t="shared" si="141"/>
        <v>1818.48</v>
      </c>
    </row>
    <row r="375" spans="3:30">
      <c r="C375" s="43" t="s">
        <v>696</v>
      </c>
      <c r="D375" s="44" t="s">
        <v>697</v>
      </c>
      <c r="E375" s="44"/>
      <c r="F375" s="45">
        <v>42941.315393518518</v>
      </c>
      <c r="G375" s="46">
        <v>14</v>
      </c>
      <c r="H375" s="47">
        <v>43391</v>
      </c>
      <c r="I375" s="47">
        <v>43390</v>
      </c>
      <c r="J375" s="46">
        <v>327063</v>
      </c>
      <c r="K375" s="46">
        <v>0</v>
      </c>
      <c r="L375" s="46">
        <v>0</v>
      </c>
      <c r="M375" s="46">
        <f t="shared" si="128"/>
        <v>327063</v>
      </c>
      <c r="N375" s="46">
        <v>327063</v>
      </c>
      <c r="O375" s="48">
        <f t="shared" si="129"/>
        <v>0</v>
      </c>
      <c r="P375" s="46">
        <v>0</v>
      </c>
      <c r="Q375" s="46">
        <v>327063</v>
      </c>
      <c r="R375" s="49">
        <f t="shared" si="130"/>
        <v>1</v>
      </c>
      <c r="S375" s="50">
        <f t="shared" si="131"/>
        <v>0.01</v>
      </c>
      <c r="T375" s="49">
        <f t="shared" si="132"/>
        <v>3270.63</v>
      </c>
      <c r="U375" s="51">
        <f t="shared" si="133"/>
        <v>0</v>
      </c>
      <c r="V375" s="52">
        <f>IF(0&lt;0.8,0,IF(0&lt;1,Sheet3!L354,1))*IF(G375&lt;3,0.12 - O375,0.01) *U375</f>
        <v>0</v>
      </c>
      <c r="W375" s="52">
        <f t="shared" si="134"/>
        <v>0</v>
      </c>
      <c r="X375" s="53">
        <f t="shared" si="135"/>
        <v>0</v>
      </c>
      <c r="Y375" s="53">
        <f t="shared" si="136"/>
        <v>0</v>
      </c>
      <c r="Z375" s="54">
        <f t="shared" si="137"/>
        <v>0</v>
      </c>
      <c r="AA375" s="54">
        <f t="shared" si="138"/>
        <v>0</v>
      </c>
      <c r="AB375" s="55">
        <f t="shared" si="142"/>
        <v>0</v>
      </c>
      <c r="AC375" s="55">
        <f t="shared" si="140"/>
        <v>0</v>
      </c>
      <c r="AD375" s="56">
        <f t="shared" si="141"/>
        <v>3270.63</v>
      </c>
    </row>
    <row r="376" spans="3:30">
      <c r="C376" s="43" t="s">
        <v>698</v>
      </c>
      <c r="D376" s="44" t="s">
        <v>699</v>
      </c>
      <c r="E376" s="44"/>
      <c r="F376" s="45">
        <v>42945.295624999999</v>
      </c>
      <c r="G376" s="46">
        <v>14</v>
      </c>
      <c r="H376" s="47">
        <v>43391</v>
      </c>
      <c r="I376" s="47">
        <v>43420</v>
      </c>
      <c r="J376" s="46">
        <v>1364330</v>
      </c>
      <c r="K376" s="46">
        <v>0</v>
      </c>
      <c r="L376" s="46">
        <v>0</v>
      </c>
      <c r="M376" s="46">
        <f t="shared" si="128"/>
        <v>1364330</v>
      </c>
      <c r="N376" s="46">
        <v>1500763</v>
      </c>
      <c r="O376" s="48">
        <f t="shared" si="129"/>
        <v>9.0909090909090939E-2</v>
      </c>
      <c r="P376" s="46">
        <v>0</v>
      </c>
      <c r="Q376" s="46">
        <v>1364330</v>
      </c>
      <c r="R376" s="49">
        <f t="shared" si="130"/>
        <v>1</v>
      </c>
      <c r="S376" s="50">
        <f t="shared" si="131"/>
        <v>0.01</v>
      </c>
      <c r="T376" s="49">
        <f t="shared" si="132"/>
        <v>13643.300000000001</v>
      </c>
      <c r="U376" s="51">
        <f t="shared" si="133"/>
        <v>0</v>
      </c>
      <c r="V376" s="52">
        <f>IF(0&lt;0.8,0,IF(0&lt;1,Sheet3!L354,1))*IF(G376&lt;3,0.12 - O376,0.01) *U376</f>
        <v>0</v>
      </c>
      <c r="W376" s="52">
        <f t="shared" si="134"/>
        <v>0</v>
      </c>
      <c r="X376" s="53">
        <f t="shared" si="135"/>
        <v>0</v>
      </c>
      <c r="Y376" s="53">
        <f t="shared" si="136"/>
        <v>0</v>
      </c>
      <c r="Z376" s="54">
        <f t="shared" si="137"/>
        <v>0</v>
      </c>
      <c r="AA376" s="54">
        <f t="shared" si="138"/>
        <v>0</v>
      </c>
      <c r="AB376" s="55">
        <f t="shared" si="142"/>
        <v>0</v>
      </c>
      <c r="AC376" s="55">
        <f t="shared" si="140"/>
        <v>0</v>
      </c>
      <c r="AD376" s="56">
        <f t="shared" si="141"/>
        <v>13643.300000000001</v>
      </c>
    </row>
    <row r="377" spans="3:30">
      <c r="C377" s="43" t="s">
        <v>700</v>
      </c>
      <c r="D377" s="44" t="s">
        <v>701</v>
      </c>
      <c r="E377" s="44"/>
      <c r="F377" s="45">
        <v>42958.097905092589</v>
      </c>
      <c r="G377" s="46">
        <v>13</v>
      </c>
      <c r="H377" s="47">
        <v>43396</v>
      </c>
      <c r="I377" s="47">
        <v>43412</v>
      </c>
      <c r="J377" s="46">
        <v>998008</v>
      </c>
      <c r="K377" s="46">
        <v>0</v>
      </c>
      <c r="L377" s="46">
        <v>0</v>
      </c>
      <c r="M377" s="46">
        <f t="shared" si="128"/>
        <v>998008</v>
      </c>
      <c r="N377" s="46">
        <v>998008</v>
      </c>
      <c r="O377" s="48">
        <f t="shared" si="129"/>
        <v>0</v>
      </c>
      <c r="P377" s="46">
        <v>0</v>
      </c>
      <c r="Q377" s="46">
        <v>998008</v>
      </c>
      <c r="R377" s="49">
        <f t="shared" si="130"/>
        <v>1</v>
      </c>
      <c r="S377" s="50">
        <f t="shared" si="131"/>
        <v>0.01</v>
      </c>
      <c r="T377" s="49">
        <f t="shared" si="132"/>
        <v>9980.08</v>
      </c>
      <c r="U377" s="51">
        <f t="shared" si="133"/>
        <v>0</v>
      </c>
      <c r="V377" s="52">
        <f>IF(0&lt;0.8,0,IF(0&lt;1,Sheet3!L354,1))*IF(G377&lt;3,0.12 - O377,0.01) *U377</f>
        <v>0</v>
      </c>
      <c r="W377" s="52">
        <f t="shared" si="134"/>
        <v>0</v>
      </c>
      <c r="X377" s="53">
        <f t="shared" si="135"/>
        <v>0</v>
      </c>
      <c r="Y377" s="53">
        <f t="shared" si="136"/>
        <v>0</v>
      </c>
      <c r="Z377" s="54">
        <f t="shared" si="137"/>
        <v>0</v>
      </c>
      <c r="AA377" s="54">
        <f t="shared" si="138"/>
        <v>0</v>
      </c>
      <c r="AB377" s="55">
        <f t="shared" si="142"/>
        <v>0</v>
      </c>
      <c r="AC377" s="55">
        <f t="shared" si="140"/>
        <v>0</v>
      </c>
      <c r="AD377" s="56">
        <f t="shared" si="141"/>
        <v>9980.08</v>
      </c>
    </row>
    <row r="378" spans="3:30">
      <c r="C378" s="43" t="s">
        <v>702</v>
      </c>
      <c r="D378" s="44" t="s">
        <v>703</v>
      </c>
      <c r="E378" s="44"/>
      <c r="F378" s="45">
        <v>42976.312939814816</v>
      </c>
      <c r="G378" s="46">
        <v>13</v>
      </c>
      <c r="H378" s="47">
        <v>43391</v>
      </c>
      <c r="I378" s="47">
        <v>43404</v>
      </c>
      <c r="J378" s="46">
        <v>1608381</v>
      </c>
      <c r="K378" s="46">
        <v>0</v>
      </c>
      <c r="L378" s="46">
        <v>0</v>
      </c>
      <c r="M378" s="46">
        <f t="shared" si="128"/>
        <v>1608381</v>
      </c>
      <c r="N378" s="46">
        <v>1608381</v>
      </c>
      <c r="O378" s="48">
        <f t="shared" si="129"/>
        <v>0</v>
      </c>
      <c r="P378" s="46">
        <v>0</v>
      </c>
      <c r="Q378" s="46">
        <v>1608381</v>
      </c>
      <c r="R378" s="49">
        <f t="shared" si="130"/>
        <v>1</v>
      </c>
      <c r="S378" s="50">
        <f t="shared" si="131"/>
        <v>0.01</v>
      </c>
      <c r="T378" s="49">
        <f t="shared" si="132"/>
        <v>16083.81</v>
      </c>
      <c r="U378" s="51">
        <f t="shared" si="133"/>
        <v>0</v>
      </c>
      <c r="V378" s="52">
        <f>IF(0&lt;0.8,0,IF(0&lt;1,Sheet3!L354,1))*IF(G378&lt;3,0.12 - O378,0.01) *U378</f>
        <v>0</v>
      </c>
      <c r="W378" s="52">
        <f t="shared" si="134"/>
        <v>0</v>
      </c>
      <c r="X378" s="53">
        <f t="shared" si="135"/>
        <v>0</v>
      </c>
      <c r="Y378" s="53">
        <f t="shared" si="136"/>
        <v>0</v>
      </c>
      <c r="Z378" s="54">
        <f t="shared" si="137"/>
        <v>0</v>
      </c>
      <c r="AA378" s="54">
        <f t="shared" si="138"/>
        <v>0</v>
      </c>
      <c r="AB378" s="55">
        <f t="shared" si="142"/>
        <v>0</v>
      </c>
      <c r="AC378" s="55">
        <f t="shared" si="140"/>
        <v>0</v>
      </c>
      <c r="AD378" s="56">
        <f t="shared" si="141"/>
        <v>16083.81</v>
      </c>
    </row>
    <row r="379" spans="3:30">
      <c r="C379" s="43" t="s">
        <v>704</v>
      </c>
      <c r="D379" s="44" t="s">
        <v>705</v>
      </c>
      <c r="E379" s="44"/>
      <c r="F379" s="45">
        <v>42987.413032407407</v>
      </c>
      <c r="G379" s="46">
        <v>12</v>
      </c>
      <c r="H379" s="47">
        <v>43396</v>
      </c>
      <c r="I379" s="47">
        <v>43405</v>
      </c>
      <c r="J379" s="46">
        <v>1847864</v>
      </c>
      <c r="K379" s="46">
        <v>0</v>
      </c>
      <c r="L379" s="46">
        <v>0</v>
      </c>
      <c r="M379" s="46">
        <f t="shared" si="128"/>
        <v>1847864</v>
      </c>
      <c r="N379" s="46">
        <v>1847864</v>
      </c>
      <c r="O379" s="48">
        <f t="shared" si="129"/>
        <v>0</v>
      </c>
      <c r="P379" s="46">
        <v>0</v>
      </c>
      <c r="Q379" s="46">
        <v>1847864</v>
      </c>
      <c r="R379" s="49">
        <f t="shared" si="130"/>
        <v>1</v>
      </c>
      <c r="S379" s="50">
        <f t="shared" si="131"/>
        <v>0.01</v>
      </c>
      <c r="T379" s="49">
        <f t="shared" si="132"/>
        <v>18478.64</v>
      </c>
      <c r="U379" s="51">
        <f t="shared" si="133"/>
        <v>0</v>
      </c>
      <c r="V379" s="52">
        <f>IF(0&lt;0.8,0,IF(0&lt;1,Sheet3!L354,1))*IF(G379&lt;3,0.12 - O379,0.01) *U379</f>
        <v>0</v>
      </c>
      <c r="W379" s="52">
        <f t="shared" si="134"/>
        <v>0</v>
      </c>
      <c r="X379" s="53">
        <f t="shared" si="135"/>
        <v>0</v>
      </c>
      <c r="Y379" s="53">
        <f t="shared" si="136"/>
        <v>0</v>
      </c>
      <c r="Z379" s="54">
        <f t="shared" si="137"/>
        <v>0</v>
      </c>
      <c r="AA379" s="54">
        <f t="shared" si="138"/>
        <v>0</v>
      </c>
      <c r="AB379" s="55">
        <f t="shared" si="142"/>
        <v>0</v>
      </c>
      <c r="AC379" s="55">
        <f t="shared" si="140"/>
        <v>0</v>
      </c>
      <c r="AD379" s="56">
        <f t="shared" si="141"/>
        <v>18478.64</v>
      </c>
    </row>
    <row r="380" spans="3:30">
      <c r="C380" s="43" t="s">
        <v>706</v>
      </c>
      <c r="D380" s="44" t="s">
        <v>707</v>
      </c>
      <c r="E380" s="44"/>
      <c r="F380" s="45">
        <v>43019.2655787037</v>
      </c>
      <c r="G380" s="46">
        <v>11</v>
      </c>
      <c r="H380" s="47">
        <v>43396</v>
      </c>
      <c r="I380" s="47">
        <v>43404</v>
      </c>
      <c r="J380" s="46">
        <v>703404</v>
      </c>
      <c r="K380" s="46">
        <v>0</v>
      </c>
      <c r="L380" s="46">
        <v>0</v>
      </c>
      <c r="M380" s="46">
        <f t="shared" si="128"/>
        <v>703404</v>
      </c>
      <c r="N380" s="46">
        <v>702321</v>
      </c>
      <c r="O380" s="48">
        <f t="shared" si="129"/>
        <v>0</v>
      </c>
      <c r="P380" s="46">
        <v>0</v>
      </c>
      <c r="Q380" s="46">
        <v>703404</v>
      </c>
      <c r="R380" s="49">
        <f t="shared" si="130"/>
        <v>1</v>
      </c>
      <c r="S380" s="50">
        <f t="shared" si="131"/>
        <v>0.01</v>
      </c>
      <c r="T380" s="49">
        <f t="shared" si="132"/>
        <v>7034.04</v>
      </c>
      <c r="U380" s="51">
        <f t="shared" si="133"/>
        <v>0</v>
      </c>
      <c r="V380" s="52">
        <f>IF(0&lt;0.8,0,IF(0&lt;1,Sheet3!L354,1))*IF(G380&lt;3,0.12 - O380,0.01) *U380</f>
        <v>0</v>
      </c>
      <c r="W380" s="52">
        <f t="shared" si="134"/>
        <v>0</v>
      </c>
      <c r="X380" s="53">
        <f t="shared" si="135"/>
        <v>0</v>
      </c>
      <c r="Y380" s="53">
        <f t="shared" si="136"/>
        <v>0</v>
      </c>
      <c r="Z380" s="54">
        <f t="shared" si="137"/>
        <v>0</v>
      </c>
      <c r="AA380" s="54">
        <f t="shared" si="138"/>
        <v>0</v>
      </c>
      <c r="AB380" s="55">
        <f t="shared" si="142"/>
        <v>0</v>
      </c>
      <c r="AC380" s="55">
        <f t="shared" si="140"/>
        <v>0</v>
      </c>
      <c r="AD380" s="56">
        <f t="shared" si="141"/>
        <v>7034.04</v>
      </c>
    </row>
    <row r="381" spans="3:30">
      <c r="C381" s="43" t="s">
        <v>708</v>
      </c>
      <c r="D381" s="44" t="s">
        <v>709</v>
      </c>
      <c r="E381" s="44"/>
      <c r="F381" s="45">
        <v>43032.38045138889</v>
      </c>
      <c r="G381" s="46">
        <v>11</v>
      </c>
      <c r="H381" s="47">
        <v>43396</v>
      </c>
      <c r="I381" s="47">
        <v>43410</v>
      </c>
      <c r="J381" s="46">
        <v>16221381</v>
      </c>
      <c r="K381" s="46">
        <v>0</v>
      </c>
      <c r="L381" s="46">
        <v>0</v>
      </c>
      <c r="M381" s="46">
        <f t="shared" si="128"/>
        <v>16221381</v>
      </c>
      <c r="N381" s="46">
        <v>16221381</v>
      </c>
      <c r="O381" s="48">
        <f t="shared" si="129"/>
        <v>0</v>
      </c>
      <c r="P381" s="46">
        <v>0</v>
      </c>
      <c r="Q381" s="46">
        <v>16221381</v>
      </c>
      <c r="R381" s="49">
        <f t="shared" si="130"/>
        <v>1</v>
      </c>
      <c r="S381" s="50">
        <f t="shared" si="131"/>
        <v>0.01</v>
      </c>
      <c r="T381" s="49">
        <f t="shared" si="132"/>
        <v>162213.81</v>
      </c>
      <c r="U381" s="51">
        <f t="shared" si="133"/>
        <v>0</v>
      </c>
      <c r="V381" s="52">
        <f>IF(0&lt;0.8,0,IF(0&lt;1,Sheet3!L354,1))*IF(G381&lt;3,0.12 - O381,0.01) *U381</f>
        <v>0</v>
      </c>
      <c r="W381" s="52">
        <f t="shared" si="134"/>
        <v>0</v>
      </c>
      <c r="X381" s="53">
        <f t="shared" si="135"/>
        <v>0</v>
      </c>
      <c r="Y381" s="53">
        <f t="shared" si="136"/>
        <v>0</v>
      </c>
      <c r="Z381" s="54">
        <f t="shared" si="137"/>
        <v>0</v>
      </c>
      <c r="AA381" s="54">
        <f t="shared" si="138"/>
        <v>0</v>
      </c>
      <c r="AB381" s="55">
        <f t="shared" si="142"/>
        <v>0</v>
      </c>
      <c r="AC381" s="55">
        <f t="shared" si="140"/>
        <v>0</v>
      </c>
      <c r="AD381" s="56">
        <f t="shared" si="141"/>
        <v>162213.81</v>
      </c>
    </row>
    <row r="382" spans="3:30">
      <c r="C382" s="43" t="s">
        <v>710</v>
      </c>
      <c r="D382" s="44" t="s">
        <v>711</v>
      </c>
      <c r="E382" s="44"/>
      <c r="F382" s="45">
        <v>43046.177766203698</v>
      </c>
      <c r="G382" s="46">
        <v>10</v>
      </c>
      <c r="H382" s="47">
        <v>43396</v>
      </c>
      <c r="I382" s="47">
        <v>43410</v>
      </c>
      <c r="J382" s="46">
        <v>916883</v>
      </c>
      <c r="K382" s="46">
        <v>0</v>
      </c>
      <c r="L382" s="46">
        <v>0</v>
      </c>
      <c r="M382" s="46">
        <f t="shared" si="128"/>
        <v>916883</v>
      </c>
      <c r="N382" s="46">
        <v>916212</v>
      </c>
      <c r="O382" s="48">
        <f t="shared" si="129"/>
        <v>0</v>
      </c>
      <c r="P382" s="46">
        <v>0</v>
      </c>
      <c r="Q382" s="46">
        <v>916883</v>
      </c>
      <c r="R382" s="49">
        <f t="shared" si="130"/>
        <v>1</v>
      </c>
      <c r="S382" s="50">
        <f t="shared" si="131"/>
        <v>0.01</v>
      </c>
      <c r="T382" s="49">
        <f t="shared" si="132"/>
        <v>9168.83</v>
      </c>
      <c r="U382" s="51">
        <f t="shared" si="133"/>
        <v>0</v>
      </c>
      <c r="V382" s="52">
        <f>IF(0&lt;0.8,0,IF(0&lt;1,Sheet3!L354,1))*IF(G382&lt;3,0.12 - O382,0.01) *U382</f>
        <v>0</v>
      </c>
      <c r="W382" s="52">
        <f t="shared" si="134"/>
        <v>0</v>
      </c>
      <c r="X382" s="53">
        <f t="shared" si="135"/>
        <v>0</v>
      </c>
      <c r="Y382" s="53">
        <f t="shared" si="136"/>
        <v>0</v>
      </c>
      <c r="Z382" s="54">
        <f t="shared" si="137"/>
        <v>0</v>
      </c>
      <c r="AA382" s="54">
        <f t="shared" si="138"/>
        <v>0</v>
      </c>
      <c r="AB382" s="55">
        <f t="shared" si="142"/>
        <v>0</v>
      </c>
      <c r="AC382" s="55">
        <f t="shared" si="140"/>
        <v>0</v>
      </c>
      <c r="AD382" s="56">
        <f t="shared" si="141"/>
        <v>9168.83</v>
      </c>
    </row>
    <row r="383" spans="3:30">
      <c r="C383" s="43" t="s">
        <v>712</v>
      </c>
      <c r="D383" s="44" t="s">
        <v>713</v>
      </c>
      <c r="E383" s="44"/>
      <c r="F383" s="45">
        <v>43046.179548611108</v>
      </c>
      <c r="G383" s="46">
        <v>10</v>
      </c>
      <c r="H383" s="47">
        <v>43396</v>
      </c>
      <c r="I383" s="47">
        <v>43410</v>
      </c>
      <c r="J383" s="46">
        <v>232489</v>
      </c>
      <c r="K383" s="46">
        <v>0</v>
      </c>
      <c r="L383" s="46">
        <v>0</v>
      </c>
      <c r="M383" s="46">
        <f t="shared" si="128"/>
        <v>232489</v>
      </c>
      <c r="N383" s="46">
        <v>232489</v>
      </c>
      <c r="O383" s="48">
        <f t="shared" si="129"/>
        <v>0</v>
      </c>
      <c r="P383" s="46">
        <v>0</v>
      </c>
      <c r="Q383" s="46">
        <v>232489</v>
      </c>
      <c r="R383" s="49">
        <f t="shared" si="130"/>
        <v>1</v>
      </c>
      <c r="S383" s="50">
        <f t="shared" si="131"/>
        <v>0.01</v>
      </c>
      <c r="T383" s="49">
        <f t="shared" si="132"/>
        <v>2324.89</v>
      </c>
      <c r="U383" s="51">
        <f t="shared" si="133"/>
        <v>0</v>
      </c>
      <c r="V383" s="52">
        <f>IF(0&lt;0.8,0,IF(0&lt;1,Sheet3!L354,1))*IF(G383&lt;3,0.12 - O383,0.01) *U383</f>
        <v>0</v>
      </c>
      <c r="W383" s="52">
        <f t="shared" si="134"/>
        <v>0</v>
      </c>
      <c r="X383" s="53">
        <f t="shared" si="135"/>
        <v>0</v>
      </c>
      <c r="Y383" s="53">
        <f t="shared" si="136"/>
        <v>0</v>
      </c>
      <c r="Z383" s="54">
        <f t="shared" si="137"/>
        <v>0</v>
      </c>
      <c r="AA383" s="54">
        <f t="shared" si="138"/>
        <v>0</v>
      </c>
      <c r="AB383" s="55">
        <f t="shared" si="142"/>
        <v>0</v>
      </c>
      <c r="AC383" s="55">
        <f t="shared" si="140"/>
        <v>0</v>
      </c>
      <c r="AD383" s="56">
        <f t="shared" si="141"/>
        <v>2324.89</v>
      </c>
    </row>
    <row r="384" spans="3:30">
      <c r="C384" s="43" t="s">
        <v>714</v>
      </c>
      <c r="D384" s="44" t="s">
        <v>715</v>
      </c>
      <c r="E384" s="44"/>
      <c r="F384" s="45">
        <v>43056.145312499997</v>
      </c>
      <c r="G384" s="46">
        <v>10</v>
      </c>
      <c r="H384" s="47">
        <v>43391</v>
      </c>
      <c r="I384" s="47">
        <v>43376</v>
      </c>
      <c r="J384" s="46">
        <v>362051</v>
      </c>
      <c r="K384" s="46">
        <v>0</v>
      </c>
      <c r="L384" s="46">
        <v>0</v>
      </c>
      <c r="M384" s="46">
        <f t="shared" si="128"/>
        <v>362051</v>
      </c>
      <c r="N384" s="46">
        <v>362051</v>
      </c>
      <c r="O384" s="48">
        <f t="shared" si="129"/>
        <v>0</v>
      </c>
      <c r="P384" s="46">
        <v>0</v>
      </c>
      <c r="Q384" s="46">
        <v>362051</v>
      </c>
      <c r="R384" s="49">
        <f t="shared" si="130"/>
        <v>1</v>
      </c>
      <c r="S384" s="50">
        <f t="shared" si="131"/>
        <v>0.01</v>
      </c>
      <c r="T384" s="49">
        <f t="shared" si="132"/>
        <v>3620.51</v>
      </c>
      <c r="U384" s="51">
        <f t="shared" si="133"/>
        <v>0</v>
      </c>
      <c r="V384" s="52">
        <f>IF(0&lt;0.8,0,IF(0&lt;1,Sheet3!L354,1))*IF(G384&lt;3,0.12 - O384,0.01) *U384</f>
        <v>0</v>
      </c>
      <c r="W384" s="52">
        <f t="shared" si="134"/>
        <v>0</v>
      </c>
      <c r="X384" s="53">
        <f t="shared" si="135"/>
        <v>0</v>
      </c>
      <c r="Y384" s="53">
        <f t="shared" si="136"/>
        <v>0</v>
      </c>
      <c r="Z384" s="54">
        <f t="shared" si="137"/>
        <v>0</v>
      </c>
      <c r="AA384" s="54">
        <f t="shared" si="138"/>
        <v>0</v>
      </c>
      <c r="AB384" s="55">
        <f t="shared" si="142"/>
        <v>0</v>
      </c>
      <c r="AC384" s="55">
        <f t="shared" si="140"/>
        <v>0</v>
      </c>
      <c r="AD384" s="56">
        <f t="shared" si="141"/>
        <v>3620.51</v>
      </c>
    </row>
    <row r="385" spans="3:30">
      <c r="C385" s="43" t="s">
        <v>716</v>
      </c>
      <c r="D385" s="44" t="s">
        <v>717</v>
      </c>
      <c r="E385" s="44"/>
      <c r="F385" s="45">
        <v>43091.138472222221</v>
      </c>
      <c r="G385" s="46">
        <v>9</v>
      </c>
      <c r="H385" s="47">
        <v>43396</v>
      </c>
      <c r="I385" s="47">
        <v>43417</v>
      </c>
      <c r="J385" s="46">
        <v>4403372</v>
      </c>
      <c r="K385" s="46">
        <v>0</v>
      </c>
      <c r="L385" s="46">
        <v>0</v>
      </c>
      <c r="M385" s="46">
        <f t="shared" si="128"/>
        <v>4403372</v>
      </c>
      <c r="N385" s="46">
        <v>4403372</v>
      </c>
      <c r="O385" s="48">
        <f t="shared" si="129"/>
        <v>0</v>
      </c>
      <c r="P385" s="46">
        <v>0</v>
      </c>
      <c r="Q385" s="46">
        <v>4403372</v>
      </c>
      <c r="R385" s="49">
        <f t="shared" si="130"/>
        <v>1</v>
      </c>
      <c r="S385" s="50">
        <f t="shared" si="131"/>
        <v>0.01</v>
      </c>
      <c r="T385" s="49">
        <f t="shared" si="132"/>
        <v>44033.72</v>
      </c>
      <c r="U385" s="51">
        <f t="shared" si="133"/>
        <v>0</v>
      </c>
      <c r="V385" s="52">
        <f>IF(0&lt;0.8,0,IF(0&lt;1,Sheet3!L354,1))*IF(G385&lt;3,0.12 - O385,0.01) *U385</f>
        <v>0</v>
      </c>
      <c r="W385" s="52">
        <f t="shared" si="134"/>
        <v>0</v>
      </c>
      <c r="X385" s="53">
        <f t="shared" si="135"/>
        <v>0</v>
      </c>
      <c r="Y385" s="53">
        <f t="shared" si="136"/>
        <v>0</v>
      </c>
      <c r="Z385" s="54">
        <f t="shared" si="137"/>
        <v>0</v>
      </c>
      <c r="AA385" s="54">
        <f t="shared" si="138"/>
        <v>0</v>
      </c>
      <c r="AB385" s="55">
        <f t="shared" si="142"/>
        <v>0</v>
      </c>
      <c r="AC385" s="55">
        <f t="shared" si="140"/>
        <v>0</v>
      </c>
      <c r="AD385" s="56">
        <f t="shared" si="141"/>
        <v>44033.72</v>
      </c>
    </row>
    <row r="386" spans="3:30">
      <c r="C386" s="43" t="s">
        <v>718</v>
      </c>
      <c r="D386" s="44" t="s">
        <v>719</v>
      </c>
      <c r="E386" s="44"/>
      <c r="F386" s="45">
        <v>43171.335694444446</v>
      </c>
      <c r="G386" s="46">
        <v>6</v>
      </c>
      <c r="H386" s="47">
        <v>43391</v>
      </c>
      <c r="I386" s="47">
        <v>43434</v>
      </c>
      <c r="J386" s="46">
        <v>856020</v>
      </c>
      <c r="K386" s="46">
        <v>0</v>
      </c>
      <c r="L386" s="46">
        <v>0</v>
      </c>
      <c r="M386" s="46">
        <f t="shared" si="128"/>
        <v>856020</v>
      </c>
      <c r="N386" s="46">
        <v>939191</v>
      </c>
      <c r="O386" s="48">
        <f t="shared" si="129"/>
        <v>8.8556001920802041E-2</v>
      </c>
      <c r="P386" s="46">
        <v>0</v>
      </c>
      <c r="Q386" s="46">
        <v>856020</v>
      </c>
      <c r="R386" s="49">
        <f t="shared" si="130"/>
        <v>1</v>
      </c>
      <c r="S386" s="50">
        <f t="shared" si="131"/>
        <v>0.01</v>
      </c>
      <c r="T386" s="49">
        <f t="shared" si="132"/>
        <v>8560.2000000000007</v>
      </c>
      <c r="U386" s="51">
        <f t="shared" si="133"/>
        <v>0</v>
      </c>
      <c r="V386" s="52">
        <f>IF(0&lt;0.8,0,IF(0&lt;1,Sheet3!L354,1))*IF(G386&lt;3,0.12 - O386,0.01) *U386</f>
        <v>0</v>
      </c>
      <c r="W386" s="52">
        <f t="shared" si="134"/>
        <v>0</v>
      </c>
      <c r="X386" s="53">
        <f t="shared" si="135"/>
        <v>0</v>
      </c>
      <c r="Y386" s="53">
        <f t="shared" si="136"/>
        <v>0</v>
      </c>
      <c r="Z386" s="54">
        <f t="shared" si="137"/>
        <v>0</v>
      </c>
      <c r="AA386" s="54">
        <f t="shared" si="138"/>
        <v>0</v>
      </c>
      <c r="AB386" s="55">
        <f t="shared" si="142"/>
        <v>0</v>
      </c>
      <c r="AC386" s="55">
        <f t="shared" si="140"/>
        <v>0</v>
      </c>
      <c r="AD386" s="56">
        <f t="shared" si="141"/>
        <v>8560.2000000000007</v>
      </c>
    </row>
    <row r="387" spans="3:30">
      <c r="C387" s="43" t="s">
        <v>720</v>
      </c>
      <c r="D387" s="44" t="s">
        <v>721</v>
      </c>
      <c r="E387" s="44"/>
      <c r="F387" s="45">
        <v>43237.183090277773</v>
      </c>
      <c r="G387" s="46">
        <v>4</v>
      </c>
      <c r="H387" s="47">
        <v>43391</v>
      </c>
      <c r="I387" s="47">
        <v>43406</v>
      </c>
      <c r="J387" s="46">
        <v>293062</v>
      </c>
      <c r="K387" s="46">
        <v>0</v>
      </c>
      <c r="L387" s="46">
        <v>0</v>
      </c>
      <c r="M387" s="46">
        <f t="shared" si="128"/>
        <v>293062</v>
      </c>
      <c r="N387" s="46">
        <v>293062</v>
      </c>
      <c r="O387" s="48">
        <f t="shared" si="129"/>
        <v>0</v>
      </c>
      <c r="P387" s="46">
        <v>0</v>
      </c>
      <c r="Q387" s="46">
        <v>293062</v>
      </c>
      <c r="R387" s="49">
        <f t="shared" si="130"/>
        <v>1</v>
      </c>
      <c r="S387" s="50">
        <f t="shared" si="131"/>
        <v>0.01</v>
      </c>
      <c r="T387" s="49">
        <f t="shared" si="132"/>
        <v>2930.62</v>
      </c>
      <c r="U387" s="51">
        <f t="shared" si="133"/>
        <v>0</v>
      </c>
      <c r="V387" s="52">
        <f>IF(0&lt;0.8,0,IF(0&lt;1,Sheet3!L354,1))*IF(G387&lt;3,0.12 - O387,0.01) *U387</f>
        <v>0</v>
      </c>
      <c r="W387" s="52">
        <f t="shared" si="134"/>
        <v>0</v>
      </c>
      <c r="X387" s="53">
        <f t="shared" si="135"/>
        <v>0</v>
      </c>
      <c r="Y387" s="53">
        <f t="shared" si="136"/>
        <v>0</v>
      </c>
      <c r="Z387" s="54">
        <f t="shared" si="137"/>
        <v>0</v>
      </c>
      <c r="AA387" s="54">
        <f t="shared" si="138"/>
        <v>0</v>
      </c>
      <c r="AB387" s="55">
        <f t="shared" si="142"/>
        <v>0</v>
      </c>
      <c r="AC387" s="55">
        <f t="shared" si="140"/>
        <v>0</v>
      </c>
      <c r="AD387" s="56">
        <f t="shared" si="141"/>
        <v>2930.62</v>
      </c>
    </row>
    <row r="388" spans="3:30">
      <c r="C388" s="43" t="s">
        <v>722</v>
      </c>
      <c r="D388" s="44" t="s">
        <v>723</v>
      </c>
      <c r="E388" s="44"/>
      <c r="F388" s="45">
        <v>43256.325740740736</v>
      </c>
      <c r="G388" s="46">
        <v>3</v>
      </c>
      <c r="H388" s="47">
        <v>43396</v>
      </c>
      <c r="I388" s="47">
        <v>43404</v>
      </c>
      <c r="J388" s="46">
        <v>291940</v>
      </c>
      <c r="K388" s="46">
        <v>0</v>
      </c>
      <c r="L388" s="46">
        <v>0</v>
      </c>
      <c r="M388" s="46">
        <f t="shared" si="128"/>
        <v>291940</v>
      </c>
      <c r="N388" s="46">
        <v>288563</v>
      </c>
      <c r="O388" s="48">
        <f t="shared" si="129"/>
        <v>0</v>
      </c>
      <c r="P388" s="46">
        <v>0</v>
      </c>
      <c r="Q388" s="46">
        <v>0</v>
      </c>
      <c r="R388" s="49">
        <f t="shared" si="130"/>
        <v>1</v>
      </c>
      <c r="S388" s="50">
        <f t="shared" si="131"/>
        <v>0.01</v>
      </c>
      <c r="T388" s="49">
        <f t="shared" si="132"/>
        <v>2919.4</v>
      </c>
      <c r="U388" s="51">
        <f t="shared" si="133"/>
        <v>0</v>
      </c>
      <c r="V388" s="52">
        <f>IF(0&lt;0.8,0,IF(0&lt;1,Sheet3!L354,1))*IF(G388&lt;3,0.12 - O388,0.01) *U388</f>
        <v>0</v>
      </c>
      <c r="W388" s="52">
        <f t="shared" si="134"/>
        <v>0</v>
      </c>
      <c r="X388" s="53">
        <f t="shared" si="135"/>
        <v>0</v>
      </c>
      <c r="Y388" s="53">
        <f t="shared" si="136"/>
        <v>0</v>
      </c>
      <c r="Z388" s="54">
        <f t="shared" si="137"/>
        <v>0</v>
      </c>
      <c r="AA388" s="54">
        <f t="shared" si="138"/>
        <v>0</v>
      </c>
      <c r="AB388" s="55">
        <f t="shared" si="142"/>
        <v>0</v>
      </c>
      <c r="AC388" s="55">
        <f t="shared" si="140"/>
        <v>0</v>
      </c>
      <c r="AD388" s="56">
        <f t="shared" si="141"/>
        <v>2919.4</v>
      </c>
    </row>
    <row r="389" spans="3:30">
      <c r="C389" s="43" t="s">
        <v>724</v>
      </c>
      <c r="D389" s="44" t="s">
        <v>725</v>
      </c>
      <c r="E389" s="44"/>
      <c r="F389" s="45">
        <v>43256.329930555556</v>
      </c>
      <c r="G389" s="46">
        <v>3</v>
      </c>
      <c r="H389" s="47">
        <v>43396</v>
      </c>
      <c r="I389" s="47">
        <v>43406</v>
      </c>
      <c r="J389" s="46">
        <v>222640</v>
      </c>
      <c r="K389" s="46">
        <v>0</v>
      </c>
      <c r="L389" s="46">
        <v>0</v>
      </c>
      <c r="M389" s="46">
        <f t="shared" si="128"/>
        <v>222640</v>
      </c>
      <c r="N389" s="46">
        <v>233167</v>
      </c>
      <c r="O389" s="48">
        <f t="shared" si="129"/>
        <v>4.5147898287493549E-2</v>
      </c>
      <c r="P389" s="46">
        <v>0</v>
      </c>
      <c r="Q389" s="46">
        <v>0</v>
      </c>
      <c r="R389" s="49">
        <f t="shared" si="130"/>
        <v>1</v>
      </c>
      <c r="S389" s="50">
        <f t="shared" si="131"/>
        <v>0.01</v>
      </c>
      <c r="T389" s="49">
        <f t="shared" si="132"/>
        <v>2226.4</v>
      </c>
      <c r="U389" s="51">
        <f t="shared" si="133"/>
        <v>0</v>
      </c>
      <c r="V389" s="52">
        <f>IF(0&lt;0.8,0,IF(0&lt;1,Sheet3!L354,1))*IF(G389&lt;3,0.12 - O389,0.01) *U389</f>
        <v>0</v>
      </c>
      <c r="W389" s="52">
        <f t="shared" si="134"/>
        <v>0</v>
      </c>
      <c r="X389" s="53">
        <f t="shared" si="135"/>
        <v>0</v>
      </c>
      <c r="Y389" s="53">
        <f t="shared" si="136"/>
        <v>0</v>
      </c>
      <c r="Z389" s="54">
        <f t="shared" si="137"/>
        <v>0</v>
      </c>
      <c r="AA389" s="54">
        <f t="shared" si="138"/>
        <v>0</v>
      </c>
      <c r="AB389" s="55">
        <f t="shared" si="142"/>
        <v>0</v>
      </c>
      <c r="AC389" s="55">
        <f t="shared" si="140"/>
        <v>0</v>
      </c>
      <c r="AD389" s="56">
        <f t="shared" si="141"/>
        <v>2226.4</v>
      </c>
    </row>
    <row r="390" spans="3:30">
      <c r="C390" s="43" t="s">
        <v>726</v>
      </c>
      <c r="D390" s="44" t="s">
        <v>727</v>
      </c>
      <c r="E390" s="44"/>
      <c r="F390" s="45">
        <v>43279.259872685187</v>
      </c>
      <c r="G390" s="46">
        <v>3</v>
      </c>
      <c r="H390" s="47">
        <v>43391</v>
      </c>
      <c r="I390" s="47">
        <v>43432</v>
      </c>
      <c r="J390" s="46">
        <v>1220485</v>
      </c>
      <c r="K390" s="46">
        <v>0</v>
      </c>
      <c r="L390" s="46">
        <v>0</v>
      </c>
      <c r="M390" s="46">
        <f t="shared" si="128"/>
        <v>1220485</v>
      </c>
      <c r="N390" s="46">
        <v>760484</v>
      </c>
      <c r="O390" s="48">
        <f t="shared" si="129"/>
        <v>0</v>
      </c>
      <c r="P390" s="46">
        <v>0</v>
      </c>
      <c r="Q390" s="46">
        <v>0</v>
      </c>
      <c r="R390" s="49">
        <f t="shared" si="130"/>
        <v>1</v>
      </c>
      <c r="S390" s="50">
        <f t="shared" si="131"/>
        <v>0.01</v>
      </c>
      <c r="T390" s="49">
        <f t="shared" si="132"/>
        <v>12204.85</v>
      </c>
      <c r="U390" s="51">
        <f t="shared" si="133"/>
        <v>0</v>
      </c>
      <c r="V390" s="52">
        <f>IF(0&lt;0.8,0,IF(0&lt;1,Sheet3!L354,1))*IF(G390&lt;3,0.12 - O390,0.01) *U390</f>
        <v>0</v>
      </c>
      <c r="W390" s="52">
        <f t="shared" si="134"/>
        <v>0</v>
      </c>
      <c r="X390" s="53">
        <f t="shared" si="135"/>
        <v>0</v>
      </c>
      <c r="Y390" s="53">
        <f t="shared" si="136"/>
        <v>0</v>
      </c>
      <c r="Z390" s="54">
        <f t="shared" si="137"/>
        <v>0</v>
      </c>
      <c r="AA390" s="54">
        <f t="shared" si="138"/>
        <v>0</v>
      </c>
      <c r="AB390" s="55">
        <f>IF(R390=0,460000,0)</f>
        <v>0</v>
      </c>
      <c r="AC390" s="55">
        <f t="shared" si="140"/>
        <v>0</v>
      </c>
      <c r="AD390" s="56">
        <f t="shared" si="141"/>
        <v>12204.85</v>
      </c>
    </row>
    <row r="391" spans="3:30">
      <c r="C391" s="43" t="s">
        <v>728</v>
      </c>
      <c r="D391" s="44" t="s">
        <v>729</v>
      </c>
      <c r="E391" s="44"/>
      <c r="F391" s="45">
        <v>42951.330937499995</v>
      </c>
      <c r="G391" s="46">
        <v>13</v>
      </c>
      <c r="H391" s="47">
        <v>43388</v>
      </c>
      <c r="I391" s="47">
        <v>43403</v>
      </c>
      <c r="J391" s="46">
        <v>445500</v>
      </c>
      <c r="K391" s="46">
        <v>0</v>
      </c>
      <c r="L391" s="46">
        <v>0</v>
      </c>
      <c r="M391" s="46">
        <f t="shared" si="128"/>
        <v>445500</v>
      </c>
      <c r="N391" s="46">
        <v>586850</v>
      </c>
      <c r="O391" s="48">
        <f t="shared" si="129"/>
        <v>0.24086223055295219</v>
      </c>
      <c r="P391" s="46">
        <v>0</v>
      </c>
      <c r="Q391" s="46">
        <v>445500</v>
      </c>
      <c r="R391" s="49">
        <f t="shared" si="130"/>
        <v>1</v>
      </c>
      <c r="S391" s="50">
        <f t="shared" si="131"/>
        <v>0.01</v>
      </c>
      <c r="T391" s="49">
        <f t="shared" si="132"/>
        <v>4455</v>
      </c>
      <c r="U391" s="51">
        <f t="shared" si="133"/>
        <v>0</v>
      </c>
      <c r="V391" s="52">
        <f>IF(0&lt;0.8,0,IF(0&lt;1,Sheet3!L354,1))*IF(G391&lt;3,0.12 - O391,0.01) *U391</f>
        <v>0</v>
      </c>
      <c r="W391" s="52">
        <f t="shared" si="134"/>
        <v>0</v>
      </c>
      <c r="X391" s="53">
        <f t="shared" si="135"/>
        <v>0</v>
      </c>
      <c r="Y391" s="53">
        <f t="shared" si="136"/>
        <v>0</v>
      </c>
      <c r="Z391" s="54">
        <f t="shared" si="137"/>
        <v>0</v>
      </c>
      <c r="AA391" s="54">
        <f t="shared" si="138"/>
        <v>0</v>
      </c>
      <c r="AB391" s="55">
        <f t="shared" ref="AB391:AB414" si="143">IF(R391=0,0,0)</f>
        <v>0</v>
      </c>
      <c r="AC391" s="55">
        <f t="shared" si="140"/>
        <v>0</v>
      </c>
      <c r="AD391" s="56">
        <f t="shared" si="141"/>
        <v>4455</v>
      </c>
    </row>
    <row r="392" spans="3:30">
      <c r="C392" s="43" t="s">
        <v>730</v>
      </c>
      <c r="D392" s="44" t="s">
        <v>731</v>
      </c>
      <c r="E392" s="44"/>
      <c r="F392" s="45">
        <v>43075.142534722218</v>
      </c>
      <c r="G392" s="46">
        <v>9</v>
      </c>
      <c r="H392" s="47">
        <v>43393</v>
      </c>
      <c r="I392" s="47">
        <v>43406</v>
      </c>
      <c r="J392" s="46">
        <v>327910</v>
      </c>
      <c r="K392" s="46">
        <v>0</v>
      </c>
      <c r="L392" s="46">
        <v>0</v>
      </c>
      <c r="M392" s="46">
        <f t="shared" si="128"/>
        <v>327910</v>
      </c>
      <c r="N392" s="46">
        <v>327910</v>
      </c>
      <c r="O392" s="48">
        <f t="shared" si="129"/>
        <v>0</v>
      </c>
      <c r="P392" s="46">
        <v>0</v>
      </c>
      <c r="Q392" s="46">
        <v>327910</v>
      </c>
      <c r="R392" s="49">
        <f t="shared" si="130"/>
        <v>1</v>
      </c>
      <c r="S392" s="50">
        <f t="shared" si="131"/>
        <v>0.01</v>
      </c>
      <c r="T392" s="49">
        <f t="shared" si="132"/>
        <v>3279.1</v>
      </c>
      <c r="U392" s="51">
        <f t="shared" si="133"/>
        <v>0</v>
      </c>
      <c r="V392" s="52">
        <f>IF(0&lt;0.8,0,IF(0&lt;1,Sheet3!L354,1))*IF(G392&lt;3,0.12 - O392,0.01) *U392</f>
        <v>0</v>
      </c>
      <c r="W392" s="52">
        <f t="shared" si="134"/>
        <v>0</v>
      </c>
      <c r="X392" s="53">
        <f t="shared" si="135"/>
        <v>0</v>
      </c>
      <c r="Y392" s="53">
        <f t="shared" si="136"/>
        <v>0</v>
      </c>
      <c r="Z392" s="54">
        <f t="shared" si="137"/>
        <v>0</v>
      </c>
      <c r="AA392" s="54">
        <f t="shared" si="138"/>
        <v>0</v>
      </c>
      <c r="AB392" s="55">
        <f t="shared" si="143"/>
        <v>0</v>
      </c>
      <c r="AC392" s="55">
        <f t="shared" si="140"/>
        <v>0</v>
      </c>
      <c r="AD392" s="56">
        <f t="shared" si="141"/>
        <v>3279.1</v>
      </c>
    </row>
    <row r="393" spans="3:30">
      <c r="C393" s="43" t="s">
        <v>732</v>
      </c>
      <c r="D393" s="44" t="s">
        <v>733</v>
      </c>
      <c r="E393" s="44"/>
      <c r="F393" s="45">
        <v>43103.130636574075</v>
      </c>
      <c r="G393" s="46">
        <v>8</v>
      </c>
      <c r="H393" s="47">
        <v>43391</v>
      </c>
      <c r="I393" s="47">
        <v>43403</v>
      </c>
      <c r="J393" s="46">
        <v>395718</v>
      </c>
      <c r="K393" s="46">
        <v>0</v>
      </c>
      <c r="L393" s="46">
        <v>0</v>
      </c>
      <c r="M393" s="46">
        <f t="shared" si="128"/>
        <v>395718</v>
      </c>
      <c r="N393" s="46">
        <v>395718</v>
      </c>
      <c r="O393" s="48">
        <f t="shared" si="129"/>
        <v>0</v>
      </c>
      <c r="P393" s="46">
        <v>0</v>
      </c>
      <c r="Q393" s="46">
        <v>395718</v>
      </c>
      <c r="R393" s="49">
        <f t="shared" si="130"/>
        <v>1</v>
      </c>
      <c r="S393" s="50">
        <f t="shared" si="131"/>
        <v>0.01</v>
      </c>
      <c r="T393" s="49">
        <f t="shared" si="132"/>
        <v>3957.1800000000003</v>
      </c>
      <c r="U393" s="51">
        <f t="shared" si="133"/>
        <v>0</v>
      </c>
      <c r="V393" s="52">
        <f>IF(0&lt;0.8,0,IF(0&lt;1,Sheet3!L354,1))*IF(G393&lt;3,0.12 - O393,0.01) *U393</f>
        <v>0</v>
      </c>
      <c r="W393" s="52">
        <f t="shared" si="134"/>
        <v>0</v>
      </c>
      <c r="X393" s="53">
        <f t="shared" si="135"/>
        <v>0</v>
      </c>
      <c r="Y393" s="53">
        <f t="shared" si="136"/>
        <v>0</v>
      </c>
      <c r="Z393" s="54">
        <f t="shared" si="137"/>
        <v>0</v>
      </c>
      <c r="AA393" s="54">
        <f t="shared" si="138"/>
        <v>0</v>
      </c>
      <c r="AB393" s="55">
        <f t="shared" si="143"/>
        <v>0</v>
      </c>
      <c r="AC393" s="55">
        <f t="shared" si="140"/>
        <v>0</v>
      </c>
      <c r="AD393" s="56">
        <f t="shared" si="141"/>
        <v>3957.1800000000003</v>
      </c>
    </row>
    <row r="394" spans="3:30">
      <c r="C394" s="43" t="s">
        <v>734</v>
      </c>
      <c r="D394" s="44" t="s">
        <v>735</v>
      </c>
      <c r="E394" s="44"/>
      <c r="F394" s="45">
        <v>43129.351736111108</v>
      </c>
      <c r="G394" s="46">
        <v>8</v>
      </c>
      <c r="H394" s="47">
        <v>43391</v>
      </c>
      <c r="I394" s="47">
        <v>43404</v>
      </c>
      <c r="J394" s="46">
        <v>295724</v>
      </c>
      <c r="K394" s="46">
        <v>0</v>
      </c>
      <c r="L394" s="46">
        <v>0</v>
      </c>
      <c r="M394" s="46">
        <f t="shared" si="128"/>
        <v>295724</v>
      </c>
      <c r="N394" s="46">
        <v>295724</v>
      </c>
      <c r="O394" s="48">
        <f t="shared" si="129"/>
        <v>0</v>
      </c>
      <c r="P394" s="46">
        <v>0</v>
      </c>
      <c r="Q394" s="46">
        <v>295724</v>
      </c>
      <c r="R394" s="49">
        <f t="shared" si="130"/>
        <v>1</v>
      </c>
      <c r="S394" s="50">
        <f t="shared" si="131"/>
        <v>0.01</v>
      </c>
      <c r="T394" s="49">
        <f t="shared" si="132"/>
        <v>2957.2400000000002</v>
      </c>
      <c r="U394" s="51">
        <f t="shared" si="133"/>
        <v>0</v>
      </c>
      <c r="V394" s="52">
        <f>IF(0&lt;0.8,0,IF(0&lt;1,Sheet3!L354,1))*IF(G394&lt;3,0.12 - O394,0.01) *U394</f>
        <v>0</v>
      </c>
      <c r="W394" s="52">
        <f t="shared" si="134"/>
        <v>0</v>
      </c>
      <c r="X394" s="53">
        <f t="shared" si="135"/>
        <v>0</v>
      </c>
      <c r="Y394" s="53">
        <f t="shared" si="136"/>
        <v>0</v>
      </c>
      <c r="Z394" s="54">
        <f t="shared" si="137"/>
        <v>0</v>
      </c>
      <c r="AA394" s="54">
        <f t="shared" si="138"/>
        <v>0</v>
      </c>
      <c r="AB394" s="55">
        <f t="shared" si="143"/>
        <v>0</v>
      </c>
      <c r="AC394" s="55">
        <f t="shared" si="140"/>
        <v>0</v>
      </c>
      <c r="AD394" s="56">
        <f t="shared" si="141"/>
        <v>2957.2400000000002</v>
      </c>
    </row>
    <row r="395" spans="3:30">
      <c r="C395" s="43" t="s">
        <v>736</v>
      </c>
      <c r="D395" s="44" t="s">
        <v>737</v>
      </c>
      <c r="E395" s="44"/>
      <c r="F395" s="45">
        <v>43136.172534722224</v>
      </c>
      <c r="G395" s="46">
        <v>7</v>
      </c>
      <c r="H395" s="47">
        <v>43388</v>
      </c>
      <c r="I395" s="47">
        <v>43441</v>
      </c>
      <c r="J395" s="46">
        <v>1177890</v>
      </c>
      <c r="K395" s="46">
        <v>0</v>
      </c>
      <c r="L395" s="46">
        <v>0</v>
      </c>
      <c r="M395" s="46">
        <f t="shared" si="128"/>
        <v>1177890</v>
      </c>
      <c r="N395" s="46">
        <v>1234514</v>
      </c>
      <c r="O395" s="48">
        <f t="shared" si="129"/>
        <v>4.5867442572542716E-2</v>
      </c>
      <c r="P395" s="46">
        <v>0</v>
      </c>
      <c r="Q395" s="46">
        <v>1177890</v>
      </c>
      <c r="R395" s="49">
        <f t="shared" si="130"/>
        <v>1</v>
      </c>
      <c r="S395" s="50">
        <f t="shared" si="131"/>
        <v>0.01</v>
      </c>
      <c r="T395" s="49">
        <f t="shared" si="132"/>
        <v>11778.9</v>
      </c>
      <c r="U395" s="51">
        <f t="shared" si="133"/>
        <v>0</v>
      </c>
      <c r="V395" s="52">
        <f>IF(0&lt;0.8,0,IF(0&lt;1,Sheet3!L354,1))*IF(G395&lt;3,0.12 - O395,0.01) *U395</f>
        <v>0</v>
      </c>
      <c r="W395" s="52">
        <f t="shared" si="134"/>
        <v>0</v>
      </c>
      <c r="X395" s="53">
        <f t="shared" si="135"/>
        <v>0</v>
      </c>
      <c r="Y395" s="53">
        <f t="shared" si="136"/>
        <v>0</v>
      </c>
      <c r="Z395" s="54">
        <f t="shared" si="137"/>
        <v>0</v>
      </c>
      <c r="AA395" s="54">
        <f t="shared" si="138"/>
        <v>0</v>
      </c>
      <c r="AB395" s="55">
        <f t="shared" si="143"/>
        <v>0</v>
      </c>
      <c r="AC395" s="55">
        <f t="shared" si="140"/>
        <v>0</v>
      </c>
      <c r="AD395" s="56">
        <f t="shared" si="141"/>
        <v>11778.9</v>
      </c>
    </row>
    <row r="396" spans="3:30">
      <c r="C396" s="43" t="s">
        <v>738</v>
      </c>
      <c r="D396" s="44" t="s">
        <v>739</v>
      </c>
      <c r="E396" s="44"/>
      <c r="F396" s="45">
        <v>43166.345104166663</v>
      </c>
      <c r="G396" s="46">
        <v>6</v>
      </c>
      <c r="H396" s="47">
        <v>43388</v>
      </c>
      <c r="I396" s="47">
        <v>43412</v>
      </c>
      <c r="J396" s="46">
        <v>438504</v>
      </c>
      <c r="K396" s="46">
        <v>0</v>
      </c>
      <c r="L396" s="46">
        <v>0</v>
      </c>
      <c r="M396" s="46">
        <f t="shared" si="128"/>
        <v>438504</v>
      </c>
      <c r="N396" s="46">
        <v>470690</v>
      </c>
      <c r="O396" s="48">
        <f t="shared" si="129"/>
        <v>6.8380462724935698E-2</v>
      </c>
      <c r="P396" s="46">
        <v>0</v>
      </c>
      <c r="Q396" s="46">
        <v>438504</v>
      </c>
      <c r="R396" s="49">
        <f t="shared" si="130"/>
        <v>1</v>
      </c>
      <c r="S396" s="50">
        <f t="shared" si="131"/>
        <v>0.01</v>
      </c>
      <c r="T396" s="49">
        <f t="shared" si="132"/>
        <v>4385.04</v>
      </c>
      <c r="U396" s="51">
        <f t="shared" si="133"/>
        <v>0</v>
      </c>
      <c r="V396" s="52">
        <f>IF(0&lt;0.8,0,IF(0&lt;1,Sheet3!L354,1))*IF(G396&lt;3,0.12 - O396,0.01) *U396</f>
        <v>0</v>
      </c>
      <c r="W396" s="52">
        <f t="shared" si="134"/>
        <v>0</v>
      </c>
      <c r="X396" s="53">
        <f t="shared" si="135"/>
        <v>0</v>
      </c>
      <c r="Y396" s="53">
        <f t="shared" si="136"/>
        <v>0</v>
      </c>
      <c r="Z396" s="54">
        <f t="shared" si="137"/>
        <v>0</v>
      </c>
      <c r="AA396" s="54">
        <f t="shared" si="138"/>
        <v>0</v>
      </c>
      <c r="AB396" s="55">
        <f t="shared" si="143"/>
        <v>0</v>
      </c>
      <c r="AC396" s="55">
        <f t="shared" si="140"/>
        <v>0</v>
      </c>
      <c r="AD396" s="56">
        <f t="shared" si="141"/>
        <v>4385.04</v>
      </c>
    </row>
    <row r="397" spans="3:30">
      <c r="C397" s="43" t="s">
        <v>740</v>
      </c>
      <c r="D397" s="44" t="s">
        <v>741</v>
      </c>
      <c r="E397" s="44"/>
      <c r="F397" s="45">
        <v>43207.272812499999</v>
      </c>
      <c r="G397" s="46">
        <v>5</v>
      </c>
      <c r="H397" s="47">
        <v>43388</v>
      </c>
      <c r="I397" s="47">
        <v>43390</v>
      </c>
      <c r="J397" s="46">
        <v>2051170</v>
      </c>
      <c r="K397" s="46">
        <v>0</v>
      </c>
      <c r="L397" s="46">
        <v>0</v>
      </c>
      <c r="M397" s="46">
        <f t="shared" si="128"/>
        <v>2051170</v>
      </c>
      <c r="N397" s="46">
        <v>2280916</v>
      </c>
      <c r="O397" s="48">
        <f t="shared" si="129"/>
        <v>0.10072532263353851</v>
      </c>
      <c r="P397" s="46">
        <v>0</v>
      </c>
      <c r="Q397" s="46">
        <v>2051170</v>
      </c>
      <c r="R397" s="49">
        <f t="shared" si="130"/>
        <v>1</v>
      </c>
      <c r="S397" s="50">
        <f t="shared" si="131"/>
        <v>0.01</v>
      </c>
      <c r="T397" s="49">
        <f t="shared" si="132"/>
        <v>20511.7</v>
      </c>
      <c r="U397" s="51">
        <f t="shared" si="133"/>
        <v>0</v>
      </c>
      <c r="V397" s="52">
        <f>IF(0&lt;0.8,0,IF(0&lt;1,Sheet3!L354,1))*IF(G397&lt;3,0.12 - O397,0.01) *U397</f>
        <v>0</v>
      </c>
      <c r="W397" s="52">
        <f t="shared" si="134"/>
        <v>0</v>
      </c>
      <c r="X397" s="53">
        <f t="shared" si="135"/>
        <v>0</v>
      </c>
      <c r="Y397" s="53">
        <f t="shared" si="136"/>
        <v>0</v>
      </c>
      <c r="Z397" s="54">
        <f t="shared" si="137"/>
        <v>0</v>
      </c>
      <c r="AA397" s="54">
        <f t="shared" si="138"/>
        <v>0</v>
      </c>
      <c r="AB397" s="55">
        <f t="shared" si="143"/>
        <v>0</v>
      </c>
      <c r="AC397" s="55">
        <f t="shared" si="140"/>
        <v>0</v>
      </c>
      <c r="AD397" s="56">
        <f t="shared" si="141"/>
        <v>20511.7</v>
      </c>
    </row>
    <row r="398" spans="3:30">
      <c r="C398" s="43" t="s">
        <v>742</v>
      </c>
      <c r="D398" s="44" t="s">
        <v>743</v>
      </c>
      <c r="E398" s="44"/>
      <c r="F398" s="45">
        <v>43104.181145833332</v>
      </c>
      <c r="G398" s="46">
        <v>8</v>
      </c>
      <c r="H398" s="47">
        <v>43386</v>
      </c>
      <c r="I398" s="47">
        <v>43395</v>
      </c>
      <c r="J398" s="46">
        <v>541717</v>
      </c>
      <c r="K398" s="46">
        <v>0</v>
      </c>
      <c r="L398" s="46">
        <v>0</v>
      </c>
      <c r="M398" s="46">
        <f t="shared" si="128"/>
        <v>541717</v>
      </c>
      <c r="N398" s="46">
        <v>541717</v>
      </c>
      <c r="O398" s="48">
        <f t="shared" si="129"/>
        <v>0</v>
      </c>
      <c r="P398" s="46">
        <v>0</v>
      </c>
      <c r="Q398" s="46">
        <v>541717</v>
      </c>
      <c r="R398" s="49">
        <f t="shared" si="130"/>
        <v>1</v>
      </c>
      <c r="S398" s="50">
        <f t="shared" si="131"/>
        <v>0.01</v>
      </c>
      <c r="T398" s="49">
        <f t="shared" si="132"/>
        <v>5417.17</v>
      </c>
      <c r="U398" s="51">
        <f t="shared" si="133"/>
        <v>0</v>
      </c>
      <c r="V398" s="52">
        <f>IF(0&lt;0.8,0,IF(0&lt;1,Sheet3!L354,1))*IF(G398&lt;3,0.12 - O398,0.01) *U398</f>
        <v>0</v>
      </c>
      <c r="W398" s="52">
        <f t="shared" si="134"/>
        <v>0</v>
      </c>
      <c r="X398" s="53">
        <f t="shared" si="135"/>
        <v>0</v>
      </c>
      <c r="Y398" s="53">
        <f t="shared" si="136"/>
        <v>0</v>
      </c>
      <c r="Z398" s="54">
        <f t="shared" si="137"/>
        <v>0</v>
      </c>
      <c r="AA398" s="54">
        <f t="shared" si="138"/>
        <v>0</v>
      </c>
      <c r="AB398" s="55">
        <f t="shared" si="143"/>
        <v>0</v>
      </c>
      <c r="AC398" s="55">
        <f t="shared" si="140"/>
        <v>0</v>
      </c>
      <c r="AD398" s="56">
        <f t="shared" si="141"/>
        <v>5417.17</v>
      </c>
    </row>
    <row r="399" spans="3:30">
      <c r="C399" s="43" t="s">
        <v>744</v>
      </c>
      <c r="D399" s="44" t="s">
        <v>745</v>
      </c>
      <c r="E399" s="44"/>
      <c r="F399" s="45">
        <v>43106.126331018517</v>
      </c>
      <c r="G399" s="46">
        <v>8</v>
      </c>
      <c r="H399" s="47">
        <v>43383</v>
      </c>
      <c r="I399" s="47">
        <v>43395</v>
      </c>
      <c r="J399" s="46">
        <v>136972</v>
      </c>
      <c r="K399" s="46">
        <v>0</v>
      </c>
      <c r="L399" s="46">
        <v>0</v>
      </c>
      <c r="M399" s="46">
        <f t="shared" si="128"/>
        <v>136972</v>
      </c>
      <c r="N399" s="46">
        <v>136972</v>
      </c>
      <c r="O399" s="48">
        <f t="shared" si="129"/>
        <v>0</v>
      </c>
      <c r="P399" s="46">
        <v>0</v>
      </c>
      <c r="Q399" s="46">
        <v>136972</v>
      </c>
      <c r="R399" s="49">
        <f t="shared" si="130"/>
        <v>1</v>
      </c>
      <c r="S399" s="50">
        <f t="shared" si="131"/>
        <v>0.01</v>
      </c>
      <c r="T399" s="49">
        <f t="shared" si="132"/>
        <v>1369.72</v>
      </c>
      <c r="U399" s="51">
        <f t="shared" si="133"/>
        <v>0</v>
      </c>
      <c r="V399" s="52">
        <f>IF(0&lt;0.8,0,IF(0&lt;1,Sheet3!L354,1))*IF(G399&lt;3,0.12 - O399,0.01) *U399</f>
        <v>0</v>
      </c>
      <c r="W399" s="52">
        <f t="shared" si="134"/>
        <v>0</v>
      </c>
      <c r="X399" s="53">
        <f t="shared" si="135"/>
        <v>0</v>
      </c>
      <c r="Y399" s="53">
        <f t="shared" si="136"/>
        <v>0</v>
      </c>
      <c r="Z399" s="54">
        <f t="shared" si="137"/>
        <v>0</v>
      </c>
      <c r="AA399" s="54">
        <f t="shared" si="138"/>
        <v>0</v>
      </c>
      <c r="AB399" s="55">
        <f t="shared" si="143"/>
        <v>0</v>
      </c>
      <c r="AC399" s="55">
        <f t="shared" si="140"/>
        <v>0</v>
      </c>
      <c r="AD399" s="56">
        <f t="shared" si="141"/>
        <v>1369.72</v>
      </c>
    </row>
    <row r="400" spans="3:30">
      <c r="C400" s="43" t="s">
        <v>746</v>
      </c>
      <c r="D400" s="44" t="s">
        <v>747</v>
      </c>
      <c r="E400" s="44"/>
      <c r="F400" s="45">
        <v>43271.138101851851</v>
      </c>
      <c r="G400" s="46">
        <v>3</v>
      </c>
      <c r="H400" s="47">
        <v>43459</v>
      </c>
      <c r="I400" s="47">
        <v>43483</v>
      </c>
      <c r="J400" s="46">
        <v>9685450</v>
      </c>
      <c r="K400" s="46">
        <v>81000</v>
      </c>
      <c r="L400" s="46">
        <v>0</v>
      </c>
      <c r="M400" s="46">
        <f t="shared" si="128"/>
        <v>9604450</v>
      </c>
      <c r="N400" s="46">
        <v>15228092</v>
      </c>
      <c r="O400" s="48">
        <f t="shared" si="129"/>
        <v>0.36929393386906251</v>
      </c>
      <c r="P400" s="46">
        <v>0</v>
      </c>
      <c r="Q400" s="46">
        <v>0</v>
      </c>
      <c r="R400" s="49">
        <f t="shared" si="130"/>
        <v>1</v>
      </c>
      <c r="S400" s="50">
        <f t="shared" si="131"/>
        <v>0.01</v>
      </c>
      <c r="T400" s="49">
        <f t="shared" si="132"/>
        <v>96044.5</v>
      </c>
      <c r="U400" s="51">
        <f t="shared" si="133"/>
        <v>0</v>
      </c>
      <c r="V400" s="52">
        <f>IF(0&lt;0.8,0,IF(0&lt;1,Sheet3!L354,1))*IF(G400&lt;3,0.12 - O400,0.01) *U400</f>
        <v>0</v>
      </c>
      <c r="W400" s="52">
        <f t="shared" si="134"/>
        <v>0</v>
      </c>
      <c r="X400" s="53">
        <f t="shared" si="135"/>
        <v>0</v>
      </c>
      <c r="Y400" s="53">
        <f t="shared" si="136"/>
        <v>0</v>
      </c>
      <c r="Z400" s="54">
        <f t="shared" si="137"/>
        <v>0</v>
      </c>
      <c r="AA400" s="54">
        <f t="shared" si="138"/>
        <v>0</v>
      </c>
      <c r="AB400" s="55">
        <f t="shared" si="143"/>
        <v>0</v>
      </c>
      <c r="AC400" s="55">
        <f t="shared" si="140"/>
        <v>0</v>
      </c>
      <c r="AD400" s="56">
        <f t="shared" si="141"/>
        <v>96044.5</v>
      </c>
    </row>
    <row r="401" spans="3:30">
      <c r="C401" s="43" t="s">
        <v>748</v>
      </c>
      <c r="D401" s="44" t="s">
        <v>749</v>
      </c>
      <c r="E401" s="44"/>
      <c r="F401" s="45">
        <v>41906.386192129627</v>
      </c>
      <c r="G401" s="46">
        <v>48</v>
      </c>
      <c r="H401" s="47">
        <v>43396</v>
      </c>
      <c r="I401" s="47">
        <v>43455</v>
      </c>
      <c r="J401" s="46">
        <v>1008777</v>
      </c>
      <c r="K401" s="46">
        <v>0</v>
      </c>
      <c r="L401" s="46">
        <v>0</v>
      </c>
      <c r="M401" s="46">
        <f t="shared" si="128"/>
        <v>1008777</v>
      </c>
      <c r="N401" s="46">
        <v>1008777</v>
      </c>
      <c r="O401" s="48">
        <f t="shared" si="129"/>
        <v>0</v>
      </c>
      <c r="P401" s="46">
        <v>0</v>
      </c>
      <c r="Q401" s="46">
        <v>1008777</v>
      </c>
      <c r="R401" s="49">
        <f t="shared" si="130"/>
        <v>1</v>
      </c>
      <c r="S401" s="50">
        <f t="shared" si="131"/>
        <v>0.01</v>
      </c>
      <c r="T401" s="49">
        <f t="shared" si="132"/>
        <v>10087.77</v>
      </c>
      <c r="U401" s="51">
        <f t="shared" si="133"/>
        <v>0</v>
      </c>
      <c r="V401" s="52">
        <f>IF(0&lt;0.8,0,IF(0&lt;1,Sheet3!L354,1))*IF(G401&lt;3,0.12 - O401,0.01) *U401</f>
        <v>0</v>
      </c>
      <c r="W401" s="52">
        <f t="shared" si="134"/>
        <v>0</v>
      </c>
      <c r="X401" s="53">
        <f t="shared" si="135"/>
        <v>0</v>
      </c>
      <c r="Y401" s="53">
        <f t="shared" si="136"/>
        <v>0</v>
      </c>
      <c r="Z401" s="54">
        <f t="shared" si="137"/>
        <v>0</v>
      </c>
      <c r="AA401" s="54">
        <f t="shared" si="138"/>
        <v>0</v>
      </c>
      <c r="AB401" s="55">
        <f t="shared" si="143"/>
        <v>0</v>
      </c>
      <c r="AC401" s="55">
        <f t="shared" si="140"/>
        <v>0</v>
      </c>
      <c r="AD401" s="56">
        <f t="shared" si="141"/>
        <v>10087.77</v>
      </c>
    </row>
    <row r="402" spans="3:30">
      <c r="C402" s="43" t="s">
        <v>750</v>
      </c>
      <c r="D402" s="44" t="s">
        <v>751</v>
      </c>
      <c r="E402" s="44"/>
      <c r="F402" s="45">
        <v>42979.194780092592</v>
      </c>
      <c r="G402" s="46">
        <v>12</v>
      </c>
      <c r="H402" s="47" t="s">
        <v>24</v>
      </c>
      <c r="I402" s="47" t="s">
        <v>24</v>
      </c>
      <c r="J402" s="46">
        <v>701679</v>
      </c>
      <c r="K402" s="46">
        <v>0</v>
      </c>
      <c r="L402" s="46">
        <v>0</v>
      </c>
      <c r="M402" s="46">
        <f t="shared" si="128"/>
        <v>701679</v>
      </c>
      <c r="N402" s="46">
        <v>701679</v>
      </c>
      <c r="O402" s="48">
        <f t="shared" si="129"/>
        <v>0</v>
      </c>
      <c r="P402" s="46">
        <v>0</v>
      </c>
      <c r="Q402" s="46">
        <v>746812</v>
      </c>
      <c r="R402" s="49">
        <f t="shared" si="130"/>
        <v>1</v>
      </c>
      <c r="S402" s="50">
        <f t="shared" si="131"/>
        <v>0.01</v>
      </c>
      <c r="T402" s="49">
        <f t="shared" si="132"/>
        <v>7016.79</v>
      </c>
      <c r="U402" s="51">
        <f t="shared" si="133"/>
        <v>0</v>
      </c>
      <c r="V402" s="52">
        <f>IF(0&lt;0.8,0,IF(0&lt;1,Sheet3!L354,1))*IF(G402&lt;3,0.12 - O402,0.01) *U402</f>
        <v>0</v>
      </c>
      <c r="W402" s="52">
        <f t="shared" si="134"/>
        <v>0</v>
      </c>
      <c r="X402" s="53">
        <f t="shared" si="135"/>
        <v>0</v>
      </c>
      <c r="Y402" s="53">
        <f t="shared" si="136"/>
        <v>0</v>
      </c>
      <c r="Z402" s="54">
        <f t="shared" si="137"/>
        <v>0</v>
      </c>
      <c r="AA402" s="54">
        <f t="shared" si="138"/>
        <v>0</v>
      </c>
      <c r="AB402" s="55">
        <f t="shared" si="143"/>
        <v>0</v>
      </c>
      <c r="AC402" s="55">
        <f t="shared" si="140"/>
        <v>0</v>
      </c>
      <c r="AD402" s="56">
        <f t="shared" si="141"/>
        <v>7016.79</v>
      </c>
    </row>
    <row r="403" spans="3:30">
      <c r="C403" s="43" t="s">
        <v>752</v>
      </c>
      <c r="D403" s="44" t="s">
        <v>753</v>
      </c>
      <c r="E403" s="44"/>
      <c r="F403" s="45">
        <v>43039.115763888884</v>
      </c>
      <c r="G403" s="46">
        <v>11</v>
      </c>
      <c r="H403" s="47">
        <v>43404</v>
      </c>
      <c r="I403" s="47">
        <v>43440</v>
      </c>
      <c r="J403" s="46">
        <v>23815444</v>
      </c>
      <c r="K403" s="46">
        <v>1234059</v>
      </c>
      <c r="L403" s="46">
        <v>0</v>
      </c>
      <c r="M403" s="46">
        <f t="shared" si="128"/>
        <v>22581385</v>
      </c>
      <c r="N403" s="46">
        <v>24956834</v>
      </c>
      <c r="O403" s="48">
        <f t="shared" si="129"/>
        <v>9.5182305576099968E-2</v>
      </c>
      <c r="P403" s="46">
        <v>0</v>
      </c>
      <c r="Q403" s="46">
        <v>23893984</v>
      </c>
      <c r="R403" s="49">
        <f t="shared" si="130"/>
        <v>1</v>
      </c>
      <c r="S403" s="50">
        <f t="shared" si="131"/>
        <v>0.01</v>
      </c>
      <c r="T403" s="49">
        <f t="shared" si="132"/>
        <v>225813.85</v>
      </c>
      <c r="U403" s="51">
        <f t="shared" si="133"/>
        <v>0</v>
      </c>
      <c r="V403" s="52">
        <f>IF(0&lt;0.8,0,IF(0&lt;1,Sheet3!L354,1))*IF(G403&lt;3,0.12 - O403,0.01) *U403</f>
        <v>0</v>
      </c>
      <c r="W403" s="52">
        <f t="shared" si="134"/>
        <v>0</v>
      </c>
      <c r="X403" s="53">
        <f t="shared" si="135"/>
        <v>0</v>
      </c>
      <c r="Y403" s="53">
        <f t="shared" si="136"/>
        <v>0</v>
      </c>
      <c r="Z403" s="54">
        <f t="shared" si="137"/>
        <v>0</v>
      </c>
      <c r="AA403" s="54">
        <f t="shared" si="138"/>
        <v>0</v>
      </c>
      <c r="AB403" s="55">
        <f t="shared" si="143"/>
        <v>0</v>
      </c>
      <c r="AC403" s="55">
        <f t="shared" si="140"/>
        <v>0</v>
      </c>
      <c r="AD403" s="56">
        <f t="shared" si="141"/>
        <v>225813.85</v>
      </c>
    </row>
    <row r="404" spans="3:30">
      <c r="C404" s="43" t="s">
        <v>754</v>
      </c>
      <c r="D404" s="44" t="s">
        <v>755</v>
      </c>
      <c r="E404" s="44"/>
      <c r="F404" s="45">
        <v>43174.376643518517</v>
      </c>
      <c r="G404" s="46">
        <v>6</v>
      </c>
      <c r="H404" s="47">
        <v>43404</v>
      </c>
      <c r="I404" s="47">
        <v>43425</v>
      </c>
      <c r="J404" s="46">
        <v>9465488</v>
      </c>
      <c r="K404" s="46">
        <v>0</v>
      </c>
      <c r="L404" s="46">
        <v>0</v>
      </c>
      <c r="M404" s="46">
        <f t="shared" si="128"/>
        <v>9465488</v>
      </c>
      <c r="N404" s="46">
        <v>9816089</v>
      </c>
      <c r="O404" s="48">
        <f t="shared" si="129"/>
        <v>3.5716974448785077E-2</v>
      </c>
      <c r="P404" s="46">
        <v>0</v>
      </c>
      <c r="Q404" s="46">
        <v>9465488</v>
      </c>
      <c r="R404" s="49">
        <f t="shared" si="130"/>
        <v>1</v>
      </c>
      <c r="S404" s="50">
        <f t="shared" si="131"/>
        <v>0.01</v>
      </c>
      <c r="T404" s="49">
        <f t="shared" si="132"/>
        <v>94654.88</v>
      </c>
      <c r="U404" s="51">
        <f t="shared" si="133"/>
        <v>0</v>
      </c>
      <c r="V404" s="52">
        <f>IF(0&lt;0.8,0,IF(0&lt;1,Sheet3!L354,1))*IF(G404&lt;3,0.12 - O404,0.01) *U404</f>
        <v>0</v>
      </c>
      <c r="W404" s="52">
        <f t="shared" si="134"/>
        <v>0</v>
      </c>
      <c r="X404" s="53">
        <f t="shared" si="135"/>
        <v>0</v>
      </c>
      <c r="Y404" s="53">
        <f t="shared" si="136"/>
        <v>0</v>
      </c>
      <c r="Z404" s="54">
        <f t="shared" si="137"/>
        <v>0</v>
      </c>
      <c r="AA404" s="54">
        <f t="shared" si="138"/>
        <v>0</v>
      </c>
      <c r="AB404" s="55">
        <f t="shared" si="143"/>
        <v>0</v>
      </c>
      <c r="AC404" s="55">
        <f t="shared" si="140"/>
        <v>0</v>
      </c>
      <c r="AD404" s="56">
        <f t="shared" si="141"/>
        <v>94654.88</v>
      </c>
    </row>
    <row r="405" spans="3:30">
      <c r="C405" s="43" t="s">
        <v>756</v>
      </c>
      <c r="D405" s="44" t="s">
        <v>757</v>
      </c>
      <c r="E405" s="44"/>
      <c r="F405" s="45">
        <v>43258.401527777773</v>
      </c>
      <c r="G405" s="46">
        <v>3</v>
      </c>
      <c r="H405" s="47">
        <v>43391</v>
      </c>
      <c r="I405" s="47">
        <v>43402</v>
      </c>
      <c r="J405" s="46">
        <v>4192650</v>
      </c>
      <c r="K405" s="46">
        <v>0</v>
      </c>
      <c r="L405" s="46">
        <v>0</v>
      </c>
      <c r="M405" s="46">
        <f t="shared" si="128"/>
        <v>4192650</v>
      </c>
      <c r="N405" s="46">
        <v>4192650</v>
      </c>
      <c r="O405" s="48">
        <f t="shared" si="129"/>
        <v>0</v>
      </c>
      <c r="P405" s="46">
        <v>0</v>
      </c>
      <c r="Q405" s="46">
        <v>0</v>
      </c>
      <c r="R405" s="49">
        <f t="shared" si="130"/>
        <v>1</v>
      </c>
      <c r="S405" s="50">
        <f t="shared" si="131"/>
        <v>0.01</v>
      </c>
      <c r="T405" s="49">
        <f t="shared" si="132"/>
        <v>41926.5</v>
      </c>
      <c r="U405" s="51">
        <f t="shared" si="133"/>
        <v>0</v>
      </c>
      <c r="V405" s="52">
        <f>IF(0&lt;0.8,0,IF(0&lt;1,Sheet3!L354,1))*IF(G405&lt;3,0.12 - O405,0.01) *U405</f>
        <v>0</v>
      </c>
      <c r="W405" s="52">
        <f t="shared" si="134"/>
        <v>0</v>
      </c>
      <c r="X405" s="53">
        <f t="shared" si="135"/>
        <v>0</v>
      </c>
      <c r="Y405" s="53">
        <f t="shared" si="136"/>
        <v>0</v>
      </c>
      <c r="Z405" s="54">
        <f t="shared" si="137"/>
        <v>0</v>
      </c>
      <c r="AA405" s="54">
        <f t="shared" si="138"/>
        <v>0</v>
      </c>
      <c r="AB405" s="55">
        <f t="shared" si="143"/>
        <v>0</v>
      </c>
      <c r="AC405" s="55">
        <f t="shared" si="140"/>
        <v>0</v>
      </c>
      <c r="AD405" s="56">
        <f t="shared" si="141"/>
        <v>41926.5</v>
      </c>
    </row>
    <row r="406" spans="3:30">
      <c r="C406" s="43" t="s">
        <v>758</v>
      </c>
      <c r="D406" s="44" t="s">
        <v>759</v>
      </c>
      <c r="E406" s="44"/>
      <c r="F406" s="45">
        <v>39706.617106481477</v>
      </c>
      <c r="G406" s="46">
        <v>120</v>
      </c>
      <c r="H406" s="47">
        <v>43391</v>
      </c>
      <c r="I406" s="47">
        <v>43404</v>
      </c>
      <c r="J406" s="46">
        <v>16298245</v>
      </c>
      <c r="K406" s="46">
        <v>0</v>
      </c>
      <c r="L406" s="46">
        <v>0</v>
      </c>
      <c r="M406" s="46">
        <f t="shared" si="128"/>
        <v>16298245</v>
      </c>
      <c r="N406" s="46">
        <v>16388644</v>
      </c>
      <c r="O406" s="48">
        <f t="shared" si="129"/>
        <v>5.5159536078762672E-3</v>
      </c>
      <c r="P406" s="46">
        <v>0</v>
      </c>
      <c r="Q406" s="46">
        <v>16298245</v>
      </c>
      <c r="R406" s="49">
        <f t="shared" si="130"/>
        <v>1</v>
      </c>
      <c r="S406" s="50">
        <f t="shared" si="131"/>
        <v>0.01</v>
      </c>
      <c r="T406" s="49">
        <f t="shared" si="132"/>
        <v>162982.45000000001</v>
      </c>
      <c r="U406" s="51">
        <f t="shared" si="133"/>
        <v>0</v>
      </c>
      <c r="V406" s="52">
        <f>IF(0&lt;0.8,0,IF(0&lt;1,Sheet3!L354,1))*IF(G406&lt;3,0.12 - O406,0.01) *U406</f>
        <v>0</v>
      </c>
      <c r="W406" s="52">
        <f t="shared" si="134"/>
        <v>0</v>
      </c>
      <c r="X406" s="53">
        <f t="shared" si="135"/>
        <v>0</v>
      </c>
      <c r="Y406" s="53">
        <f t="shared" si="136"/>
        <v>0</v>
      </c>
      <c r="Z406" s="54">
        <f t="shared" si="137"/>
        <v>0</v>
      </c>
      <c r="AA406" s="54">
        <f t="shared" si="138"/>
        <v>0</v>
      </c>
      <c r="AB406" s="55">
        <f t="shared" si="143"/>
        <v>0</v>
      </c>
      <c r="AC406" s="55">
        <f t="shared" si="140"/>
        <v>0</v>
      </c>
      <c r="AD406" s="56">
        <f t="shared" si="141"/>
        <v>162982.45000000001</v>
      </c>
    </row>
    <row r="407" spans="3:30">
      <c r="C407" s="43" t="s">
        <v>760</v>
      </c>
      <c r="D407" s="44" t="s">
        <v>761</v>
      </c>
      <c r="E407" s="44"/>
      <c r="F407" s="45">
        <v>43102.405648148146</v>
      </c>
      <c r="G407" s="46">
        <v>8</v>
      </c>
      <c r="H407" s="47">
        <v>43388</v>
      </c>
      <c r="I407" s="47">
        <v>43398</v>
      </c>
      <c r="J407" s="46">
        <v>707846</v>
      </c>
      <c r="K407" s="46">
        <v>0</v>
      </c>
      <c r="L407" s="46">
        <v>0</v>
      </c>
      <c r="M407" s="46">
        <f t="shared" si="128"/>
        <v>707846</v>
      </c>
      <c r="N407" s="46">
        <v>689620</v>
      </c>
      <c r="O407" s="48">
        <f t="shared" si="129"/>
        <v>0</v>
      </c>
      <c r="P407" s="46">
        <v>0</v>
      </c>
      <c r="Q407" s="46">
        <v>707846</v>
      </c>
      <c r="R407" s="49">
        <f t="shared" si="130"/>
        <v>1</v>
      </c>
      <c r="S407" s="50">
        <f t="shared" si="131"/>
        <v>0.01</v>
      </c>
      <c r="T407" s="49">
        <f t="shared" si="132"/>
        <v>7078.46</v>
      </c>
      <c r="U407" s="51">
        <f t="shared" si="133"/>
        <v>0</v>
      </c>
      <c r="V407" s="52">
        <f>IF(0&lt;0.8,0,IF(0&lt;1,Sheet3!L354,1))*IF(G407&lt;3,0.12 - O407,0.01) *U407</f>
        <v>0</v>
      </c>
      <c r="W407" s="52">
        <f t="shared" si="134"/>
        <v>0</v>
      </c>
      <c r="X407" s="53">
        <f t="shared" si="135"/>
        <v>0</v>
      </c>
      <c r="Y407" s="53">
        <f t="shared" si="136"/>
        <v>0</v>
      </c>
      <c r="Z407" s="54">
        <f t="shared" si="137"/>
        <v>0</v>
      </c>
      <c r="AA407" s="54">
        <f t="shared" si="138"/>
        <v>0</v>
      </c>
      <c r="AB407" s="55">
        <f t="shared" si="143"/>
        <v>0</v>
      </c>
      <c r="AC407" s="55">
        <f t="shared" si="140"/>
        <v>0</v>
      </c>
      <c r="AD407" s="56">
        <f t="shared" si="141"/>
        <v>7078.46</v>
      </c>
    </row>
    <row r="408" spans="3:30">
      <c r="C408" s="43" t="s">
        <v>762</v>
      </c>
      <c r="D408" s="44" t="s">
        <v>763</v>
      </c>
      <c r="E408" s="44"/>
      <c r="F408" s="45">
        <v>43103.128032407403</v>
      </c>
      <c r="G408" s="46">
        <v>8</v>
      </c>
      <c r="H408" s="47">
        <v>43388</v>
      </c>
      <c r="I408" s="47">
        <v>43399</v>
      </c>
      <c r="J408" s="46">
        <v>226391</v>
      </c>
      <c r="K408" s="46">
        <v>0</v>
      </c>
      <c r="L408" s="46">
        <v>0</v>
      </c>
      <c r="M408" s="46">
        <f t="shared" si="128"/>
        <v>226391</v>
      </c>
      <c r="N408" s="46">
        <v>226391</v>
      </c>
      <c r="O408" s="48">
        <f t="shared" si="129"/>
        <v>0</v>
      </c>
      <c r="P408" s="46">
        <v>0</v>
      </c>
      <c r="Q408" s="46">
        <v>226391</v>
      </c>
      <c r="R408" s="49">
        <f t="shared" si="130"/>
        <v>1</v>
      </c>
      <c r="S408" s="50">
        <f t="shared" si="131"/>
        <v>0.01</v>
      </c>
      <c r="T408" s="49">
        <f t="shared" si="132"/>
        <v>2263.91</v>
      </c>
      <c r="U408" s="51">
        <f t="shared" si="133"/>
        <v>0</v>
      </c>
      <c r="V408" s="52">
        <f>IF(0&lt;0.8,0,IF(0&lt;1,Sheet3!L354,1))*IF(G408&lt;3,0.12 - O408,0.01) *U408</f>
        <v>0</v>
      </c>
      <c r="W408" s="52">
        <f t="shared" si="134"/>
        <v>0</v>
      </c>
      <c r="X408" s="53">
        <f t="shared" si="135"/>
        <v>0</v>
      </c>
      <c r="Y408" s="53">
        <f t="shared" si="136"/>
        <v>0</v>
      </c>
      <c r="Z408" s="54">
        <f t="shared" si="137"/>
        <v>0</v>
      </c>
      <c r="AA408" s="54">
        <f t="shared" si="138"/>
        <v>0</v>
      </c>
      <c r="AB408" s="55">
        <f t="shared" si="143"/>
        <v>0</v>
      </c>
      <c r="AC408" s="55">
        <f t="shared" si="140"/>
        <v>0</v>
      </c>
      <c r="AD408" s="56">
        <f t="shared" si="141"/>
        <v>2263.91</v>
      </c>
    </row>
    <row r="409" spans="3:30">
      <c r="C409" s="43" t="s">
        <v>764</v>
      </c>
      <c r="D409" s="44" t="s">
        <v>765</v>
      </c>
      <c r="E409" s="44"/>
      <c r="F409" s="45">
        <v>43129.159571759257</v>
      </c>
      <c r="G409" s="46">
        <v>8</v>
      </c>
      <c r="H409" s="47">
        <v>43388</v>
      </c>
      <c r="I409" s="47">
        <v>43399</v>
      </c>
      <c r="J409" s="46">
        <v>254100</v>
      </c>
      <c r="K409" s="46">
        <v>0</v>
      </c>
      <c r="L409" s="46">
        <v>0</v>
      </c>
      <c r="M409" s="46">
        <f t="shared" si="128"/>
        <v>254100</v>
      </c>
      <c r="N409" s="46">
        <v>310728</v>
      </c>
      <c r="O409" s="48">
        <f t="shared" si="129"/>
        <v>0.18224299065420557</v>
      </c>
      <c r="P409" s="46">
        <v>0</v>
      </c>
      <c r="Q409" s="46">
        <v>254100</v>
      </c>
      <c r="R409" s="49">
        <f t="shared" si="130"/>
        <v>1</v>
      </c>
      <c r="S409" s="50">
        <f t="shared" si="131"/>
        <v>0.01</v>
      </c>
      <c r="T409" s="49">
        <f t="shared" si="132"/>
        <v>2541</v>
      </c>
      <c r="U409" s="51">
        <f t="shared" si="133"/>
        <v>0</v>
      </c>
      <c r="V409" s="52">
        <f>IF(0&lt;0.8,0,IF(0&lt;1,Sheet3!L354,1))*IF(G409&lt;3,0.12 - O409,0.01) *U409</f>
        <v>0</v>
      </c>
      <c r="W409" s="52">
        <f t="shared" si="134"/>
        <v>0</v>
      </c>
      <c r="X409" s="53">
        <f t="shared" si="135"/>
        <v>0</v>
      </c>
      <c r="Y409" s="53">
        <f t="shared" si="136"/>
        <v>0</v>
      </c>
      <c r="Z409" s="54">
        <f t="shared" si="137"/>
        <v>0</v>
      </c>
      <c r="AA409" s="54">
        <f t="shared" si="138"/>
        <v>0</v>
      </c>
      <c r="AB409" s="55">
        <f t="shared" si="143"/>
        <v>0</v>
      </c>
      <c r="AC409" s="55">
        <f t="shared" si="140"/>
        <v>0</v>
      </c>
      <c r="AD409" s="56">
        <f t="shared" si="141"/>
        <v>2541</v>
      </c>
    </row>
    <row r="410" spans="3:30">
      <c r="C410" s="43" t="s">
        <v>766</v>
      </c>
      <c r="D410" s="44" t="s">
        <v>767</v>
      </c>
      <c r="E410" s="44"/>
      <c r="F410" s="45">
        <v>43188.145416666666</v>
      </c>
      <c r="G410" s="46">
        <v>6</v>
      </c>
      <c r="H410" s="47">
        <v>43388</v>
      </c>
      <c r="I410" s="47">
        <v>43399</v>
      </c>
      <c r="J410" s="46">
        <v>256080</v>
      </c>
      <c r="K410" s="46">
        <v>0</v>
      </c>
      <c r="L410" s="46">
        <v>0</v>
      </c>
      <c r="M410" s="46">
        <f t="shared" si="128"/>
        <v>256080</v>
      </c>
      <c r="N410" s="46">
        <v>287815</v>
      </c>
      <c r="O410" s="48">
        <f t="shared" si="129"/>
        <v>0.11026180011465703</v>
      </c>
      <c r="P410" s="46">
        <v>0</v>
      </c>
      <c r="Q410" s="46">
        <v>256080</v>
      </c>
      <c r="R410" s="49">
        <f t="shared" si="130"/>
        <v>1</v>
      </c>
      <c r="S410" s="50">
        <f t="shared" si="131"/>
        <v>0.01</v>
      </c>
      <c r="T410" s="49">
        <f t="shared" si="132"/>
        <v>2560.8000000000002</v>
      </c>
      <c r="U410" s="51">
        <f t="shared" si="133"/>
        <v>0</v>
      </c>
      <c r="V410" s="52">
        <f>IF(0&lt;0.8,0,IF(0&lt;1,Sheet3!L354,1))*IF(G410&lt;3,0.12 - O410,0.01) *U410</f>
        <v>0</v>
      </c>
      <c r="W410" s="52">
        <f t="shared" si="134"/>
        <v>0</v>
      </c>
      <c r="X410" s="53">
        <f t="shared" si="135"/>
        <v>0</v>
      </c>
      <c r="Y410" s="53">
        <f t="shared" si="136"/>
        <v>0</v>
      </c>
      <c r="Z410" s="54">
        <f t="shared" si="137"/>
        <v>0</v>
      </c>
      <c r="AA410" s="54">
        <f t="shared" si="138"/>
        <v>0</v>
      </c>
      <c r="AB410" s="55">
        <f t="shared" si="143"/>
        <v>0</v>
      </c>
      <c r="AC410" s="55">
        <f t="shared" si="140"/>
        <v>0</v>
      </c>
      <c r="AD410" s="56">
        <f t="shared" si="141"/>
        <v>2560.8000000000002</v>
      </c>
    </row>
    <row r="411" spans="3:30">
      <c r="C411" s="43" t="s">
        <v>768</v>
      </c>
      <c r="D411" s="44" t="s">
        <v>769</v>
      </c>
      <c r="E411" s="44"/>
      <c r="F411" s="45">
        <v>43203.340914351851</v>
      </c>
      <c r="G411" s="46">
        <v>5</v>
      </c>
      <c r="H411" s="47">
        <v>43388</v>
      </c>
      <c r="I411" s="47">
        <v>43397</v>
      </c>
      <c r="J411" s="46">
        <v>900680</v>
      </c>
      <c r="K411" s="46">
        <v>0</v>
      </c>
      <c r="L411" s="46">
        <v>0</v>
      </c>
      <c r="M411" s="46">
        <f t="shared" si="128"/>
        <v>900680</v>
      </c>
      <c r="N411" s="46">
        <v>1015322</v>
      </c>
      <c r="O411" s="48">
        <f t="shared" si="129"/>
        <v>0.1129119629043791</v>
      </c>
      <c r="P411" s="46">
        <v>0</v>
      </c>
      <c r="Q411" s="46">
        <v>900680</v>
      </c>
      <c r="R411" s="49">
        <f t="shared" si="130"/>
        <v>1</v>
      </c>
      <c r="S411" s="50">
        <f t="shared" si="131"/>
        <v>0.01</v>
      </c>
      <c r="T411" s="49">
        <f t="shared" si="132"/>
        <v>9006.8000000000011</v>
      </c>
      <c r="U411" s="51">
        <f t="shared" si="133"/>
        <v>0</v>
      </c>
      <c r="V411" s="52">
        <f>IF(0&lt;0.8,0,IF(0&lt;1,Sheet3!L354,1))*IF(G411&lt;3,0.12 - O411,0.01) *U411</f>
        <v>0</v>
      </c>
      <c r="W411" s="52">
        <f t="shared" si="134"/>
        <v>0</v>
      </c>
      <c r="X411" s="53">
        <f t="shared" si="135"/>
        <v>0</v>
      </c>
      <c r="Y411" s="53">
        <f t="shared" si="136"/>
        <v>0</v>
      </c>
      <c r="Z411" s="54">
        <f t="shared" si="137"/>
        <v>0</v>
      </c>
      <c r="AA411" s="54">
        <f t="shared" si="138"/>
        <v>0</v>
      </c>
      <c r="AB411" s="55">
        <f t="shared" si="143"/>
        <v>0</v>
      </c>
      <c r="AC411" s="55">
        <f t="shared" si="140"/>
        <v>0</v>
      </c>
      <c r="AD411" s="56">
        <f t="shared" si="141"/>
        <v>9006.8000000000011</v>
      </c>
    </row>
    <row r="412" spans="3:30">
      <c r="C412" s="43" t="s">
        <v>770</v>
      </c>
      <c r="D412" s="44" t="s">
        <v>771</v>
      </c>
      <c r="E412" s="44"/>
      <c r="F412" s="45">
        <v>43097.293113425927</v>
      </c>
      <c r="G412" s="46">
        <v>9</v>
      </c>
      <c r="H412" s="47">
        <v>43420</v>
      </c>
      <c r="I412" s="47">
        <v>43446</v>
      </c>
      <c r="J412" s="46">
        <v>1519883</v>
      </c>
      <c r="K412" s="46">
        <v>0</v>
      </c>
      <c r="L412" s="46">
        <v>0</v>
      </c>
      <c r="M412" s="46">
        <f t="shared" si="128"/>
        <v>1519883</v>
      </c>
      <c r="N412" s="46">
        <v>1519883</v>
      </c>
      <c r="O412" s="48">
        <f t="shared" si="129"/>
        <v>0</v>
      </c>
      <c r="P412" s="46">
        <v>0</v>
      </c>
      <c r="Q412" s="46">
        <v>2012839</v>
      </c>
      <c r="R412" s="49">
        <f t="shared" si="130"/>
        <v>1</v>
      </c>
      <c r="S412" s="50">
        <f t="shared" si="131"/>
        <v>0.01</v>
      </c>
      <c r="T412" s="49">
        <f t="shared" si="132"/>
        <v>15198.83</v>
      </c>
      <c r="U412" s="51">
        <f t="shared" si="133"/>
        <v>0</v>
      </c>
      <c r="V412" s="52">
        <f>IF(0&lt;0.8,0,IF(0&lt;1,Sheet3!L354,1))*IF(G412&lt;3,0.12 - O412,0.01) *U412</f>
        <v>0</v>
      </c>
      <c r="W412" s="52">
        <f t="shared" si="134"/>
        <v>0</v>
      </c>
      <c r="X412" s="53">
        <f t="shared" si="135"/>
        <v>0</v>
      </c>
      <c r="Y412" s="53">
        <f t="shared" si="136"/>
        <v>0</v>
      </c>
      <c r="Z412" s="54">
        <f t="shared" si="137"/>
        <v>0</v>
      </c>
      <c r="AA412" s="54">
        <f t="shared" si="138"/>
        <v>0</v>
      </c>
      <c r="AB412" s="55">
        <f t="shared" si="143"/>
        <v>0</v>
      </c>
      <c r="AC412" s="55">
        <f t="shared" si="140"/>
        <v>0</v>
      </c>
      <c r="AD412" s="56">
        <f t="shared" si="141"/>
        <v>15198.83</v>
      </c>
    </row>
    <row r="413" spans="3:30">
      <c r="C413" s="43" t="s">
        <v>772</v>
      </c>
      <c r="D413" s="44" t="s">
        <v>773</v>
      </c>
      <c r="E413" s="44"/>
      <c r="F413" s="45">
        <v>43211.183564814812</v>
      </c>
      <c r="G413" s="46">
        <v>5</v>
      </c>
      <c r="H413" s="47">
        <v>43390</v>
      </c>
      <c r="I413" s="47">
        <v>43425</v>
      </c>
      <c r="J413" s="46">
        <v>785620</v>
      </c>
      <c r="K413" s="46">
        <v>0</v>
      </c>
      <c r="L413" s="46">
        <v>0</v>
      </c>
      <c r="M413" s="46">
        <f t="shared" si="128"/>
        <v>785620</v>
      </c>
      <c r="N413" s="46">
        <v>911328</v>
      </c>
      <c r="O413" s="48">
        <f t="shared" si="129"/>
        <v>0.13793935882580144</v>
      </c>
      <c r="P413" s="46">
        <v>0</v>
      </c>
      <c r="Q413" s="46">
        <v>785620</v>
      </c>
      <c r="R413" s="49">
        <f t="shared" si="130"/>
        <v>1</v>
      </c>
      <c r="S413" s="50">
        <f t="shared" si="131"/>
        <v>0.01</v>
      </c>
      <c r="T413" s="49">
        <f t="shared" si="132"/>
        <v>7856.2</v>
      </c>
      <c r="U413" s="51">
        <f t="shared" si="133"/>
        <v>0</v>
      </c>
      <c r="V413" s="52">
        <f>IF(0&lt;0.8,0,IF(0&lt;1,Sheet3!L354,1))*IF(G413&lt;3,0.12 - O413,0.01) *U413</f>
        <v>0</v>
      </c>
      <c r="W413" s="52">
        <f t="shared" si="134"/>
        <v>0</v>
      </c>
      <c r="X413" s="53">
        <f t="shared" si="135"/>
        <v>0</v>
      </c>
      <c r="Y413" s="53">
        <f t="shared" si="136"/>
        <v>0</v>
      </c>
      <c r="Z413" s="54">
        <f t="shared" si="137"/>
        <v>0</v>
      </c>
      <c r="AA413" s="54">
        <f t="shared" si="138"/>
        <v>0</v>
      </c>
      <c r="AB413" s="55">
        <f t="shared" si="143"/>
        <v>0</v>
      </c>
      <c r="AC413" s="55">
        <f t="shared" si="140"/>
        <v>0</v>
      </c>
      <c r="AD413" s="56">
        <f t="shared" si="141"/>
        <v>7856.2</v>
      </c>
    </row>
    <row r="414" spans="3:30">
      <c r="C414" s="43" t="s">
        <v>774</v>
      </c>
      <c r="D414" s="44" t="s">
        <v>775</v>
      </c>
      <c r="E414" s="44"/>
      <c r="F414" s="45">
        <v>43284.130925925921</v>
      </c>
      <c r="G414" s="46">
        <v>2</v>
      </c>
      <c r="H414" s="47">
        <v>43390</v>
      </c>
      <c r="I414" s="47">
        <v>43397</v>
      </c>
      <c r="J414" s="46">
        <v>969100</v>
      </c>
      <c r="K414" s="46">
        <v>0</v>
      </c>
      <c r="L414" s="46">
        <v>0</v>
      </c>
      <c r="M414" s="46">
        <f t="shared" si="128"/>
        <v>969100</v>
      </c>
      <c r="N414" s="46">
        <v>1105324</v>
      </c>
      <c r="O414" s="48">
        <f t="shared" si="129"/>
        <v>0.12324350145296759</v>
      </c>
      <c r="P414" s="46">
        <v>969100</v>
      </c>
      <c r="Q414" s="46">
        <v>0</v>
      </c>
      <c r="R414" s="49">
        <f t="shared" si="130"/>
        <v>0</v>
      </c>
      <c r="S414" s="50">
        <f t="shared" si="131"/>
        <v>0</v>
      </c>
      <c r="T414" s="49">
        <f t="shared" si="132"/>
        <v>0</v>
      </c>
      <c r="U414" s="51">
        <f t="shared" si="133"/>
        <v>0</v>
      </c>
      <c r="V414" s="52">
        <f>IF(0&lt;0.8,0,IF(0&lt;1,Sheet3!L354,1))*IF(G414&lt;3,0.12 - O414,0.01) *U414</f>
        <v>0</v>
      </c>
      <c r="W414" s="52">
        <f t="shared" si="134"/>
        <v>0</v>
      </c>
      <c r="X414" s="53">
        <f t="shared" si="135"/>
        <v>0</v>
      </c>
      <c r="Y414" s="53">
        <f t="shared" si="136"/>
        <v>0</v>
      </c>
      <c r="Z414" s="54">
        <f t="shared" si="137"/>
        <v>0</v>
      </c>
      <c r="AA414" s="54">
        <f t="shared" si="138"/>
        <v>0</v>
      </c>
      <c r="AB414" s="55">
        <f t="shared" si="143"/>
        <v>0</v>
      </c>
      <c r="AC414" s="55">
        <f t="shared" si="140"/>
        <v>0</v>
      </c>
      <c r="AD414" s="56">
        <f t="shared" si="141"/>
        <v>0</v>
      </c>
    </row>
    <row r="415" spans="3:30">
      <c r="C415" s="43" t="s">
        <v>776</v>
      </c>
      <c r="D415" s="44" t="s">
        <v>777</v>
      </c>
      <c r="E415" s="44"/>
      <c r="F415" s="45">
        <v>43235.43032407407</v>
      </c>
      <c r="G415" s="46">
        <v>4</v>
      </c>
      <c r="H415" s="47">
        <v>43376</v>
      </c>
      <c r="I415" s="47">
        <v>43410</v>
      </c>
      <c r="J415" s="46">
        <v>1838524</v>
      </c>
      <c r="K415" s="46">
        <v>0</v>
      </c>
      <c r="L415" s="46">
        <v>0</v>
      </c>
      <c r="M415" s="46">
        <f t="shared" si="128"/>
        <v>1838524</v>
      </c>
      <c r="N415" s="46">
        <v>225785</v>
      </c>
      <c r="O415" s="48">
        <f t="shared" si="129"/>
        <v>0</v>
      </c>
      <c r="P415" s="46">
        <v>0</v>
      </c>
      <c r="Q415" s="46">
        <v>1838524</v>
      </c>
      <c r="R415" s="49">
        <f t="shared" si="130"/>
        <v>1</v>
      </c>
      <c r="S415" s="50">
        <f t="shared" si="131"/>
        <v>0.01</v>
      </c>
      <c r="T415" s="49">
        <f t="shared" si="132"/>
        <v>18385.240000000002</v>
      </c>
      <c r="U415" s="51">
        <f t="shared" si="133"/>
        <v>0</v>
      </c>
      <c r="V415" s="52">
        <f>IF(0&lt;0.8,0,IF(0&lt;1,Sheet3!L354,1))*IF(G415&lt;3,0.12 - O415,0.01) *U415</f>
        <v>0</v>
      </c>
      <c r="W415" s="52">
        <f t="shared" si="134"/>
        <v>0</v>
      </c>
      <c r="X415" s="53">
        <f t="shared" si="135"/>
        <v>0</v>
      </c>
      <c r="Y415" s="53">
        <f t="shared" si="136"/>
        <v>0</v>
      </c>
      <c r="Z415" s="54">
        <f t="shared" si="137"/>
        <v>0</v>
      </c>
      <c r="AA415" s="54">
        <f t="shared" si="138"/>
        <v>0</v>
      </c>
      <c r="AB415" s="55">
        <f>IF(R415=0,1260220,0)</f>
        <v>0</v>
      </c>
      <c r="AC415" s="55">
        <f t="shared" si="140"/>
        <v>0</v>
      </c>
      <c r="AD415" s="56">
        <f t="shared" si="141"/>
        <v>18385.240000000002</v>
      </c>
    </row>
    <row r="416" spans="3:30">
      <c r="C416" s="43" t="s">
        <v>778</v>
      </c>
      <c r="D416" s="44" t="s">
        <v>779</v>
      </c>
      <c r="E416" s="44"/>
      <c r="F416" s="45">
        <v>42874.120879629627</v>
      </c>
      <c r="G416" s="46">
        <v>16</v>
      </c>
      <c r="H416" s="47">
        <v>43388</v>
      </c>
      <c r="I416" s="47">
        <v>43398</v>
      </c>
      <c r="J416" s="46">
        <v>1161480</v>
      </c>
      <c r="K416" s="46">
        <v>0</v>
      </c>
      <c r="L416" s="46">
        <v>0</v>
      </c>
      <c r="M416" s="46">
        <f t="shared" si="128"/>
        <v>1161480</v>
      </c>
      <c r="N416" s="46">
        <v>1146435</v>
      </c>
      <c r="O416" s="48">
        <f t="shared" si="129"/>
        <v>0</v>
      </c>
      <c r="P416" s="46">
        <v>0</v>
      </c>
      <c r="Q416" s="46">
        <v>1161480</v>
      </c>
      <c r="R416" s="49">
        <f t="shared" si="130"/>
        <v>1</v>
      </c>
      <c r="S416" s="50">
        <f t="shared" si="131"/>
        <v>0.01</v>
      </c>
      <c r="T416" s="49">
        <f t="shared" si="132"/>
        <v>11614.800000000001</v>
      </c>
      <c r="U416" s="51">
        <f t="shared" si="133"/>
        <v>0</v>
      </c>
      <c r="V416" s="52">
        <f>IF(0&lt;0.8,0,IF(0&lt;1,Sheet3!L354,1))*IF(G416&lt;3,0.12 - O416,0.01) *U416</f>
        <v>0</v>
      </c>
      <c r="W416" s="52">
        <f t="shared" si="134"/>
        <v>0</v>
      </c>
      <c r="X416" s="53">
        <f t="shared" si="135"/>
        <v>0</v>
      </c>
      <c r="Y416" s="53">
        <f t="shared" si="136"/>
        <v>0</v>
      </c>
      <c r="Z416" s="54">
        <f t="shared" si="137"/>
        <v>0</v>
      </c>
      <c r="AA416" s="54">
        <f t="shared" si="138"/>
        <v>0</v>
      </c>
      <c r="AB416" s="55">
        <f>IF(R416=0,0,0)</f>
        <v>0</v>
      </c>
      <c r="AC416" s="55">
        <f t="shared" si="140"/>
        <v>0</v>
      </c>
      <c r="AD416" s="56">
        <f t="shared" si="141"/>
        <v>11614.800000000001</v>
      </c>
    </row>
    <row r="417" spans="3:30">
      <c r="C417" s="43" t="s">
        <v>780</v>
      </c>
      <c r="D417" s="44" t="s">
        <v>781</v>
      </c>
      <c r="E417" s="44"/>
      <c r="F417" s="45">
        <v>42893.217152777775</v>
      </c>
      <c r="G417" s="46">
        <v>15</v>
      </c>
      <c r="H417" s="47">
        <v>43383</v>
      </c>
      <c r="I417" s="47">
        <v>43390</v>
      </c>
      <c r="J417" s="46">
        <v>239580</v>
      </c>
      <c r="K417" s="46">
        <v>0</v>
      </c>
      <c r="L417" s="46">
        <v>0</v>
      </c>
      <c r="M417" s="46">
        <f t="shared" si="128"/>
        <v>239580</v>
      </c>
      <c r="N417" s="46">
        <v>239580</v>
      </c>
      <c r="O417" s="48">
        <f t="shared" si="129"/>
        <v>0</v>
      </c>
      <c r="P417" s="46">
        <v>0</v>
      </c>
      <c r="Q417" s="46">
        <v>239580</v>
      </c>
      <c r="R417" s="49">
        <f t="shared" si="130"/>
        <v>1</v>
      </c>
      <c r="S417" s="50">
        <f t="shared" si="131"/>
        <v>0.01</v>
      </c>
      <c r="T417" s="49">
        <f t="shared" si="132"/>
        <v>2395.8000000000002</v>
      </c>
      <c r="U417" s="51">
        <f t="shared" si="133"/>
        <v>0</v>
      </c>
      <c r="V417" s="52">
        <f>IF(0&lt;0.8,0,IF(0&lt;1,Sheet3!L354,1))*IF(G417&lt;3,0.12 - O417,0.01) *U417</f>
        <v>0</v>
      </c>
      <c r="W417" s="52">
        <f t="shared" si="134"/>
        <v>0</v>
      </c>
      <c r="X417" s="53">
        <f t="shared" si="135"/>
        <v>0</v>
      </c>
      <c r="Y417" s="53">
        <f t="shared" si="136"/>
        <v>0</v>
      </c>
      <c r="Z417" s="54">
        <f t="shared" si="137"/>
        <v>0</v>
      </c>
      <c r="AA417" s="54">
        <f t="shared" si="138"/>
        <v>0</v>
      </c>
      <c r="AB417" s="55">
        <f>IF(R417=0,0,0)</f>
        <v>0</v>
      </c>
      <c r="AC417" s="55">
        <f t="shared" si="140"/>
        <v>0</v>
      </c>
      <c r="AD417" s="56">
        <f t="shared" si="141"/>
        <v>2395.8000000000002</v>
      </c>
    </row>
    <row r="418" spans="3:30">
      <c r="C418" s="43" t="s">
        <v>782</v>
      </c>
      <c r="D418" s="44" t="s">
        <v>783</v>
      </c>
      <c r="E418" s="44"/>
      <c r="F418" s="45">
        <v>42899.137025462958</v>
      </c>
      <c r="G418" s="46">
        <v>15</v>
      </c>
      <c r="H418" s="47">
        <v>43383</v>
      </c>
      <c r="I418" s="47">
        <v>43389</v>
      </c>
      <c r="J418" s="46">
        <v>100188</v>
      </c>
      <c r="K418" s="46">
        <v>0</v>
      </c>
      <c r="L418" s="46">
        <v>0</v>
      </c>
      <c r="M418" s="46">
        <f t="shared" si="128"/>
        <v>100188</v>
      </c>
      <c r="N418" s="46">
        <v>100188</v>
      </c>
      <c r="O418" s="48">
        <f t="shared" si="129"/>
        <v>0</v>
      </c>
      <c r="P418" s="46">
        <v>0</v>
      </c>
      <c r="Q418" s="46">
        <v>100188</v>
      </c>
      <c r="R418" s="49">
        <f t="shared" si="130"/>
        <v>1</v>
      </c>
      <c r="S418" s="50">
        <f t="shared" si="131"/>
        <v>0.01</v>
      </c>
      <c r="T418" s="49">
        <f t="shared" si="132"/>
        <v>1001.88</v>
      </c>
      <c r="U418" s="51">
        <f t="shared" si="133"/>
        <v>0</v>
      </c>
      <c r="V418" s="52">
        <f>IF(0&lt;0.8,0,IF(0&lt;1,Sheet3!L354,1))*IF(G418&lt;3,0.12 - O418,0.01) *U418</f>
        <v>0</v>
      </c>
      <c r="W418" s="52">
        <f t="shared" si="134"/>
        <v>0</v>
      </c>
      <c r="X418" s="53">
        <f t="shared" si="135"/>
        <v>0</v>
      </c>
      <c r="Y418" s="53">
        <f t="shared" si="136"/>
        <v>0</v>
      </c>
      <c r="Z418" s="54">
        <f t="shared" si="137"/>
        <v>0</v>
      </c>
      <c r="AA418" s="54">
        <f t="shared" si="138"/>
        <v>0</v>
      </c>
      <c r="AB418" s="55">
        <f>IF(R418=0,0,0)</f>
        <v>0</v>
      </c>
      <c r="AC418" s="55">
        <f t="shared" si="140"/>
        <v>0</v>
      </c>
      <c r="AD418" s="56">
        <f t="shared" si="141"/>
        <v>1001.88</v>
      </c>
    </row>
    <row r="419" spans="3:30">
      <c r="C419" s="43" t="s">
        <v>784</v>
      </c>
      <c r="D419" s="44" t="s">
        <v>785</v>
      </c>
      <c r="E419" s="44"/>
      <c r="F419" s="45">
        <v>43054.329791666663</v>
      </c>
      <c r="G419" s="46">
        <v>10</v>
      </c>
      <c r="H419" s="47">
        <v>43395</v>
      </c>
      <c r="I419" s="47">
        <v>43424</v>
      </c>
      <c r="J419" s="46">
        <v>295482</v>
      </c>
      <c r="K419" s="46">
        <v>0</v>
      </c>
      <c r="L419" s="46">
        <v>0</v>
      </c>
      <c r="M419" s="46">
        <f t="shared" si="128"/>
        <v>295482</v>
      </c>
      <c r="N419" s="46">
        <v>295482</v>
      </c>
      <c r="O419" s="48">
        <f t="shared" si="129"/>
        <v>0</v>
      </c>
      <c r="P419" s="46">
        <v>0</v>
      </c>
      <c r="Q419" s="46">
        <v>295482</v>
      </c>
      <c r="R419" s="49">
        <f t="shared" si="130"/>
        <v>1</v>
      </c>
      <c r="S419" s="50">
        <f t="shared" si="131"/>
        <v>0.01</v>
      </c>
      <c r="T419" s="49">
        <f t="shared" si="132"/>
        <v>2954.82</v>
      </c>
      <c r="U419" s="51">
        <f t="shared" si="133"/>
        <v>0</v>
      </c>
      <c r="V419" s="52">
        <f>IF(0&lt;0.8,0,IF(0&lt;1,Sheet3!L354,1))*IF(G419&lt;3,0.12 - O419,0.01) *U419</f>
        <v>0</v>
      </c>
      <c r="W419" s="52">
        <f t="shared" si="134"/>
        <v>0</v>
      </c>
      <c r="X419" s="53">
        <f t="shared" si="135"/>
        <v>0</v>
      </c>
      <c r="Y419" s="53">
        <f t="shared" si="136"/>
        <v>0</v>
      </c>
      <c r="Z419" s="54">
        <f t="shared" si="137"/>
        <v>0</v>
      </c>
      <c r="AA419" s="54">
        <f t="shared" si="138"/>
        <v>0</v>
      </c>
      <c r="AB419" s="55">
        <f>IF(R419=0,0,0)</f>
        <v>0</v>
      </c>
      <c r="AC419" s="55">
        <f t="shared" si="140"/>
        <v>0</v>
      </c>
      <c r="AD419" s="56">
        <f t="shared" si="141"/>
        <v>2954.82</v>
      </c>
    </row>
    <row r="420" spans="3:30">
      <c r="C420" s="43" t="s">
        <v>786</v>
      </c>
      <c r="D420" s="44" t="s">
        <v>787</v>
      </c>
      <c r="E420" s="44"/>
      <c r="F420" s="45">
        <v>42913.283148148148</v>
      </c>
      <c r="G420" s="46">
        <v>15</v>
      </c>
      <c r="H420" s="47">
        <v>43376</v>
      </c>
      <c r="I420" s="47">
        <v>43449</v>
      </c>
      <c r="J420" s="46">
        <v>1863670</v>
      </c>
      <c r="K420" s="46">
        <v>0</v>
      </c>
      <c r="L420" s="46">
        <v>0</v>
      </c>
      <c r="M420" s="46">
        <f t="shared" ref="M420:M436" si="144">IFERROR(J420-K420-L420,0)</f>
        <v>1863670</v>
      </c>
      <c r="N420" s="46">
        <v>2045669</v>
      </c>
      <c r="O420" s="48">
        <f t="shared" ref="O420:O436" si="145">IFERROR(IF(1 - M420/N420&lt;0,0,1-M420/N420),0)</f>
        <v>8.8967961092434766E-2</v>
      </c>
      <c r="P420" s="46">
        <v>0</v>
      </c>
      <c r="Q420" s="46">
        <v>1863670</v>
      </c>
      <c r="R420" s="49">
        <f t="shared" ref="R420:R436" si="146">IF(F420&lt;DATEVALUE("2018-07-01"),1,0)</f>
        <v>1</v>
      </c>
      <c r="S420" s="50">
        <f t="shared" ref="S420:S436" si="147">IF(R420=1,1%,0)</f>
        <v>0.01</v>
      </c>
      <c r="T420" s="49">
        <f t="shared" ref="T420:T436" si="148">IFERROR(S420*M420,0)</f>
        <v>18636.7</v>
      </c>
      <c r="U420" s="51">
        <f t="shared" ref="U420:U436" si="149">IF(O420&lt;=0.12,1,0)*(1-R420)*M420</f>
        <v>0</v>
      </c>
      <c r="V420" s="52">
        <f>IF(0&lt;0.8,0,IF(0&lt;1,Sheet3!L354,1))*IF(G420&lt;3,0.12 - O420,0.01) *U420</f>
        <v>0</v>
      </c>
      <c r="W420" s="52">
        <f t="shared" ref="W420:W436" si="150">IF(0&gt;1,IF(0&lt;=1.1,1,IF(0&lt;=1.2,2,IF(0&lt;=1.5,3,5))),0) * 1000000</f>
        <v>0</v>
      </c>
      <c r="X420" s="53">
        <f t="shared" ref="X420:X436" si="151">IF(AND(P420&gt;=150000000,P420&lt;300000000),5000000,IF(AND(P420&gt;=300000000,P420&lt;500000000),10000000,IF(AND(P420&gt;=300000000,P420&lt;500000000),15000000,IF(AND(P420&gt;=500000000,P420&lt;3000000000),20000000,IF(P420&gt;=30000000000,35000000,0))))) * (1-R420)</f>
        <v>0</v>
      </c>
      <c r="Y420" s="53">
        <f t="shared" ref="Y420:Y436" si="152">IFERROR(Q420 * (1-R420),0)</f>
        <v>0</v>
      </c>
      <c r="Z420" s="54">
        <f t="shared" ref="Z420:Z452" si="153">IF(R420=1,0,0)</f>
        <v>0</v>
      </c>
      <c r="AA420" s="54">
        <f t="shared" ref="AA420:AA436" si="154">IFERROR((1-R420) * Z420 * 2%,0)</f>
        <v>0</v>
      </c>
      <c r="AB420" s="55">
        <f>IF(R420=0,0,0)</f>
        <v>0</v>
      </c>
      <c r="AC420" s="55">
        <f t="shared" ref="AC420:AC436" si="155">IFERROR(AB420 * (1-R420) * 2%,0)</f>
        <v>0</v>
      </c>
      <c r="AD420" s="56">
        <f t="shared" ref="AD420:AD436" si="156">T420+V420+W420+X420+AA420+AC420</f>
        <v>18636.7</v>
      </c>
    </row>
    <row r="421" spans="3:30">
      <c r="C421" s="43" t="s">
        <v>788</v>
      </c>
      <c r="D421" s="44" t="s">
        <v>789</v>
      </c>
      <c r="E421" s="44"/>
      <c r="F421" s="45">
        <v>42311.659745370365</v>
      </c>
      <c r="G421" s="46">
        <v>34</v>
      </c>
      <c r="H421" s="47" t="s">
        <v>24</v>
      </c>
      <c r="I421" s="47" t="s">
        <v>24</v>
      </c>
      <c r="J421" s="46">
        <v>306880</v>
      </c>
      <c r="K421" s="46">
        <v>0</v>
      </c>
      <c r="L421" s="46">
        <v>0</v>
      </c>
      <c r="M421" s="46">
        <f t="shared" si="144"/>
        <v>306880</v>
      </c>
      <c r="N421" s="46" t="s">
        <v>24</v>
      </c>
      <c r="O421" s="48">
        <f t="shared" si="145"/>
        <v>0</v>
      </c>
      <c r="P421" s="46">
        <v>0</v>
      </c>
      <c r="Q421" s="46">
        <v>0</v>
      </c>
      <c r="R421" s="49">
        <f t="shared" si="146"/>
        <v>1</v>
      </c>
      <c r="S421" s="50">
        <f t="shared" si="147"/>
        <v>0.01</v>
      </c>
      <c r="T421" s="49">
        <f t="shared" si="148"/>
        <v>3068.8</v>
      </c>
      <c r="U421" s="51">
        <f t="shared" si="149"/>
        <v>0</v>
      </c>
      <c r="V421" s="52">
        <f>IF(0&lt;0.8,0,IF(0&lt;1,Sheet3!L354,1))*IF(G421&lt;3,0.12 - O421,0.01) *U421</f>
        <v>0</v>
      </c>
      <c r="W421" s="52">
        <f t="shared" si="150"/>
        <v>0</v>
      </c>
      <c r="X421" s="53">
        <f t="shared" si="151"/>
        <v>0</v>
      </c>
      <c r="Y421" s="53">
        <f t="shared" si="152"/>
        <v>0</v>
      </c>
      <c r="Z421" s="54">
        <f>IF(R421=1,0,"")</f>
        <v>0</v>
      </c>
      <c r="AA421" s="54">
        <f t="shared" si="154"/>
        <v>0</v>
      </c>
      <c r="AB421" s="55">
        <f>IF(R421=0,"",0)</f>
        <v>0</v>
      </c>
      <c r="AC421" s="55">
        <f t="shared" si="155"/>
        <v>0</v>
      </c>
      <c r="AD421" s="56">
        <f t="shared" si="156"/>
        <v>3068.8</v>
      </c>
    </row>
    <row r="422" spans="3:30">
      <c r="C422" s="43" t="s">
        <v>788</v>
      </c>
      <c r="D422" s="44" t="s">
        <v>789</v>
      </c>
      <c r="E422" s="44"/>
      <c r="F422" s="45">
        <v>42311.659745370365</v>
      </c>
      <c r="G422" s="46">
        <v>34</v>
      </c>
      <c r="H422" s="47" t="s">
        <v>24</v>
      </c>
      <c r="I422" s="47" t="s">
        <v>24</v>
      </c>
      <c r="J422" s="46">
        <v>306880</v>
      </c>
      <c r="K422" s="46">
        <v>0</v>
      </c>
      <c r="L422" s="46">
        <v>0</v>
      </c>
      <c r="M422" s="46">
        <f t="shared" si="144"/>
        <v>306880</v>
      </c>
      <c r="N422" s="46" t="s">
        <v>24</v>
      </c>
      <c r="O422" s="48">
        <f t="shared" si="145"/>
        <v>0</v>
      </c>
      <c r="P422" s="46">
        <v>0</v>
      </c>
      <c r="Q422" s="46">
        <v>0</v>
      </c>
      <c r="R422" s="49">
        <f t="shared" si="146"/>
        <v>1</v>
      </c>
      <c r="S422" s="50">
        <f t="shared" si="147"/>
        <v>0.01</v>
      </c>
      <c r="T422" s="49">
        <f t="shared" si="148"/>
        <v>3068.8</v>
      </c>
      <c r="U422" s="51">
        <f t="shared" si="149"/>
        <v>0</v>
      </c>
      <c r="V422" s="52">
        <f>IF(0&lt;0.8,0,IF(0&lt;1,Sheet3!L354,1))*IF(G422&lt;3,0.12 - O422,0.01) *U422</f>
        <v>0</v>
      </c>
      <c r="W422" s="52">
        <f t="shared" si="150"/>
        <v>0</v>
      </c>
      <c r="X422" s="53">
        <f t="shared" si="151"/>
        <v>0</v>
      </c>
      <c r="Y422" s="53">
        <f t="shared" si="152"/>
        <v>0</v>
      </c>
      <c r="Z422" s="54">
        <f>IF(R422=1,0,"")</f>
        <v>0</v>
      </c>
      <c r="AA422" s="54">
        <f t="shared" si="154"/>
        <v>0</v>
      </c>
      <c r="AB422" s="55">
        <f>IF(R422=0,"",0)</f>
        <v>0</v>
      </c>
      <c r="AC422" s="55">
        <f t="shared" si="155"/>
        <v>0</v>
      </c>
      <c r="AD422" s="56">
        <f t="shared" si="156"/>
        <v>3068.8</v>
      </c>
    </row>
    <row r="423" spans="3:30">
      <c r="C423" s="43" t="s">
        <v>790</v>
      </c>
      <c r="D423" s="44" t="s">
        <v>791</v>
      </c>
      <c r="E423" s="44"/>
      <c r="F423" s="45">
        <v>42916.171111111107</v>
      </c>
      <c r="G423" s="46">
        <v>15</v>
      </c>
      <c r="H423" s="47" t="s">
        <v>24</v>
      </c>
      <c r="I423" s="47" t="s">
        <v>24</v>
      </c>
      <c r="J423" s="46">
        <v>45133</v>
      </c>
      <c r="K423" s="46">
        <v>0</v>
      </c>
      <c r="L423" s="46">
        <v>0</v>
      </c>
      <c r="M423" s="46">
        <f t="shared" si="144"/>
        <v>45133</v>
      </c>
      <c r="N423" s="46">
        <v>45133</v>
      </c>
      <c r="O423" s="48">
        <f t="shared" si="145"/>
        <v>0</v>
      </c>
      <c r="P423" s="46">
        <v>0</v>
      </c>
      <c r="Q423" s="46">
        <v>45133</v>
      </c>
      <c r="R423" s="49">
        <f t="shared" si="146"/>
        <v>1</v>
      </c>
      <c r="S423" s="50">
        <f t="shared" si="147"/>
        <v>0.01</v>
      </c>
      <c r="T423" s="49">
        <f t="shared" si="148"/>
        <v>451.33</v>
      </c>
      <c r="U423" s="51">
        <f t="shared" si="149"/>
        <v>0</v>
      </c>
      <c r="V423" s="52">
        <f>IF(0&lt;0.8,0,IF(0&lt;1,Sheet3!L354,1))*IF(G423&lt;3,0.12 - O423,0.01) *U423</f>
        <v>0</v>
      </c>
      <c r="W423" s="52">
        <f t="shared" si="150"/>
        <v>0</v>
      </c>
      <c r="X423" s="53">
        <f t="shared" si="151"/>
        <v>0</v>
      </c>
      <c r="Y423" s="53">
        <f t="shared" si="152"/>
        <v>0</v>
      </c>
      <c r="Z423" s="54">
        <f t="shared" ref="Z423:Z436" si="157">IF(R423=1,0,0)</f>
        <v>0</v>
      </c>
      <c r="AA423" s="54">
        <f t="shared" si="154"/>
        <v>0</v>
      </c>
      <c r="AB423" s="55">
        <f t="shared" ref="AB423:AB436" si="158">IF(R423=0,0,0)</f>
        <v>0</v>
      </c>
      <c r="AC423" s="55">
        <f t="shared" si="155"/>
        <v>0</v>
      </c>
      <c r="AD423" s="56">
        <f t="shared" si="156"/>
        <v>451.33</v>
      </c>
    </row>
    <row r="424" spans="3:30">
      <c r="C424" s="43" t="s">
        <v>792</v>
      </c>
      <c r="D424" s="44" t="s">
        <v>793</v>
      </c>
      <c r="E424" s="44"/>
      <c r="F424" s="45">
        <v>42916.14770833333</v>
      </c>
      <c r="G424" s="46">
        <v>15</v>
      </c>
      <c r="H424" s="47">
        <v>43376</v>
      </c>
      <c r="I424" s="47">
        <v>43392</v>
      </c>
      <c r="J424" s="46">
        <v>659571</v>
      </c>
      <c r="K424" s="46">
        <v>0</v>
      </c>
      <c r="L424" s="46">
        <v>0</v>
      </c>
      <c r="M424" s="46">
        <f t="shared" si="144"/>
        <v>659571</v>
      </c>
      <c r="N424" s="46">
        <v>659571</v>
      </c>
      <c r="O424" s="48">
        <f t="shared" si="145"/>
        <v>0</v>
      </c>
      <c r="P424" s="46">
        <v>0</v>
      </c>
      <c r="Q424" s="46">
        <v>659571</v>
      </c>
      <c r="R424" s="49">
        <f t="shared" si="146"/>
        <v>1</v>
      </c>
      <c r="S424" s="50">
        <f t="shared" si="147"/>
        <v>0.01</v>
      </c>
      <c r="T424" s="49">
        <f t="shared" si="148"/>
        <v>6595.71</v>
      </c>
      <c r="U424" s="51">
        <f t="shared" si="149"/>
        <v>0</v>
      </c>
      <c r="V424" s="52">
        <f>IF(0&lt;0.8,0,IF(0&lt;1,Sheet3!L354,1))*IF(G424&lt;3,0.12 - O424,0.01) *U424</f>
        <v>0</v>
      </c>
      <c r="W424" s="52">
        <f t="shared" si="150"/>
        <v>0</v>
      </c>
      <c r="X424" s="53">
        <f t="shared" si="151"/>
        <v>0</v>
      </c>
      <c r="Y424" s="53">
        <f t="shared" si="152"/>
        <v>0</v>
      </c>
      <c r="Z424" s="54">
        <f t="shared" si="157"/>
        <v>0</v>
      </c>
      <c r="AA424" s="54">
        <f t="shared" si="154"/>
        <v>0</v>
      </c>
      <c r="AB424" s="55">
        <f t="shared" si="158"/>
        <v>0</v>
      </c>
      <c r="AC424" s="55">
        <f t="shared" si="155"/>
        <v>0</v>
      </c>
      <c r="AD424" s="56">
        <f t="shared" si="156"/>
        <v>6595.71</v>
      </c>
    </row>
    <row r="425" spans="3:30">
      <c r="C425" s="43" t="s">
        <v>794</v>
      </c>
      <c r="D425" s="44" t="s">
        <v>795</v>
      </c>
      <c r="E425" s="44"/>
      <c r="F425" s="45">
        <v>42923.090254629627</v>
      </c>
      <c r="G425" s="46">
        <v>14</v>
      </c>
      <c r="H425" s="47">
        <v>43376</v>
      </c>
      <c r="I425" s="47">
        <v>43417</v>
      </c>
      <c r="J425" s="46">
        <v>3972381</v>
      </c>
      <c r="K425" s="46">
        <v>0</v>
      </c>
      <c r="L425" s="46">
        <v>0</v>
      </c>
      <c r="M425" s="46">
        <f t="shared" si="144"/>
        <v>3972381</v>
      </c>
      <c r="N425" s="46">
        <v>3972381</v>
      </c>
      <c r="O425" s="48">
        <f t="shared" si="145"/>
        <v>0</v>
      </c>
      <c r="P425" s="46">
        <v>0</v>
      </c>
      <c r="Q425" s="46">
        <v>3972381</v>
      </c>
      <c r="R425" s="49">
        <f t="shared" si="146"/>
        <v>1</v>
      </c>
      <c r="S425" s="50">
        <f t="shared" si="147"/>
        <v>0.01</v>
      </c>
      <c r="T425" s="49">
        <f t="shared" si="148"/>
        <v>39723.81</v>
      </c>
      <c r="U425" s="51">
        <f t="shared" si="149"/>
        <v>0</v>
      </c>
      <c r="V425" s="52">
        <f>IF(0&lt;0.8,0,IF(0&lt;1,Sheet3!L354,1))*IF(G425&lt;3,0.12 - O425,0.01) *U425</f>
        <v>0</v>
      </c>
      <c r="W425" s="52">
        <f t="shared" si="150"/>
        <v>0</v>
      </c>
      <c r="X425" s="53">
        <f t="shared" si="151"/>
        <v>0</v>
      </c>
      <c r="Y425" s="53">
        <f t="shared" si="152"/>
        <v>0</v>
      </c>
      <c r="Z425" s="54">
        <f t="shared" si="157"/>
        <v>0</v>
      </c>
      <c r="AA425" s="54">
        <f t="shared" si="154"/>
        <v>0</v>
      </c>
      <c r="AB425" s="55">
        <f t="shared" si="158"/>
        <v>0</v>
      </c>
      <c r="AC425" s="55">
        <f t="shared" si="155"/>
        <v>0</v>
      </c>
      <c r="AD425" s="56">
        <f t="shared" si="156"/>
        <v>39723.81</v>
      </c>
    </row>
    <row r="426" spans="3:30">
      <c r="C426" s="43" t="s">
        <v>796</v>
      </c>
      <c r="D426" s="44" t="s">
        <v>797</v>
      </c>
      <c r="E426" s="44"/>
      <c r="F426" s="45">
        <v>42931.372442129628</v>
      </c>
      <c r="G426" s="46">
        <v>14</v>
      </c>
      <c r="H426" s="47">
        <v>43390</v>
      </c>
      <c r="I426" s="47">
        <v>43420</v>
      </c>
      <c r="J426" s="46">
        <v>2283180</v>
      </c>
      <c r="K426" s="46">
        <v>0</v>
      </c>
      <c r="L426" s="46">
        <v>0</v>
      </c>
      <c r="M426" s="46">
        <f t="shared" si="144"/>
        <v>2283180</v>
      </c>
      <c r="N426" s="46">
        <v>2282758</v>
      </c>
      <c r="O426" s="48">
        <f t="shared" si="145"/>
        <v>0</v>
      </c>
      <c r="P426" s="46">
        <v>0</v>
      </c>
      <c r="Q426" s="46">
        <v>2283180</v>
      </c>
      <c r="R426" s="49">
        <f t="shared" si="146"/>
        <v>1</v>
      </c>
      <c r="S426" s="50">
        <f t="shared" si="147"/>
        <v>0.01</v>
      </c>
      <c r="T426" s="49">
        <f t="shared" si="148"/>
        <v>22831.8</v>
      </c>
      <c r="U426" s="51">
        <f t="shared" si="149"/>
        <v>0</v>
      </c>
      <c r="V426" s="52">
        <f>IF(0&lt;0.8,0,IF(0&lt;1,Sheet3!L354,1))*IF(G426&lt;3,0.12 - O426,0.01) *U426</f>
        <v>0</v>
      </c>
      <c r="W426" s="52">
        <f t="shared" si="150"/>
        <v>0</v>
      </c>
      <c r="X426" s="53">
        <f t="shared" si="151"/>
        <v>0</v>
      </c>
      <c r="Y426" s="53">
        <f t="shared" si="152"/>
        <v>0</v>
      </c>
      <c r="Z426" s="54">
        <f t="shared" si="157"/>
        <v>0</v>
      </c>
      <c r="AA426" s="54">
        <f t="shared" si="154"/>
        <v>0</v>
      </c>
      <c r="AB426" s="55">
        <f t="shared" si="158"/>
        <v>0</v>
      </c>
      <c r="AC426" s="55">
        <f t="shared" si="155"/>
        <v>0</v>
      </c>
      <c r="AD426" s="56">
        <f t="shared" si="156"/>
        <v>22831.8</v>
      </c>
    </row>
    <row r="427" spans="3:30">
      <c r="C427" s="43" t="s">
        <v>798</v>
      </c>
      <c r="D427" s="44" t="s">
        <v>799</v>
      </c>
      <c r="E427" s="44"/>
      <c r="F427" s="45">
        <v>42962.083321759259</v>
      </c>
      <c r="G427" s="46">
        <v>13</v>
      </c>
      <c r="H427" s="47">
        <v>43390</v>
      </c>
      <c r="I427" s="47">
        <v>43400</v>
      </c>
      <c r="J427" s="46">
        <v>1037478</v>
      </c>
      <c r="K427" s="46">
        <v>0</v>
      </c>
      <c r="L427" s="46">
        <v>0</v>
      </c>
      <c r="M427" s="46">
        <f t="shared" si="144"/>
        <v>1037478</v>
      </c>
      <c r="N427" s="46">
        <v>1037478</v>
      </c>
      <c r="O427" s="48">
        <f t="shared" si="145"/>
        <v>0</v>
      </c>
      <c r="P427" s="46">
        <v>0</v>
      </c>
      <c r="Q427" s="46">
        <v>1037478</v>
      </c>
      <c r="R427" s="49">
        <f t="shared" si="146"/>
        <v>1</v>
      </c>
      <c r="S427" s="50">
        <f t="shared" si="147"/>
        <v>0.01</v>
      </c>
      <c r="T427" s="49">
        <f t="shared" si="148"/>
        <v>10374.780000000001</v>
      </c>
      <c r="U427" s="51">
        <f t="shared" si="149"/>
        <v>0</v>
      </c>
      <c r="V427" s="52">
        <f>IF(0&lt;0.8,0,IF(0&lt;1,Sheet3!L354,1))*IF(G427&lt;3,0.12 - O427,0.01) *U427</f>
        <v>0</v>
      </c>
      <c r="W427" s="52">
        <f t="shared" si="150"/>
        <v>0</v>
      </c>
      <c r="X427" s="53">
        <f t="shared" si="151"/>
        <v>0</v>
      </c>
      <c r="Y427" s="53">
        <f t="shared" si="152"/>
        <v>0</v>
      </c>
      <c r="Z427" s="54">
        <f t="shared" si="157"/>
        <v>0</v>
      </c>
      <c r="AA427" s="54">
        <f t="shared" si="154"/>
        <v>0</v>
      </c>
      <c r="AB427" s="55">
        <f t="shared" si="158"/>
        <v>0</v>
      </c>
      <c r="AC427" s="55">
        <f t="shared" si="155"/>
        <v>0</v>
      </c>
      <c r="AD427" s="56">
        <f t="shared" si="156"/>
        <v>10374.780000000001</v>
      </c>
    </row>
    <row r="428" spans="3:30">
      <c r="C428" s="43" t="s">
        <v>800</v>
      </c>
      <c r="D428" s="44" t="s">
        <v>801</v>
      </c>
      <c r="E428" s="44"/>
      <c r="F428" s="45">
        <v>43041.341122685182</v>
      </c>
      <c r="G428" s="46">
        <v>10</v>
      </c>
      <c r="H428" s="47">
        <v>43376</v>
      </c>
      <c r="I428" s="47">
        <v>43382</v>
      </c>
      <c r="J428" s="46">
        <v>1475111</v>
      </c>
      <c r="K428" s="46">
        <v>0</v>
      </c>
      <c r="L428" s="46">
        <v>0</v>
      </c>
      <c r="M428" s="46">
        <f t="shared" si="144"/>
        <v>1475111</v>
      </c>
      <c r="N428" s="46">
        <v>1475111</v>
      </c>
      <c r="O428" s="48">
        <f t="shared" si="145"/>
        <v>0</v>
      </c>
      <c r="P428" s="46">
        <v>0</v>
      </c>
      <c r="Q428" s="46">
        <v>1475111</v>
      </c>
      <c r="R428" s="49">
        <f t="shared" si="146"/>
        <v>1</v>
      </c>
      <c r="S428" s="50">
        <f t="shared" si="147"/>
        <v>0.01</v>
      </c>
      <c r="T428" s="49">
        <f t="shared" si="148"/>
        <v>14751.11</v>
      </c>
      <c r="U428" s="51">
        <f t="shared" si="149"/>
        <v>0</v>
      </c>
      <c r="V428" s="52">
        <f>IF(0&lt;0.8,0,IF(0&lt;1,Sheet3!L354,1))*IF(G428&lt;3,0.12 - O428,0.01) *U428</f>
        <v>0</v>
      </c>
      <c r="W428" s="52">
        <f t="shared" si="150"/>
        <v>0</v>
      </c>
      <c r="X428" s="53">
        <f t="shared" si="151"/>
        <v>0</v>
      </c>
      <c r="Y428" s="53">
        <f t="shared" si="152"/>
        <v>0</v>
      </c>
      <c r="Z428" s="54">
        <f t="shared" si="157"/>
        <v>0</v>
      </c>
      <c r="AA428" s="54">
        <f t="shared" si="154"/>
        <v>0</v>
      </c>
      <c r="AB428" s="55">
        <f t="shared" si="158"/>
        <v>0</v>
      </c>
      <c r="AC428" s="55">
        <f t="shared" si="155"/>
        <v>0</v>
      </c>
      <c r="AD428" s="56">
        <f t="shared" si="156"/>
        <v>14751.11</v>
      </c>
    </row>
    <row r="429" spans="3:30">
      <c r="C429" s="43" t="s">
        <v>802</v>
      </c>
      <c r="D429" s="44" t="s">
        <v>803</v>
      </c>
      <c r="E429" s="44"/>
      <c r="F429" s="45">
        <v>43161.188217592593</v>
      </c>
      <c r="G429" s="46">
        <v>6</v>
      </c>
      <c r="H429" s="47">
        <v>43385</v>
      </c>
      <c r="I429" s="47">
        <v>43403</v>
      </c>
      <c r="J429" s="46">
        <v>11000</v>
      </c>
      <c r="K429" s="46">
        <v>0</v>
      </c>
      <c r="L429" s="46">
        <v>0</v>
      </c>
      <c r="M429" s="46">
        <f t="shared" si="144"/>
        <v>11000</v>
      </c>
      <c r="N429" s="46">
        <v>13310</v>
      </c>
      <c r="O429" s="48">
        <f t="shared" si="145"/>
        <v>0.17355371900826444</v>
      </c>
      <c r="P429" s="46">
        <v>0</v>
      </c>
      <c r="Q429" s="46">
        <v>11000</v>
      </c>
      <c r="R429" s="49">
        <f t="shared" si="146"/>
        <v>1</v>
      </c>
      <c r="S429" s="50">
        <f t="shared" si="147"/>
        <v>0.01</v>
      </c>
      <c r="T429" s="49">
        <f t="shared" si="148"/>
        <v>110</v>
      </c>
      <c r="U429" s="51">
        <f t="shared" si="149"/>
        <v>0</v>
      </c>
      <c r="V429" s="52">
        <f>IF(0&lt;0.8,0,IF(0&lt;1,Sheet3!L354,1))*IF(G429&lt;3,0.12 - O429,0.01) *U429</f>
        <v>0</v>
      </c>
      <c r="W429" s="52">
        <f t="shared" si="150"/>
        <v>0</v>
      </c>
      <c r="X429" s="53">
        <f t="shared" si="151"/>
        <v>0</v>
      </c>
      <c r="Y429" s="53">
        <f t="shared" si="152"/>
        <v>0</v>
      </c>
      <c r="Z429" s="54">
        <f t="shared" si="157"/>
        <v>0</v>
      </c>
      <c r="AA429" s="54">
        <f t="shared" si="154"/>
        <v>0</v>
      </c>
      <c r="AB429" s="55">
        <f t="shared" si="158"/>
        <v>0</v>
      </c>
      <c r="AC429" s="55">
        <f t="shared" si="155"/>
        <v>0</v>
      </c>
      <c r="AD429" s="56">
        <f t="shared" si="156"/>
        <v>110</v>
      </c>
    </row>
    <row r="430" spans="3:30">
      <c r="C430" s="43" t="s">
        <v>804</v>
      </c>
      <c r="D430" s="44" t="s">
        <v>805</v>
      </c>
      <c r="E430" s="44"/>
      <c r="F430" s="45">
        <v>43249.190798611111</v>
      </c>
      <c r="G430" s="46">
        <v>4</v>
      </c>
      <c r="H430" s="47">
        <v>43383</v>
      </c>
      <c r="I430" s="47">
        <v>43409</v>
      </c>
      <c r="J430" s="46">
        <v>1597926</v>
      </c>
      <c r="K430" s="46">
        <v>0</v>
      </c>
      <c r="L430" s="46">
        <v>0</v>
      </c>
      <c r="M430" s="46">
        <f t="shared" si="144"/>
        <v>1597926</v>
      </c>
      <c r="N430" s="46">
        <v>1597926</v>
      </c>
      <c r="O430" s="48">
        <f t="shared" si="145"/>
        <v>0</v>
      </c>
      <c r="P430" s="46">
        <v>0</v>
      </c>
      <c r="Q430" s="46">
        <v>1597926</v>
      </c>
      <c r="R430" s="49">
        <f t="shared" si="146"/>
        <v>1</v>
      </c>
      <c r="S430" s="50">
        <f t="shared" si="147"/>
        <v>0.01</v>
      </c>
      <c r="T430" s="49">
        <f t="shared" si="148"/>
        <v>15979.26</v>
      </c>
      <c r="U430" s="51">
        <f t="shared" si="149"/>
        <v>0</v>
      </c>
      <c r="V430" s="52">
        <f>IF(0&lt;0.8,0,IF(0&lt;1,Sheet3!L354,1))*IF(G430&lt;3,0.12 - O430,0.01) *U430</f>
        <v>0</v>
      </c>
      <c r="W430" s="52">
        <f t="shared" si="150"/>
        <v>0</v>
      </c>
      <c r="X430" s="53">
        <f t="shared" si="151"/>
        <v>0</v>
      </c>
      <c r="Y430" s="53">
        <f t="shared" si="152"/>
        <v>0</v>
      </c>
      <c r="Z430" s="54">
        <f t="shared" si="157"/>
        <v>0</v>
      </c>
      <c r="AA430" s="54">
        <f t="shared" si="154"/>
        <v>0</v>
      </c>
      <c r="AB430" s="55">
        <f t="shared" si="158"/>
        <v>0</v>
      </c>
      <c r="AC430" s="55">
        <f t="shared" si="155"/>
        <v>0</v>
      </c>
      <c r="AD430" s="56">
        <f t="shared" si="156"/>
        <v>15979.26</v>
      </c>
    </row>
    <row r="431" spans="3:30">
      <c r="C431" s="43" t="s">
        <v>806</v>
      </c>
      <c r="D431" s="44" t="s">
        <v>807</v>
      </c>
      <c r="E431" s="44"/>
      <c r="F431" s="45">
        <v>40655.412662037037</v>
      </c>
      <c r="G431" s="46">
        <v>89</v>
      </c>
      <c r="H431" s="47">
        <v>43388</v>
      </c>
      <c r="I431" s="47">
        <v>43434</v>
      </c>
      <c r="J431" s="46">
        <v>2702124</v>
      </c>
      <c r="K431" s="46">
        <v>0</v>
      </c>
      <c r="L431" s="46">
        <v>0</v>
      </c>
      <c r="M431" s="46">
        <f t="shared" si="144"/>
        <v>2702124</v>
      </c>
      <c r="N431" s="46">
        <v>2702124</v>
      </c>
      <c r="O431" s="48">
        <f t="shared" si="145"/>
        <v>0</v>
      </c>
      <c r="P431" s="46">
        <v>0</v>
      </c>
      <c r="Q431" s="46">
        <v>2702124</v>
      </c>
      <c r="R431" s="49">
        <f t="shared" si="146"/>
        <v>1</v>
      </c>
      <c r="S431" s="50">
        <f t="shared" si="147"/>
        <v>0.01</v>
      </c>
      <c r="T431" s="49">
        <f t="shared" si="148"/>
        <v>27021.24</v>
      </c>
      <c r="U431" s="51">
        <f t="shared" si="149"/>
        <v>0</v>
      </c>
      <c r="V431" s="52">
        <f>IF(0&lt;0.8,0,IF(0&lt;1,Sheet3!L354,1))*IF(G431&lt;3,0.12 - O431,0.01) *U431</f>
        <v>0</v>
      </c>
      <c r="W431" s="52">
        <f t="shared" si="150"/>
        <v>0</v>
      </c>
      <c r="X431" s="53">
        <f t="shared" si="151"/>
        <v>0</v>
      </c>
      <c r="Y431" s="53">
        <f t="shared" si="152"/>
        <v>0</v>
      </c>
      <c r="Z431" s="54">
        <f t="shared" si="157"/>
        <v>0</v>
      </c>
      <c r="AA431" s="54">
        <f t="shared" si="154"/>
        <v>0</v>
      </c>
      <c r="AB431" s="55">
        <f t="shared" si="158"/>
        <v>0</v>
      </c>
      <c r="AC431" s="55">
        <f t="shared" si="155"/>
        <v>0</v>
      </c>
      <c r="AD431" s="56">
        <f t="shared" si="156"/>
        <v>27021.24</v>
      </c>
    </row>
    <row r="432" spans="3:30">
      <c r="C432" s="43" t="s">
        <v>808</v>
      </c>
      <c r="D432" s="44" t="s">
        <v>809</v>
      </c>
      <c r="E432" s="44"/>
      <c r="F432" s="45">
        <v>42789.251504629625</v>
      </c>
      <c r="G432" s="46">
        <v>19</v>
      </c>
      <c r="H432" s="47" t="s">
        <v>24</v>
      </c>
      <c r="I432" s="47" t="s">
        <v>24</v>
      </c>
      <c r="J432" s="46">
        <v>9788500</v>
      </c>
      <c r="K432" s="46">
        <v>0</v>
      </c>
      <c r="L432" s="46">
        <v>0</v>
      </c>
      <c r="M432" s="46">
        <f t="shared" si="144"/>
        <v>9788500</v>
      </c>
      <c r="N432" s="46">
        <v>13088286</v>
      </c>
      <c r="O432" s="48">
        <f t="shared" si="145"/>
        <v>0.25211750415600642</v>
      </c>
      <c r="P432" s="46">
        <v>0</v>
      </c>
      <c r="Q432" s="46">
        <v>1551000</v>
      </c>
      <c r="R432" s="49">
        <f t="shared" si="146"/>
        <v>1</v>
      </c>
      <c r="S432" s="50">
        <f t="shared" si="147"/>
        <v>0.01</v>
      </c>
      <c r="T432" s="49">
        <f t="shared" si="148"/>
        <v>97885</v>
      </c>
      <c r="U432" s="51">
        <f t="shared" si="149"/>
        <v>0</v>
      </c>
      <c r="V432" s="52">
        <f>IF(0&lt;0.8,0,IF(0&lt;1,Sheet3!L354,1))*IF(G432&lt;3,0.12 - O432,0.01) *U432</f>
        <v>0</v>
      </c>
      <c r="W432" s="52">
        <f t="shared" si="150"/>
        <v>0</v>
      </c>
      <c r="X432" s="53">
        <f t="shared" si="151"/>
        <v>0</v>
      </c>
      <c r="Y432" s="53">
        <f t="shared" si="152"/>
        <v>0</v>
      </c>
      <c r="Z432" s="54">
        <f t="shared" si="157"/>
        <v>0</v>
      </c>
      <c r="AA432" s="54">
        <f t="shared" si="154"/>
        <v>0</v>
      </c>
      <c r="AB432" s="55">
        <f t="shared" si="158"/>
        <v>0</v>
      </c>
      <c r="AC432" s="55">
        <f t="shared" si="155"/>
        <v>0</v>
      </c>
      <c r="AD432" s="56">
        <f t="shared" si="156"/>
        <v>97885</v>
      </c>
    </row>
    <row r="433" spans="2:30">
      <c r="C433" s="43" t="s">
        <v>810</v>
      </c>
      <c r="D433" s="44" t="s">
        <v>811</v>
      </c>
      <c r="E433" s="44"/>
      <c r="F433" s="45">
        <v>43096.042870370366</v>
      </c>
      <c r="G433" s="46">
        <v>9</v>
      </c>
      <c r="H433" s="47">
        <v>43376</v>
      </c>
      <c r="I433" s="47">
        <v>43400</v>
      </c>
      <c r="J433" s="46">
        <v>1463253</v>
      </c>
      <c r="K433" s="46">
        <v>0</v>
      </c>
      <c r="L433" s="46">
        <v>0</v>
      </c>
      <c r="M433" s="46">
        <f t="shared" si="144"/>
        <v>1463253</v>
      </c>
      <c r="N433" s="46">
        <v>1463253</v>
      </c>
      <c r="O433" s="48">
        <f t="shared" si="145"/>
        <v>0</v>
      </c>
      <c r="P433" s="46">
        <v>0</v>
      </c>
      <c r="Q433" s="46">
        <v>1463253</v>
      </c>
      <c r="R433" s="49">
        <f t="shared" si="146"/>
        <v>1</v>
      </c>
      <c r="S433" s="50">
        <f t="shared" si="147"/>
        <v>0.01</v>
      </c>
      <c r="T433" s="49">
        <f t="shared" si="148"/>
        <v>14632.53</v>
      </c>
      <c r="U433" s="51">
        <f t="shared" si="149"/>
        <v>0</v>
      </c>
      <c r="V433" s="52">
        <f>IF(0&lt;0.8,0,IF(0&lt;1,Sheet3!L354,1))*IF(G433&lt;3,0.12 - O433,0.01) *U433</f>
        <v>0</v>
      </c>
      <c r="W433" s="52">
        <f t="shared" si="150"/>
        <v>0</v>
      </c>
      <c r="X433" s="53">
        <f t="shared" si="151"/>
        <v>0</v>
      </c>
      <c r="Y433" s="53">
        <f t="shared" si="152"/>
        <v>0</v>
      </c>
      <c r="Z433" s="54">
        <f t="shared" si="157"/>
        <v>0</v>
      </c>
      <c r="AA433" s="54">
        <f t="shared" si="154"/>
        <v>0</v>
      </c>
      <c r="AB433" s="55">
        <f t="shared" si="158"/>
        <v>0</v>
      </c>
      <c r="AC433" s="55">
        <f t="shared" si="155"/>
        <v>0</v>
      </c>
      <c r="AD433" s="56">
        <f t="shared" si="156"/>
        <v>14632.53</v>
      </c>
    </row>
    <row r="434" spans="2:30">
      <c r="C434" s="43" t="s">
        <v>812</v>
      </c>
      <c r="D434" s="44" t="s">
        <v>813</v>
      </c>
      <c r="E434" s="44"/>
      <c r="F434" s="45">
        <v>43180.135370370372</v>
      </c>
      <c r="G434" s="46">
        <v>6</v>
      </c>
      <c r="H434" s="47">
        <v>43376</v>
      </c>
      <c r="I434" s="47">
        <v>43405</v>
      </c>
      <c r="J434" s="46">
        <v>1469050</v>
      </c>
      <c r="K434" s="46">
        <v>0</v>
      </c>
      <c r="L434" s="46">
        <v>0</v>
      </c>
      <c r="M434" s="46">
        <f t="shared" si="144"/>
        <v>1469050</v>
      </c>
      <c r="N434" s="46">
        <v>1376073</v>
      </c>
      <c r="O434" s="48">
        <f t="shared" si="145"/>
        <v>0</v>
      </c>
      <c r="P434" s="46">
        <v>0</v>
      </c>
      <c r="Q434" s="46">
        <v>1469050</v>
      </c>
      <c r="R434" s="49">
        <f t="shared" si="146"/>
        <v>1</v>
      </c>
      <c r="S434" s="50">
        <f t="shared" si="147"/>
        <v>0.01</v>
      </c>
      <c r="T434" s="49">
        <f t="shared" si="148"/>
        <v>14690.5</v>
      </c>
      <c r="U434" s="51">
        <f t="shared" si="149"/>
        <v>0</v>
      </c>
      <c r="V434" s="52">
        <f>IF(0&lt;0.8,0,IF(0&lt;1,Sheet3!L354,1))*IF(G434&lt;3,0.12 - O434,0.01) *U434</f>
        <v>0</v>
      </c>
      <c r="W434" s="52">
        <f t="shared" si="150"/>
        <v>0</v>
      </c>
      <c r="X434" s="53">
        <f t="shared" si="151"/>
        <v>0</v>
      </c>
      <c r="Y434" s="53">
        <f t="shared" si="152"/>
        <v>0</v>
      </c>
      <c r="Z434" s="54">
        <f t="shared" si="157"/>
        <v>0</v>
      </c>
      <c r="AA434" s="54">
        <f t="shared" si="154"/>
        <v>0</v>
      </c>
      <c r="AB434" s="55">
        <f t="shared" si="158"/>
        <v>0</v>
      </c>
      <c r="AC434" s="55">
        <f t="shared" si="155"/>
        <v>0</v>
      </c>
      <c r="AD434" s="56">
        <f t="shared" si="156"/>
        <v>14690.5</v>
      </c>
    </row>
    <row r="435" spans="2:30">
      <c r="C435" s="43" t="s">
        <v>814</v>
      </c>
      <c r="D435" s="44" t="s">
        <v>815</v>
      </c>
      <c r="E435" s="44"/>
      <c r="F435" s="45">
        <v>43253.202939814815</v>
      </c>
      <c r="G435" s="46">
        <v>3</v>
      </c>
      <c r="H435" s="47">
        <v>43426</v>
      </c>
      <c r="I435" s="47">
        <v>43440</v>
      </c>
      <c r="J435" s="46">
        <v>40089769</v>
      </c>
      <c r="K435" s="46">
        <v>0</v>
      </c>
      <c r="L435" s="46">
        <v>0</v>
      </c>
      <c r="M435" s="46">
        <f t="shared" si="144"/>
        <v>40089769</v>
      </c>
      <c r="N435" s="46">
        <v>44016489</v>
      </c>
      <c r="O435" s="48">
        <f t="shared" si="145"/>
        <v>8.9210204839372809E-2</v>
      </c>
      <c r="P435" s="46">
        <v>0</v>
      </c>
      <c r="Q435" s="46">
        <v>0</v>
      </c>
      <c r="R435" s="49">
        <f t="shared" si="146"/>
        <v>1</v>
      </c>
      <c r="S435" s="50">
        <f t="shared" si="147"/>
        <v>0.01</v>
      </c>
      <c r="T435" s="49">
        <f t="shared" si="148"/>
        <v>400897.69</v>
      </c>
      <c r="U435" s="51">
        <f t="shared" si="149"/>
        <v>0</v>
      </c>
      <c r="V435" s="52">
        <f>IF(0&lt;0.8,0,IF(0&lt;1,Sheet3!L354,1))*IF(G435&lt;3,0.12 - O435,0.01) *U435</f>
        <v>0</v>
      </c>
      <c r="W435" s="52">
        <f t="shared" si="150"/>
        <v>0</v>
      </c>
      <c r="X435" s="53">
        <f t="shared" si="151"/>
        <v>0</v>
      </c>
      <c r="Y435" s="53">
        <f t="shared" si="152"/>
        <v>0</v>
      </c>
      <c r="Z435" s="54">
        <f t="shared" si="157"/>
        <v>0</v>
      </c>
      <c r="AA435" s="54">
        <f t="shared" si="154"/>
        <v>0</v>
      </c>
      <c r="AB435" s="55">
        <f t="shared" si="158"/>
        <v>0</v>
      </c>
      <c r="AC435" s="55">
        <f t="shared" si="155"/>
        <v>0</v>
      </c>
      <c r="AD435" s="56">
        <f t="shared" si="156"/>
        <v>400897.69</v>
      </c>
    </row>
    <row r="436" spans="2:30">
      <c r="C436" s="43" t="s">
        <v>816</v>
      </c>
      <c r="D436" s="44" t="s">
        <v>817</v>
      </c>
      <c r="E436" s="44"/>
      <c r="F436" s="45">
        <v>43138.233078703699</v>
      </c>
      <c r="G436" s="46">
        <v>7</v>
      </c>
      <c r="H436" s="47">
        <v>43376</v>
      </c>
      <c r="I436" s="47">
        <v>43411</v>
      </c>
      <c r="J436" s="46">
        <v>268840</v>
      </c>
      <c r="K436" s="46">
        <v>0</v>
      </c>
      <c r="L436" s="46">
        <v>0</v>
      </c>
      <c r="M436" s="46">
        <f t="shared" si="144"/>
        <v>268840</v>
      </c>
      <c r="N436" s="46">
        <v>295460</v>
      </c>
      <c r="O436" s="48">
        <f t="shared" si="145"/>
        <v>9.009679821295602E-2</v>
      </c>
      <c r="P436" s="46">
        <v>0</v>
      </c>
      <c r="Q436" s="46">
        <v>268840</v>
      </c>
      <c r="R436" s="49">
        <f t="shared" si="146"/>
        <v>1</v>
      </c>
      <c r="S436" s="50">
        <f t="shared" si="147"/>
        <v>0.01</v>
      </c>
      <c r="T436" s="49">
        <f t="shared" si="148"/>
        <v>2688.4</v>
      </c>
      <c r="U436" s="51">
        <f t="shared" si="149"/>
        <v>0</v>
      </c>
      <c r="V436" s="52">
        <f>IF(0&lt;0.8,0,IF(0&lt;1,Sheet3!L354,1))*IF(G436&lt;3,0.12 - O436,0.01) *U436</f>
        <v>0</v>
      </c>
      <c r="W436" s="52">
        <f t="shared" si="150"/>
        <v>0</v>
      </c>
      <c r="X436" s="53">
        <f t="shared" si="151"/>
        <v>0</v>
      </c>
      <c r="Y436" s="53">
        <f t="shared" si="152"/>
        <v>0</v>
      </c>
      <c r="Z436" s="54">
        <f t="shared" si="157"/>
        <v>0</v>
      </c>
      <c r="AA436" s="54">
        <f t="shared" si="154"/>
        <v>0</v>
      </c>
      <c r="AB436" s="55">
        <f t="shared" si="158"/>
        <v>0</v>
      </c>
      <c r="AC436" s="55">
        <f t="shared" si="155"/>
        <v>0</v>
      </c>
      <c r="AD436" s="56">
        <f t="shared" si="156"/>
        <v>2688.4</v>
      </c>
    </row>
    <row r="437" spans="2:30" ht="23.25" customHeight="1">
      <c r="B437" s="9" t="s">
        <v>5</v>
      </c>
      <c r="C437" s="10" t="s">
        <v>6</v>
      </c>
      <c r="D437" s="10"/>
      <c r="E437" s="11" t="s">
        <v>7</v>
      </c>
      <c r="F437" s="11" t="s">
        <v>8</v>
      </c>
      <c r="G437" s="11" t="s">
        <v>9</v>
      </c>
      <c r="H437" s="11" t="s">
        <v>10</v>
      </c>
      <c r="I437" s="11" t="s">
        <v>11</v>
      </c>
      <c r="J437" s="11" t="s">
        <v>12</v>
      </c>
      <c r="K437" s="11" t="s">
        <v>13</v>
      </c>
      <c r="L437" s="11" t="s">
        <v>14</v>
      </c>
      <c r="M437" s="11" t="s">
        <v>15</v>
      </c>
      <c r="N437" s="11" t="s">
        <v>16</v>
      </c>
      <c r="O437" s="11" t="s">
        <v>17</v>
      </c>
      <c r="P437" s="12" t="s">
        <v>18</v>
      </c>
      <c r="Q437" s="11" t="s">
        <v>19</v>
      </c>
      <c r="R437" s="11"/>
      <c r="S437" s="10" t="s">
        <v>20</v>
      </c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3"/>
    </row>
    <row r="438" spans="2:30">
      <c r="B438" s="14" t="s">
        <v>818</v>
      </c>
      <c r="C438" s="15" t="str">
        <f>"Trương"&amp;" " &amp; "Anh Hào"</f>
        <v>Trương Anh Hào</v>
      </c>
      <c r="D438" s="15"/>
      <c r="E438" s="16" t="s">
        <v>314</v>
      </c>
      <c r="F438" s="16" t="s">
        <v>134</v>
      </c>
      <c r="G438" s="17" t="s">
        <v>133</v>
      </c>
      <c r="H438" s="16" t="s">
        <v>388</v>
      </c>
      <c r="I438" s="18">
        <v>0</v>
      </c>
      <c r="J438" s="19">
        <v>42000000</v>
      </c>
      <c r="K438" s="19">
        <f>IFERROR(IF(N438&lt;4,Q438,SUM(Sheet3!J440:J478)),0)</f>
        <v>165408963</v>
      </c>
      <c r="L438" s="20">
        <f>IFERROR(K438/J438,0)</f>
        <v>3.9383086428571428</v>
      </c>
      <c r="M438" s="19">
        <f>IFERROR(IF(OR(N438=3,N438=4),SUM(Sheet3!AD440:AD478)+AD438,IF(N438=1,0.6%,IF(N438=2,0.65%,IF(N438=3,0.6%,0)))*IF(L438&lt;0.8,0,IF(L438&lt;1,L438,1))*IF(RIGHT("2018-09",2)="03",1,0)),0)</f>
        <v>1592921.61</v>
      </c>
      <c r="N438" s="19">
        <v>4</v>
      </c>
      <c r="O438" s="18">
        <f>IF(N438=4,0.5%,IF(N438=5,0.3%,0))</f>
        <v>5.0000000000000001E-3</v>
      </c>
      <c r="P438" s="21">
        <f>IFERROR(SUM(Sheet3!P440:P478),0)</f>
        <v>3391850</v>
      </c>
      <c r="Q438" s="19">
        <f>SUMIF($G:$G,B438,$K:$K)</f>
        <v>0</v>
      </c>
      <c r="R438" s="22"/>
      <c r="S438" s="23" t="s">
        <v>26</v>
      </c>
      <c r="T438" s="23"/>
      <c r="U438" s="24" t="s">
        <v>27</v>
      </c>
      <c r="V438" s="24"/>
      <c r="W438" s="24"/>
      <c r="X438" s="25" t="s">
        <v>28</v>
      </c>
      <c r="Y438" s="25"/>
      <c r="Z438" s="26" t="s">
        <v>29</v>
      </c>
      <c r="AA438" s="26"/>
      <c r="AB438" s="27" t="s">
        <v>30</v>
      </c>
      <c r="AC438" s="27"/>
      <c r="AD438" s="28">
        <f>IF(IFERROR(SUM(Sheet3!Y440:Y478)*O438,0)&gt;2000000,2000000,IFERROR(SUM(Sheet3!Y440:Y478)*O438,0))</f>
        <v>0</v>
      </c>
    </row>
    <row r="439" spans="2:30" ht="25.5">
      <c r="C439" s="29" t="s">
        <v>31</v>
      </c>
      <c r="D439" s="30" t="s">
        <v>32</v>
      </c>
      <c r="E439" s="30"/>
      <c r="F439" s="31" t="s">
        <v>33</v>
      </c>
      <c r="G439" s="31" t="s">
        <v>34</v>
      </c>
      <c r="H439" s="32" t="s">
        <v>35</v>
      </c>
      <c r="I439" s="32" t="s">
        <v>36</v>
      </c>
      <c r="J439" s="31" t="s">
        <v>37</v>
      </c>
      <c r="K439" s="31" t="s">
        <v>38</v>
      </c>
      <c r="L439" s="31" t="s">
        <v>39</v>
      </c>
      <c r="M439" s="31" t="s">
        <v>40</v>
      </c>
      <c r="N439" s="31" t="s">
        <v>41</v>
      </c>
      <c r="O439" s="33" t="s">
        <v>42</v>
      </c>
      <c r="P439" s="32" t="s">
        <v>43</v>
      </c>
      <c r="Q439" s="32" t="s">
        <v>44</v>
      </c>
      <c r="R439" s="34" t="s">
        <v>45</v>
      </c>
      <c r="S439" s="34" t="s">
        <v>46</v>
      </c>
      <c r="T439" s="34" t="s">
        <v>47</v>
      </c>
      <c r="U439" s="35" t="s">
        <v>48</v>
      </c>
      <c r="V439" s="36" t="s">
        <v>47</v>
      </c>
      <c r="W439" s="36" t="s">
        <v>49</v>
      </c>
      <c r="X439" s="37" t="s">
        <v>50</v>
      </c>
      <c r="Y439" s="37" t="s">
        <v>51</v>
      </c>
      <c r="Z439" s="38" t="s">
        <v>48</v>
      </c>
      <c r="AA439" s="39" t="s">
        <v>47</v>
      </c>
      <c r="AB439" s="40" t="s">
        <v>48</v>
      </c>
      <c r="AC439" s="41" t="s">
        <v>47</v>
      </c>
      <c r="AD439" s="42" t="s">
        <v>52</v>
      </c>
    </row>
    <row r="440" spans="2:30">
      <c r="C440" s="43" t="s">
        <v>819</v>
      </c>
      <c r="D440" s="44" t="s">
        <v>820</v>
      </c>
      <c r="E440" s="44"/>
      <c r="F440" s="45">
        <v>41062.368611111109</v>
      </c>
      <c r="G440" s="46">
        <v>75</v>
      </c>
      <c r="H440" s="47">
        <v>43376</v>
      </c>
      <c r="I440" s="47">
        <v>43405</v>
      </c>
      <c r="J440" s="46">
        <v>949850</v>
      </c>
      <c r="K440" s="46">
        <v>0</v>
      </c>
      <c r="L440" s="46">
        <v>0</v>
      </c>
      <c r="M440" s="46">
        <f t="shared" ref="M440:M478" si="159">IFERROR(J440-K440-L440,0)</f>
        <v>949850</v>
      </c>
      <c r="N440" s="46">
        <v>949850</v>
      </c>
      <c r="O440" s="48">
        <f t="shared" ref="O440:O478" si="160">IFERROR(IF(1 - M440/N440&lt;0,0,1-M440/N440),0)</f>
        <v>0</v>
      </c>
      <c r="P440" s="46">
        <v>0</v>
      </c>
      <c r="Q440" s="46">
        <v>949850</v>
      </c>
      <c r="R440" s="49">
        <f t="shared" ref="R440:R478" si="161">IF(F440&lt;DATEVALUE("2018-07-01"),1,0)</f>
        <v>1</v>
      </c>
      <c r="S440" s="50">
        <f t="shared" ref="S440:S478" si="162">IF(R440=1,1%,0)</f>
        <v>0.01</v>
      </c>
      <c r="T440" s="49">
        <f t="shared" ref="T440:T478" si="163">IFERROR(S440*M440,0)</f>
        <v>9498.5</v>
      </c>
      <c r="U440" s="51">
        <f t="shared" ref="U440:U478" si="164">IF(O440&lt;=0.12,1,0)*(1-R440)*M440</f>
        <v>0</v>
      </c>
      <c r="V440" s="52">
        <f>IF(0&lt;0.8,0,IF(0&lt;1,Sheet3!L438,1))*IF(G440&lt;3,0.12 - O440,0.01) *U440</f>
        <v>0</v>
      </c>
      <c r="W440" s="52">
        <f t="shared" ref="W440:W478" si="165">IF(0&gt;1,IF(0&lt;=1.1,1,IF(0&lt;=1.2,2,IF(0&lt;=1.5,3,5))),0) * 1000000</f>
        <v>0</v>
      </c>
      <c r="X440" s="53">
        <f t="shared" ref="X440:X478" si="166">IF(AND(P440&gt;=150000000,P440&lt;300000000),5000000,IF(AND(P440&gt;=300000000,P440&lt;500000000),10000000,IF(AND(P440&gt;=300000000,P440&lt;500000000),15000000,IF(AND(P440&gt;=500000000,P440&lt;3000000000),20000000,IF(P440&gt;=30000000000,35000000,0))))) * (1-R440)</f>
        <v>0</v>
      </c>
      <c r="Y440" s="53">
        <f t="shared" ref="Y440:Y478" si="167">IFERROR(Q440 * (1-R440),0)</f>
        <v>0</v>
      </c>
      <c r="Z440" s="54">
        <f t="shared" ref="Z440:Z450" si="168">IF(R440=1,0,0)</f>
        <v>0</v>
      </c>
      <c r="AA440" s="54">
        <f t="shared" ref="AA440:AA478" si="169">IFERROR((1-R440) * Z440 * 2%,0)</f>
        <v>0</v>
      </c>
      <c r="AB440" s="55">
        <f t="shared" ref="AB440:AB450" si="170">IF(R440=0,0,0)</f>
        <v>0</v>
      </c>
      <c r="AC440" s="55">
        <f t="shared" ref="AC440:AC478" si="171">IFERROR(AB440 * (1-R440) * 2%,0)</f>
        <v>0</v>
      </c>
      <c r="AD440" s="56">
        <f t="shared" ref="AD440:AD478" si="172">T440+V440+W440+X440+AA440+AC440</f>
        <v>9498.5</v>
      </c>
    </row>
    <row r="441" spans="2:30">
      <c r="C441" s="43" t="s">
        <v>821</v>
      </c>
      <c r="D441" s="44" t="s">
        <v>822</v>
      </c>
      <c r="E441" s="44"/>
      <c r="F441" s="45">
        <v>41411.420428240737</v>
      </c>
      <c r="G441" s="46">
        <v>64</v>
      </c>
      <c r="H441" s="47">
        <v>43391</v>
      </c>
      <c r="I441" s="47">
        <v>43405</v>
      </c>
      <c r="J441" s="46">
        <v>347355</v>
      </c>
      <c r="K441" s="46">
        <v>0</v>
      </c>
      <c r="L441" s="46">
        <v>0</v>
      </c>
      <c r="M441" s="46">
        <f t="shared" si="159"/>
        <v>347355</v>
      </c>
      <c r="N441" s="46">
        <v>346665</v>
      </c>
      <c r="O441" s="48">
        <f t="shared" si="160"/>
        <v>0</v>
      </c>
      <c r="P441" s="46">
        <v>0</v>
      </c>
      <c r="Q441" s="46">
        <v>347355</v>
      </c>
      <c r="R441" s="49">
        <f t="shared" si="161"/>
        <v>1</v>
      </c>
      <c r="S441" s="50">
        <f t="shared" si="162"/>
        <v>0.01</v>
      </c>
      <c r="T441" s="49">
        <f t="shared" si="163"/>
        <v>3473.55</v>
      </c>
      <c r="U441" s="51">
        <f t="shared" si="164"/>
        <v>0</v>
      </c>
      <c r="V441" s="52">
        <f>IF(0&lt;0.8,0,IF(0&lt;1,Sheet3!L438,1))*IF(G441&lt;3,0.12 - O441,0.01) *U441</f>
        <v>0</v>
      </c>
      <c r="W441" s="52">
        <f t="shared" si="165"/>
        <v>0</v>
      </c>
      <c r="X441" s="53">
        <f t="shared" si="166"/>
        <v>0</v>
      </c>
      <c r="Y441" s="53">
        <f t="shared" si="167"/>
        <v>0</v>
      </c>
      <c r="Z441" s="54">
        <f t="shared" si="168"/>
        <v>0</v>
      </c>
      <c r="AA441" s="54">
        <f t="shared" si="169"/>
        <v>0</v>
      </c>
      <c r="AB441" s="55">
        <f t="shared" si="170"/>
        <v>0</v>
      </c>
      <c r="AC441" s="55">
        <f t="shared" si="171"/>
        <v>0</v>
      </c>
      <c r="AD441" s="56">
        <f t="shared" si="172"/>
        <v>3473.55</v>
      </c>
    </row>
    <row r="442" spans="2:30">
      <c r="C442" s="43" t="s">
        <v>823</v>
      </c>
      <c r="D442" s="44" t="s">
        <v>824</v>
      </c>
      <c r="E442" s="44"/>
      <c r="F442" s="45">
        <v>42649.170497685183</v>
      </c>
      <c r="G442" s="46">
        <v>23</v>
      </c>
      <c r="H442" s="47">
        <v>43385</v>
      </c>
      <c r="I442" s="47">
        <v>43390</v>
      </c>
      <c r="J442" s="46">
        <v>1545412</v>
      </c>
      <c r="K442" s="46">
        <v>0</v>
      </c>
      <c r="L442" s="46">
        <v>0</v>
      </c>
      <c r="M442" s="46">
        <f t="shared" si="159"/>
        <v>1545412</v>
      </c>
      <c r="N442" s="46">
        <v>1545412</v>
      </c>
      <c r="O442" s="48">
        <f t="shared" si="160"/>
        <v>0</v>
      </c>
      <c r="P442" s="46">
        <v>0</v>
      </c>
      <c r="Q442" s="46">
        <v>1545412</v>
      </c>
      <c r="R442" s="49">
        <f t="shared" si="161"/>
        <v>1</v>
      </c>
      <c r="S442" s="50">
        <f t="shared" si="162"/>
        <v>0.01</v>
      </c>
      <c r="T442" s="49">
        <f t="shared" si="163"/>
        <v>15454.12</v>
      </c>
      <c r="U442" s="51">
        <f t="shared" si="164"/>
        <v>0</v>
      </c>
      <c r="V442" s="52">
        <f>IF(0&lt;0.8,0,IF(0&lt;1,Sheet3!L438,1))*IF(G442&lt;3,0.12 - O442,0.01) *U442</f>
        <v>0</v>
      </c>
      <c r="W442" s="52">
        <f t="shared" si="165"/>
        <v>0</v>
      </c>
      <c r="X442" s="53">
        <f t="shared" si="166"/>
        <v>0</v>
      </c>
      <c r="Y442" s="53">
        <f t="shared" si="167"/>
        <v>0</v>
      </c>
      <c r="Z442" s="54">
        <f t="shared" si="168"/>
        <v>0</v>
      </c>
      <c r="AA442" s="54">
        <f t="shared" si="169"/>
        <v>0</v>
      </c>
      <c r="AB442" s="55">
        <f t="shared" si="170"/>
        <v>0</v>
      </c>
      <c r="AC442" s="55">
        <f t="shared" si="171"/>
        <v>0</v>
      </c>
      <c r="AD442" s="56">
        <f t="shared" si="172"/>
        <v>15454.12</v>
      </c>
    </row>
    <row r="443" spans="2:30">
      <c r="C443" s="43" t="s">
        <v>825</v>
      </c>
      <c r="D443" s="44" t="s">
        <v>826</v>
      </c>
      <c r="E443" s="44"/>
      <c r="F443" s="45">
        <v>42807.1171412037</v>
      </c>
      <c r="G443" s="46">
        <v>18</v>
      </c>
      <c r="H443" s="47">
        <v>43376</v>
      </c>
      <c r="I443" s="47">
        <v>43388</v>
      </c>
      <c r="J443" s="46">
        <v>676371</v>
      </c>
      <c r="K443" s="46">
        <v>0</v>
      </c>
      <c r="L443" s="46">
        <v>0</v>
      </c>
      <c r="M443" s="46">
        <f t="shared" si="159"/>
        <v>676371</v>
      </c>
      <c r="N443" s="46">
        <v>676371</v>
      </c>
      <c r="O443" s="48">
        <f t="shared" si="160"/>
        <v>0</v>
      </c>
      <c r="P443" s="46">
        <v>0</v>
      </c>
      <c r="Q443" s="46">
        <v>676371</v>
      </c>
      <c r="R443" s="49">
        <f t="shared" si="161"/>
        <v>1</v>
      </c>
      <c r="S443" s="50">
        <f t="shared" si="162"/>
        <v>0.01</v>
      </c>
      <c r="T443" s="49">
        <f t="shared" si="163"/>
        <v>6763.71</v>
      </c>
      <c r="U443" s="51">
        <f t="shared" si="164"/>
        <v>0</v>
      </c>
      <c r="V443" s="52">
        <f>IF(0&lt;0.8,0,IF(0&lt;1,Sheet3!L438,1))*IF(G443&lt;3,0.12 - O443,0.01) *U443</f>
        <v>0</v>
      </c>
      <c r="W443" s="52">
        <f t="shared" si="165"/>
        <v>0</v>
      </c>
      <c r="X443" s="53">
        <f t="shared" si="166"/>
        <v>0</v>
      </c>
      <c r="Y443" s="53">
        <f t="shared" si="167"/>
        <v>0</v>
      </c>
      <c r="Z443" s="54">
        <f t="shared" si="168"/>
        <v>0</v>
      </c>
      <c r="AA443" s="54">
        <f t="shared" si="169"/>
        <v>0</v>
      </c>
      <c r="AB443" s="55">
        <f t="shared" si="170"/>
        <v>0</v>
      </c>
      <c r="AC443" s="55">
        <f t="shared" si="171"/>
        <v>0</v>
      </c>
      <c r="AD443" s="56">
        <f t="shared" si="172"/>
        <v>6763.71</v>
      </c>
    </row>
    <row r="444" spans="2:30">
      <c r="C444" s="43" t="s">
        <v>827</v>
      </c>
      <c r="D444" s="44" t="s">
        <v>828</v>
      </c>
      <c r="E444" s="44"/>
      <c r="F444" s="45">
        <v>42962.296423611107</v>
      </c>
      <c r="G444" s="46">
        <v>13</v>
      </c>
      <c r="H444" s="47">
        <v>43388</v>
      </c>
      <c r="I444" s="47">
        <v>43404</v>
      </c>
      <c r="J444" s="46">
        <v>17892973</v>
      </c>
      <c r="K444" s="46">
        <v>0</v>
      </c>
      <c r="L444" s="46">
        <v>0</v>
      </c>
      <c r="M444" s="46">
        <f t="shared" si="159"/>
        <v>17892973</v>
      </c>
      <c r="N444" s="46">
        <v>18745020</v>
      </c>
      <c r="O444" s="48">
        <f t="shared" si="160"/>
        <v>4.5454579402956052E-2</v>
      </c>
      <c r="P444" s="46">
        <v>0</v>
      </c>
      <c r="Q444" s="46">
        <v>17892973</v>
      </c>
      <c r="R444" s="49">
        <f t="shared" si="161"/>
        <v>1</v>
      </c>
      <c r="S444" s="50">
        <f t="shared" si="162"/>
        <v>0.01</v>
      </c>
      <c r="T444" s="49">
        <f t="shared" si="163"/>
        <v>178929.73</v>
      </c>
      <c r="U444" s="51">
        <f t="shared" si="164"/>
        <v>0</v>
      </c>
      <c r="V444" s="52">
        <f>IF(0&lt;0.8,0,IF(0&lt;1,Sheet3!L438,1))*IF(G444&lt;3,0.12 - O444,0.01) *U444</f>
        <v>0</v>
      </c>
      <c r="W444" s="52">
        <f t="shared" si="165"/>
        <v>0</v>
      </c>
      <c r="X444" s="53">
        <f t="shared" si="166"/>
        <v>0</v>
      </c>
      <c r="Y444" s="53">
        <f t="shared" si="167"/>
        <v>0</v>
      </c>
      <c r="Z444" s="54">
        <f t="shared" si="168"/>
        <v>0</v>
      </c>
      <c r="AA444" s="54">
        <f t="shared" si="169"/>
        <v>0</v>
      </c>
      <c r="AB444" s="55">
        <f t="shared" si="170"/>
        <v>0</v>
      </c>
      <c r="AC444" s="55">
        <f t="shared" si="171"/>
        <v>0</v>
      </c>
      <c r="AD444" s="56">
        <f t="shared" si="172"/>
        <v>178929.73</v>
      </c>
    </row>
    <row r="445" spans="2:30">
      <c r="C445" s="43" t="s">
        <v>829</v>
      </c>
      <c r="D445" s="44" t="s">
        <v>830</v>
      </c>
      <c r="E445" s="44"/>
      <c r="F445" s="45">
        <v>42970.352962962963</v>
      </c>
      <c r="G445" s="46">
        <v>13</v>
      </c>
      <c r="H445" s="47">
        <v>43388</v>
      </c>
      <c r="I445" s="47">
        <v>43410</v>
      </c>
      <c r="J445" s="46">
        <v>1402874</v>
      </c>
      <c r="K445" s="46">
        <v>0</v>
      </c>
      <c r="L445" s="46">
        <v>0</v>
      </c>
      <c r="M445" s="46">
        <f t="shared" si="159"/>
        <v>1402874</v>
      </c>
      <c r="N445" s="46">
        <v>1402874</v>
      </c>
      <c r="O445" s="48">
        <f t="shared" si="160"/>
        <v>0</v>
      </c>
      <c r="P445" s="46">
        <v>0</v>
      </c>
      <c r="Q445" s="46">
        <v>1402874</v>
      </c>
      <c r="R445" s="49">
        <f t="shared" si="161"/>
        <v>1</v>
      </c>
      <c r="S445" s="50">
        <f t="shared" si="162"/>
        <v>0.01</v>
      </c>
      <c r="T445" s="49">
        <f t="shared" si="163"/>
        <v>14028.74</v>
      </c>
      <c r="U445" s="51">
        <f t="shared" si="164"/>
        <v>0</v>
      </c>
      <c r="V445" s="52">
        <f>IF(0&lt;0.8,0,IF(0&lt;1,Sheet3!L438,1))*IF(G445&lt;3,0.12 - O445,0.01) *U445</f>
        <v>0</v>
      </c>
      <c r="W445" s="52">
        <f t="shared" si="165"/>
        <v>0</v>
      </c>
      <c r="X445" s="53">
        <f t="shared" si="166"/>
        <v>0</v>
      </c>
      <c r="Y445" s="53">
        <f t="shared" si="167"/>
        <v>0</v>
      </c>
      <c r="Z445" s="54">
        <f t="shared" si="168"/>
        <v>0</v>
      </c>
      <c r="AA445" s="54">
        <f t="shared" si="169"/>
        <v>0</v>
      </c>
      <c r="AB445" s="55">
        <f t="shared" si="170"/>
        <v>0</v>
      </c>
      <c r="AC445" s="55">
        <f t="shared" si="171"/>
        <v>0</v>
      </c>
      <c r="AD445" s="56">
        <f t="shared" si="172"/>
        <v>14028.74</v>
      </c>
    </row>
    <row r="446" spans="2:30">
      <c r="C446" s="43" t="s">
        <v>831</v>
      </c>
      <c r="D446" s="44" t="s">
        <v>832</v>
      </c>
      <c r="E446" s="44"/>
      <c r="F446" s="45">
        <v>43216.310208333329</v>
      </c>
      <c r="G446" s="46">
        <v>5</v>
      </c>
      <c r="H446" s="47">
        <v>43412</v>
      </c>
      <c r="I446" s="47">
        <v>43420</v>
      </c>
      <c r="J446" s="46">
        <v>2889875</v>
      </c>
      <c r="K446" s="46">
        <v>0</v>
      </c>
      <c r="L446" s="46">
        <v>0</v>
      </c>
      <c r="M446" s="46">
        <f t="shared" si="159"/>
        <v>2889875</v>
      </c>
      <c r="N446" s="46">
        <v>3123131</v>
      </c>
      <c r="O446" s="48">
        <f t="shared" si="160"/>
        <v>7.468658855488286E-2</v>
      </c>
      <c r="P446" s="46">
        <v>0</v>
      </c>
      <c r="Q446" s="46">
        <v>2889875</v>
      </c>
      <c r="R446" s="49">
        <f t="shared" si="161"/>
        <v>1</v>
      </c>
      <c r="S446" s="50">
        <f t="shared" si="162"/>
        <v>0.01</v>
      </c>
      <c r="T446" s="49">
        <f t="shared" si="163"/>
        <v>28898.75</v>
      </c>
      <c r="U446" s="51">
        <f t="shared" si="164"/>
        <v>0</v>
      </c>
      <c r="V446" s="52">
        <f>IF(0&lt;0.8,0,IF(0&lt;1,Sheet3!L438,1))*IF(G446&lt;3,0.12 - O446,0.01) *U446</f>
        <v>0</v>
      </c>
      <c r="W446" s="52">
        <f t="shared" si="165"/>
        <v>0</v>
      </c>
      <c r="X446" s="53">
        <f t="shared" si="166"/>
        <v>0</v>
      </c>
      <c r="Y446" s="53">
        <f t="shared" si="167"/>
        <v>0</v>
      </c>
      <c r="Z446" s="54">
        <f t="shared" si="168"/>
        <v>0</v>
      </c>
      <c r="AA446" s="54">
        <f t="shared" si="169"/>
        <v>0</v>
      </c>
      <c r="AB446" s="55">
        <f t="shared" si="170"/>
        <v>0</v>
      </c>
      <c r="AC446" s="55">
        <f t="shared" si="171"/>
        <v>0</v>
      </c>
      <c r="AD446" s="56">
        <f t="shared" si="172"/>
        <v>28898.75</v>
      </c>
    </row>
    <row r="447" spans="2:30">
      <c r="C447" s="43" t="s">
        <v>833</v>
      </c>
      <c r="D447" s="44" t="s">
        <v>834</v>
      </c>
      <c r="E447" s="44"/>
      <c r="F447" s="45">
        <v>43249.359317129631</v>
      </c>
      <c r="G447" s="46">
        <v>4</v>
      </c>
      <c r="H447" s="47">
        <v>43390</v>
      </c>
      <c r="I447" s="47">
        <v>43395</v>
      </c>
      <c r="J447" s="46">
        <v>657800</v>
      </c>
      <c r="K447" s="46">
        <v>0</v>
      </c>
      <c r="L447" s="46">
        <v>0</v>
      </c>
      <c r="M447" s="46">
        <f t="shared" si="159"/>
        <v>657800</v>
      </c>
      <c r="N447" s="46">
        <v>697081</v>
      </c>
      <c r="O447" s="48">
        <f t="shared" si="160"/>
        <v>5.6350696690915414E-2</v>
      </c>
      <c r="P447" s="46">
        <v>0</v>
      </c>
      <c r="Q447" s="46">
        <v>657800</v>
      </c>
      <c r="R447" s="49">
        <f t="shared" si="161"/>
        <v>1</v>
      </c>
      <c r="S447" s="50">
        <f t="shared" si="162"/>
        <v>0.01</v>
      </c>
      <c r="T447" s="49">
        <f t="shared" si="163"/>
        <v>6578</v>
      </c>
      <c r="U447" s="51">
        <f t="shared" si="164"/>
        <v>0</v>
      </c>
      <c r="V447" s="52">
        <f>IF(0&lt;0.8,0,IF(0&lt;1,Sheet3!L438,1))*IF(G447&lt;3,0.12 - O447,0.01) *U447</f>
        <v>0</v>
      </c>
      <c r="W447" s="52">
        <f t="shared" si="165"/>
        <v>0</v>
      </c>
      <c r="X447" s="53">
        <f t="shared" si="166"/>
        <v>0</v>
      </c>
      <c r="Y447" s="53">
        <f t="shared" si="167"/>
        <v>0</v>
      </c>
      <c r="Z447" s="54">
        <f t="shared" si="168"/>
        <v>0</v>
      </c>
      <c r="AA447" s="54">
        <f t="shared" si="169"/>
        <v>0</v>
      </c>
      <c r="AB447" s="55">
        <f t="shared" si="170"/>
        <v>0</v>
      </c>
      <c r="AC447" s="55">
        <f t="shared" si="171"/>
        <v>0</v>
      </c>
      <c r="AD447" s="56">
        <f t="shared" si="172"/>
        <v>6578</v>
      </c>
    </row>
    <row r="448" spans="2:30">
      <c r="C448" s="43" t="s">
        <v>835</v>
      </c>
      <c r="D448" s="44" t="s">
        <v>836</v>
      </c>
      <c r="E448" s="44"/>
      <c r="F448" s="45">
        <v>43271.198599537034</v>
      </c>
      <c r="G448" s="46">
        <v>3</v>
      </c>
      <c r="H448" s="47">
        <v>43395</v>
      </c>
      <c r="I448" s="47">
        <v>43384</v>
      </c>
      <c r="J448" s="46">
        <v>31024944</v>
      </c>
      <c r="K448" s="46">
        <v>606000</v>
      </c>
      <c r="L448" s="46">
        <v>0</v>
      </c>
      <c r="M448" s="46">
        <f t="shared" si="159"/>
        <v>30418944</v>
      </c>
      <c r="N448" s="46">
        <v>47757426</v>
      </c>
      <c r="O448" s="48">
        <f t="shared" si="160"/>
        <v>0.36305310926933121</v>
      </c>
      <c r="P448" s="46">
        <v>0</v>
      </c>
      <c r="Q448" s="46">
        <v>0</v>
      </c>
      <c r="R448" s="49">
        <f t="shared" si="161"/>
        <v>1</v>
      </c>
      <c r="S448" s="50">
        <f t="shared" si="162"/>
        <v>0.01</v>
      </c>
      <c r="T448" s="49">
        <f t="shared" si="163"/>
        <v>304189.44</v>
      </c>
      <c r="U448" s="51">
        <f t="shared" si="164"/>
        <v>0</v>
      </c>
      <c r="V448" s="52">
        <f>IF(0&lt;0.8,0,IF(0&lt;1,Sheet3!L438,1))*IF(G448&lt;3,0.12 - O448,0.01) *U448</f>
        <v>0</v>
      </c>
      <c r="W448" s="52">
        <f t="shared" si="165"/>
        <v>0</v>
      </c>
      <c r="X448" s="53">
        <f t="shared" si="166"/>
        <v>0</v>
      </c>
      <c r="Y448" s="53">
        <f t="shared" si="167"/>
        <v>0</v>
      </c>
      <c r="Z448" s="54">
        <f t="shared" si="168"/>
        <v>0</v>
      </c>
      <c r="AA448" s="54">
        <f t="shared" si="169"/>
        <v>0</v>
      </c>
      <c r="AB448" s="55">
        <f t="shared" si="170"/>
        <v>0</v>
      </c>
      <c r="AC448" s="55">
        <f t="shared" si="171"/>
        <v>0</v>
      </c>
      <c r="AD448" s="56">
        <f t="shared" si="172"/>
        <v>304189.44</v>
      </c>
    </row>
    <row r="449" spans="3:30">
      <c r="C449" s="43" t="s">
        <v>837</v>
      </c>
      <c r="D449" s="44" t="s">
        <v>838</v>
      </c>
      <c r="E449" s="44"/>
      <c r="F449" s="45">
        <v>42655.355231481481</v>
      </c>
      <c r="G449" s="46">
        <v>23</v>
      </c>
      <c r="H449" s="47">
        <v>43396</v>
      </c>
      <c r="I449" s="47">
        <v>43412</v>
      </c>
      <c r="J449" s="46">
        <v>318109</v>
      </c>
      <c r="K449" s="46">
        <v>0</v>
      </c>
      <c r="L449" s="46">
        <v>0</v>
      </c>
      <c r="M449" s="46">
        <f t="shared" si="159"/>
        <v>318109</v>
      </c>
      <c r="N449" s="46">
        <v>318109</v>
      </c>
      <c r="O449" s="48">
        <f t="shared" si="160"/>
        <v>0</v>
      </c>
      <c r="P449" s="46">
        <v>0</v>
      </c>
      <c r="Q449" s="46">
        <v>318109</v>
      </c>
      <c r="R449" s="49">
        <f t="shared" si="161"/>
        <v>1</v>
      </c>
      <c r="S449" s="50">
        <f t="shared" si="162"/>
        <v>0.01</v>
      </c>
      <c r="T449" s="49">
        <f t="shared" si="163"/>
        <v>3181.09</v>
      </c>
      <c r="U449" s="51">
        <f t="shared" si="164"/>
        <v>0</v>
      </c>
      <c r="V449" s="52">
        <f>IF(0&lt;0.8,0,IF(0&lt;1,Sheet3!L438,1))*IF(G449&lt;3,0.12 - O449,0.01) *U449</f>
        <v>0</v>
      </c>
      <c r="W449" s="52">
        <f t="shared" si="165"/>
        <v>0</v>
      </c>
      <c r="X449" s="53">
        <f t="shared" si="166"/>
        <v>0</v>
      </c>
      <c r="Y449" s="53">
        <f t="shared" si="167"/>
        <v>0</v>
      </c>
      <c r="Z449" s="54">
        <f t="shared" si="168"/>
        <v>0</v>
      </c>
      <c r="AA449" s="54">
        <f t="shared" si="169"/>
        <v>0</v>
      </c>
      <c r="AB449" s="55">
        <f t="shared" si="170"/>
        <v>0</v>
      </c>
      <c r="AC449" s="55">
        <f t="shared" si="171"/>
        <v>0</v>
      </c>
      <c r="AD449" s="56">
        <f t="shared" si="172"/>
        <v>3181.09</v>
      </c>
    </row>
    <row r="450" spans="3:30">
      <c r="C450" s="43" t="s">
        <v>839</v>
      </c>
      <c r="D450" s="44" t="s">
        <v>840</v>
      </c>
      <c r="E450" s="44"/>
      <c r="F450" s="45">
        <v>42661.111504629625</v>
      </c>
      <c r="G450" s="46">
        <v>23</v>
      </c>
      <c r="H450" s="47">
        <v>43391</v>
      </c>
      <c r="I450" s="47">
        <v>43403</v>
      </c>
      <c r="J450" s="46">
        <v>440682</v>
      </c>
      <c r="K450" s="46">
        <v>0</v>
      </c>
      <c r="L450" s="46">
        <v>0</v>
      </c>
      <c r="M450" s="46">
        <f t="shared" si="159"/>
        <v>440682</v>
      </c>
      <c r="N450" s="46">
        <v>440682</v>
      </c>
      <c r="O450" s="48">
        <f t="shared" si="160"/>
        <v>0</v>
      </c>
      <c r="P450" s="46">
        <v>0</v>
      </c>
      <c r="Q450" s="46">
        <v>440682</v>
      </c>
      <c r="R450" s="49">
        <f t="shared" si="161"/>
        <v>1</v>
      </c>
      <c r="S450" s="50">
        <f t="shared" si="162"/>
        <v>0.01</v>
      </c>
      <c r="T450" s="49">
        <f t="shared" si="163"/>
        <v>4406.82</v>
      </c>
      <c r="U450" s="51">
        <f t="shared" si="164"/>
        <v>0</v>
      </c>
      <c r="V450" s="52">
        <f>IF(0&lt;0.8,0,IF(0&lt;1,Sheet3!L438,1))*IF(G450&lt;3,0.12 - O450,0.01) *U450</f>
        <v>0</v>
      </c>
      <c r="W450" s="52">
        <f t="shared" si="165"/>
        <v>0</v>
      </c>
      <c r="X450" s="53">
        <f t="shared" si="166"/>
        <v>0</v>
      </c>
      <c r="Y450" s="53">
        <f t="shared" si="167"/>
        <v>0</v>
      </c>
      <c r="Z450" s="54">
        <f t="shared" si="168"/>
        <v>0</v>
      </c>
      <c r="AA450" s="54">
        <f t="shared" si="169"/>
        <v>0</v>
      </c>
      <c r="AB450" s="55">
        <f t="shared" si="170"/>
        <v>0</v>
      </c>
      <c r="AC450" s="55">
        <f t="shared" si="171"/>
        <v>0</v>
      </c>
      <c r="AD450" s="56">
        <f t="shared" si="172"/>
        <v>4406.82</v>
      </c>
    </row>
    <row r="451" spans="3:30">
      <c r="C451" s="43" t="s">
        <v>841</v>
      </c>
      <c r="D451" s="44" t="s">
        <v>842</v>
      </c>
      <c r="E451" s="44"/>
      <c r="F451" s="45">
        <v>42665.126863425925</v>
      </c>
      <c r="G451" s="46">
        <v>23</v>
      </c>
      <c r="H451" s="47" t="s">
        <v>24</v>
      </c>
      <c r="I451" s="47" t="s">
        <v>24</v>
      </c>
      <c r="J451" s="46">
        <v>2118952</v>
      </c>
      <c r="K451" s="46">
        <v>2118952</v>
      </c>
      <c r="L451" s="46">
        <v>0</v>
      </c>
      <c r="M451" s="46">
        <f t="shared" si="159"/>
        <v>0</v>
      </c>
      <c r="N451" s="46">
        <v>1801690</v>
      </c>
      <c r="O451" s="48">
        <f t="shared" si="160"/>
        <v>1</v>
      </c>
      <c r="P451" s="46">
        <v>0</v>
      </c>
      <c r="Q451" s="46">
        <v>0</v>
      </c>
      <c r="R451" s="49">
        <f t="shared" si="161"/>
        <v>1</v>
      </c>
      <c r="S451" s="50">
        <f t="shared" si="162"/>
        <v>0.01</v>
      </c>
      <c r="T451" s="49">
        <f t="shared" si="163"/>
        <v>0</v>
      </c>
      <c r="U451" s="51">
        <f t="shared" si="164"/>
        <v>0</v>
      </c>
      <c r="V451" s="52">
        <f>IF(0&lt;0.8,0,IF(0&lt;1,Sheet3!L438,1))*IF(G451&lt;3,0.12 - O451,0.01) *U451</f>
        <v>0</v>
      </c>
      <c r="W451" s="52">
        <f t="shared" si="165"/>
        <v>0</v>
      </c>
      <c r="X451" s="53">
        <f t="shared" si="166"/>
        <v>0</v>
      </c>
      <c r="Y451" s="53">
        <f t="shared" si="167"/>
        <v>0</v>
      </c>
      <c r="Z451" s="54">
        <f>IF(R451=1,0,"")</f>
        <v>0</v>
      </c>
      <c r="AA451" s="54">
        <f t="shared" si="169"/>
        <v>0</v>
      </c>
      <c r="AB451" s="55">
        <f>IF(R451=0,"",0)</f>
        <v>0</v>
      </c>
      <c r="AC451" s="55">
        <f t="shared" si="171"/>
        <v>0</v>
      </c>
      <c r="AD451" s="56">
        <f t="shared" si="172"/>
        <v>0</v>
      </c>
    </row>
    <row r="452" spans="3:30">
      <c r="C452" s="43" t="s">
        <v>843</v>
      </c>
      <c r="D452" s="44" t="s">
        <v>844</v>
      </c>
      <c r="E452" s="44"/>
      <c r="F452" s="45">
        <v>43132.060671296298</v>
      </c>
      <c r="G452" s="46">
        <v>7</v>
      </c>
      <c r="H452" s="47">
        <v>43391</v>
      </c>
      <c r="I452" s="47">
        <v>43404</v>
      </c>
      <c r="J452" s="46">
        <v>284900</v>
      </c>
      <c r="K452" s="46">
        <v>0</v>
      </c>
      <c r="L452" s="46">
        <v>0</v>
      </c>
      <c r="M452" s="46">
        <f t="shared" si="159"/>
        <v>284900</v>
      </c>
      <c r="N452" s="46">
        <v>369204</v>
      </c>
      <c r="O452" s="48">
        <f t="shared" si="160"/>
        <v>0.22833988797521154</v>
      </c>
      <c r="P452" s="46">
        <v>0</v>
      </c>
      <c r="Q452" s="46">
        <v>284900</v>
      </c>
      <c r="R452" s="49">
        <f t="shared" si="161"/>
        <v>1</v>
      </c>
      <c r="S452" s="50">
        <f t="shared" si="162"/>
        <v>0.01</v>
      </c>
      <c r="T452" s="49">
        <f t="shared" si="163"/>
        <v>2849</v>
      </c>
      <c r="U452" s="51">
        <f t="shared" si="164"/>
        <v>0</v>
      </c>
      <c r="V452" s="52">
        <f>IF(0&lt;0.8,0,IF(0&lt;1,Sheet3!L438,1))*IF(G452&lt;3,0.12 - O452,0.01) *U452</f>
        <v>0</v>
      </c>
      <c r="W452" s="52">
        <f t="shared" si="165"/>
        <v>0</v>
      </c>
      <c r="X452" s="53">
        <f t="shared" si="166"/>
        <v>0</v>
      </c>
      <c r="Y452" s="53">
        <f t="shared" si="167"/>
        <v>0</v>
      </c>
      <c r="Z452" s="54">
        <f t="shared" ref="Z452:Z475" si="173">IF(R452=1,0,0)</f>
        <v>0</v>
      </c>
      <c r="AA452" s="54">
        <f t="shared" si="169"/>
        <v>0</v>
      </c>
      <c r="AB452" s="55">
        <f t="shared" ref="AB452:AB475" si="174">IF(R452=0,0,0)</f>
        <v>0</v>
      </c>
      <c r="AC452" s="55">
        <f t="shared" si="171"/>
        <v>0</v>
      </c>
      <c r="AD452" s="56">
        <f t="shared" si="172"/>
        <v>2849</v>
      </c>
    </row>
    <row r="453" spans="3:30">
      <c r="C453" s="43" t="s">
        <v>845</v>
      </c>
      <c r="D453" s="44" t="s">
        <v>846</v>
      </c>
      <c r="E453" s="44"/>
      <c r="F453" s="45">
        <v>43062.264675925922</v>
      </c>
      <c r="G453" s="46">
        <v>10</v>
      </c>
      <c r="H453" s="47">
        <v>43383</v>
      </c>
      <c r="I453" s="47">
        <v>43385</v>
      </c>
      <c r="J453" s="46">
        <v>4757559</v>
      </c>
      <c r="K453" s="46">
        <v>0</v>
      </c>
      <c r="L453" s="46">
        <v>0</v>
      </c>
      <c r="M453" s="46">
        <f t="shared" si="159"/>
        <v>4757559</v>
      </c>
      <c r="N453" s="46">
        <v>4759066</v>
      </c>
      <c r="O453" s="48">
        <f t="shared" si="160"/>
        <v>3.1665877296094269E-4</v>
      </c>
      <c r="P453" s="46">
        <v>0</v>
      </c>
      <c r="Q453" s="46">
        <v>4757559</v>
      </c>
      <c r="R453" s="49">
        <f t="shared" si="161"/>
        <v>1</v>
      </c>
      <c r="S453" s="50">
        <f t="shared" si="162"/>
        <v>0.01</v>
      </c>
      <c r="T453" s="49">
        <f t="shared" si="163"/>
        <v>47575.590000000004</v>
      </c>
      <c r="U453" s="51">
        <f t="shared" si="164"/>
        <v>0</v>
      </c>
      <c r="V453" s="52">
        <f>IF(0&lt;0.8,0,IF(0&lt;1,Sheet3!L438,1))*IF(G453&lt;3,0.12 - O453,0.01) *U453</f>
        <v>0</v>
      </c>
      <c r="W453" s="52">
        <f t="shared" si="165"/>
        <v>0</v>
      </c>
      <c r="X453" s="53">
        <f t="shared" si="166"/>
        <v>0</v>
      </c>
      <c r="Y453" s="53">
        <f t="shared" si="167"/>
        <v>0</v>
      </c>
      <c r="Z453" s="54">
        <f t="shared" si="173"/>
        <v>0</v>
      </c>
      <c r="AA453" s="54">
        <f t="shared" si="169"/>
        <v>0</v>
      </c>
      <c r="AB453" s="55">
        <f t="shared" si="174"/>
        <v>0</v>
      </c>
      <c r="AC453" s="55">
        <f t="shared" si="171"/>
        <v>0</v>
      </c>
      <c r="AD453" s="56">
        <f t="shared" si="172"/>
        <v>47575.590000000004</v>
      </c>
    </row>
    <row r="454" spans="3:30">
      <c r="C454" s="43" t="s">
        <v>847</v>
      </c>
      <c r="D454" s="44" t="s">
        <v>848</v>
      </c>
      <c r="E454" s="44"/>
      <c r="F454" s="45">
        <v>43293.340324074074</v>
      </c>
      <c r="G454" s="46">
        <v>2</v>
      </c>
      <c r="H454" s="47">
        <v>43398</v>
      </c>
      <c r="I454" s="47">
        <v>43455</v>
      </c>
      <c r="J454" s="46">
        <v>3391850</v>
      </c>
      <c r="K454" s="46">
        <v>0</v>
      </c>
      <c r="L454" s="46">
        <v>0</v>
      </c>
      <c r="M454" s="46">
        <f t="shared" si="159"/>
        <v>3391850</v>
      </c>
      <c r="N454" s="46">
        <v>3769293</v>
      </c>
      <c r="O454" s="48">
        <f t="shared" si="160"/>
        <v>0.10013628550500053</v>
      </c>
      <c r="P454" s="46">
        <v>3391850</v>
      </c>
      <c r="Q454" s="46">
        <v>0</v>
      </c>
      <c r="R454" s="49">
        <f t="shared" si="161"/>
        <v>0</v>
      </c>
      <c r="S454" s="50">
        <f t="shared" si="162"/>
        <v>0</v>
      </c>
      <c r="T454" s="49">
        <f t="shared" si="163"/>
        <v>0</v>
      </c>
      <c r="U454" s="51">
        <f t="shared" si="164"/>
        <v>3391850</v>
      </c>
      <c r="V454" s="52">
        <f>IF(0&lt;0.8,0,IF(0&lt;1,Sheet3!L438,1))*IF(G454&lt;3,0.12 - O454,0.01) *U454</f>
        <v>0</v>
      </c>
      <c r="W454" s="52">
        <f t="shared" si="165"/>
        <v>0</v>
      </c>
      <c r="X454" s="53">
        <f t="shared" si="166"/>
        <v>0</v>
      </c>
      <c r="Y454" s="53">
        <f t="shared" si="167"/>
        <v>0</v>
      </c>
      <c r="Z454" s="54">
        <f t="shared" si="173"/>
        <v>0</v>
      </c>
      <c r="AA454" s="54">
        <f t="shared" si="169"/>
        <v>0</v>
      </c>
      <c r="AB454" s="55">
        <f t="shared" si="174"/>
        <v>0</v>
      </c>
      <c r="AC454" s="55">
        <f t="shared" si="171"/>
        <v>0</v>
      </c>
      <c r="AD454" s="56">
        <f t="shared" si="172"/>
        <v>0</v>
      </c>
    </row>
    <row r="455" spans="3:30">
      <c r="C455" s="43" t="s">
        <v>849</v>
      </c>
      <c r="D455" s="44" t="s">
        <v>850</v>
      </c>
      <c r="E455" s="44"/>
      <c r="F455" s="45">
        <v>42951.221006944441</v>
      </c>
      <c r="G455" s="46">
        <v>13</v>
      </c>
      <c r="H455" s="47">
        <v>43390</v>
      </c>
      <c r="I455" s="47">
        <v>43402</v>
      </c>
      <c r="J455" s="46">
        <v>723459</v>
      </c>
      <c r="K455" s="46">
        <v>0</v>
      </c>
      <c r="L455" s="46">
        <v>0</v>
      </c>
      <c r="M455" s="46">
        <f t="shared" si="159"/>
        <v>723459</v>
      </c>
      <c r="N455" s="46">
        <v>723459</v>
      </c>
      <c r="O455" s="48">
        <f t="shared" si="160"/>
        <v>0</v>
      </c>
      <c r="P455" s="46">
        <v>0</v>
      </c>
      <c r="Q455" s="46">
        <v>723459</v>
      </c>
      <c r="R455" s="49">
        <f t="shared" si="161"/>
        <v>1</v>
      </c>
      <c r="S455" s="50">
        <f t="shared" si="162"/>
        <v>0.01</v>
      </c>
      <c r="T455" s="49">
        <f t="shared" si="163"/>
        <v>7234.59</v>
      </c>
      <c r="U455" s="51">
        <f t="shared" si="164"/>
        <v>0</v>
      </c>
      <c r="V455" s="52">
        <f>IF(0&lt;0.8,0,IF(0&lt;1,Sheet3!L438,1))*IF(G455&lt;3,0.12 - O455,0.01) *U455</f>
        <v>0</v>
      </c>
      <c r="W455" s="52">
        <f t="shared" si="165"/>
        <v>0</v>
      </c>
      <c r="X455" s="53">
        <f t="shared" si="166"/>
        <v>0</v>
      </c>
      <c r="Y455" s="53">
        <f t="shared" si="167"/>
        <v>0</v>
      </c>
      <c r="Z455" s="54">
        <f t="shared" si="173"/>
        <v>0</v>
      </c>
      <c r="AA455" s="54">
        <f t="shared" si="169"/>
        <v>0</v>
      </c>
      <c r="AB455" s="55">
        <f t="shared" si="174"/>
        <v>0</v>
      </c>
      <c r="AC455" s="55">
        <f t="shared" si="171"/>
        <v>0</v>
      </c>
      <c r="AD455" s="56">
        <f t="shared" si="172"/>
        <v>7234.59</v>
      </c>
    </row>
    <row r="456" spans="3:30">
      <c r="C456" s="43" t="s">
        <v>851</v>
      </c>
      <c r="D456" s="44" t="s">
        <v>852</v>
      </c>
      <c r="E456" s="44"/>
      <c r="F456" s="45">
        <v>42924.151956018519</v>
      </c>
      <c r="G456" s="46">
        <v>14</v>
      </c>
      <c r="H456" s="47">
        <v>43383</v>
      </c>
      <c r="I456" s="47">
        <v>43389</v>
      </c>
      <c r="J456" s="46">
        <v>447797</v>
      </c>
      <c r="K456" s="46">
        <v>0</v>
      </c>
      <c r="L456" s="46">
        <v>0</v>
      </c>
      <c r="M456" s="46">
        <f t="shared" si="159"/>
        <v>447797</v>
      </c>
      <c r="N456" s="46">
        <v>447797</v>
      </c>
      <c r="O456" s="48">
        <f t="shared" si="160"/>
        <v>0</v>
      </c>
      <c r="P456" s="46">
        <v>0</v>
      </c>
      <c r="Q456" s="46">
        <v>447797</v>
      </c>
      <c r="R456" s="49">
        <f t="shared" si="161"/>
        <v>1</v>
      </c>
      <c r="S456" s="50">
        <f t="shared" si="162"/>
        <v>0.01</v>
      </c>
      <c r="T456" s="49">
        <f t="shared" si="163"/>
        <v>4477.97</v>
      </c>
      <c r="U456" s="51">
        <f t="shared" si="164"/>
        <v>0</v>
      </c>
      <c r="V456" s="52">
        <f>IF(0&lt;0.8,0,IF(0&lt;1,Sheet3!L438,1))*IF(G456&lt;3,0.12 - O456,0.01) *U456</f>
        <v>0</v>
      </c>
      <c r="W456" s="52">
        <f t="shared" si="165"/>
        <v>0</v>
      </c>
      <c r="X456" s="53">
        <f t="shared" si="166"/>
        <v>0</v>
      </c>
      <c r="Y456" s="53">
        <f t="shared" si="167"/>
        <v>0</v>
      </c>
      <c r="Z456" s="54">
        <f t="shared" si="173"/>
        <v>0</v>
      </c>
      <c r="AA456" s="54">
        <f t="shared" si="169"/>
        <v>0</v>
      </c>
      <c r="AB456" s="55">
        <f t="shared" si="174"/>
        <v>0</v>
      </c>
      <c r="AC456" s="55">
        <f t="shared" si="171"/>
        <v>0</v>
      </c>
      <c r="AD456" s="56">
        <f t="shared" si="172"/>
        <v>4477.97</v>
      </c>
    </row>
    <row r="457" spans="3:30">
      <c r="C457" s="43" t="s">
        <v>853</v>
      </c>
      <c r="D457" s="44" t="s">
        <v>854</v>
      </c>
      <c r="E457" s="44"/>
      <c r="F457" s="45">
        <v>43161.34337962963</v>
      </c>
      <c r="G457" s="46">
        <v>6</v>
      </c>
      <c r="H457" s="47">
        <v>43390</v>
      </c>
      <c r="I457" s="47">
        <v>43482</v>
      </c>
      <c r="J457" s="46">
        <v>2122609</v>
      </c>
      <c r="K457" s="46">
        <v>0</v>
      </c>
      <c r="L457" s="46">
        <v>0</v>
      </c>
      <c r="M457" s="46">
        <f t="shared" si="159"/>
        <v>2122609</v>
      </c>
      <c r="N457" s="46">
        <v>2142079</v>
      </c>
      <c r="O457" s="48">
        <f t="shared" si="160"/>
        <v>9.0893006280347022E-3</v>
      </c>
      <c r="P457" s="46">
        <v>0</v>
      </c>
      <c r="Q457" s="46">
        <v>2122609</v>
      </c>
      <c r="R457" s="49">
        <f t="shared" si="161"/>
        <v>1</v>
      </c>
      <c r="S457" s="50">
        <f t="shared" si="162"/>
        <v>0.01</v>
      </c>
      <c r="T457" s="49">
        <f t="shared" si="163"/>
        <v>21226.09</v>
      </c>
      <c r="U457" s="51">
        <f t="shared" si="164"/>
        <v>0</v>
      </c>
      <c r="V457" s="52">
        <f>IF(0&lt;0.8,0,IF(0&lt;1,Sheet3!L438,1))*IF(G457&lt;3,0.12 - O457,0.01) *U457</f>
        <v>0</v>
      </c>
      <c r="W457" s="52">
        <f t="shared" si="165"/>
        <v>0</v>
      </c>
      <c r="X457" s="53">
        <f t="shared" si="166"/>
        <v>0</v>
      </c>
      <c r="Y457" s="53">
        <f t="shared" si="167"/>
        <v>0</v>
      </c>
      <c r="Z457" s="54">
        <f t="shared" si="173"/>
        <v>0</v>
      </c>
      <c r="AA457" s="54">
        <f t="shared" si="169"/>
        <v>0</v>
      </c>
      <c r="AB457" s="55">
        <f t="shared" si="174"/>
        <v>0</v>
      </c>
      <c r="AC457" s="55">
        <f t="shared" si="171"/>
        <v>0</v>
      </c>
      <c r="AD457" s="56">
        <f t="shared" si="172"/>
        <v>21226.09</v>
      </c>
    </row>
    <row r="458" spans="3:30">
      <c r="C458" s="43" t="s">
        <v>855</v>
      </c>
      <c r="D458" s="44" t="s">
        <v>856</v>
      </c>
      <c r="E458" s="44"/>
      <c r="F458" s="45">
        <v>42754.15421296296</v>
      </c>
      <c r="G458" s="46">
        <v>20</v>
      </c>
      <c r="H458" s="47">
        <v>43383</v>
      </c>
      <c r="I458" s="47">
        <v>43389</v>
      </c>
      <c r="J458" s="46">
        <v>315229</v>
      </c>
      <c r="K458" s="46">
        <v>0</v>
      </c>
      <c r="L458" s="46">
        <v>0</v>
      </c>
      <c r="M458" s="46">
        <f t="shared" si="159"/>
        <v>315229</v>
      </c>
      <c r="N458" s="46">
        <v>315229</v>
      </c>
      <c r="O458" s="48">
        <f t="shared" si="160"/>
        <v>0</v>
      </c>
      <c r="P458" s="46">
        <v>0</v>
      </c>
      <c r="Q458" s="46">
        <v>315229</v>
      </c>
      <c r="R458" s="49">
        <f t="shared" si="161"/>
        <v>1</v>
      </c>
      <c r="S458" s="50">
        <f t="shared" si="162"/>
        <v>0.01</v>
      </c>
      <c r="T458" s="49">
        <f t="shared" si="163"/>
        <v>3152.29</v>
      </c>
      <c r="U458" s="51">
        <f t="shared" si="164"/>
        <v>0</v>
      </c>
      <c r="V458" s="52">
        <f>IF(0&lt;0.8,0,IF(0&lt;1,Sheet3!L438,1))*IF(G458&lt;3,0.12 - O458,0.01) *U458</f>
        <v>0</v>
      </c>
      <c r="W458" s="52">
        <f t="shared" si="165"/>
        <v>0</v>
      </c>
      <c r="X458" s="53">
        <f t="shared" si="166"/>
        <v>0</v>
      </c>
      <c r="Y458" s="53">
        <f t="shared" si="167"/>
        <v>0</v>
      </c>
      <c r="Z458" s="54">
        <f t="shared" si="173"/>
        <v>0</v>
      </c>
      <c r="AA458" s="54">
        <f t="shared" si="169"/>
        <v>0</v>
      </c>
      <c r="AB458" s="55">
        <f t="shared" si="174"/>
        <v>0</v>
      </c>
      <c r="AC458" s="55">
        <f t="shared" si="171"/>
        <v>0</v>
      </c>
      <c r="AD458" s="56">
        <f t="shared" si="172"/>
        <v>3152.29</v>
      </c>
    </row>
    <row r="459" spans="3:30">
      <c r="C459" s="43" t="s">
        <v>857</v>
      </c>
      <c r="D459" s="44" t="s">
        <v>858</v>
      </c>
      <c r="E459" s="44"/>
      <c r="F459" s="45">
        <v>42383.611273148148</v>
      </c>
      <c r="G459" s="46">
        <v>32</v>
      </c>
      <c r="H459" s="47">
        <v>43378</v>
      </c>
      <c r="I459" s="47">
        <v>43395</v>
      </c>
      <c r="J459" s="46">
        <v>2085770</v>
      </c>
      <c r="K459" s="46">
        <v>0</v>
      </c>
      <c r="L459" s="46">
        <v>0</v>
      </c>
      <c r="M459" s="46">
        <f t="shared" si="159"/>
        <v>2085770</v>
      </c>
      <c r="N459" s="46">
        <v>2571371</v>
      </c>
      <c r="O459" s="48">
        <f t="shared" si="160"/>
        <v>0.18884906145398694</v>
      </c>
      <c r="P459" s="46">
        <v>0</v>
      </c>
      <c r="Q459" s="46">
        <v>2085770</v>
      </c>
      <c r="R459" s="49">
        <f t="shared" si="161"/>
        <v>1</v>
      </c>
      <c r="S459" s="50">
        <f t="shared" si="162"/>
        <v>0.01</v>
      </c>
      <c r="T459" s="49">
        <f t="shared" si="163"/>
        <v>20857.7</v>
      </c>
      <c r="U459" s="51">
        <f t="shared" si="164"/>
        <v>0</v>
      </c>
      <c r="V459" s="52">
        <f>IF(0&lt;0.8,0,IF(0&lt;1,Sheet3!L438,1))*IF(G459&lt;3,0.12 - O459,0.01) *U459</f>
        <v>0</v>
      </c>
      <c r="W459" s="52">
        <f t="shared" si="165"/>
        <v>0</v>
      </c>
      <c r="X459" s="53">
        <f t="shared" si="166"/>
        <v>0</v>
      </c>
      <c r="Y459" s="53">
        <f t="shared" si="167"/>
        <v>0</v>
      </c>
      <c r="Z459" s="54">
        <f t="shared" si="173"/>
        <v>0</v>
      </c>
      <c r="AA459" s="54">
        <f t="shared" si="169"/>
        <v>0</v>
      </c>
      <c r="AB459" s="55">
        <f t="shared" si="174"/>
        <v>0</v>
      </c>
      <c r="AC459" s="55">
        <f t="shared" si="171"/>
        <v>0</v>
      </c>
      <c r="AD459" s="56">
        <f t="shared" si="172"/>
        <v>20857.7</v>
      </c>
    </row>
    <row r="460" spans="3:30">
      <c r="C460" s="43" t="s">
        <v>859</v>
      </c>
      <c r="D460" s="44" t="s">
        <v>860</v>
      </c>
      <c r="E460" s="44"/>
      <c r="F460" s="45">
        <v>42784.189293981479</v>
      </c>
      <c r="G460" s="46">
        <v>19</v>
      </c>
      <c r="H460" s="47">
        <v>43397</v>
      </c>
      <c r="I460" s="47">
        <v>43417</v>
      </c>
      <c r="J460" s="46">
        <v>468694</v>
      </c>
      <c r="K460" s="46">
        <v>0</v>
      </c>
      <c r="L460" s="46">
        <v>0</v>
      </c>
      <c r="M460" s="46">
        <f t="shared" si="159"/>
        <v>468694</v>
      </c>
      <c r="N460" s="46">
        <v>468694</v>
      </c>
      <c r="O460" s="48">
        <f t="shared" si="160"/>
        <v>0</v>
      </c>
      <c r="P460" s="46">
        <v>0</v>
      </c>
      <c r="Q460" s="46">
        <v>468694</v>
      </c>
      <c r="R460" s="49">
        <f t="shared" si="161"/>
        <v>1</v>
      </c>
      <c r="S460" s="50">
        <f t="shared" si="162"/>
        <v>0.01</v>
      </c>
      <c r="T460" s="49">
        <f t="shared" si="163"/>
        <v>4686.9400000000005</v>
      </c>
      <c r="U460" s="51">
        <f t="shared" si="164"/>
        <v>0</v>
      </c>
      <c r="V460" s="52">
        <f>IF(0&lt;0.8,0,IF(0&lt;1,Sheet3!L438,1))*IF(G460&lt;3,0.12 - O460,0.01) *U460</f>
        <v>0</v>
      </c>
      <c r="W460" s="52">
        <f t="shared" si="165"/>
        <v>0</v>
      </c>
      <c r="X460" s="53">
        <f t="shared" si="166"/>
        <v>0</v>
      </c>
      <c r="Y460" s="53">
        <f t="shared" si="167"/>
        <v>0</v>
      </c>
      <c r="Z460" s="54">
        <f t="shared" si="173"/>
        <v>0</v>
      </c>
      <c r="AA460" s="54">
        <f t="shared" si="169"/>
        <v>0</v>
      </c>
      <c r="AB460" s="55">
        <f t="shared" si="174"/>
        <v>0</v>
      </c>
      <c r="AC460" s="55">
        <f t="shared" si="171"/>
        <v>0</v>
      </c>
      <c r="AD460" s="56">
        <f t="shared" si="172"/>
        <v>4686.9400000000005</v>
      </c>
    </row>
    <row r="461" spans="3:30">
      <c r="C461" s="43" t="s">
        <v>861</v>
      </c>
      <c r="D461" s="44" t="s">
        <v>862</v>
      </c>
      <c r="E461" s="44"/>
      <c r="F461" s="45">
        <v>42879.364363425921</v>
      </c>
      <c r="G461" s="46">
        <v>16</v>
      </c>
      <c r="H461" s="47">
        <v>43460</v>
      </c>
      <c r="I461" s="47">
        <v>43493</v>
      </c>
      <c r="J461" s="46">
        <v>2697628</v>
      </c>
      <c r="K461" s="46">
        <v>0</v>
      </c>
      <c r="L461" s="46">
        <v>0</v>
      </c>
      <c r="M461" s="46">
        <f t="shared" si="159"/>
        <v>2697628</v>
      </c>
      <c r="N461" s="46">
        <v>2586913</v>
      </c>
      <c r="O461" s="48">
        <f t="shared" si="160"/>
        <v>0</v>
      </c>
      <c r="P461" s="46">
        <v>0</v>
      </c>
      <c r="Q461" s="46">
        <v>2697628</v>
      </c>
      <c r="R461" s="49">
        <f t="shared" si="161"/>
        <v>1</v>
      </c>
      <c r="S461" s="50">
        <f t="shared" si="162"/>
        <v>0.01</v>
      </c>
      <c r="T461" s="49">
        <f t="shared" si="163"/>
        <v>26976.28</v>
      </c>
      <c r="U461" s="51">
        <f t="shared" si="164"/>
        <v>0</v>
      </c>
      <c r="V461" s="52">
        <f>IF(0&lt;0.8,0,IF(0&lt;1,Sheet3!L438,1))*IF(G461&lt;3,0.12 - O461,0.01) *U461</f>
        <v>0</v>
      </c>
      <c r="W461" s="52">
        <f t="shared" si="165"/>
        <v>0</v>
      </c>
      <c r="X461" s="53">
        <f t="shared" si="166"/>
        <v>0</v>
      </c>
      <c r="Y461" s="53">
        <f t="shared" si="167"/>
        <v>0</v>
      </c>
      <c r="Z461" s="54">
        <f t="shared" si="173"/>
        <v>0</v>
      </c>
      <c r="AA461" s="54">
        <f t="shared" si="169"/>
        <v>0</v>
      </c>
      <c r="AB461" s="55">
        <f t="shared" si="174"/>
        <v>0</v>
      </c>
      <c r="AC461" s="55">
        <f t="shared" si="171"/>
        <v>0</v>
      </c>
      <c r="AD461" s="56">
        <f t="shared" si="172"/>
        <v>26976.28</v>
      </c>
    </row>
    <row r="462" spans="3:30">
      <c r="C462" s="43" t="s">
        <v>863</v>
      </c>
      <c r="D462" s="44" t="s">
        <v>864</v>
      </c>
      <c r="E462" s="44"/>
      <c r="F462" s="45">
        <v>42895.320497685185</v>
      </c>
      <c r="G462" s="46">
        <v>15</v>
      </c>
      <c r="H462" s="47">
        <v>43376</v>
      </c>
      <c r="I462" s="47">
        <v>43420</v>
      </c>
      <c r="J462" s="46">
        <v>166617</v>
      </c>
      <c r="K462" s="46">
        <v>0</v>
      </c>
      <c r="L462" s="46">
        <v>0</v>
      </c>
      <c r="M462" s="46">
        <f t="shared" si="159"/>
        <v>166617</v>
      </c>
      <c r="N462" s="46">
        <v>166617</v>
      </c>
      <c r="O462" s="48">
        <f t="shared" si="160"/>
        <v>0</v>
      </c>
      <c r="P462" s="46">
        <v>0</v>
      </c>
      <c r="Q462" s="46">
        <v>166617</v>
      </c>
      <c r="R462" s="49">
        <f t="shared" si="161"/>
        <v>1</v>
      </c>
      <c r="S462" s="50">
        <f t="shared" si="162"/>
        <v>0.01</v>
      </c>
      <c r="T462" s="49">
        <f t="shared" si="163"/>
        <v>1666.17</v>
      </c>
      <c r="U462" s="51">
        <f t="shared" si="164"/>
        <v>0</v>
      </c>
      <c r="V462" s="52">
        <f>IF(0&lt;0.8,0,IF(0&lt;1,Sheet3!L438,1))*IF(G462&lt;3,0.12 - O462,0.01) *U462</f>
        <v>0</v>
      </c>
      <c r="W462" s="52">
        <f t="shared" si="165"/>
        <v>0</v>
      </c>
      <c r="X462" s="53">
        <f t="shared" si="166"/>
        <v>0</v>
      </c>
      <c r="Y462" s="53">
        <f t="shared" si="167"/>
        <v>0</v>
      </c>
      <c r="Z462" s="54">
        <f t="shared" si="173"/>
        <v>0</v>
      </c>
      <c r="AA462" s="54">
        <f t="shared" si="169"/>
        <v>0</v>
      </c>
      <c r="AB462" s="55">
        <f t="shared" si="174"/>
        <v>0</v>
      </c>
      <c r="AC462" s="55">
        <f t="shared" si="171"/>
        <v>0</v>
      </c>
      <c r="AD462" s="56">
        <f t="shared" si="172"/>
        <v>1666.17</v>
      </c>
    </row>
    <row r="463" spans="3:30">
      <c r="C463" s="43" t="s">
        <v>865</v>
      </c>
      <c r="D463" s="44" t="s">
        <v>866</v>
      </c>
      <c r="E463" s="44"/>
      <c r="F463" s="45">
        <v>42898.293680555551</v>
      </c>
      <c r="G463" s="46">
        <v>15</v>
      </c>
      <c r="H463" s="47">
        <v>43420</v>
      </c>
      <c r="I463" s="47">
        <v>43446</v>
      </c>
      <c r="J463" s="46">
        <v>1254770</v>
      </c>
      <c r="K463" s="46">
        <v>0</v>
      </c>
      <c r="L463" s="46">
        <v>0</v>
      </c>
      <c r="M463" s="46">
        <f t="shared" si="159"/>
        <v>1254770</v>
      </c>
      <c r="N463" s="46">
        <v>1254770</v>
      </c>
      <c r="O463" s="48">
        <f t="shared" si="160"/>
        <v>0</v>
      </c>
      <c r="P463" s="46">
        <v>0</v>
      </c>
      <c r="Q463" s="46">
        <v>1571790</v>
      </c>
      <c r="R463" s="49">
        <f t="shared" si="161"/>
        <v>1</v>
      </c>
      <c r="S463" s="50">
        <f t="shared" si="162"/>
        <v>0.01</v>
      </c>
      <c r="T463" s="49">
        <f t="shared" si="163"/>
        <v>12547.7</v>
      </c>
      <c r="U463" s="51">
        <f t="shared" si="164"/>
        <v>0</v>
      </c>
      <c r="V463" s="52">
        <f>IF(0&lt;0.8,0,IF(0&lt;1,Sheet3!L438,1))*IF(G463&lt;3,0.12 - O463,0.01) *U463</f>
        <v>0</v>
      </c>
      <c r="W463" s="52">
        <f t="shared" si="165"/>
        <v>0</v>
      </c>
      <c r="X463" s="53">
        <f t="shared" si="166"/>
        <v>0</v>
      </c>
      <c r="Y463" s="53">
        <f t="shared" si="167"/>
        <v>0</v>
      </c>
      <c r="Z463" s="54">
        <f t="shared" si="173"/>
        <v>0</v>
      </c>
      <c r="AA463" s="54">
        <f t="shared" si="169"/>
        <v>0</v>
      </c>
      <c r="AB463" s="55">
        <f t="shared" si="174"/>
        <v>0</v>
      </c>
      <c r="AC463" s="55">
        <f t="shared" si="171"/>
        <v>0</v>
      </c>
      <c r="AD463" s="56">
        <f t="shared" si="172"/>
        <v>12547.7</v>
      </c>
    </row>
    <row r="464" spans="3:30">
      <c r="C464" s="43" t="s">
        <v>867</v>
      </c>
      <c r="D464" s="44" t="s">
        <v>868</v>
      </c>
      <c r="E464" s="44"/>
      <c r="F464" s="45">
        <v>42950.33390046296</v>
      </c>
      <c r="G464" s="46">
        <v>13</v>
      </c>
      <c r="H464" s="47">
        <v>43488</v>
      </c>
      <c r="I464" s="47">
        <v>43511</v>
      </c>
      <c r="J464" s="46">
        <v>36834958</v>
      </c>
      <c r="K464" s="46">
        <v>0</v>
      </c>
      <c r="L464" s="46">
        <v>0</v>
      </c>
      <c r="M464" s="46">
        <f t="shared" si="159"/>
        <v>36834958</v>
      </c>
      <c r="N464" s="46">
        <v>49034988</v>
      </c>
      <c r="O464" s="48">
        <f t="shared" si="160"/>
        <v>0.24880254890650733</v>
      </c>
      <c r="P464" s="46">
        <v>0</v>
      </c>
      <c r="Q464" s="46">
        <v>36977095</v>
      </c>
      <c r="R464" s="49">
        <f t="shared" si="161"/>
        <v>1</v>
      </c>
      <c r="S464" s="50">
        <f t="shared" si="162"/>
        <v>0.01</v>
      </c>
      <c r="T464" s="49">
        <f t="shared" si="163"/>
        <v>368349.58</v>
      </c>
      <c r="U464" s="51">
        <f t="shared" si="164"/>
        <v>0</v>
      </c>
      <c r="V464" s="52">
        <f>IF(0&lt;0.8,0,IF(0&lt;1,Sheet3!L438,1))*IF(G464&lt;3,0.12 - O464,0.01) *U464</f>
        <v>0</v>
      </c>
      <c r="W464" s="52">
        <f t="shared" si="165"/>
        <v>0</v>
      </c>
      <c r="X464" s="53">
        <f t="shared" si="166"/>
        <v>0</v>
      </c>
      <c r="Y464" s="53">
        <f t="shared" si="167"/>
        <v>0</v>
      </c>
      <c r="Z464" s="54">
        <f t="shared" si="173"/>
        <v>0</v>
      </c>
      <c r="AA464" s="54">
        <f t="shared" si="169"/>
        <v>0</v>
      </c>
      <c r="AB464" s="55">
        <f t="shared" si="174"/>
        <v>0</v>
      </c>
      <c r="AC464" s="55">
        <f t="shared" si="171"/>
        <v>0</v>
      </c>
      <c r="AD464" s="56">
        <f t="shared" si="172"/>
        <v>368349.58</v>
      </c>
    </row>
    <row r="465" spans="2:30">
      <c r="C465" s="43" t="s">
        <v>869</v>
      </c>
      <c r="D465" s="44" t="s">
        <v>870</v>
      </c>
      <c r="E465" s="44"/>
      <c r="F465" s="45">
        <v>42962.298356481479</v>
      </c>
      <c r="G465" s="46">
        <v>13</v>
      </c>
      <c r="H465" s="47">
        <v>43390</v>
      </c>
      <c r="I465" s="47">
        <v>43397</v>
      </c>
      <c r="J465" s="46">
        <v>893803</v>
      </c>
      <c r="K465" s="46">
        <v>0</v>
      </c>
      <c r="L465" s="46">
        <v>0</v>
      </c>
      <c r="M465" s="46">
        <f t="shared" si="159"/>
        <v>893803</v>
      </c>
      <c r="N465" s="46">
        <v>893803</v>
      </c>
      <c r="O465" s="48">
        <f t="shared" si="160"/>
        <v>0</v>
      </c>
      <c r="P465" s="46">
        <v>0</v>
      </c>
      <c r="Q465" s="46">
        <v>893803</v>
      </c>
      <c r="R465" s="49">
        <f t="shared" si="161"/>
        <v>1</v>
      </c>
      <c r="S465" s="50">
        <f t="shared" si="162"/>
        <v>0.01</v>
      </c>
      <c r="T465" s="49">
        <f t="shared" si="163"/>
        <v>8938.0300000000007</v>
      </c>
      <c r="U465" s="51">
        <f t="shared" si="164"/>
        <v>0</v>
      </c>
      <c r="V465" s="52">
        <f>IF(0&lt;0.8,0,IF(0&lt;1,Sheet3!L438,1))*IF(G465&lt;3,0.12 - O465,0.01) *U465</f>
        <v>0</v>
      </c>
      <c r="W465" s="52">
        <f t="shared" si="165"/>
        <v>0</v>
      </c>
      <c r="X465" s="53">
        <f t="shared" si="166"/>
        <v>0</v>
      </c>
      <c r="Y465" s="53">
        <f t="shared" si="167"/>
        <v>0</v>
      </c>
      <c r="Z465" s="54">
        <f t="shared" si="173"/>
        <v>0</v>
      </c>
      <c r="AA465" s="54">
        <f t="shared" si="169"/>
        <v>0</v>
      </c>
      <c r="AB465" s="55">
        <f t="shared" si="174"/>
        <v>0</v>
      </c>
      <c r="AC465" s="55">
        <f t="shared" si="171"/>
        <v>0</v>
      </c>
      <c r="AD465" s="56">
        <f t="shared" si="172"/>
        <v>8938.0300000000007</v>
      </c>
    </row>
    <row r="466" spans="2:30">
      <c r="C466" s="43" t="s">
        <v>871</v>
      </c>
      <c r="D466" s="44" t="s">
        <v>872</v>
      </c>
      <c r="E466" s="44"/>
      <c r="F466" s="45">
        <v>43061.308090277773</v>
      </c>
      <c r="G466" s="46">
        <v>10</v>
      </c>
      <c r="H466" s="47">
        <v>43378</v>
      </c>
      <c r="I466" s="47">
        <v>43383</v>
      </c>
      <c r="J466" s="46">
        <v>93170</v>
      </c>
      <c r="K466" s="46">
        <v>0</v>
      </c>
      <c r="L466" s="46">
        <v>0</v>
      </c>
      <c r="M466" s="46">
        <f t="shared" si="159"/>
        <v>93170</v>
      </c>
      <c r="N466" s="46">
        <v>93170</v>
      </c>
      <c r="O466" s="48">
        <f t="shared" si="160"/>
        <v>0</v>
      </c>
      <c r="P466" s="46">
        <v>0</v>
      </c>
      <c r="Q466" s="46">
        <v>93170</v>
      </c>
      <c r="R466" s="49">
        <f t="shared" si="161"/>
        <v>1</v>
      </c>
      <c r="S466" s="50">
        <f t="shared" si="162"/>
        <v>0.01</v>
      </c>
      <c r="T466" s="49">
        <f t="shared" si="163"/>
        <v>931.7</v>
      </c>
      <c r="U466" s="51">
        <f t="shared" si="164"/>
        <v>0</v>
      </c>
      <c r="V466" s="52">
        <f>IF(0&lt;0.8,0,IF(0&lt;1,Sheet3!L438,1))*IF(G466&lt;3,0.12 - O466,0.01) *U466</f>
        <v>0</v>
      </c>
      <c r="W466" s="52">
        <f t="shared" si="165"/>
        <v>0</v>
      </c>
      <c r="X466" s="53">
        <f t="shared" si="166"/>
        <v>0</v>
      </c>
      <c r="Y466" s="53">
        <f t="shared" si="167"/>
        <v>0</v>
      </c>
      <c r="Z466" s="54">
        <f t="shared" si="173"/>
        <v>0</v>
      </c>
      <c r="AA466" s="54">
        <f t="shared" si="169"/>
        <v>0</v>
      </c>
      <c r="AB466" s="55">
        <f t="shared" si="174"/>
        <v>0</v>
      </c>
      <c r="AC466" s="55">
        <f t="shared" si="171"/>
        <v>0</v>
      </c>
      <c r="AD466" s="56">
        <f t="shared" si="172"/>
        <v>931.7</v>
      </c>
    </row>
    <row r="467" spans="2:30">
      <c r="C467" s="43" t="s">
        <v>873</v>
      </c>
      <c r="D467" s="44" t="s">
        <v>874</v>
      </c>
      <c r="E467" s="44"/>
      <c r="F467" s="45">
        <v>43161.178020833329</v>
      </c>
      <c r="G467" s="46">
        <v>6</v>
      </c>
      <c r="H467" s="47">
        <v>43390</v>
      </c>
      <c r="I467" s="47">
        <v>43400</v>
      </c>
      <c r="J467" s="46">
        <v>233200</v>
      </c>
      <c r="K467" s="46">
        <v>0</v>
      </c>
      <c r="L467" s="46">
        <v>0</v>
      </c>
      <c r="M467" s="46">
        <f t="shared" si="159"/>
        <v>233200</v>
      </c>
      <c r="N467" s="46">
        <v>283140</v>
      </c>
      <c r="O467" s="48">
        <f t="shared" si="160"/>
        <v>0.17637917637917633</v>
      </c>
      <c r="P467" s="46">
        <v>0</v>
      </c>
      <c r="Q467" s="46">
        <v>233200</v>
      </c>
      <c r="R467" s="49">
        <f t="shared" si="161"/>
        <v>1</v>
      </c>
      <c r="S467" s="50">
        <f t="shared" si="162"/>
        <v>0.01</v>
      </c>
      <c r="T467" s="49">
        <f t="shared" si="163"/>
        <v>2332</v>
      </c>
      <c r="U467" s="51">
        <f t="shared" si="164"/>
        <v>0</v>
      </c>
      <c r="V467" s="52">
        <f>IF(0&lt;0.8,0,IF(0&lt;1,Sheet3!L438,1))*IF(G467&lt;3,0.12 - O467,0.01) *U467</f>
        <v>0</v>
      </c>
      <c r="W467" s="52">
        <f t="shared" si="165"/>
        <v>0</v>
      </c>
      <c r="X467" s="53">
        <f t="shared" si="166"/>
        <v>0</v>
      </c>
      <c r="Y467" s="53">
        <f t="shared" si="167"/>
        <v>0</v>
      </c>
      <c r="Z467" s="54">
        <f t="shared" si="173"/>
        <v>0</v>
      </c>
      <c r="AA467" s="54">
        <f t="shared" si="169"/>
        <v>0</v>
      </c>
      <c r="AB467" s="55">
        <f t="shared" si="174"/>
        <v>0</v>
      </c>
      <c r="AC467" s="55">
        <f t="shared" si="171"/>
        <v>0</v>
      </c>
      <c r="AD467" s="56">
        <f t="shared" si="172"/>
        <v>2332</v>
      </c>
    </row>
    <row r="468" spans="2:30">
      <c r="C468" s="43" t="s">
        <v>875</v>
      </c>
      <c r="D468" s="44" t="s">
        <v>876</v>
      </c>
      <c r="E468" s="44"/>
      <c r="F468" s="45">
        <v>43216.312754629631</v>
      </c>
      <c r="G468" s="46">
        <v>5</v>
      </c>
      <c r="H468" s="47">
        <v>43390</v>
      </c>
      <c r="I468" s="47">
        <v>43398</v>
      </c>
      <c r="J468" s="46">
        <v>751168</v>
      </c>
      <c r="K468" s="46">
        <v>0</v>
      </c>
      <c r="L468" s="46">
        <v>0</v>
      </c>
      <c r="M468" s="46">
        <f t="shared" si="159"/>
        <v>751168</v>
      </c>
      <c r="N468" s="46">
        <v>803198</v>
      </c>
      <c r="O468" s="48">
        <f t="shared" si="160"/>
        <v>6.477854775534797E-2</v>
      </c>
      <c r="P468" s="46">
        <v>0</v>
      </c>
      <c r="Q468" s="46">
        <v>751168</v>
      </c>
      <c r="R468" s="49">
        <f t="shared" si="161"/>
        <v>1</v>
      </c>
      <c r="S468" s="50">
        <f t="shared" si="162"/>
        <v>0.01</v>
      </c>
      <c r="T468" s="49">
        <f t="shared" si="163"/>
        <v>7511.68</v>
      </c>
      <c r="U468" s="51">
        <f t="shared" si="164"/>
        <v>0</v>
      </c>
      <c r="V468" s="52">
        <f>IF(0&lt;0.8,0,IF(0&lt;1,Sheet3!L438,1))*IF(G468&lt;3,0.12 - O468,0.01) *U468</f>
        <v>0</v>
      </c>
      <c r="W468" s="52">
        <f t="shared" si="165"/>
        <v>0</v>
      </c>
      <c r="X468" s="53">
        <f t="shared" si="166"/>
        <v>0</v>
      </c>
      <c r="Y468" s="53">
        <f t="shared" si="167"/>
        <v>0</v>
      </c>
      <c r="Z468" s="54">
        <f t="shared" si="173"/>
        <v>0</v>
      </c>
      <c r="AA468" s="54">
        <f t="shared" si="169"/>
        <v>0</v>
      </c>
      <c r="AB468" s="55">
        <f t="shared" si="174"/>
        <v>0</v>
      </c>
      <c r="AC468" s="55">
        <f t="shared" si="171"/>
        <v>0</v>
      </c>
      <c r="AD468" s="56">
        <f t="shared" si="172"/>
        <v>7511.68</v>
      </c>
    </row>
    <row r="469" spans="2:30">
      <c r="C469" s="43" t="s">
        <v>877</v>
      </c>
      <c r="D469" s="44" t="s">
        <v>878</v>
      </c>
      <c r="E469" s="44"/>
      <c r="F469" s="45">
        <v>42699.380497685182</v>
      </c>
      <c r="G469" s="46">
        <v>22</v>
      </c>
      <c r="H469" s="47">
        <v>43396</v>
      </c>
      <c r="I469" s="47">
        <v>43406</v>
      </c>
      <c r="J469" s="46">
        <v>871079</v>
      </c>
      <c r="K469" s="46">
        <v>0</v>
      </c>
      <c r="L469" s="46">
        <v>0</v>
      </c>
      <c r="M469" s="46">
        <f t="shared" si="159"/>
        <v>871079</v>
      </c>
      <c r="N469" s="46">
        <v>871079</v>
      </c>
      <c r="O469" s="48">
        <f t="shared" si="160"/>
        <v>0</v>
      </c>
      <c r="P469" s="46">
        <v>0</v>
      </c>
      <c r="Q469" s="46">
        <v>871079</v>
      </c>
      <c r="R469" s="49">
        <f t="shared" si="161"/>
        <v>1</v>
      </c>
      <c r="S469" s="50">
        <f t="shared" si="162"/>
        <v>0.01</v>
      </c>
      <c r="T469" s="49">
        <f t="shared" si="163"/>
        <v>8710.7900000000009</v>
      </c>
      <c r="U469" s="51">
        <f t="shared" si="164"/>
        <v>0</v>
      </c>
      <c r="V469" s="52">
        <f>IF(0&lt;0.8,0,IF(0&lt;1,Sheet3!L438,1))*IF(G469&lt;3,0.12 - O469,0.01) *U469</f>
        <v>0</v>
      </c>
      <c r="W469" s="52">
        <f t="shared" si="165"/>
        <v>0</v>
      </c>
      <c r="X469" s="53">
        <f t="shared" si="166"/>
        <v>0</v>
      </c>
      <c r="Y469" s="53">
        <f t="shared" si="167"/>
        <v>0</v>
      </c>
      <c r="Z469" s="54">
        <f t="shared" si="173"/>
        <v>0</v>
      </c>
      <c r="AA469" s="54">
        <f t="shared" si="169"/>
        <v>0</v>
      </c>
      <c r="AB469" s="55">
        <f t="shared" si="174"/>
        <v>0</v>
      </c>
      <c r="AC469" s="55">
        <f t="shared" si="171"/>
        <v>0</v>
      </c>
      <c r="AD469" s="56">
        <f t="shared" si="172"/>
        <v>8710.7900000000009</v>
      </c>
    </row>
    <row r="470" spans="2:30">
      <c r="C470" s="43" t="s">
        <v>879</v>
      </c>
      <c r="D470" s="44" t="s">
        <v>880</v>
      </c>
      <c r="E470" s="44"/>
      <c r="F470" s="45">
        <v>42713.161215277774</v>
      </c>
      <c r="G470" s="46">
        <v>21</v>
      </c>
      <c r="H470" s="47">
        <v>43391</v>
      </c>
      <c r="I470" s="47">
        <v>43427</v>
      </c>
      <c r="J470" s="46">
        <v>2269907</v>
      </c>
      <c r="K470" s="46">
        <v>0</v>
      </c>
      <c r="L470" s="46">
        <v>0</v>
      </c>
      <c r="M470" s="46">
        <f t="shared" si="159"/>
        <v>2269907</v>
      </c>
      <c r="N470" s="46">
        <v>2268829</v>
      </c>
      <c r="O470" s="48">
        <f t="shared" si="160"/>
        <v>0</v>
      </c>
      <c r="P470" s="46">
        <v>0</v>
      </c>
      <c r="Q470" s="46">
        <v>2269907</v>
      </c>
      <c r="R470" s="49">
        <f t="shared" si="161"/>
        <v>1</v>
      </c>
      <c r="S470" s="50">
        <f t="shared" si="162"/>
        <v>0.01</v>
      </c>
      <c r="T470" s="49">
        <f t="shared" si="163"/>
        <v>22699.07</v>
      </c>
      <c r="U470" s="51">
        <f t="shared" si="164"/>
        <v>0</v>
      </c>
      <c r="V470" s="52">
        <f>IF(0&lt;0.8,0,IF(0&lt;1,Sheet3!L438,1))*IF(G470&lt;3,0.12 - O470,0.01) *U470</f>
        <v>0</v>
      </c>
      <c r="W470" s="52">
        <f t="shared" si="165"/>
        <v>0</v>
      </c>
      <c r="X470" s="53">
        <f t="shared" si="166"/>
        <v>0</v>
      </c>
      <c r="Y470" s="53">
        <f t="shared" si="167"/>
        <v>0</v>
      </c>
      <c r="Z470" s="54">
        <f t="shared" si="173"/>
        <v>0</v>
      </c>
      <c r="AA470" s="54">
        <f t="shared" si="169"/>
        <v>0</v>
      </c>
      <c r="AB470" s="55">
        <f t="shared" si="174"/>
        <v>0</v>
      </c>
      <c r="AC470" s="55">
        <f t="shared" si="171"/>
        <v>0</v>
      </c>
      <c r="AD470" s="56">
        <f t="shared" si="172"/>
        <v>22699.07</v>
      </c>
    </row>
    <row r="471" spans="2:30">
      <c r="C471" s="43" t="s">
        <v>881</v>
      </c>
      <c r="D471" s="44" t="s">
        <v>882</v>
      </c>
      <c r="E471" s="44"/>
      <c r="F471" s="45">
        <v>42744.139641203699</v>
      </c>
      <c r="G471" s="46">
        <v>20</v>
      </c>
      <c r="H471" s="47">
        <v>43376</v>
      </c>
      <c r="I471" s="47">
        <v>43410</v>
      </c>
      <c r="J471" s="46">
        <v>2088581</v>
      </c>
      <c r="K471" s="46">
        <v>0</v>
      </c>
      <c r="L471" s="46">
        <v>0</v>
      </c>
      <c r="M471" s="46">
        <f t="shared" si="159"/>
        <v>2088581</v>
      </c>
      <c r="N471" s="46">
        <v>2088581</v>
      </c>
      <c r="O471" s="48">
        <f t="shared" si="160"/>
        <v>0</v>
      </c>
      <c r="P471" s="46">
        <v>0</v>
      </c>
      <c r="Q471" s="46">
        <v>2088581</v>
      </c>
      <c r="R471" s="49">
        <f t="shared" si="161"/>
        <v>1</v>
      </c>
      <c r="S471" s="50">
        <f t="shared" si="162"/>
        <v>0.01</v>
      </c>
      <c r="T471" s="49">
        <f t="shared" si="163"/>
        <v>20885.810000000001</v>
      </c>
      <c r="U471" s="51">
        <f t="shared" si="164"/>
        <v>0</v>
      </c>
      <c r="V471" s="52">
        <f>IF(0&lt;0.8,0,IF(0&lt;1,Sheet3!L438,1))*IF(G471&lt;3,0.12 - O471,0.01) *U471</f>
        <v>0</v>
      </c>
      <c r="W471" s="52">
        <f t="shared" si="165"/>
        <v>0</v>
      </c>
      <c r="X471" s="53">
        <f t="shared" si="166"/>
        <v>0</v>
      </c>
      <c r="Y471" s="53">
        <f t="shared" si="167"/>
        <v>0</v>
      </c>
      <c r="Z471" s="54">
        <f t="shared" si="173"/>
        <v>0</v>
      </c>
      <c r="AA471" s="54">
        <f t="shared" si="169"/>
        <v>0</v>
      </c>
      <c r="AB471" s="55">
        <f t="shared" si="174"/>
        <v>0</v>
      </c>
      <c r="AC471" s="55">
        <f t="shared" si="171"/>
        <v>0</v>
      </c>
      <c r="AD471" s="56">
        <f t="shared" si="172"/>
        <v>20885.810000000001</v>
      </c>
    </row>
    <row r="472" spans="2:30">
      <c r="C472" s="43" t="s">
        <v>883</v>
      </c>
      <c r="D472" s="44" t="s">
        <v>884</v>
      </c>
      <c r="E472" s="44"/>
      <c r="F472" s="45">
        <v>42793.350810185184</v>
      </c>
      <c r="G472" s="46">
        <v>19</v>
      </c>
      <c r="H472" s="47">
        <v>43396</v>
      </c>
      <c r="I472" s="47">
        <v>43411</v>
      </c>
      <c r="J472" s="46">
        <v>194084</v>
      </c>
      <c r="K472" s="46">
        <v>0</v>
      </c>
      <c r="L472" s="46">
        <v>0</v>
      </c>
      <c r="M472" s="46">
        <f t="shared" si="159"/>
        <v>194084</v>
      </c>
      <c r="N472" s="46">
        <v>194084</v>
      </c>
      <c r="O472" s="48">
        <f t="shared" si="160"/>
        <v>0</v>
      </c>
      <c r="P472" s="46">
        <v>0</v>
      </c>
      <c r="Q472" s="46">
        <v>194084</v>
      </c>
      <c r="R472" s="49">
        <f t="shared" si="161"/>
        <v>1</v>
      </c>
      <c r="S472" s="50">
        <f t="shared" si="162"/>
        <v>0.01</v>
      </c>
      <c r="T472" s="49">
        <f t="shared" si="163"/>
        <v>1940.8400000000001</v>
      </c>
      <c r="U472" s="51">
        <f t="shared" si="164"/>
        <v>0</v>
      </c>
      <c r="V472" s="52">
        <f>IF(0&lt;0.8,0,IF(0&lt;1,Sheet3!L438,1))*IF(G472&lt;3,0.12 - O472,0.01) *U472</f>
        <v>0</v>
      </c>
      <c r="W472" s="52">
        <f t="shared" si="165"/>
        <v>0</v>
      </c>
      <c r="X472" s="53">
        <f t="shared" si="166"/>
        <v>0</v>
      </c>
      <c r="Y472" s="53">
        <f t="shared" si="167"/>
        <v>0</v>
      </c>
      <c r="Z472" s="54">
        <f t="shared" si="173"/>
        <v>0</v>
      </c>
      <c r="AA472" s="54">
        <f t="shared" si="169"/>
        <v>0</v>
      </c>
      <c r="AB472" s="55">
        <f t="shared" si="174"/>
        <v>0</v>
      </c>
      <c r="AC472" s="55">
        <f t="shared" si="171"/>
        <v>0</v>
      </c>
      <c r="AD472" s="56">
        <f t="shared" si="172"/>
        <v>1940.8400000000001</v>
      </c>
    </row>
    <row r="473" spans="2:30">
      <c r="C473" s="43" t="s">
        <v>885</v>
      </c>
      <c r="D473" s="44" t="s">
        <v>886</v>
      </c>
      <c r="E473" s="44"/>
      <c r="F473" s="45">
        <v>42793.378321759257</v>
      </c>
      <c r="G473" s="46">
        <v>19</v>
      </c>
      <c r="H473" s="47">
        <v>43396</v>
      </c>
      <c r="I473" s="47">
        <v>43407</v>
      </c>
      <c r="J473" s="46">
        <v>305041</v>
      </c>
      <c r="K473" s="46">
        <v>0</v>
      </c>
      <c r="L473" s="46">
        <v>0</v>
      </c>
      <c r="M473" s="46">
        <f t="shared" si="159"/>
        <v>305041</v>
      </c>
      <c r="N473" s="46">
        <v>305041</v>
      </c>
      <c r="O473" s="48">
        <f t="shared" si="160"/>
        <v>0</v>
      </c>
      <c r="P473" s="46">
        <v>0</v>
      </c>
      <c r="Q473" s="46">
        <v>305041</v>
      </c>
      <c r="R473" s="49">
        <f t="shared" si="161"/>
        <v>1</v>
      </c>
      <c r="S473" s="50">
        <f t="shared" si="162"/>
        <v>0.01</v>
      </c>
      <c r="T473" s="49">
        <f t="shared" si="163"/>
        <v>3050.41</v>
      </c>
      <c r="U473" s="51">
        <f t="shared" si="164"/>
        <v>0</v>
      </c>
      <c r="V473" s="52">
        <f>IF(0&lt;0.8,0,IF(0&lt;1,Sheet3!L438,1))*IF(G473&lt;3,0.12 - O473,0.01) *U473</f>
        <v>0</v>
      </c>
      <c r="W473" s="52">
        <f t="shared" si="165"/>
        <v>0</v>
      </c>
      <c r="X473" s="53">
        <f t="shared" si="166"/>
        <v>0</v>
      </c>
      <c r="Y473" s="53">
        <f t="shared" si="167"/>
        <v>0</v>
      </c>
      <c r="Z473" s="54">
        <f t="shared" si="173"/>
        <v>0</v>
      </c>
      <c r="AA473" s="54">
        <f t="shared" si="169"/>
        <v>0</v>
      </c>
      <c r="AB473" s="55">
        <f t="shared" si="174"/>
        <v>0</v>
      </c>
      <c r="AC473" s="55">
        <f t="shared" si="171"/>
        <v>0</v>
      </c>
      <c r="AD473" s="56">
        <f t="shared" si="172"/>
        <v>3050.41</v>
      </c>
    </row>
    <row r="474" spans="2:30">
      <c r="C474" s="43" t="s">
        <v>887</v>
      </c>
      <c r="D474" s="44" t="s">
        <v>888</v>
      </c>
      <c r="E474" s="44"/>
      <c r="F474" s="45">
        <v>42798.27480324074</v>
      </c>
      <c r="G474" s="46">
        <v>18</v>
      </c>
      <c r="H474" s="47">
        <v>43396</v>
      </c>
      <c r="I474" s="47">
        <v>43406</v>
      </c>
      <c r="J474" s="46">
        <v>121484</v>
      </c>
      <c r="K474" s="46">
        <v>0</v>
      </c>
      <c r="L474" s="46">
        <v>0</v>
      </c>
      <c r="M474" s="46">
        <f t="shared" si="159"/>
        <v>121484</v>
      </c>
      <c r="N474" s="46">
        <v>121484</v>
      </c>
      <c r="O474" s="48">
        <f t="shared" si="160"/>
        <v>0</v>
      </c>
      <c r="P474" s="46">
        <v>0</v>
      </c>
      <c r="Q474" s="46">
        <v>121484</v>
      </c>
      <c r="R474" s="49">
        <f t="shared" si="161"/>
        <v>1</v>
      </c>
      <c r="S474" s="50">
        <f t="shared" si="162"/>
        <v>0.01</v>
      </c>
      <c r="T474" s="49">
        <f t="shared" si="163"/>
        <v>1214.8399999999999</v>
      </c>
      <c r="U474" s="51">
        <f t="shared" si="164"/>
        <v>0</v>
      </c>
      <c r="V474" s="52">
        <f>IF(0&lt;0.8,0,IF(0&lt;1,Sheet3!L438,1))*IF(G474&lt;3,0.12 - O474,0.01) *U474</f>
        <v>0</v>
      </c>
      <c r="W474" s="52">
        <f t="shared" si="165"/>
        <v>0</v>
      </c>
      <c r="X474" s="53">
        <f t="shared" si="166"/>
        <v>0</v>
      </c>
      <c r="Y474" s="53">
        <f t="shared" si="167"/>
        <v>0</v>
      </c>
      <c r="Z474" s="54">
        <f t="shared" si="173"/>
        <v>0</v>
      </c>
      <c r="AA474" s="54">
        <f t="shared" si="169"/>
        <v>0</v>
      </c>
      <c r="AB474" s="55">
        <f t="shared" si="174"/>
        <v>0</v>
      </c>
      <c r="AC474" s="55">
        <f t="shared" si="171"/>
        <v>0</v>
      </c>
      <c r="AD474" s="56">
        <f t="shared" si="172"/>
        <v>1214.8399999999999</v>
      </c>
    </row>
    <row r="475" spans="2:30">
      <c r="C475" s="43" t="s">
        <v>889</v>
      </c>
      <c r="D475" s="44" t="s">
        <v>890</v>
      </c>
      <c r="E475" s="44"/>
      <c r="F475" s="45">
        <v>43098.173148148147</v>
      </c>
      <c r="G475" s="46">
        <v>9</v>
      </c>
      <c r="H475" s="47">
        <v>43396</v>
      </c>
      <c r="I475" s="47">
        <v>43399</v>
      </c>
      <c r="J475" s="46">
        <v>5859605</v>
      </c>
      <c r="K475" s="46">
        <v>0</v>
      </c>
      <c r="L475" s="46">
        <v>0</v>
      </c>
      <c r="M475" s="46">
        <f t="shared" si="159"/>
        <v>5859605</v>
      </c>
      <c r="N475" s="46">
        <v>5859577</v>
      </c>
      <c r="O475" s="48">
        <f t="shared" si="160"/>
        <v>0</v>
      </c>
      <c r="P475" s="46">
        <v>0</v>
      </c>
      <c r="Q475" s="46">
        <v>5859605</v>
      </c>
      <c r="R475" s="49">
        <f t="shared" si="161"/>
        <v>1</v>
      </c>
      <c r="S475" s="50">
        <f t="shared" si="162"/>
        <v>0.01</v>
      </c>
      <c r="T475" s="49">
        <f t="shared" si="163"/>
        <v>58596.05</v>
      </c>
      <c r="U475" s="51">
        <f t="shared" si="164"/>
        <v>0</v>
      </c>
      <c r="V475" s="52">
        <f>IF(0&lt;0.8,0,IF(0&lt;1,Sheet3!L438,1))*IF(G475&lt;3,0.12 - O475,0.01) *U475</f>
        <v>0</v>
      </c>
      <c r="W475" s="52">
        <f t="shared" si="165"/>
        <v>0</v>
      </c>
      <c r="X475" s="53">
        <f t="shared" si="166"/>
        <v>0</v>
      </c>
      <c r="Y475" s="53">
        <f t="shared" si="167"/>
        <v>0</v>
      </c>
      <c r="Z475" s="54">
        <f t="shared" si="173"/>
        <v>0</v>
      </c>
      <c r="AA475" s="54">
        <f t="shared" si="169"/>
        <v>0</v>
      </c>
      <c r="AB475" s="55">
        <f t="shared" si="174"/>
        <v>0</v>
      </c>
      <c r="AC475" s="55">
        <f t="shared" si="171"/>
        <v>0</v>
      </c>
      <c r="AD475" s="56">
        <f t="shared" si="172"/>
        <v>58596.05</v>
      </c>
    </row>
    <row r="476" spans="2:30">
      <c r="C476" s="43" t="s">
        <v>891</v>
      </c>
      <c r="D476" s="44" t="s">
        <v>892</v>
      </c>
      <c r="E476" s="44"/>
      <c r="F476" s="45">
        <v>42667.393333333333</v>
      </c>
      <c r="G476" s="46">
        <v>23</v>
      </c>
      <c r="H476" s="47" t="s">
        <v>24</v>
      </c>
      <c r="I476" s="47" t="s">
        <v>24</v>
      </c>
      <c r="J476" s="46">
        <v>17718133</v>
      </c>
      <c r="K476" s="46">
        <v>0</v>
      </c>
      <c r="L476" s="46">
        <v>0</v>
      </c>
      <c r="M476" s="46">
        <f t="shared" si="159"/>
        <v>17718133</v>
      </c>
      <c r="N476" s="46" t="s">
        <v>24</v>
      </c>
      <c r="O476" s="48">
        <f t="shared" si="160"/>
        <v>0</v>
      </c>
      <c r="P476" s="46">
        <v>0</v>
      </c>
      <c r="Q476" s="46">
        <v>0</v>
      </c>
      <c r="R476" s="49">
        <f t="shared" si="161"/>
        <v>1</v>
      </c>
      <c r="S476" s="50">
        <f t="shared" si="162"/>
        <v>0.01</v>
      </c>
      <c r="T476" s="49">
        <f t="shared" si="163"/>
        <v>177181.33000000002</v>
      </c>
      <c r="U476" s="51">
        <f t="shared" si="164"/>
        <v>0</v>
      </c>
      <c r="V476" s="52">
        <f>IF(0&lt;0.8,0,IF(0&lt;1,Sheet3!L438,1))*IF(G476&lt;3,0.12 - O476,0.01) *U476</f>
        <v>0</v>
      </c>
      <c r="W476" s="52">
        <f t="shared" si="165"/>
        <v>0</v>
      </c>
      <c r="X476" s="53">
        <f t="shared" si="166"/>
        <v>0</v>
      </c>
      <c r="Y476" s="53">
        <f t="shared" si="167"/>
        <v>0</v>
      </c>
      <c r="Z476" s="54">
        <f>IF(R476=1,0,"")</f>
        <v>0</v>
      </c>
      <c r="AA476" s="54">
        <f t="shared" si="169"/>
        <v>0</v>
      </c>
      <c r="AB476" s="55">
        <f>IF(R476=0,"",0)</f>
        <v>0</v>
      </c>
      <c r="AC476" s="55">
        <f t="shared" si="171"/>
        <v>0</v>
      </c>
      <c r="AD476" s="56">
        <f t="shared" si="172"/>
        <v>177181.33000000002</v>
      </c>
    </row>
    <row r="477" spans="2:30">
      <c r="C477" s="43" t="s">
        <v>891</v>
      </c>
      <c r="D477" s="44" t="s">
        <v>892</v>
      </c>
      <c r="E477" s="44"/>
      <c r="F477" s="45">
        <v>42667.393333333333</v>
      </c>
      <c r="G477" s="46">
        <v>23</v>
      </c>
      <c r="H477" s="47" t="s">
        <v>24</v>
      </c>
      <c r="I477" s="47" t="s">
        <v>24</v>
      </c>
      <c r="J477" s="46">
        <v>17718133</v>
      </c>
      <c r="K477" s="46">
        <v>0</v>
      </c>
      <c r="L477" s="46">
        <v>0</v>
      </c>
      <c r="M477" s="46">
        <f t="shared" si="159"/>
        <v>17718133</v>
      </c>
      <c r="N477" s="46" t="s">
        <v>24</v>
      </c>
      <c r="O477" s="48">
        <f t="shared" si="160"/>
        <v>0</v>
      </c>
      <c r="P477" s="46">
        <v>0</v>
      </c>
      <c r="Q477" s="46">
        <v>0</v>
      </c>
      <c r="R477" s="49">
        <f t="shared" si="161"/>
        <v>1</v>
      </c>
      <c r="S477" s="50">
        <f t="shared" si="162"/>
        <v>0.01</v>
      </c>
      <c r="T477" s="49">
        <f t="shared" si="163"/>
        <v>177181.33000000002</v>
      </c>
      <c r="U477" s="51">
        <f t="shared" si="164"/>
        <v>0</v>
      </c>
      <c r="V477" s="52">
        <f>IF(0&lt;0.8,0,IF(0&lt;1,Sheet3!L438,1))*IF(G477&lt;3,0.12 - O477,0.01) *U477</f>
        <v>0</v>
      </c>
      <c r="W477" s="52">
        <f t="shared" si="165"/>
        <v>0</v>
      </c>
      <c r="X477" s="53">
        <f t="shared" si="166"/>
        <v>0</v>
      </c>
      <c r="Y477" s="53">
        <f t="shared" si="167"/>
        <v>0</v>
      </c>
      <c r="Z477" s="54">
        <f>IF(R477=1,0,"")</f>
        <v>0</v>
      </c>
      <c r="AA477" s="54">
        <f t="shared" si="169"/>
        <v>0</v>
      </c>
      <c r="AB477" s="55">
        <f>IF(R477=0,"",0)</f>
        <v>0</v>
      </c>
      <c r="AC477" s="55">
        <f t="shared" si="171"/>
        <v>0</v>
      </c>
      <c r="AD477" s="56">
        <f t="shared" si="172"/>
        <v>177181.33000000002</v>
      </c>
    </row>
    <row r="478" spans="2:30">
      <c r="C478" s="43" t="s">
        <v>893</v>
      </c>
      <c r="D478" s="44" t="s">
        <v>894</v>
      </c>
      <c r="E478" s="44"/>
      <c r="F478" s="45">
        <v>42816.117743055554</v>
      </c>
      <c r="G478" s="46">
        <v>18</v>
      </c>
      <c r="H478" s="47">
        <v>43396</v>
      </c>
      <c r="I478" s="47">
        <v>43413</v>
      </c>
      <c r="J478" s="46">
        <v>474538</v>
      </c>
      <c r="K478" s="46">
        <v>0</v>
      </c>
      <c r="L478" s="46">
        <v>0</v>
      </c>
      <c r="M478" s="46">
        <f t="shared" si="159"/>
        <v>474538</v>
      </c>
      <c r="N478" s="46">
        <v>474538</v>
      </c>
      <c r="O478" s="48">
        <f t="shared" si="160"/>
        <v>0</v>
      </c>
      <c r="P478" s="46">
        <v>0</v>
      </c>
      <c r="Q478" s="46">
        <v>474538</v>
      </c>
      <c r="R478" s="49">
        <f t="shared" si="161"/>
        <v>1</v>
      </c>
      <c r="S478" s="50">
        <f t="shared" si="162"/>
        <v>0.01</v>
      </c>
      <c r="T478" s="49">
        <f t="shared" si="163"/>
        <v>4745.38</v>
      </c>
      <c r="U478" s="51">
        <f t="shared" si="164"/>
        <v>0</v>
      </c>
      <c r="V478" s="52">
        <f>IF(0&lt;0.8,0,IF(0&lt;1,Sheet3!L438,1))*IF(G478&lt;3,0.12 - O478,0.01) *U478</f>
        <v>0</v>
      </c>
      <c r="W478" s="52">
        <f t="shared" si="165"/>
        <v>0</v>
      </c>
      <c r="X478" s="53">
        <f t="shared" si="166"/>
        <v>0</v>
      </c>
      <c r="Y478" s="53">
        <f t="shared" si="167"/>
        <v>0</v>
      </c>
      <c r="Z478" s="54">
        <f>IF(R478=1,0,0)</f>
        <v>0</v>
      </c>
      <c r="AA478" s="54">
        <f t="shared" si="169"/>
        <v>0</v>
      </c>
      <c r="AB478" s="55">
        <f>IF(R478=0,0,0)</f>
        <v>0</v>
      </c>
      <c r="AC478" s="55">
        <f t="shared" si="171"/>
        <v>0</v>
      </c>
      <c r="AD478" s="56">
        <f t="shared" si="172"/>
        <v>4745.38</v>
      </c>
    </row>
    <row r="479" spans="2:30" ht="23.25" customHeight="1">
      <c r="B479" s="9" t="s">
        <v>5</v>
      </c>
      <c r="C479" s="10" t="s">
        <v>6</v>
      </c>
      <c r="D479" s="10"/>
      <c r="E479" s="11" t="s">
        <v>7</v>
      </c>
      <c r="F479" s="11" t="s">
        <v>8</v>
      </c>
      <c r="G479" s="11" t="s">
        <v>9</v>
      </c>
      <c r="H479" s="11" t="s">
        <v>10</v>
      </c>
      <c r="I479" s="11" t="s">
        <v>11</v>
      </c>
      <c r="J479" s="11" t="s">
        <v>12</v>
      </c>
      <c r="K479" s="11" t="s">
        <v>13</v>
      </c>
      <c r="L479" s="11" t="s">
        <v>14</v>
      </c>
      <c r="M479" s="11" t="s">
        <v>15</v>
      </c>
      <c r="N479" s="11" t="s">
        <v>16</v>
      </c>
      <c r="O479" s="11" t="s">
        <v>17</v>
      </c>
      <c r="P479" s="12" t="s">
        <v>18</v>
      </c>
      <c r="Q479" s="11" t="s">
        <v>19</v>
      </c>
      <c r="R479" s="11"/>
      <c r="S479" s="10" t="s">
        <v>20</v>
      </c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3"/>
    </row>
    <row r="480" spans="2:30">
      <c r="B480" s="14" t="s">
        <v>895</v>
      </c>
      <c r="C480" s="15" t="str">
        <f>"Huỳnh"&amp;" " &amp; "Bá Trung"</f>
        <v>Huỳnh Bá Trung</v>
      </c>
      <c r="D480" s="15"/>
      <c r="E480" s="16" t="s">
        <v>314</v>
      </c>
      <c r="F480" s="16" t="s">
        <v>134</v>
      </c>
      <c r="G480" s="17" t="s">
        <v>133</v>
      </c>
      <c r="H480" s="16" t="s">
        <v>388</v>
      </c>
      <c r="I480" s="18">
        <v>0</v>
      </c>
      <c r="J480" s="19">
        <v>42000000</v>
      </c>
      <c r="K480" s="19">
        <f>IFERROR(IF(N480&lt;4,Q480,SUM(Sheet3!J482:J487)),0)</f>
        <v>9186032</v>
      </c>
      <c r="L480" s="20">
        <f>IFERROR(K480/J480,0)</f>
        <v>0.21871504761904761</v>
      </c>
      <c r="M480" s="19">
        <f>IFERROR(IF(OR(N480=3,N480=4),SUM(Sheet3!AD482:AD487)+AD480,IF(N480=1,0.6%,IF(N480=2,0.65%,IF(N480=3,0.6%,0)))*IF(L480&lt;0.8,0,IF(L480&lt;1,L480,1))*IF(RIGHT("2018-09",2)="03",1,0)),0)</f>
        <v>69959.319999999992</v>
      </c>
      <c r="N480" s="19">
        <v>4</v>
      </c>
      <c r="O480" s="18">
        <f>IF(N480=4,0.5%,IF(N480=5,0.3%,0))</f>
        <v>5.0000000000000001E-3</v>
      </c>
      <c r="P480" s="21">
        <f>IFERROR(SUM(Sheet3!P482:P487),0)</f>
        <v>2190100</v>
      </c>
      <c r="Q480" s="19">
        <f>SUMIF($G:$G,B480,$K:$K)</f>
        <v>0</v>
      </c>
      <c r="R480" s="22"/>
      <c r="S480" s="23" t="s">
        <v>26</v>
      </c>
      <c r="T480" s="23"/>
      <c r="U480" s="24" t="s">
        <v>27</v>
      </c>
      <c r="V480" s="24"/>
      <c r="W480" s="24"/>
      <c r="X480" s="25" t="s">
        <v>28</v>
      </c>
      <c r="Y480" s="25"/>
      <c r="Z480" s="26" t="s">
        <v>29</v>
      </c>
      <c r="AA480" s="26"/>
      <c r="AB480" s="27" t="s">
        <v>30</v>
      </c>
      <c r="AC480" s="27"/>
      <c r="AD480" s="28">
        <f>IF(IFERROR(SUM(Sheet3!Y482:Y487)*O480,0)&gt;2000000,2000000,IFERROR(SUM(Sheet3!Y482:Y487)*O480,0))</f>
        <v>0</v>
      </c>
    </row>
    <row r="481" spans="2:30" ht="25.5">
      <c r="C481" s="29" t="s">
        <v>31</v>
      </c>
      <c r="D481" s="30" t="s">
        <v>32</v>
      </c>
      <c r="E481" s="30"/>
      <c r="F481" s="31" t="s">
        <v>33</v>
      </c>
      <c r="G481" s="31" t="s">
        <v>34</v>
      </c>
      <c r="H481" s="32" t="s">
        <v>35</v>
      </c>
      <c r="I481" s="32" t="s">
        <v>36</v>
      </c>
      <c r="J481" s="31" t="s">
        <v>37</v>
      </c>
      <c r="K481" s="31" t="s">
        <v>38</v>
      </c>
      <c r="L481" s="31" t="s">
        <v>39</v>
      </c>
      <c r="M481" s="31" t="s">
        <v>40</v>
      </c>
      <c r="N481" s="31" t="s">
        <v>41</v>
      </c>
      <c r="O481" s="33" t="s">
        <v>42</v>
      </c>
      <c r="P481" s="32" t="s">
        <v>43</v>
      </c>
      <c r="Q481" s="32" t="s">
        <v>44</v>
      </c>
      <c r="R481" s="34" t="s">
        <v>45</v>
      </c>
      <c r="S481" s="34" t="s">
        <v>46</v>
      </c>
      <c r="T481" s="34" t="s">
        <v>47</v>
      </c>
      <c r="U481" s="35" t="s">
        <v>48</v>
      </c>
      <c r="V481" s="36" t="s">
        <v>47</v>
      </c>
      <c r="W481" s="36" t="s">
        <v>49</v>
      </c>
      <c r="X481" s="37" t="s">
        <v>50</v>
      </c>
      <c r="Y481" s="37" t="s">
        <v>51</v>
      </c>
      <c r="Z481" s="38" t="s">
        <v>48</v>
      </c>
      <c r="AA481" s="39" t="s">
        <v>47</v>
      </c>
      <c r="AB481" s="40" t="s">
        <v>48</v>
      </c>
      <c r="AC481" s="41" t="s">
        <v>47</v>
      </c>
      <c r="AD481" s="42" t="s">
        <v>52</v>
      </c>
    </row>
    <row r="482" spans="2:30">
      <c r="C482" s="43" t="s">
        <v>896</v>
      </c>
      <c r="D482" s="44" t="s">
        <v>897</v>
      </c>
      <c r="E482" s="44"/>
      <c r="F482" s="45">
        <v>43308.289722222224</v>
      </c>
      <c r="G482" s="46">
        <v>2</v>
      </c>
      <c r="H482" s="47">
        <v>43376</v>
      </c>
      <c r="I482" s="47">
        <v>43412</v>
      </c>
      <c r="J482" s="46">
        <v>592900</v>
      </c>
      <c r="K482" s="46">
        <v>0</v>
      </c>
      <c r="L482" s="46">
        <v>0</v>
      </c>
      <c r="M482" s="46">
        <f t="shared" ref="M482:M487" si="175">IFERROR(J482-K482-L482,0)</f>
        <v>592900</v>
      </c>
      <c r="N482" s="46">
        <v>716683</v>
      </c>
      <c r="O482" s="48">
        <f t="shared" ref="O482:O487" si="176">IFERROR(IF(1 - M482/N482&lt;0,0,1-M482/N482),0)</f>
        <v>0.17271652878608812</v>
      </c>
      <c r="P482" s="46">
        <v>592900</v>
      </c>
      <c r="Q482" s="46">
        <v>0</v>
      </c>
      <c r="R482" s="49">
        <f t="shared" ref="R482:R487" si="177">IF(F482&lt;DATEVALUE("2018-07-01"),1,0)</f>
        <v>0</v>
      </c>
      <c r="S482" s="50">
        <f t="shared" ref="S482:S487" si="178">IF(R482=1,1%,0)</f>
        <v>0</v>
      </c>
      <c r="T482" s="49">
        <f t="shared" ref="T482:T487" si="179">IFERROR(S482*M482,0)</f>
        <v>0</v>
      </c>
      <c r="U482" s="51">
        <f t="shared" ref="U482:U487" si="180">IF(O482&lt;=0.12,1,0)*(1-R482)*M482</f>
        <v>0</v>
      </c>
      <c r="V482" s="52">
        <f>IF(0&lt;0.8,0,IF(0&lt;1,Sheet3!L480,1))*IF(G482&lt;3,0.12 - O482,0.01) *U482</f>
        <v>0</v>
      </c>
      <c r="W482" s="52">
        <f t="shared" ref="W482:W487" si="181">IF(0&gt;1,IF(0&lt;=1.1,1,IF(0&lt;=1.2,2,IF(0&lt;=1.5,3,5))),0) * 1000000</f>
        <v>0</v>
      </c>
      <c r="X482" s="53">
        <f t="shared" ref="X482:X487" si="182">IF(AND(P482&gt;=150000000,P482&lt;300000000),5000000,IF(AND(P482&gt;=300000000,P482&lt;500000000),10000000,IF(AND(P482&gt;=300000000,P482&lt;500000000),15000000,IF(AND(P482&gt;=500000000,P482&lt;3000000000),20000000,IF(P482&gt;=30000000000,35000000,0))))) * (1-R482)</f>
        <v>0</v>
      </c>
      <c r="Y482" s="53">
        <f t="shared" ref="Y482:Y487" si="183">IFERROR(Q482 * (1-R482),0)</f>
        <v>0</v>
      </c>
      <c r="Z482" s="54">
        <f t="shared" ref="Z482:Z487" si="184">IF(R482=1,0,0)</f>
        <v>0</v>
      </c>
      <c r="AA482" s="54">
        <f t="shared" ref="AA482:AA487" si="185">IFERROR((1-R482) * Z482 * 2%,0)</f>
        <v>0</v>
      </c>
      <c r="AB482" s="55">
        <f>IF(R482=0,0,0)</f>
        <v>0</v>
      </c>
      <c r="AC482" s="55">
        <f t="shared" ref="AC482:AC487" si="186">IFERROR(AB482 * (1-R482) * 2%,0)</f>
        <v>0</v>
      </c>
      <c r="AD482" s="56">
        <f t="shared" ref="AD482:AD487" si="187">T482+V482+W482+X482+AA482+AC482</f>
        <v>0</v>
      </c>
    </row>
    <row r="483" spans="2:30">
      <c r="C483" s="43" t="s">
        <v>898</v>
      </c>
      <c r="D483" s="44" t="s">
        <v>899</v>
      </c>
      <c r="E483" s="44"/>
      <c r="F483" s="45">
        <v>43288.155150462961</v>
      </c>
      <c r="G483" s="46">
        <v>2</v>
      </c>
      <c r="H483" s="47">
        <v>43388</v>
      </c>
      <c r="I483" s="47">
        <v>43326</v>
      </c>
      <c r="J483" s="46">
        <v>786984</v>
      </c>
      <c r="K483" s="46">
        <v>0</v>
      </c>
      <c r="L483" s="46">
        <v>0</v>
      </c>
      <c r="M483" s="46">
        <f t="shared" si="175"/>
        <v>786984</v>
      </c>
      <c r="N483" s="46">
        <v>786984</v>
      </c>
      <c r="O483" s="48">
        <f t="shared" si="176"/>
        <v>0</v>
      </c>
      <c r="P483" s="46">
        <v>786984</v>
      </c>
      <c r="Q483" s="46">
        <v>0</v>
      </c>
      <c r="R483" s="49">
        <f t="shared" si="177"/>
        <v>0</v>
      </c>
      <c r="S483" s="50">
        <f t="shared" si="178"/>
        <v>0</v>
      </c>
      <c r="T483" s="49">
        <f t="shared" si="179"/>
        <v>0</v>
      </c>
      <c r="U483" s="51">
        <f t="shared" si="180"/>
        <v>786984</v>
      </c>
      <c r="V483" s="52">
        <f>IF(0&lt;0.8,0,IF(0&lt;1,Sheet3!L480,1))*IF(G483&lt;3,0.12 - O483,0.01) *U483</f>
        <v>0</v>
      </c>
      <c r="W483" s="52">
        <f t="shared" si="181"/>
        <v>0</v>
      </c>
      <c r="X483" s="53">
        <f t="shared" si="182"/>
        <v>0</v>
      </c>
      <c r="Y483" s="53">
        <f t="shared" si="183"/>
        <v>0</v>
      </c>
      <c r="Z483" s="54">
        <f t="shared" si="184"/>
        <v>0</v>
      </c>
      <c r="AA483" s="54">
        <f t="shared" si="185"/>
        <v>0</v>
      </c>
      <c r="AB483" s="55">
        <f>IF(R483=0,0,0)</f>
        <v>0</v>
      </c>
      <c r="AC483" s="55">
        <f t="shared" si="186"/>
        <v>0</v>
      </c>
      <c r="AD483" s="56">
        <f t="shared" si="187"/>
        <v>0</v>
      </c>
    </row>
    <row r="484" spans="2:30">
      <c r="C484" s="43" t="s">
        <v>900</v>
      </c>
      <c r="D484" s="44" t="s">
        <v>901</v>
      </c>
      <c r="E484" s="44"/>
      <c r="F484" s="45">
        <v>43297.422731481478</v>
      </c>
      <c r="G484" s="46">
        <v>2</v>
      </c>
      <c r="H484" s="47">
        <v>43390</v>
      </c>
      <c r="I484" s="47">
        <v>43484</v>
      </c>
      <c r="J484" s="46">
        <v>152702</v>
      </c>
      <c r="K484" s="46">
        <v>0</v>
      </c>
      <c r="L484" s="46">
        <v>0</v>
      </c>
      <c r="M484" s="46">
        <f t="shared" si="175"/>
        <v>152702</v>
      </c>
      <c r="N484" s="46">
        <v>152702</v>
      </c>
      <c r="O484" s="48">
        <f t="shared" si="176"/>
        <v>0</v>
      </c>
      <c r="P484" s="46">
        <v>152702</v>
      </c>
      <c r="Q484" s="46">
        <v>0</v>
      </c>
      <c r="R484" s="49">
        <f t="shared" si="177"/>
        <v>0</v>
      </c>
      <c r="S484" s="50">
        <f t="shared" si="178"/>
        <v>0</v>
      </c>
      <c r="T484" s="49">
        <f t="shared" si="179"/>
        <v>0</v>
      </c>
      <c r="U484" s="51">
        <f t="shared" si="180"/>
        <v>152702</v>
      </c>
      <c r="V484" s="52">
        <f>IF(0&lt;0.8,0,IF(0&lt;1,Sheet3!L480,1))*IF(G484&lt;3,0.12 - O484,0.01) *U484</f>
        <v>0</v>
      </c>
      <c r="W484" s="52">
        <f t="shared" si="181"/>
        <v>0</v>
      </c>
      <c r="X484" s="53">
        <f t="shared" si="182"/>
        <v>0</v>
      </c>
      <c r="Y484" s="53">
        <f t="shared" si="183"/>
        <v>0</v>
      </c>
      <c r="Z484" s="54">
        <f t="shared" si="184"/>
        <v>0</v>
      </c>
      <c r="AA484" s="54">
        <f t="shared" si="185"/>
        <v>0</v>
      </c>
      <c r="AB484" s="55">
        <f>IF(R484=0,0,0)</f>
        <v>0</v>
      </c>
      <c r="AC484" s="55">
        <f t="shared" si="186"/>
        <v>0</v>
      </c>
      <c r="AD484" s="56">
        <f t="shared" si="187"/>
        <v>0</v>
      </c>
    </row>
    <row r="485" spans="2:30">
      <c r="C485" s="43" t="s">
        <v>902</v>
      </c>
      <c r="D485" s="44" t="s">
        <v>903</v>
      </c>
      <c r="E485" s="44"/>
      <c r="F485" s="45">
        <v>43258.130208333328</v>
      </c>
      <c r="G485" s="46">
        <v>3</v>
      </c>
      <c r="H485" s="47">
        <v>43382</v>
      </c>
      <c r="I485" s="47">
        <v>43392</v>
      </c>
      <c r="J485" s="46">
        <v>252890</v>
      </c>
      <c r="K485" s="46">
        <v>0</v>
      </c>
      <c r="L485" s="46">
        <v>0</v>
      </c>
      <c r="M485" s="46">
        <f t="shared" si="175"/>
        <v>252890</v>
      </c>
      <c r="N485" s="46">
        <v>252890</v>
      </c>
      <c r="O485" s="48">
        <f t="shared" si="176"/>
        <v>0</v>
      </c>
      <c r="P485" s="46">
        <v>0</v>
      </c>
      <c r="Q485" s="46">
        <v>0</v>
      </c>
      <c r="R485" s="49">
        <f t="shared" si="177"/>
        <v>1</v>
      </c>
      <c r="S485" s="50">
        <f t="shared" si="178"/>
        <v>0.01</v>
      </c>
      <c r="T485" s="49">
        <f t="shared" si="179"/>
        <v>2528.9</v>
      </c>
      <c r="U485" s="51">
        <f t="shared" si="180"/>
        <v>0</v>
      </c>
      <c r="V485" s="52">
        <f>IF(0&lt;0.8,0,IF(0&lt;1,Sheet3!L480,1))*IF(G485&lt;3,0.12 - O485,0.01) *U485</f>
        <v>0</v>
      </c>
      <c r="W485" s="52">
        <f t="shared" si="181"/>
        <v>0</v>
      </c>
      <c r="X485" s="53">
        <f t="shared" si="182"/>
        <v>0</v>
      </c>
      <c r="Y485" s="53">
        <f t="shared" si="183"/>
        <v>0</v>
      </c>
      <c r="Z485" s="54">
        <f t="shared" si="184"/>
        <v>0</v>
      </c>
      <c r="AA485" s="54">
        <f t="shared" si="185"/>
        <v>0</v>
      </c>
      <c r="AB485" s="55">
        <f>IF(R485=0,0,0)</f>
        <v>0</v>
      </c>
      <c r="AC485" s="55">
        <f t="shared" si="186"/>
        <v>0</v>
      </c>
      <c r="AD485" s="56">
        <f t="shared" si="187"/>
        <v>2528.9</v>
      </c>
    </row>
    <row r="486" spans="2:30">
      <c r="C486" s="43" t="s">
        <v>904</v>
      </c>
      <c r="D486" s="44" t="s">
        <v>905</v>
      </c>
      <c r="E486" s="44"/>
      <c r="F486" s="45">
        <v>43263.409502314811</v>
      </c>
      <c r="G486" s="46">
        <v>3</v>
      </c>
      <c r="H486" s="47">
        <v>43385</v>
      </c>
      <c r="I486" s="47">
        <v>43392</v>
      </c>
      <c r="J486" s="46">
        <v>6743042</v>
      </c>
      <c r="K486" s="46">
        <v>0</v>
      </c>
      <c r="L486" s="46">
        <v>0</v>
      </c>
      <c r="M486" s="46">
        <f t="shared" si="175"/>
        <v>6743042</v>
      </c>
      <c r="N486" s="46">
        <v>5983787</v>
      </c>
      <c r="O486" s="48">
        <f t="shared" si="176"/>
        <v>0</v>
      </c>
      <c r="P486" s="46">
        <v>0</v>
      </c>
      <c r="Q486" s="46">
        <v>0</v>
      </c>
      <c r="R486" s="49">
        <f t="shared" si="177"/>
        <v>1</v>
      </c>
      <c r="S486" s="50">
        <f t="shared" si="178"/>
        <v>0.01</v>
      </c>
      <c r="T486" s="49">
        <f t="shared" si="179"/>
        <v>67430.42</v>
      </c>
      <c r="U486" s="51">
        <f t="shared" si="180"/>
        <v>0</v>
      </c>
      <c r="V486" s="52">
        <f>IF(0&lt;0.8,0,IF(0&lt;1,Sheet3!L480,1))*IF(G486&lt;3,0.12 - O486,0.01) *U486</f>
        <v>0</v>
      </c>
      <c r="W486" s="52">
        <f t="shared" si="181"/>
        <v>0</v>
      </c>
      <c r="X486" s="53">
        <f t="shared" si="182"/>
        <v>0</v>
      </c>
      <c r="Y486" s="53">
        <f t="shared" si="183"/>
        <v>0</v>
      </c>
      <c r="Z486" s="54">
        <f t="shared" si="184"/>
        <v>0</v>
      </c>
      <c r="AA486" s="54">
        <f t="shared" si="185"/>
        <v>0</v>
      </c>
      <c r="AB486" s="55">
        <f>IF(R486=0,759254,0)</f>
        <v>0</v>
      </c>
      <c r="AC486" s="55">
        <f t="shared" si="186"/>
        <v>0</v>
      </c>
      <c r="AD486" s="56">
        <f t="shared" si="187"/>
        <v>67430.42</v>
      </c>
    </row>
    <row r="487" spans="2:30">
      <c r="C487" s="43" t="s">
        <v>906</v>
      </c>
      <c r="D487" s="44" t="s">
        <v>907</v>
      </c>
      <c r="E487" s="44"/>
      <c r="F487" s="45">
        <v>43284.137384259258</v>
      </c>
      <c r="G487" s="46">
        <v>2</v>
      </c>
      <c r="H487" s="47">
        <v>43395</v>
      </c>
      <c r="I487" s="47">
        <v>43403</v>
      </c>
      <c r="J487" s="46">
        <v>657514</v>
      </c>
      <c r="K487" s="46">
        <v>0</v>
      </c>
      <c r="L487" s="46">
        <v>0</v>
      </c>
      <c r="M487" s="46">
        <f t="shared" si="175"/>
        <v>657514</v>
      </c>
      <c r="N487" s="46">
        <v>644204</v>
      </c>
      <c r="O487" s="48">
        <f t="shared" si="176"/>
        <v>0</v>
      </c>
      <c r="P487" s="46">
        <v>657514</v>
      </c>
      <c r="Q487" s="46">
        <v>0</v>
      </c>
      <c r="R487" s="49">
        <f t="shared" si="177"/>
        <v>0</v>
      </c>
      <c r="S487" s="50">
        <f t="shared" si="178"/>
        <v>0</v>
      </c>
      <c r="T487" s="49">
        <f t="shared" si="179"/>
        <v>0</v>
      </c>
      <c r="U487" s="51">
        <f t="shared" si="180"/>
        <v>657514</v>
      </c>
      <c r="V487" s="52">
        <f>IF(0&lt;0.8,0,IF(0&lt;1,Sheet3!L480,1))*IF(G487&lt;3,0.12 - O487,0.01) *U487</f>
        <v>0</v>
      </c>
      <c r="W487" s="52">
        <f t="shared" si="181"/>
        <v>0</v>
      </c>
      <c r="X487" s="53">
        <f t="shared" si="182"/>
        <v>0</v>
      </c>
      <c r="Y487" s="53">
        <f t="shared" si="183"/>
        <v>0</v>
      </c>
      <c r="Z487" s="54">
        <f t="shared" si="184"/>
        <v>0</v>
      </c>
      <c r="AA487" s="54">
        <f t="shared" si="185"/>
        <v>0</v>
      </c>
      <c r="AB487" s="55">
        <f>IF(R487=0,0,0)</f>
        <v>0</v>
      </c>
      <c r="AC487" s="55">
        <f t="shared" si="186"/>
        <v>0</v>
      </c>
      <c r="AD487" s="56">
        <f t="shared" si="187"/>
        <v>0</v>
      </c>
    </row>
    <row r="488" spans="2:30" ht="23.25" customHeight="1">
      <c r="B488" s="9" t="s">
        <v>5</v>
      </c>
      <c r="C488" s="10" t="s">
        <v>6</v>
      </c>
      <c r="D488" s="10"/>
      <c r="E488" s="11" t="s">
        <v>7</v>
      </c>
      <c r="F488" s="11" t="s">
        <v>8</v>
      </c>
      <c r="G488" s="11" t="s">
        <v>9</v>
      </c>
      <c r="H488" s="11" t="s">
        <v>10</v>
      </c>
      <c r="I488" s="11" t="s">
        <v>11</v>
      </c>
      <c r="J488" s="11" t="s">
        <v>12</v>
      </c>
      <c r="K488" s="11" t="s">
        <v>13</v>
      </c>
      <c r="L488" s="11" t="s">
        <v>14</v>
      </c>
      <c r="M488" s="11" t="s">
        <v>15</v>
      </c>
      <c r="N488" s="11" t="s">
        <v>16</v>
      </c>
      <c r="O488" s="11" t="s">
        <v>17</v>
      </c>
      <c r="P488" s="12" t="s">
        <v>18</v>
      </c>
      <c r="Q488" s="11" t="s">
        <v>19</v>
      </c>
      <c r="R488" s="11"/>
      <c r="S488" s="10" t="s">
        <v>20</v>
      </c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3"/>
    </row>
    <row r="489" spans="2:30">
      <c r="B489" s="14" t="s">
        <v>908</v>
      </c>
      <c r="C489" s="15" t="str">
        <f>"Võ"&amp;" " &amp; "Đăng Sơn"</f>
        <v>Võ Đăng Sơn</v>
      </c>
      <c r="D489" s="15"/>
      <c r="E489" s="16" t="s">
        <v>314</v>
      </c>
      <c r="F489" s="16" t="s">
        <v>134</v>
      </c>
      <c r="G489" s="17" t="s">
        <v>133</v>
      </c>
      <c r="H489" s="16" t="s">
        <v>388</v>
      </c>
      <c r="I489" s="18">
        <v>0</v>
      </c>
      <c r="J489" s="19">
        <v>42000000</v>
      </c>
      <c r="K489" s="19">
        <f>IFERROR(IF(N489&lt;4,Q489,SUM(Sheet3!J491:J494)),0)</f>
        <v>13788115</v>
      </c>
      <c r="L489" s="20">
        <f>IFERROR(K489/J489,0)</f>
        <v>0.32828845238095239</v>
      </c>
      <c r="M489" s="19">
        <f>IFERROR(IF(OR(N489=3,N489=4),SUM(Sheet3!AD491:AD494)+AD489,IF(N489=1,0.6%,IF(N489=2,0.65%,IF(N489=3,0.6%,0)))*IF(L489&lt;0.8,0,IF(L489&lt;1,L489,1))*IF(RIGHT("2018-09",2)="03",1,0)),0)</f>
        <v>105179.69</v>
      </c>
      <c r="N489" s="19">
        <v>4</v>
      </c>
      <c r="O489" s="18">
        <f>IF(N489=4,0.5%,IF(N489=5,0.3%,0))</f>
        <v>5.0000000000000001E-3</v>
      </c>
      <c r="P489" s="21">
        <f>IFERROR(SUM(Sheet3!P491:P494),0)</f>
        <v>3270146</v>
      </c>
      <c r="Q489" s="19">
        <f>SUMIF($G:$G,B489,$K:$K)</f>
        <v>0</v>
      </c>
      <c r="R489" s="22"/>
      <c r="S489" s="23" t="s">
        <v>26</v>
      </c>
      <c r="T489" s="23"/>
      <c r="U489" s="24" t="s">
        <v>27</v>
      </c>
      <c r="V489" s="24"/>
      <c r="W489" s="24"/>
      <c r="X489" s="25" t="s">
        <v>28</v>
      </c>
      <c r="Y489" s="25"/>
      <c r="Z489" s="26" t="s">
        <v>29</v>
      </c>
      <c r="AA489" s="26"/>
      <c r="AB489" s="27" t="s">
        <v>30</v>
      </c>
      <c r="AC489" s="27"/>
      <c r="AD489" s="28">
        <f>IF(IFERROR(SUM(Sheet3!Y491:Y494)*O489,0)&gt;2000000,2000000,IFERROR(SUM(Sheet3!Y491:Y494)*O489,0))</f>
        <v>0</v>
      </c>
    </row>
    <row r="490" spans="2:30" ht="25.5">
      <c r="C490" s="29" t="s">
        <v>31</v>
      </c>
      <c r="D490" s="30" t="s">
        <v>32</v>
      </c>
      <c r="E490" s="30"/>
      <c r="F490" s="31" t="s">
        <v>33</v>
      </c>
      <c r="G490" s="31" t="s">
        <v>34</v>
      </c>
      <c r="H490" s="32" t="s">
        <v>35</v>
      </c>
      <c r="I490" s="32" t="s">
        <v>36</v>
      </c>
      <c r="J490" s="31" t="s">
        <v>37</v>
      </c>
      <c r="K490" s="31" t="s">
        <v>38</v>
      </c>
      <c r="L490" s="31" t="s">
        <v>39</v>
      </c>
      <c r="M490" s="31" t="s">
        <v>40</v>
      </c>
      <c r="N490" s="31" t="s">
        <v>41</v>
      </c>
      <c r="O490" s="33" t="s">
        <v>42</v>
      </c>
      <c r="P490" s="32" t="s">
        <v>43</v>
      </c>
      <c r="Q490" s="32" t="s">
        <v>44</v>
      </c>
      <c r="R490" s="34" t="s">
        <v>45</v>
      </c>
      <c r="S490" s="34" t="s">
        <v>46</v>
      </c>
      <c r="T490" s="34" t="s">
        <v>47</v>
      </c>
      <c r="U490" s="35" t="s">
        <v>48</v>
      </c>
      <c r="V490" s="36" t="s">
        <v>47</v>
      </c>
      <c r="W490" s="36" t="s">
        <v>49</v>
      </c>
      <c r="X490" s="37" t="s">
        <v>50</v>
      </c>
      <c r="Y490" s="37" t="s">
        <v>51</v>
      </c>
      <c r="Z490" s="38" t="s">
        <v>48</v>
      </c>
      <c r="AA490" s="39" t="s">
        <v>47</v>
      </c>
      <c r="AB490" s="40" t="s">
        <v>48</v>
      </c>
      <c r="AC490" s="41" t="s">
        <v>47</v>
      </c>
      <c r="AD490" s="42" t="s">
        <v>52</v>
      </c>
    </row>
    <row r="491" spans="2:30">
      <c r="C491" s="43" t="s">
        <v>909</v>
      </c>
      <c r="D491" s="44" t="s">
        <v>910</v>
      </c>
      <c r="E491" s="44"/>
      <c r="F491" s="45">
        <v>43305.131041666667</v>
      </c>
      <c r="G491" s="46">
        <v>2</v>
      </c>
      <c r="H491" s="47">
        <v>43459</v>
      </c>
      <c r="I491" s="47">
        <v>43468</v>
      </c>
      <c r="J491" s="46">
        <v>3270146</v>
      </c>
      <c r="K491" s="46">
        <v>0</v>
      </c>
      <c r="L491" s="46">
        <v>0</v>
      </c>
      <c r="M491" s="46">
        <f>IFERROR(J491-K491-L491,0)</f>
        <v>3270146</v>
      </c>
      <c r="N491" s="46">
        <v>3270146</v>
      </c>
      <c r="O491" s="48">
        <f>IFERROR(IF(1 - M491/N491&lt;0,0,1-M491/N491),0)</f>
        <v>0</v>
      </c>
      <c r="P491" s="46">
        <v>3270146</v>
      </c>
      <c r="Q491" s="46">
        <v>0</v>
      </c>
      <c r="R491" s="49">
        <f>IF(F491&lt;DATEVALUE("2018-07-01"),1,0)</f>
        <v>0</v>
      </c>
      <c r="S491" s="50">
        <f>IF(R491=1,1%,0)</f>
        <v>0</v>
      </c>
      <c r="T491" s="49">
        <f>IFERROR(S491*M491,0)</f>
        <v>0</v>
      </c>
      <c r="U491" s="51">
        <f>IF(O491&lt;=0.12,1,0)*(1-R491)*M491</f>
        <v>3270146</v>
      </c>
      <c r="V491" s="52">
        <f>IF(0&lt;0.8,0,IF(0&lt;1,Sheet3!L489,1))*IF(G491&lt;3,0.12 - O491,0.01) *U491</f>
        <v>0</v>
      </c>
      <c r="W491" s="52">
        <f>IF(0&gt;1,IF(0&lt;=1.1,1,IF(0&lt;=1.2,2,IF(0&lt;=1.5,3,5))),0) * 1000000</f>
        <v>0</v>
      </c>
      <c r="X491" s="53">
        <f>IF(AND(P491&gt;=150000000,P491&lt;300000000),5000000,IF(AND(P491&gt;=300000000,P491&lt;500000000),10000000,IF(AND(P491&gt;=300000000,P491&lt;500000000),15000000,IF(AND(P491&gt;=500000000,P491&lt;3000000000),20000000,IF(P491&gt;=30000000000,35000000,0))))) * (1-R491)</f>
        <v>0</v>
      </c>
      <c r="Y491" s="53">
        <f>IFERROR(Q491 * (1-R491),0)</f>
        <v>0</v>
      </c>
      <c r="Z491" s="54">
        <f>IF(R491=1,0,0)</f>
        <v>0</v>
      </c>
      <c r="AA491" s="54">
        <f>IFERROR((1-R491) * Z491 * 2%,0)</f>
        <v>0</v>
      </c>
      <c r="AB491" s="55">
        <f>IF(R491=0,0,0)</f>
        <v>0</v>
      </c>
      <c r="AC491" s="55">
        <f>IFERROR(AB491 * (1-R491) * 2%,0)</f>
        <v>0</v>
      </c>
      <c r="AD491" s="56">
        <f>T491+V491+W491+X491+AA491+AC491</f>
        <v>0</v>
      </c>
    </row>
    <row r="492" spans="2:30">
      <c r="C492" s="43" t="s">
        <v>911</v>
      </c>
      <c r="D492" s="44" t="s">
        <v>912</v>
      </c>
      <c r="E492" s="44"/>
      <c r="F492" s="45">
        <v>43278.367256944446</v>
      </c>
      <c r="G492" s="46">
        <v>3</v>
      </c>
      <c r="H492" s="47">
        <v>43405</v>
      </c>
      <c r="I492" s="47">
        <v>43424</v>
      </c>
      <c r="J492" s="46">
        <v>81840</v>
      </c>
      <c r="K492" s="46">
        <v>0</v>
      </c>
      <c r="L492" s="46">
        <v>0</v>
      </c>
      <c r="M492" s="46">
        <f>IFERROR(J492-K492-L492,0)</f>
        <v>81840</v>
      </c>
      <c r="N492" s="46">
        <v>95810</v>
      </c>
      <c r="O492" s="48">
        <f>IFERROR(IF(1 - M492/N492&lt;0,0,1-M492/N492),0)</f>
        <v>0.14580941446613094</v>
      </c>
      <c r="P492" s="46">
        <v>0</v>
      </c>
      <c r="Q492" s="46">
        <v>0</v>
      </c>
      <c r="R492" s="49">
        <f>IF(F492&lt;DATEVALUE("2018-07-01"),1,0)</f>
        <v>1</v>
      </c>
      <c r="S492" s="50">
        <f>IF(R492=1,1%,0)</f>
        <v>0.01</v>
      </c>
      <c r="T492" s="49">
        <f>IFERROR(S492*M492,0)</f>
        <v>818.4</v>
      </c>
      <c r="U492" s="51">
        <f>IF(O492&lt;=0.12,1,0)*(1-R492)*M492</f>
        <v>0</v>
      </c>
      <c r="V492" s="52">
        <f>IF(0&lt;0.8,0,IF(0&lt;1,Sheet3!L489,1))*IF(G492&lt;3,0.12 - O492,0.01) *U492</f>
        <v>0</v>
      </c>
      <c r="W492" s="52">
        <f>IF(0&gt;1,IF(0&lt;=1.1,1,IF(0&lt;=1.2,2,IF(0&lt;=1.5,3,5))),0) * 1000000</f>
        <v>0</v>
      </c>
      <c r="X492" s="53">
        <f>IF(AND(P492&gt;=150000000,P492&lt;300000000),5000000,IF(AND(P492&gt;=300000000,P492&lt;500000000),10000000,IF(AND(P492&gt;=300000000,P492&lt;500000000),15000000,IF(AND(P492&gt;=500000000,P492&lt;3000000000),20000000,IF(P492&gt;=30000000000,35000000,0))))) * (1-R492)</f>
        <v>0</v>
      </c>
      <c r="Y492" s="53">
        <f>IFERROR(Q492 * (1-R492),0)</f>
        <v>0</v>
      </c>
      <c r="Z492" s="54">
        <f>IF(R492=1,0,0)</f>
        <v>0</v>
      </c>
      <c r="AA492" s="54">
        <f>IFERROR((1-R492) * Z492 * 2%,0)</f>
        <v>0</v>
      </c>
      <c r="AB492" s="55">
        <f>IF(R492=0,0,0)</f>
        <v>0</v>
      </c>
      <c r="AC492" s="55">
        <f>IFERROR(AB492 * (1-R492) * 2%,0)</f>
        <v>0</v>
      </c>
      <c r="AD492" s="56">
        <f>T492+V492+W492+X492+AA492+AC492</f>
        <v>818.4</v>
      </c>
    </row>
    <row r="493" spans="2:30">
      <c r="C493" s="43" t="s">
        <v>913</v>
      </c>
      <c r="D493" s="44" t="s">
        <v>914</v>
      </c>
      <c r="E493" s="44"/>
      <c r="F493" s="45">
        <v>43259.384733796294</v>
      </c>
      <c r="G493" s="46">
        <v>3</v>
      </c>
      <c r="H493" s="47">
        <v>43376</v>
      </c>
      <c r="I493" s="47">
        <v>43416</v>
      </c>
      <c r="J493" s="46">
        <v>2428712</v>
      </c>
      <c r="K493" s="46">
        <v>0</v>
      </c>
      <c r="L493" s="46">
        <v>0</v>
      </c>
      <c r="M493" s="46">
        <f>IFERROR(J493-K493-L493,0)</f>
        <v>2428712</v>
      </c>
      <c r="N493" s="46">
        <v>2428712</v>
      </c>
      <c r="O493" s="48">
        <f>IFERROR(IF(1 - M493/N493&lt;0,0,1-M493/N493),0)</f>
        <v>0</v>
      </c>
      <c r="P493" s="46">
        <v>0</v>
      </c>
      <c r="Q493" s="46">
        <v>0</v>
      </c>
      <c r="R493" s="49">
        <f>IF(F493&lt;DATEVALUE("2018-07-01"),1,0)</f>
        <v>1</v>
      </c>
      <c r="S493" s="50">
        <f>IF(R493=1,1%,0)</f>
        <v>0.01</v>
      </c>
      <c r="T493" s="49">
        <f>IFERROR(S493*M493,0)</f>
        <v>24287.119999999999</v>
      </c>
      <c r="U493" s="51">
        <f>IF(O493&lt;=0.12,1,0)*(1-R493)*M493</f>
        <v>0</v>
      </c>
      <c r="V493" s="52">
        <f>IF(0&lt;0.8,0,IF(0&lt;1,Sheet3!L489,1))*IF(G493&lt;3,0.12 - O493,0.01) *U493</f>
        <v>0</v>
      </c>
      <c r="W493" s="52">
        <f>IF(0&gt;1,IF(0&lt;=1.1,1,IF(0&lt;=1.2,2,IF(0&lt;=1.5,3,5))),0) * 1000000</f>
        <v>0</v>
      </c>
      <c r="X493" s="53">
        <f>IF(AND(P493&gt;=150000000,P493&lt;300000000),5000000,IF(AND(P493&gt;=300000000,P493&lt;500000000),10000000,IF(AND(P493&gt;=300000000,P493&lt;500000000),15000000,IF(AND(P493&gt;=500000000,P493&lt;3000000000),20000000,IF(P493&gt;=30000000000,35000000,0))))) * (1-R493)</f>
        <v>0</v>
      </c>
      <c r="Y493" s="53">
        <f>IFERROR(Q493 * (1-R493),0)</f>
        <v>0</v>
      </c>
      <c r="Z493" s="54">
        <f>IF(R493=1,0,0)</f>
        <v>0</v>
      </c>
      <c r="AA493" s="54">
        <f>IFERROR((1-R493) * Z493 * 2%,0)</f>
        <v>0</v>
      </c>
      <c r="AB493" s="55">
        <f>IF(R493=0,0,0)</f>
        <v>0</v>
      </c>
      <c r="AC493" s="55">
        <f>IFERROR(AB493 * (1-R493) * 2%,0)</f>
        <v>0</v>
      </c>
      <c r="AD493" s="56">
        <f>T493+V493+W493+X493+AA493+AC493</f>
        <v>24287.119999999999</v>
      </c>
    </row>
    <row r="494" spans="2:30">
      <c r="C494" s="43" t="s">
        <v>915</v>
      </c>
      <c r="D494" s="44" t="s">
        <v>916</v>
      </c>
      <c r="E494" s="44"/>
      <c r="F494" s="45">
        <v>43274.203877314816</v>
      </c>
      <c r="G494" s="46">
        <v>3</v>
      </c>
      <c r="H494" s="47">
        <v>43396</v>
      </c>
      <c r="I494" s="47">
        <v>43418</v>
      </c>
      <c r="J494" s="46">
        <v>8007417</v>
      </c>
      <c r="K494" s="46">
        <v>0</v>
      </c>
      <c r="L494" s="46">
        <v>0</v>
      </c>
      <c r="M494" s="46">
        <f>IFERROR(J494-K494-L494,0)</f>
        <v>8007417</v>
      </c>
      <c r="N494" s="46">
        <v>8007417</v>
      </c>
      <c r="O494" s="48">
        <f>IFERROR(IF(1 - M494/N494&lt;0,0,1-M494/N494),0)</f>
        <v>0</v>
      </c>
      <c r="P494" s="46">
        <v>0</v>
      </c>
      <c r="Q494" s="46">
        <v>0</v>
      </c>
      <c r="R494" s="49">
        <f>IF(F494&lt;DATEVALUE("2018-07-01"),1,0)</f>
        <v>1</v>
      </c>
      <c r="S494" s="50">
        <f>IF(R494=1,1%,0)</f>
        <v>0.01</v>
      </c>
      <c r="T494" s="49">
        <f>IFERROR(S494*M494,0)</f>
        <v>80074.17</v>
      </c>
      <c r="U494" s="51">
        <f>IF(O494&lt;=0.12,1,0)*(1-R494)*M494</f>
        <v>0</v>
      </c>
      <c r="V494" s="52">
        <f>IF(0&lt;0.8,0,IF(0&lt;1,Sheet3!L489,1))*IF(G494&lt;3,0.12 - O494,0.01) *U494</f>
        <v>0</v>
      </c>
      <c r="W494" s="52">
        <f>IF(0&gt;1,IF(0&lt;=1.1,1,IF(0&lt;=1.2,2,IF(0&lt;=1.5,3,5))),0) * 1000000</f>
        <v>0</v>
      </c>
      <c r="X494" s="53">
        <f>IF(AND(P494&gt;=150000000,P494&lt;300000000),5000000,IF(AND(P494&gt;=300000000,P494&lt;500000000),10000000,IF(AND(P494&gt;=300000000,P494&lt;500000000),15000000,IF(AND(P494&gt;=500000000,P494&lt;3000000000),20000000,IF(P494&gt;=30000000000,35000000,0))))) * (1-R494)</f>
        <v>0</v>
      </c>
      <c r="Y494" s="53">
        <f>IFERROR(Q494 * (1-R494),0)</f>
        <v>0</v>
      </c>
      <c r="Z494" s="54">
        <f>IF(R494=1,0,0)</f>
        <v>0</v>
      </c>
      <c r="AA494" s="54">
        <f>IFERROR((1-R494) * Z494 * 2%,0)</f>
        <v>0</v>
      </c>
      <c r="AB494" s="55">
        <f>IF(R494=0,0,0)</f>
        <v>0</v>
      </c>
      <c r="AC494" s="55">
        <f>IFERROR(AB494 * (1-R494) * 2%,0)</f>
        <v>0</v>
      </c>
      <c r="AD494" s="56">
        <f>T494+V494+W494+X494+AA494+AC494</f>
        <v>80074.17</v>
      </c>
    </row>
    <row r="495" spans="2:30" ht="23.25" customHeight="1">
      <c r="B495" s="9" t="s">
        <v>5</v>
      </c>
      <c r="C495" s="10" t="s">
        <v>6</v>
      </c>
      <c r="D495" s="10"/>
      <c r="E495" s="11" t="s">
        <v>7</v>
      </c>
      <c r="F495" s="11" t="s">
        <v>8</v>
      </c>
      <c r="G495" s="11" t="s">
        <v>9</v>
      </c>
      <c r="H495" s="11" t="s">
        <v>10</v>
      </c>
      <c r="I495" s="11" t="s">
        <v>11</v>
      </c>
      <c r="J495" s="11" t="s">
        <v>12</v>
      </c>
      <c r="K495" s="11" t="s">
        <v>13</v>
      </c>
      <c r="L495" s="11" t="s">
        <v>14</v>
      </c>
      <c r="M495" s="11" t="s">
        <v>15</v>
      </c>
      <c r="N495" s="11" t="s">
        <v>16</v>
      </c>
      <c r="O495" s="11" t="s">
        <v>17</v>
      </c>
      <c r="P495" s="12" t="s">
        <v>18</v>
      </c>
      <c r="Q495" s="11" t="s">
        <v>19</v>
      </c>
      <c r="R495" s="11"/>
      <c r="S495" s="10" t="s">
        <v>20</v>
      </c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3"/>
    </row>
    <row r="496" spans="2:30">
      <c r="B496" s="14" t="s">
        <v>917</v>
      </c>
      <c r="C496" s="15" t="str">
        <f>"Lê"&amp;" " &amp; "Thị Mỹ Trinh"</f>
        <v>Lê Thị Mỹ Trinh</v>
      </c>
      <c r="D496" s="15"/>
      <c r="E496" s="16" t="s">
        <v>314</v>
      </c>
      <c r="F496" s="16" t="s">
        <v>134</v>
      </c>
      <c r="G496" s="17" t="s">
        <v>133</v>
      </c>
      <c r="H496" s="16" t="s">
        <v>388</v>
      </c>
      <c r="I496" s="18">
        <v>0</v>
      </c>
      <c r="J496" s="19">
        <v>42000000</v>
      </c>
      <c r="K496" s="19">
        <f>IFERROR(IF(N496&lt;4,Q496,SUM(#VALUE!)),0)</f>
        <v>0</v>
      </c>
      <c r="L496" s="20">
        <f>IFERROR(K496/J496,0)</f>
        <v>0</v>
      </c>
      <c r="M496" s="19">
        <f>IFERROR(IF(OR(N496=3,N496=4),SUM(#VALUE!)+AD496,IF(N496=1,0.6%,IF(N496=2,0.65%,IF(N496=3,0.6%,0)))*IF(L496&lt;0.8,0,IF(L496&lt;1,L496,1))*IF(RIGHT("2018-09",2)="03",1,0)),0)</f>
        <v>0</v>
      </c>
      <c r="N496" s="19">
        <v>4</v>
      </c>
      <c r="O496" s="18">
        <f>IF(N496=4,0.5%,IF(N496=5,0.3%,0))</f>
        <v>5.0000000000000001E-3</v>
      </c>
      <c r="P496" s="21">
        <f>IFERROR(SUM(#VALUE!),0)</f>
        <v>0</v>
      </c>
      <c r="Q496" s="19">
        <f>SUMIF($G:$G,B496,$K:$K)</f>
        <v>0</v>
      </c>
      <c r="R496" s="22"/>
      <c r="S496" s="23" t="s">
        <v>26</v>
      </c>
      <c r="T496" s="23"/>
      <c r="U496" s="24" t="s">
        <v>27</v>
      </c>
      <c r="V496" s="24"/>
      <c r="W496" s="24"/>
      <c r="X496" s="25" t="s">
        <v>28</v>
      </c>
      <c r="Y496" s="25"/>
      <c r="Z496" s="26" t="s">
        <v>29</v>
      </c>
      <c r="AA496" s="26"/>
      <c r="AB496" s="27" t="s">
        <v>30</v>
      </c>
      <c r="AC496" s="27"/>
      <c r="AD496" s="28">
        <f>IF(IFERROR(SUM(#VALUE!)*O496,0)&gt;2000000,2000000,IFERROR(SUM(#VALUE!)*O496,0))</f>
        <v>0</v>
      </c>
    </row>
    <row r="497" spans="2:30" ht="25.5">
      <c r="C497" s="29" t="s">
        <v>31</v>
      </c>
      <c r="D497" s="30" t="s">
        <v>32</v>
      </c>
      <c r="E497" s="30"/>
      <c r="F497" s="31" t="s">
        <v>33</v>
      </c>
      <c r="G497" s="31" t="s">
        <v>34</v>
      </c>
      <c r="H497" s="32" t="s">
        <v>35</v>
      </c>
      <c r="I497" s="32" t="s">
        <v>36</v>
      </c>
      <c r="J497" s="31" t="s">
        <v>37</v>
      </c>
      <c r="K497" s="31" t="s">
        <v>38</v>
      </c>
      <c r="L497" s="31" t="s">
        <v>39</v>
      </c>
      <c r="M497" s="31" t="s">
        <v>40</v>
      </c>
      <c r="N497" s="31" t="s">
        <v>41</v>
      </c>
      <c r="O497" s="33" t="s">
        <v>42</v>
      </c>
      <c r="P497" s="32" t="s">
        <v>43</v>
      </c>
      <c r="Q497" s="32" t="s">
        <v>44</v>
      </c>
      <c r="R497" s="34" t="s">
        <v>45</v>
      </c>
      <c r="S497" s="34" t="s">
        <v>46</v>
      </c>
      <c r="T497" s="34" t="s">
        <v>47</v>
      </c>
      <c r="U497" s="35" t="s">
        <v>48</v>
      </c>
      <c r="V497" s="36" t="s">
        <v>47</v>
      </c>
      <c r="W497" s="36" t="s">
        <v>49</v>
      </c>
      <c r="X497" s="37" t="s">
        <v>50</v>
      </c>
      <c r="Y497" s="37" t="s">
        <v>51</v>
      </c>
      <c r="Z497" s="38" t="s">
        <v>48</v>
      </c>
      <c r="AA497" s="39" t="s">
        <v>47</v>
      </c>
      <c r="AB497" s="40" t="s">
        <v>48</v>
      </c>
      <c r="AC497" s="41" t="s">
        <v>47</v>
      </c>
      <c r="AD497" s="42" t="s">
        <v>52</v>
      </c>
    </row>
    <row r="498" spans="2:30" ht="23.25" customHeight="1">
      <c r="B498" s="9" t="s">
        <v>5</v>
      </c>
      <c r="C498" s="10" t="s">
        <v>6</v>
      </c>
      <c r="D498" s="10"/>
      <c r="E498" s="11" t="s">
        <v>7</v>
      </c>
      <c r="F498" s="11" t="s">
        <v>8</v>
      </c>
      <c r="G498" s="11" t="s">
        <v>9</v>
      </c>
      <c r="H498" s="11" t="s">
        <v>10</v>
      </c>
      <c r="I498" s="11" t="s">
        <v>11</v>
      </c>
      <c r="J498" s="11" t="s">
        <v>12</v>
      </c>
      <c r="K498" s="11" t="s">
        <v>13</v>
      </c>
      <c r="L498" s="11" t="s">
        <v>14</v>
      </c>
      <c r="M498" s="11" t="s">
        <v>15</v>
      </c>
      <c r="N498" s="11" t="s">
        <v>16</v>
      </c>
      <c r="O498" s="11" t="s">
        <v>17</v>
      </c>
      <c r="P498" s="12" t="s">
        <v>18</v>
      </c>
      <c r="Q498" s="11" t="s">
        <v>19</v>
      </c>
      <c r="R498" s="11"/>
      <c r="S498" s="10" t="s">
        <v>20</v>
      </c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3"/>
    </row>
    <row r="499" spans="2:30">
      <c r="B499" s="14" t="s">
        <v>918</v>
      </c>
      <c r="C499" s="15" t="str">
        <f>"Nguyễn"&amp;" " &amp; "Thị Thảo Nguyên"</f>
        <v>Nguyễn Thị Thảo Nguyên</v>
      </c>
      <c r="D499" s="15"/>
      <c r="E499" s="16" t="s">
        <v>314</v>
      </c>
      <c r="F499" s="16" t="s">
        <v>134</v>
      </c>
      <c r="G499" s="17" t="s">
        <v>133</v>
      </c>
      <c r="H499" s="16" t="s">
        <v>388</v>
      </c>
      <c r="I499" s="18">
        <v>0</v>
      </c>
      <c r="J499" s="19">
        <v>42000000</v>
      </c>
      <c r="K499" s="19">
        <f>IFERROR(IF(N499&lt;4,Q499,SUM(#VALUE!)),0)</f>
        <v>0</v>
      </c>
      <c r="L499" s="20">
        <f>IFERROR(K499/J499,0)</f>
        <v>0</v>
      </c>
      <c r="M499" s="19">
        <f>IFERROR(IF(OR(N499=3,N499=4),SUM(#VALUE!)+AD499,IF(N499=1,0.6%,IF(N499=2,0.65%,IF(N499=3,0.6%,0)))*IF(L499&lt;0.8,0,IF(L499&lt;1,L499,1))*IF(RIGHT("2018-09",2)="03",1,0)),0)</f>
        <v>0</v>
      </c>
      <c r="N499" s="19">
        <v>4</v>
      </c>
      <c r="O499" s="18">
        <f>IF(N499=4,0.5%,IF(N499=5,0.3%,0))</f>
        <v>5.0000000000000001E-3</v>
      </c>
      <c r="P499" s="21">
        <f>IFERROR(SUM(#VALUE!),0)</f>
        <v>0</v>
      </c>
      <c r="Q499" s="19">
        <f>SUMIF($G:$G,B499,$K:$K)</f>
        <v>0</v>
      </c>
      <c r="R499" s="22"/>
      <c r="S499" s="23" t="s">
        <v>26</v>
      </c>
      <c r="T499" s="23"/>
      <c r="U499" s="24" t="s">
        <v>27</v>
      </c>
      <c r="V499" s="24"/>
      <c r="W499" s="24"/>
      <c r="X499" s="25" t="s">
        <v>28</v>
      </c>
      <c r="Y499" s="25"/>
      <c r="Z499" s="26" t="s">
        <v>29</v>
      </c>
      <c r="AA499" s="26"/>
      <c r="AB499" s="27" t="s">
        <v>30</v>
      </c>
      <c r="AC499" s="27"/>
      <c r="AD499" s="28">
        <f>IF(IFERROR(SUM(#VALUE!)*O499,0)&gt;2000000,2000000,IFERROR(SUM(#VALUE!)*O499,0))</f>
        <v>0</v>
      </c>
    </row>
    <row r="500" spans="2:30" ht="25.5">
      <c r="C500" s="29" t="s">
        <v>31</v>
      </c>
      <c r="D500" s="30" t="s">
        <v>32</v>
      </c>
      <c r="E500" s="30"/>
      <c r="F500" s="31" t="s">
        <v>33</v>
      </c>
      <c r="G500" s="31" t="s">
        <v>34</v>
      </c>
      <c r="H500" s="32" t="s">
        <v>35</v>
      </c>
      <c r="I500" s="32" t="s">
        <v>36</v>
      </c>
      <c r="J500" s="31" t="s">
        <v>37</v>
      </c>
      <c r="K500" s="31" t="s">
        <v>38</v>
      </c>
      <c r="L500" s="31" t="s">
        <v>39</v>
      </c>
      <c r="M500" s="31" t="s">
        <v>40</v>
      </c>
      <c r="N500" s="31" t="s">
        <v>41</v>
      </c>
      <c r="O500" s="33" t="s">
        <v>42</v>
      </c>
      <c r="P500" s="32" t="s">
        <v>43</v>
      </c>
      <c r="Q500" s="32" t="s">
        <v>44</v>
      </c>
      <c r="R500" s="34" t="s">
        <v>45</v>
      </c>
      <c r="S500" s="34" t="s">
        <v>46</v>
      </c>
      <c r="T500" s="34" t="s">
        <v>47</v>
      </c>
      <c r="U500" s="35" t="s">
        <v>48</v>
      </c>
      <c r="V500" s="36" t="s">
        <v>47</v>
      </c>
      <c r="W500" s="36" t="s">
        <v>49</v>
      </c>
      <c r="X500" s="37" t="s">
        <v>50</v>
      </c>
      <c r="Y500" s="37" t="s">
        <v>51</v>
      </c>
      <c r="Z500" s="38" t="s">
        <v>48</v>
      </c>
      <c r="AA500" s="39" t="s">
        <v>47</v>
      </c>
      <c r="AB500" s="40" t="s">
        <v>48</v>
      </c>
      <c r="AC500" s="41" t="s">
        <v>47</v>
      </c>
      <c r="AD500" s="42" t="s">
        <v>52</v>
      </c>
    </row>
    <row r="501" spans="2:30" ht="23.25" customHeight="1">
      <c r="B501" s="9" t="s">
        <v>5</v>
      </c>
      <c r="C501" s="10" t="s">
        <v>6</v>
      </c>
      <c r="D501" s="10"/>
      <c r="E501" s="11" t="s">
        <v>7</v>
      </c>
      <c r="F501" s="11" t="s">
        <v>8</v>
      </c>
      <c r="G501" s="11" t="s">
        <v>9</v>
      </c>
      <c r="H501" s="11" t="s">
        <v>10</v>
      </c>
      <c r="I501" s="11" t="s">
        <v>11</v>
      </c>
      <c r="J501" s="11" t="s">
        <v>12</v>
      </c>
      <c r="K501" s="11" t="s">
        <v>13</v>
      </c>
      <c r="L501" s="11" t="s">
        <v>14</v>
      </c>
      <c r="M501" s="11" t="s">
        <v>15</v>
      </c>
      <c r="N501" s="11" t="s">
        <v>16</v>
      </c>
      <c r="O501" s="11" t="s">
        <v>17</v>
      </c>
      <c r="P501" s="12" t="s">
        <v>18</v>
      </c>
      <c r="Q501" s="11" t="s">
        <v>19</v>
      </c>
      <c r="R501" s="11"/>
      <c r="S501" s="10" t="s">
        <v>20</v>
      </c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3"/>
    </row>
    <row r="502" spans="2:30">
      <c r="B502" s="14" t="s">
        <v>919</v>
      </c>
      <c r="C502" s="15" t="str">
        <f>"Lưu"&amp;" " &amp; "Đa Khoa"</f>
        <v>Lưu Đa Khoa</v>
      </c>
      <c r="D502" s="15"/>
      <c r="E502" s="16" t="s">
        <v>314</v>
      </c>
      <c r="F502" s="16" t="s">
        <v>134</v>
      </c>
      <c r="G502" s="17" t="s">
        <v>133</v>
      </c>
      <c r="H502" s="16" t="s">
        <v>388</v>
      </c>
      <c r="I502" s="18">
        <v>0</v>
      </c>
      <c r="J502" s="19">
        <v>42000000</v>
      </c>
      <c r="K502" s="19">
        <f>IFERROR(IF(N502&lt;4,Q502,SUM(Sheet3!J504:J508)),0)</f>
        <v>35530821</v>
      </c>
      <c r="L502" s="20">
        <f>IFERROR(K502/J502,0)</f>
        <v>0.84597192857142856</v>
      </c>
      <c r="M502" s="19">
        <f>IFERROR(IF(OR(N502=3,N502=4),SUM(Sheet3!AD504:AD508)+AD502,IF(N502=1,0.6%,IF(N502=2,0.65%,IF(N502=3,0.6%,0)))*IF(L502&lt;0.8,0,IF(L502&lt;1,L502,1))*IF(RIGHT("2018-09",2)="03",1,0)),0)</f>
        <v>273190.75</v>
      </c>
      <c r="N502" s="19">
        <v>4</v>
      </c>
      <c r="O502" s="18">
        <f>IF(N502=4,0.5%,IF(N502=5,0.3%,0))</f>
        <v>5.0000000000000001E-3</v>
      </c>
      <c r="P502" s="21">
        <f>IFERROR(SUM(Sheet3!P504:P508),0)</f>
        <v>14350696</v>
      </c>
      <c r="Q502" s="19">
        <f>SUMIF($G:$G,B502,$K:$K)</f>
        <v>0</v>
      </c>
      <c r="R502" s="22"/>
      <c r="S502" s="23" t="s">
        <v>26</v>
      </c>
      <c r="T502" s="23"/>
      <c r="U502" s="24" t="s">
        <v>27</v>
      </c>
      <c r="V502" s="24"/>
      <c r="W502" s="24"/>
      <c r="X502" s="25" t="s">
        <v>28</v>
      </c>
      <c r="Y502" s="25"/>
      <c r="Z502" s="26" t="s">
        <v>29</v>
      </c>
      <c r="AA502" s="26"/>
      <c r="AB502" s="27" t="s">
        <v>30</v>
      </c>
      <c r="AC502" s="27"/>
      <c r="AD502" s="28">
        <f>IF(IFERROR(SUM(Sheet3!Y504:Y508)*O502,0)&gt;2000000,2000000,IFERROR(SUM(Sheet3!Y504:Y508)*O502,0))</f>
        <v>0</v>
      </c>
    </row>
    <row r="503" spans="2:30" ht="25.5">
      <c r="C503" s="29" t="s">
        <v>31</v>
      </c>
      <c r="D503" s="30" t="s">
        <v>32</v>
      </c>
      <c r="E503" s="30"/>
      <c r="F503" s="31" t="s">
        <v>33</v>
      </c>
      <c r="G503" s="31" t="s">
        <v>34</v>
      </c>
      <c r="H503" s="32" t="s">
        <v>35</v>
      </c>
      <c r="I503" s="32" t="s">
        <v>36</v>
      </c>
      <c r="J503" s="31" t="s">
        <v>37</v>
      </c>
      <c r="K503" s="31" t="s">
        <v>38</v>
      </c>
      <c r="L503" s="31" t="s">
        <v>39</v>
      </c>
      <c r="M503" s="31" t="s">
        <v>40</v>
      </c>
      <c r="N503" s="31" t="s">
        <v>41</v>
      </c>
      <c r="O503" s="33" t="s">
        <v>42</v>
      </c>
      <c r="P503" s="32" t="s">
        <v>43</v>
      </c>
      <c r="Q503" s="32" t="s">
        <v>44</v>
      </c>
      <c r="R503" s="34" t="s">
        <v>45</v>
      </c>
      <c r="S503" s="34" t="s">
        <v>46</v>
      </c>
      <c r="T503" s="34" t="s">
        <v>47</v>
      </c>
      <c r="U503" s="35" t="s">
        <v>48</v>
      </c>
      <c r="V503" s="36" t="s">
        <v>47</v>
      </c>
      <c r="W503" s="36" t="s">
        <v>49</v>
      </c>
      <c r="X503" s="37" t="s">
        <v>50</v>
      </c>
      <c r="Y503" s="37" t="s">
        <v>51</v>
      </c>
      <c r="Z503" s="38" t="s">
        <v>48</v>
      </c>
      <c r="AA503" s="39" t="s">
        <v>47</v>
      </c>
      <c r="AB503" s="40" t="s">
        <v>48</v>
      </c>
      <c r="AC503" s="41" t="s">
        <v>47</v>
      </c>
      <c r="AD503" s="42" t="s">
        <v>52</v>
      </c>
    </row>
    <row r="504" spans="2:30">
      <c r="C504" s="43" t="s">
        <v>920</v>
      </c>
      <c r="D504" s="44" t="s">
        <v>921</v>
      </c>
      <c r="E504" s="44"/>
      <c r="F504" s="45">
        <v>43304.303136574075</v>
      </c>
      <c r="G504" s="46">
        <v>2</v>
      </c>
      <c r="H504" s="47">
        <v>43382</v>
      </c>
      <c r="I504" s="47">
        <v>43384</v>
      </c>
      <c r="J504" s="46">
        <v>12836886</v>
      </c>
      <c r="K504" s="46">
        <v>0</v>
      </c>
      <c r="L504" s="46">
        <v>0</v>
      </c>
      <c r="M504" s="46">
        <f>IFERROR(J504-K504-L504,0)</f>
        <v>12836886</v>
      </c>
      <c r="N504" s="46">
        <v>7408168</v>
      </c>
      <c r="O504" s="48">
        <f>IFERROR(IF(1 - M504/N504&lt;0,0,1-M504/N504),0)</f>
        <v>0</v>
      </c>
      <c r="P504" s="46">
        <v>12836886</v>
      </c>
      <c r="Q504" s="46">
        <v>0</v>
      </c>
      <c r="R504" s="49">
        <f>IF(F504&lt;DATEVALUE("2018-07-01"),1,0)</f>
        <v>0</v>
      </c>
      <c r="S504" s="50">
        <f>IF(R504=1,1%,0)</f>
        <v>0</v>
      </c>
      <c r="T504" s="49">
        <f>IFERROR(S504*M504,0)</f>
        <v>0</v>
      </c>
      <c r="U504" s="51">
        <f>IF(O504&lt;=0.12,1,0)*(1-R504)*M504</f>
        <v>12836886</v>
      </c>
      <c r="V504" s="52">
        <f>IF(0&lt;0.8,0,IF(0&lt;1,Sheet3!L502,1))*IF(G504&lt;3,0.12 - O504,0.01) *U504</f>
        <v>0</v>
      </c>
      <c r="W504" s="52">
        <f>IF(0&gt;1,IF(0&lt;=1.1,1,IF(0&lt;=1.2,2,IF(0&lt;=1.5,3,5))),0) * 1000000</f>
        <v>0</v>
      </c>
      <c r="X504" s="53">
        <f>IF(AND(P504&gt;=150000000,P504&lt;300000000),5000000,IF(AND(P504&gt;=300000000,P504&lt;500000000),10000000,IF(AND(P504&gt;=300000000,P504&lt;500000000),15000000,IF(AND(P504&gt;=500000000,P504&lt;3000000000),20000000,IF(P504&gt;=30000000000,35000000,0))))) * (1-R504)</f>
        <v>0</v>
      </c>
      <c r="Y504" s="53">
        <f>IFERROR(Q504 * (1-R504),0)</f>
        <v>0</v>
      </c>
      <c r="Z504" s="54">
        <f>IF(R504=1,0,0)</f>
        <v>0</v>
      </c>
      <c r="AA504" s="54">
        <f>IFERROR((1-R504) * Z504 * 2%,0)</f>
        <v>0</v>
      </c>
      <c r="AB504" s="55">
        <f>IF(R504=0,3632000,0)</f>
        <v>3632000</v>
      </c>
      <c r="AC504" s="55">
        <f>IFERROR(AB504 * (1-R504) * 2%,0)</f>
        <v>72640</v>
      </c>
      <c r="AD504" s="56">
        <f>T504+V504+W504+X504+AA504+AC504</f>
        <v>72640</v>
      </c>
    </row>
    <row r="505" spans="2:30">
      <c r="C505" s="43" t="s">
        <v>922</v>
      </c>
      <c r="D505" s="44" t="s">
        <v>923</v>
      </c>
      <c r="E505" s="44"/>
      <c r="F505" s="45">
        <v>40037.488194444442</v>
      </c>
      <c r="G505" s="46">
        <v>109</v>
      </c>
      <c r="H505" s="47">
        <v>43390</v>
      </c>
      <c r="I505" s="47">
        <v>43418</v>
      </c>
      <c r="J505" s="46">
        <v>608679</v>
      </c>
      <c r="K505" s="46">
        <v>0</v>
      </c>
      <c r="L505" s="46">
        <v>0</v>
      </c>
      <c r="M505" s="46">
        <f>IFERROR(J505-K505-L505,0)</f>
        <v>608679</v>
      </c>
      <c r="N505" s="46">
        <v>608679</v>
      </c>
      <c r="O505" s="48">
        <f>IFERROR(IF(1 - M505/N505&lt;0,0,1-M505/N505),0)</f>
        <v>0</v>
      </c>
      <c r="P505" s="46">
        <v>0</v>
      </c>
      <c r="Q505" s="46">
        <v>608679</v>
      </c>
      <c r="R505" s="49">
        <f>IF(F505&lt;DATEVALUE("2018-07-01"),1,0)</f>
        <v>1</v>
      </c>
      <c r="S505" s="50">
        <f>IF(R505=1,1%,0)</f>
        <v>0.01</v>
      </c>
      <c r="T505" s="49">
        <f>IFERROR(S505*M505,0)</f>
        <v>6086.79</v>
      </c>
      <c r="U505" s="51">
        <f>IF(O505&lt;=0.12,1,0)*(1-R505)*M505</f>
        <v>0</v>
      </c>
      <c r="V505" s="52">
        <f>IF(0&lt;0.8,0,IF(0&lt;1,Sheet3!L502,1))*IF(G505&lt;3,0.12 - O505,0.01) *U505</f>
        <v>0</v>
      </c>
      <c r="W505" s="52">
        <f>IF(0&gt;1,IF(0&lt;=1.1,1,IF(0&lt;=1.2,2,IF(0&lt;=1.5,3,5))),0) * 1000000</f>
        <v>0</v>
      </c>
      <c r="X505" s="53">
        <f>IF(AND(P505&gt;=150000000,P505&lt;300000000),5000000,IF(AND(P505&gt;=300000000,P505&lt;500000000),10000000,IF(AND(P505&gt;=300000000,P505&lt;500000000),15000000,IF(AND(P505&gt;=500000000,P505&lt;3000000000),20000000,IF(P505&gt;=30000000000,35000000,0))))) * (1-R505)</f>
        <v>0</v>
      </c>
      <c r="Y505" s="53">
        <f>IFERROR(Q505 * (1-R505),0)</f>
        <v>0</v>
      </c>
      <c r="Z505" s="54">
        <f>IF(R505=1,0,0)</f>
        <v>0</v>
      </c>
      <c r="AA505" s="54">
        <f>IFERROR((1-R505) * Z505 * 2%,0)</f>
        <v>0</v>
      </c>
      <c r="AB505" s="55">
        <f>IF(R505=0,0,0)</f>
        <v>0</v>
      </c>
      <c r="AC505" s="55">
        <f>IFERROR(AB505 * (1-R505) * 2%,0)</f>
        <v>0</v>
      </c>
      <c r="AD505" s="56">
        <f>T505+V505+W505+X505+AA505+AC505</f>
        <v>6086.79</v>
      </c>
    </row>
    <row r="506" spans="2:30">
      <c r="C506" s="43" t="s">
        <v>924</v>
      </c>
      <c r="D506" s="44" t="s">
        <v>925</v>
      </c>
      <c r="E506" s="44"/>
      <c r="F506" s="45">
        <v>42539.262615740736</v>
      </c>
      <c r="G506" s="46">
        <v>27</v>
      </c>
      <c r="H506" s="47">
        <v>43376</v>
      </c>
      <c r="I506" s="47">
        <v>43396</v>
      </c>
      <c r="J506" s="46">
        <v>5984346</v>
      </c>
      <c r="K506" s="46">
        <v>0</v>
      </c>
      <c r="L506" s="46">
        <v>0</v>
      </c>
      <c r="M506" s="46">
        <f>IFERROR(J506-K506-L506,0)</f>
        <v>5984346</v>
      </c>
      <c r="N506" s="46">
        <v>5932751</v>
      </c>
      <c r="O506" s="48">
        <f>IFERROR(IF(1 - M506/N506&lt;0,0,1-M506/N506),0)</f>
        <v>0</v>
      </c>
      <c r="P506" s="46">
        <v>0</v>
      </c>
      <c r="Q506" s="46">
        <v>5984346</v>
      </c>
      <c r="R506" s="49">
        <f>IF(F506&lt;DATEVALUE("2018-07-01"),1,0)</f>
        <v>1</v>
      </c>
      <c r="S506" s="50">
        <f>IF(R506=1,1%,0)</f>
        <v>0.01</v>
      </c>
      <c r="T506" s="49">
        <f>IFERROR(S506*M506,0)</f>
        <v>59843.46</v>
      </c>
      <c r="U506" s="51">
        <f>IF(O506&lt;=0.12,1,0)*(1-R506)*M506</f>
        <v>0</v>
      </c>
      <c r="V506" s="52">
        <f>IF(0&lt;0.8,0,IF(0&lt;1,Sheet3!L502,1))*IF(G506&lt;3,0.12 - O506,0.01) *U506</f>
        <v>0</v>
      </c>
      <c r="W506" s="52">
        <f>IF(0&gt;1,IF(0&lt;=1.1,1,IF(0&lt;=1.2,2,IF(0&lt;=1.5,3,5))),0) * 1000000</f>
        <v>0</v>
      </c>
      <c r="X506" s="53">
        <f>IF(AND(P506&gt;=150000000,P506&lt;300000000),5000000,IF(AND(P506&gt;=300000000,P506&lt;500000000),10000000,IF(AND(P506&gt;=300000000,P506&lt;500000000),15000000,IF(AND(P506&gt;=500000000,P506&lt;3000000000),20000000,IF(P506&gt;=30000000000,35000000,0))))) * (1-R506)</f>
        <v>0</v>
      </c>
      <c r="Y506" s="53">
        <f>IFERROR(Q506 * (1-R506),0)</f>
        <v>0</v>
      </c>
      <c r="Z506" s="54">
        <f>IF(R506=1,0,0)</f>
        <v>0</v>
      </c>
      <c r="AA506" s="54">
        <f>IFERROR((1-R506) * Z506 * 2%,0)</f>
        <v>0</v>
      </c>
      <c r="AB506" s="55">
        <f>IF(R506=0,0,0)</f>
        <v>0</v>
      </c>
      <c r="AC506" s="55">
        <f>IFERROR(AB506 * (1-R506) * 2%,0)</f>
        <v>0</v>
      </c>
      <c r="AD506" s="56">
        <f>T506+V506+W506+X506+AA506+AC506</f>
        <v>59843.46</v>
      </c>
    </row>
    <row r="507" spans="2:30">
      <c r="C507" s="43" t="s">
        <v>926</v>
      </c>
      <c r="D507" s="44" t="s">
        <v>927</v>
      </c>
      <c r="E507" s="44"/>
      <c r="F507" s="45">
        <v>42923.177476851852</v>
      </c>
      <c r="G507" s="46">
        <v>14</v>
      </c>
      <c r="H507" s="47" t="s">
        <v>24</v>
      </c>
      <c r="I507" s="47" t="s">
        <v>24</v>
      </c>
      <c r="J507" s="46">
        <v>14587100</v>
      </c>
      <c r="K507" s="46">
        <v>1125050</v>
      </c>
      <c r="L507" s="46">
        <v>0</v>
      </c>
      <c r="M507" s="46">
        <f>IFERROR(J507-K507-L507,0)</f>
        <v>13462050</v>
      </c>
      <c r="N507" s="46">
        <v>16045813</v>
      </c>
      <c r="O507" s="48">
        <f>IFERROR(IF(1 - M507/N507&lt;0,0,1-M507/N507),0)</f>
        <v>0.1610241251097716</v>
      </c>
      <c r="P507" s="46">
        <v>0</v>
      </c>
      <c r="Q507" s="46">
        <v>14587100</v>
      </c>
      <c r="R507" s="49">
        <f>IF(F507&lt;DATEVALUE("2018-07-01"),1,0)</f>
        <v>1</v>
      </c>
      <c r="S507" s="50">
        <f>IF(R507=1,1%,0)</f>
        <v>0.01</v>
      </c>
      <c r="T507" s="49">
        <f>IFERROR(S507*M507,0)</f>
        <v>134620.5</v>
      </c>
      <c r="U507" s="51">
        <f>IF(O507&lt;=0.12,1,0)*(1-R507)*M507</f>
        <v>0</v>
      </c>
      <c r="V507" s="52">
        <f>IF(0&lt;0.8,0,IF(0&lt;1,Sheet3!L502,1))*IF(G507&lt;3,0.12 - O507,0.01) *U507</f>
        <v>0</v>
      </c>
      <c r="W507" s="52">
        <f>IF(0&gt;1,IF(0&lt;=1.1,1,IF(0&lt;=1.2,2,IF(0&lt;=1.5,3,5))),0) * 1000000</f>
        <v>0</v>
      </c>
      <c r="X507" s="53">
        <f>IF(AND(P507&gt;=150000000,P507&lt;300000000),5000000,IF(AND(P507&gt;=300000000,P507&lt;500000000),10000000,IF(AND(P507&gt;=300000000,P507&lt;500000000),15000000,IF(AND(P507&gt;=500000000,P507&lt;3000000000),20000000,IF(P507&gt;=30000000000,35000000,0))))) * (1-R507)</f>
        <v>0</v>
      </c>
      <c r="Y507" s="53">
        <f>IFERROR(Q507 * (1-R507),0)</f>
        <v>0</v>
      </c>
      <c r="Z507" s="54">
        <f>IF(R507=1,0,0)</f>
        <v>0</v>
      </c>
      <c r="AA507" s="54">
        <f>IFERROR((1-R507) * Z507 * 2%,0)</f>
        <v>0</v>
      </c>
      <c r="AB507" s="55">
        <f>IF(R507=0,0,0)</f>
        <v>0</v>
      </c>
      <c r="AC507" s="55">
        <f>IFERROR(AB507 * (1-R507) * 2%,0)</f>
        <v>0</v>
      </c>
      <c r="AD507" s="56">
        <f>T507+V507+W507+X507+AA507+AC507</f>
        <v>134620.5</v>
      </c>
    </row>
    <row r="508" spans="2:30">
      <c r="C508" s="43" t="s">
        <v>928</v>
      </c>
      <c r="D508" s="44" t="s">
        <v>929</v>
      </c>
      <c r="E508" s="44"/>
      <c r="F508" s="45">
        <v>43288.162129629629</v>
      </c>
      <c r="G508" s="46">
        <v>2</v>
      </c>
      <c r="H508" s="47">
        <v>43391</v>
      </c>
      <c r="I508" s="47">
        <v>43397</v>
      </c>
      <c r="J508" s="46">
        <v>1513810</v>
      </c>
      <c r="K508" s="46">
        <v>0</v>
      </c>
      <c r="L508" s="46">
        <v>0</v>
      </c>
      <c r="M508" s="46">
        <f>IFERROR(J508-K508-L508,0)</f>
        <v>1513810</v>
      </c>
      <c r="N508" s="46">
        <v>1457808</v>
      </c>
      <c r="O508" s="48">
        <f>IFERROR(IF(1 - M508/N508&lt;0,0,1-M508/N508),0)</f>
        <v>0</v>
      </c>
      <c r="P508" s="46">
        <v>1513810</v>
      </c>
      <c r="Q508" s="46">
        <v>0</v>
      </c>
      <c r="R508" s="49">
        <f>IF(F508&lt;DATEVALUE("2018-07-01"),1,0)</f>
        <v>0</v>
      </c>
      <c r="S508" s="50">
        <f>IF(R508=1,1%,0)</f>
        <v>0</v>
      </c>
      <c r="T508" s="49">
        <f>IFERROR(S508*M508,0)</f>
        <v>0</v>
      </c>
      <c r="U508" s="51">
        <f>IF(O508&lt;=0.12,1,0)*(1-R508)*M508</f>
        <v>1513810</v>
      </c>
      <c r="V508" s="52">
        <f>IF(0&lt;0.8,0,IF(0&lt;1,Sheet3!L502,1))*IF(G508&lt;3,0.12 - O508,0.01) *U508</f>
        <v>0</v>
      </c>
      <c r="W508" s="52">
        <f>IF(0&gt;1,IF(0&lt;=1.1,1,IF(0&lt;=1.2,2,IF(0&lt;=1.5,3,5))),0) * 1000000</f>
        <v>0</v>
      </c>
      <c r="X508" s="53">
        <f>IF(AND(P508&gt;=150000000,P508&lt;300000000),5000000,IF(AND(P508&gt;=300000000,P508&lt;500000000),10000000,IF(AND(P508&gt;=300000000,P508&lt;500000000),15000000,IF(AND(P508&gt;=500000000,P508&lt;3000000000),20000000,IF(P508&gt;=30000000000,35000000,0))))) * (1-R508)</f>
        <v>0</v>
      </c>
      <c r="Y508" s="53">
        <f>IFERROR(Q508 * (1-R508),0)</f>
        <v>0</v>
      </c>
      <c r="Z508" s="54">
        <f>IF(R508=1,0,0)</f>
        <v>0</v>
      </c>
      <c r="AA508" s="54">
        <f>IFERROR((1-R508) * Z508 * 2%,0)</f>
        <v>0</v>
      </c>
      <c r="AB508" s="55">
        <f>IF(R508=0,0,0)</f>
        <v>0</v>
      </c>
      <c r="AC508" s="55">
        <f>IFERROR(AB508 * (1-R508) * 2%,0)</f>
        <v>0</v>
      </c>
      <c r="AD508" s="56">
        <f>T508+V508+W508+X508+AA508+AC508</f>
        <v>0</v>
      </c>
    </row>
    <row r="509" spans="2:30" ht="23.25" customHeight="1">
      <c r="B509" s="9" t="s">
        <v>5</v>
      </c>
      <c r="C509" s="10" t="s">
        <v>6</v>
      </c>
      <c r="D509" s="10"/>
      <c r="E509" s="11" t="s">
        <v>7</v>
      </c>
      <c r="F509" s="11" t="s">
        <v>8</v>
      </c>
      <c r="G509" s="11" t="s">
        <v>9</v>
      </c>
      <c r="H509" s="11" t="s">
        <v>10</v>
      </c>
      <c r="I509" s="11" t="s">
        <v>11</v>
      </c>
      <c r="J509" s="11" t="s">
        <v>12</v>
      </c>
      <c r="K509" s="11" t="s">
        <v>13</v>
      </c>
      <c r="L509" s="11" t="s">
        <v>14</v>
      </c>
      <c r="M509" s="11" t="s">
        <v>15</v>
      </c>
      <c r="N509" s="11" t="s">
        <v>16</v>
      </c>
      <c r="O509" s="11" t="s">
        <v>17</v>
      </c>
      <c r="P509" s="12" t="s">
        <v>18</v>
      </c>
      <c r="Q509" s="11" t="s">
        <v>19</v>
      </c>
      <c r="R509" s="11"/>
      <c r="S509" s="10" t="s">
        <v>20</v>
      </c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3"/>
    </row>
    <row r="510" spans="2:30">
      <c r="B510" s="14" t="s">
        <v>930</v>
      </c>
      <c r="C510" s="15" t="str">
        <f>"Nguyễn"&amp;" " &amp; "Hoàng Yến Vy"</f>
        <v>Nguyễn Hoàng Yến Vy</v>
      </c>
      <c r="D510" s="15"/>
      <c r="E510" s="16" t="s">
        <v>314</v>
      </c>
      <c r="F510" s="16" t="s">
        <v>134</v>
      </c>
      <c r="G510" s="17" t="s">
        <v>133</v>
      </c>
      <c r="H510" s="16" t="s">
        <v>388</v>
      </c>
      <c r="I510" s="18">
        <v>0</v>
      </c>
      <c r="J510" s="19">
        <v>42000000</v>
      </c>
      <c r="K510" s="19">
        <f>IFERROR(IF(N510&lt;4,Q510,SUM(#VALUE!)),0)</f>
        <v>0</v>
      </c>
      <c r="L510" s="20">
        <f>IFERROR(K510/J510,0)</f>
        <v>0</v>
      </c>
      <c r="M510" s="19">
        <f>IFERROR(IF(OR(N510=3,N510=4),SUM(#VALUE!)+AD510,IF(N510=1,0.6%,IF(N510=2,0.65%,IF(N510=3,0.6%,0)))*IF(L510&lt;0.8,0,IF(L510&lt;1,L510,1))*IF(RIGHT("2018-09",2)="03",1,0)),0)</f>
        <v>0</v>
      </c>
      <c r="N510" s="19">
        <v>4</v>
      </c>
      <c r="O510" s="18">
        <f>IF(N510=4,0.5%,IF(N510=5,0.3%,0))</f>
        <v>5.0000000000000001E-3</v>
      </c>
      <c r="P510" s="21">
        <f>IFERROR(SUM(#VALUE!),0)</f>
        <v>0</v>
      </c>
      <c r="Q510" s="19">
        <f>SUMIF($G:$G,B510,$K:$K)</f>
        <v>0</v>
      </c>
      <c r="R510" s="22"/>
      <c r="S510" s="23" t="s">
        <v>26</v>
      </c>
      <c r="T510" s="23"/>
      <c r="U510" s="24" t="s">
        <v>27</v>
      </c>
      <c r="V510" s="24"/>
      <c r="W510" s="24"/>
      <c r="X510" s="25" t="s">
        <v>28</v>
      </c>
      <c r="Y510" s="25"/>
      <c r="Z510" s="26" t="s">
        <v>29</v>
      </c>
      <c r="AA510" s="26"/>
      <c r="AB510" s="27" t="s">
        <v>30</v>
      </c>
      <c r="AC510" s="27"/>
      <c r="AD510" s="28">
        <f>IF(IFERROR(SUM(#VALUE!)*O510,0)&gt;2000000,2000000,IFERROR(SUM(#VALUE!)*O510,0))</f>
        <v>0</v>
      </c>
    </row>
    <row r="511" spans="2:30" ht="25.5">
      <c r="C511" s="29" t="s">
        <v>31</v>
      </c>
      <c r="D511" s="30" t="s">
        <v>32</v>
      </c>
      <c r="E511" s="30"/>
      <c r="F511" s="31" t="s">
        <v>33</v>
      </c>
      <c r="G511" s="31" t="s">
        <v>34</v>
      </c>
      <c r="H511" s="32" t="s">
        <v>35</v>
      </c>
      <c r="I511" s="32" t="s">
        <v>36</v>
      </c>
      <c r="J511" s="31" t="s">
        <v>37</v>
      </c>
      <c r="K511" s="31" t="s">
        <v>38</v>
      </c>
      <c r="L511" s="31" t="s">
        <v>39</v>
      </c>
      <c r="M511" s="31" t="s">
        <v>40</v>
      </c>
      <c r="N511" s="31" t="s">
        <v>41</v>
      </c>
      <c r="O511" s="33" t="s">
        <v>42</v>
      </c>
      <c r="P511" s="32" t="s">
        <v>43</v>
      </c>
      <c r="Q511" s="32" t="s">
        <v>44</v>
      </c>
      <c r="R511" s="34" t="s">
        <v>45</v>
      </c>
      <c r="S511" s="34" t="s">
        <v>46</v>
      </c>
      <c r="T511" s="34" t="s">
        <v>47</v>
      </c>
      <c r="U511" s="35" t="s">
        <v>48</v>
      </c>
      <c r="V511" s="36" t="s">
        <v>47</v>
      </c>
      <c r="W511" s="36" t="s">
        <v>49</v>
      </c>
      <c r="X511" s="37" t="s">
        <v>50</v>
      </c>
      <c r="Y511" s="37" t="s">
        <v>51</v>
      </c>
      <c r="Z511" s="38" t="s">
        <v>48</v>
      </c>
      <c r="AA511" s="39" t="s">
        <v>47</v>
      </c>
      <c r="AB511" s="40" t="s">
        <v>48</v>
      </c>
      <c r="AC511" s="41" t="s">
        <v>47</v>
      </c>
      <c r="AD511" s="42" t="s">
        <v>52</v>
      </c>
    </row>
    <row r="512" spans="2:30" ht="23.25" customHeight="1">
      <c r="B512" s="9" t="s">
        <v>5</v>
      </c>
      <c r="C512" s="10" t="s">
        <v>6</v>
      </c>
      <c r="D512" s="10"/>
      <c r="E512" s="11" t="s">
        <v>7</v>
      </c>
      <c r="F512" s="11" t="s">
        <v>8</v>
      </c>
      <c r="G512" s="11" t="s">
        <v>9</v>
      </c>
      <c r="H512" s="11" t="s">
        <v>10</v>
      </c>
      <c r="I512" s="11" t="s">
        <v>11</v>
      </c>
      <c r="J512" s="11" t="s">
        <v>12</v>
      </c>
      <c r="K512" s="11" t="s">
        <v>13</v>
      </c>
      <c r="L512" s="11" t="s">
        <v>14</v>
      </c>
      <c r="M512" s="11" t="s">
        <v>15</v>
      </c>
      <c r="N512" s="11" t="s">
        <v>16</v>
      </c>
      <c r="O512" s="11" t="s">
        <v>17</v>
      </c>
      <c r="P512" s="12" t="s">
        <v>18</v>
      </c>
      <c r="Q512" s="11" t="s">
        <v>19</v>
      </c>
      <c r="R512" s="11"/>
      <c r="S512" s="10" t="s">
        <v>20</v>
      </c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3"/>
    </row>
    <row r="513" spans="2:30">
      <c r="B513" s="14" t="s">
        <v>931</v>
      </c>
      <c r="C513" s="15" t="str">
        <f>"Huỳnh"&amp;" " &amp; "Nghiệp Thạnh"</f>
        <v>Huỳnh Nghiệp Thạnh</v>
      </c>
      <c r="D513" s="15"/>
      <c r="E513" s="16" t="s">
        <v>314</v>
      </c>
      <c r="F513" s="16" t="s">
        <v>385</v>
      </c>
      <c r="G513" s="17" t="s">
        <v>127</v>
      </c>
      <c r="H513" s="16" t="s">
        <v>386</v>
      </c>
      <c r="I513" s="18">
        <v>0</v>
      </c>
      <c r="J513" s="19">
        <v>30000000</v>
      </c>
      <c r="K513" s="19">
        <f>IFERROR(IF(N513&lt;4,Q513,SUM(#VALUE!)),0)</f>
        <v>0</v>
      </c>
      <c r="L513" s="20">
        <f>IFERROR(K513/J513,0)</f>
        <v>0</v>
      </c>
      <c r="M513" s="19">
        <f>IFERROR(IF(OR(N513=3,N513=4),SUM(#VALUE!)+AD513,IF(N513=1,0.6%,IF(N513=2,0.65%,IF(N513=3,0.6%,0)))*IF(L513&lt;0.8,0,IF(L513&lt;1,L513,1))*IF(RIGHT("2018-09",2)="03",1,0)),0)</f>
        <v>0</v>
      </c>
      <c r="N513" s="19">
        <v>4</v>
      </c>
      <c r="O513" s="18">
        <f>IF(N513=4,0.5%,IF(N513=5,0.3%,0))</f>
        <v>5.0000000000000001E-3</v>
      </c>
      <c r="P513" s="21">
        <f>IFERROR(SUM(#VALUE!),0)</f>
        <v>0</v>
      </c>
      <c r="Q513" s="19">
        <f>SUMIF($G:$G,B513,$K:$K)</f>
        <v>0</v>
      </c>
      <c r="R513" s="22"/>
      <c r="S513" s="23" t="s">
        <v>26</v>
      </c>
      <c r="T513" s="23"/>
      <c r="U513" s="24" t="s">
        <v>27</v>
      </c>
      <c r="V513" s="24"/>
      <c r="W513" s="24"/>
      <c r="X513" s="25" t="s">
        <v>28</v>
      </c>
      <c r="Y513" s="25"/>
      <c r="Z513" s="26" t="s">
        <v>29</v>
      </c>
      <c r="AA513" s="26"/>
      <c r="AB513" s="27" t="s">
        <v>30</v>
      </c>
      <c r="AC513" s="27"/>
      <c r="AD513" s="28">
        <f>IF(IFERROR(SUM(#VALUE!)*O513,0)&gt;2000000,2000000,IFERROR(SUM(#VALUE!)*O513,0))</f>
        <v>0</v>
      </c>
    </row>
    <row r="514" spans="2:30" ht="25.5">
      <c r="C514" s="29" t="s">
        <v>31</v>
      </c>
      <c r="D514" s="30" t="s">
        <v>32</v>
      </c>
      <c r="E514" s="30"/>
      <c r="F514" s="31" t="s">
        <v>33</v>
      </c>
      <c r="G514" s="31" t="s">
        <v>34</v>
      </c>
      <c r="H514" s="32" t="s">
        <v>35</v>
      </c>
      <c r="I514" s="32" t="s">
        <v>36</v>
      </c>
      <c r="J514" s="31" t="s">
        <v>37</v>
      </c>
      <c r="K514" s="31" t="s">
        <v>38</v>
      </c>
      <c r="L514" s="31" t="s">
        <v>39</v>
      </c>
      <c r="M514" s="31" t="s">
        <v>40</v>
      </c>
      <c r="N514" s="31" t="s">
        <v>41</v>
      </c>
      <c r="O514" s="33" t="s">
        <v>42</v>
      </c>
      <c r="P514" s="32" t="s">
        <v>43</v>
      </c>
      <c r="Q514" s="32" t="s">
        <v>44</v>
      </c>
      <c r="R514" s="34" t="s">
        <v>45</v>
      </c>
      <c r="S514" s="34" t="s">
        <v>46</v>
      </c>
      <c r="T514" s="34" t="s">
        <v>47</v>
      </c>
      <c r="U514" s="35" t="s">
        <v>48</v>
      </c>
      <c r="V514" s="36" t="s">
        <v>47</v>
      </c>
      <c r="W514" s="36" t="s">
        <v>49</v>
      </c>
      <c r="X514" s="37" t="s">
        <v>50</v>
      </c>
      <c r="Y514" s="37" t="s">
        <v>51</v>
      </c>
      <c r="Z514" s="38" t="s">
        <v>48</v>
      </c>
      <c r="AA514" s="39" t="s">
        <v>47</v>
      </c>
      <c r="AB514" s="40" t="s">
        <v>48</v>
      </c>
      <c r="AC514" s="41" t="s">
        <v>47</v>
      </c>
      <c r="AD514" s="42" t="s">
        <v>52</v>
      </c>
    </row>
    <row r="515" spans="2:30" ht="23.25" customHeight="1">
      <c r="B515" s="9" t="s">
        <v>5</v>
      </c>
      <c r="C515" s="10" t="s">
        <v>6</v>
      </c>
      <c r="D515" s="10"/>
      <c r="E515" s="11" t="s">
        <v>7</v>
      </c>
      <c r="F515" s="11" t="s">
        <v>8</v>
      </c>
      <c r="G515" s="11" t="s">
        <v>9</v>
      </c>
      <c r="H515" s="11" t="s">
        <v>10</v>
      </c>
      <c r="I515" s="11" t="s">
        <v>11</v>
      </c>
      <c r="J515" s="11" t="s">
        <v>12</v>
      </c>
      <c r="K515" s="11" t="s">
        <v>13</v>
      </c>
      <c r="L515" s="11" t="s">
        <v>14</v>
      </c>
      <c r="M515" s="11" t="s">
        <v>15</v>
      </c>
      <c r="N515" s="11" t="s">
        <v>16</v>
      </c>
      <c r="O515" s="11" t="s">
        <v>17</v>
      </c>
      <c r="P515" s="12" t="s">
        <v>18</v>
      </c>
      <c r="Q515" s="11" t="s">
        <v>19</v>
      </c>
      <c r="R515" s="11"/>
      <c r="S515" s="10" t="s">
        <v>20</v>
      </c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3"/>
    </row>
    <row r="516" spans="2:30">
      <c r="B516" s="14" t="s">
        <v>932</v>
      </c>
      <c r="C516" s="15" t="str">
        <f>"Tran"&amp;" " &amp; "Huu Loc"</f>
        <v>Tran Huu Loc</v>
      </c>
      <c r="D516" s="15"/>
      <c r="E516" s="16" t="s">
        <v>314</v>
      </c>
      <c r="F516" s="16" t="s">
        <v>134</v>
      </c>
      <c r="G516" s="17" t="s">
        <v>133</v>
      </c>
      <c r="H516" s="16" t="s">
        <v>388</v>
      </c>
      <c r="I516" s="18">
        <v>0</v>
      </c>
      <c r="J516" s="19">
        <v>42000000</v>
      </c>
      <c r="K516" s="19">
        <f>IFERROR(IF(N516&lt;4,Q516,SUM(#VALUE!)),0)</f>
        <v>0</v>
      </c>
      <c r="L516" s="20">
        <f>IFERROR(K516/J516,0)</f>
        <v>0</v>
      </c>
      <c r="M516" s="19">
        <f>IFERROR(IF(OR(N516=3,N516=4),SUM(#VALUE!)+AD516,IF(N516=1,0.6%,IF(N516=2,0.65%,IF(N516=3,0.6%,0)))*IF(L516&lt;0.8,0,IF(L516&lt;1,L516,1))*IF(RIGHT("2018-09",2)="03",1,0)),0)</f>
        <v>0</v>
      </c>
      <c r="N516" s="19">
        <v>4</v>
      </c>
      <c r="O516" s="18">
        <f>IF(N516=4,0.5%,IF(N516=5,0.3%,0))</f>
        <v>5.0000000000000001E-3</v>
      </c>
      <c r="P516" s="21">
        <f>IFERROR(SUM(#VALUE!),0)</f>
        <v>0</v>
      </c>
      <c r="Q516" s="19">
        <f>SUMIF($G:$G,B516,$K:$K)</f>
        <v>0</v>
      </c>
      <c r="R516" s="22"/>
      <c r="S516" s="23" t="s">
        <v>26</v>
      </c>
      <c r="T516" s="23"/>
      <c r="U516" s="24" t="s">
        <v>27</v>
      </c>
      <c r="V516" s="24"/>
      <c r="W516" s="24"/>
      <c r="X516" s="25" t="s">
        <v>28</v>
      </c>
      <c r="Y516" s="25"/>
      <c r="Z516" s="26" t="s">
        <v>29</v>
      </c>
      <c r="AA516" s="26"/>
      <c r="AB516" s="27" t="s">
        <v>30</v>
      </c>
      <c r="AC516" s="27"/>
      <c r="AD516" s="28">
        <f>IF(IFERROR(SUM(#VALUE!)*O516,0)&gt;2000000,2000000,IFERROR(SUM(#VALUE!)*O516,0))</f>
        <v>0</v>
      </c>
    </row>
    <row r="517" spans="2:30" ht="25.5">
      <c r="C517" s="29" t="s">
        <v>31</v>
      </c>
      <c r="D517" s="30" t="s">
        <v>32</v>
      </c>
      <c r="E517" s="30"/>
      <c r="F517" s="31" t="s">
        <v>33</v>
      </c>
      <c r="G517" s="31" t="s">
        <v>34</v>
      </c>
      <c r="H517" s="32" t="s">
        <v>35</v>
      </c>
      <c r="I517" s="32" t="s">
        <v>36</v>
      </c>
      <c r="J517" s="31" t="s">
        <v>37</v>
      </c>
      <c r="K517" s="31" t="s">
        <v>38</v>
      </c>
      <c r="L517" s="31" t="s">
        <v>39</v>
      </c>
      <c r="M517" s="31" t="s">
        <v>40</v>
      </c>
      <c r="N517" s="31" t="s">
        <v>41</v>
      </c>
      <c r="O517" s="33" t="s">
        <v>42</v>
      </c>
      <c r="P517" s="32" t="s">
        <v>43</v>
      </c>
      <c r="Q517" s="32" t="s">
        <v>44</v>
      </c>
      <c r="R517" s="34" t="s">
        <v>45</v>
      </c>
      <c r="S517" s="34" t="s">
        <v>46</v>
      </c>
      <c r="T517" s="34" t="s">
        <v>47</v>
      </c>
      <c r="U517" s="35" t="s">
        <v>48</v>
      </c>
      <c r="V517" s="36" t="s">
        <v>47</v>
      </c>
      <c r="W517" s="36" t="s">
        <v>49</v>
      </c>
      <c r="X517" s="37" t="s">
        <v>50</v>
      </c>
      <c r="Y517" s="37" t="s">
        <v>51</v>
      </c>
      <c r="Z517" s="38" t="s">
        <v>48</v>
      </c>
      <c r="AA517" s="39" t="s">
        <v>47</v>
      </c>
      <c r="AB517" s="40" t="s">
        <v>48</v>
      </c>
      <c r="AC517" s="41" t="s">
        <v>47</v>
      </c>
      <c r="AD517" s="42" t="s">
        <v>52</v>
      </c>
    </row>
    <row r="518" spans="2:30" ht="23.25" customHeight="1">
      <c r="B518" s="9" t="s">
        <v>5</v>
      </c>
      <c r="C518" s="10" t="s">
        <v>6</v>
      </c>
      <c r="D518" s="10"/>
      <c r="E518" s="11" t="s">
        <v>7</v>
      </c>
      <c r="F518" s="11" t="s">
        <v>8</v>
      </c>
      <c r="G518" s="11" t="s">
        <v>9</v>
      </c>
      <c r="H518" s="11" t="s">
        <v>10</v>
      </c>
      <c r="I518" s="11" t="s">
        <v>11</v>
      </c>
      <c r="J518" s="11" t="s">
        <v>12</v>
      </c>
      <c r="K518" s="11" t="s">
        <v>13</v>
      </c>
      <c r="L518" s="11" t="s">
        <v>14</v>
      </c>
      <c r="M518" s="11" t="s">
        <v>15</v>
      </c>
      <c r="N518" s="11" t="s">
        <v>16</v>
      </c>
      <c r="O518" s="11" t="s">
        <v>17</v>
      </c>
      <c r="P518" s="12" t="s">
        <v>18</v>
      </c>
      <c r="Q518" s="11" t="s">
        <v>19</v>
      </c>
      <c r="R518" s="11"/>
      <c r="S518" s="10" t="s">
        <v>20</v>
      </c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3"/>
    </row>
    <row r="519" spans="2:30">
      <c r="B519" s="14" t="s">
        <v>933</v>
      </c>
      <c r="C519" s="15" t="str">
        <f>"Hà"&amp;" " &amp; "Văn Thức"</f>
        <v>Hà Văn Thức</v>
      </c>
      <c r="D519" s="15"/>
      <c r="E519" s="16" t="s">
        <v>314</v>
      </c>
      <c r="F519" s="16" t="s">
        <v>385</v>
      </c>
      <c r="G519" s="17" t="s">
        <v>127</v>
      </c>
      <c r="H519" s="16" t="s">
        <v>386</v>
      </c>
      <c r="I519" s="18">
        <v>0</v>
      </c>
      <c r="J519" s="19">
        <v>30000000</v>
      </c>
      <c r="K519" s="19">
        <f>IFERROR(IF(N519&lt;4,Q519,SUM(#VALUE!)),0)</f>
        <v>0</v>
      </c>
      <c r="L519" s="20">
        <f>IFERROR(K519/J519,0)</f>
        <v>0</v>
      </c>
      <c r="M519" s="19">
        <f>IFERROR(IF(OR(N519=3,N519=4),SUM(#VALUE!)+AD519,IF(N519=1,0.6%,IF(N519=2,0.65%,IF(N519=3,0.6%,0)))*IF(L519&lt;0.8,0,IF(L519&lt;1,L519,1))*IF(RIGHT("2018-09",2)="03",1,0)),0)</f>
        <v>0</v>
      </c>
      <c r="N519" s="19">
        <v>4</v>
      </c>
      <c r="O519" s="18">
        <f>IF(N519=4,0.5%,IF(N519=5,0.3%,0))</f>
        <v>5.0000000000000001E-3</v>
      </c>
      <c r="P519" s="21">
        <f>IFERROR(SUM(#VALUE!),0)</f>
        <v>0</v>
      </c>
      <c r="Q519" s="19">
        <f>SUMIF($G:$G,B519,$K:$K)</f>
        <v>0</v>
      </c>
      <c r="R519" s="22"/>
      <c r="S519" s="23" t="s">
        <v>26</v>
      </c>
      <c r="T519" s="23"/>
      <c r="U519" s="24" t="s">
        <v>27</v>
      </c>
      <c r="V519" s="24"/>
      <c r="W519" s="24"/>
      <c r="X519" s="25" t="s">
        <v>28</v>
      </c>
      <c r="Y519" s="25"/>
      <c r="Z519" s="26" t="s">
        <v>29</v>
      </c>
      <c r="AA519" s="26"/>
      <c r="AB519" s="27" t="s">
        <v>30</v>
      </c>
      <c r="AC519" s="27"/>
      <c r="AD519" s="28">
        <f>IF(IFERROR(SUM(#VALUE!)*O519,0)&gt;2000000,2000000,IFERROR(SUM(#VALUE!)*O519,0))</f>
        <v>0</v>
      </c>
    </row>
    <row r="520" spans="2:30" ht="25.5">
      <c r="C520" s="29" t="s">
        <v>31</v>
      </c>
      <c r="D520" s="30" t="s">
        <v>32</v>
      </c>
      <c r="E520" s="30"/>
      <c r="F520" s="31" t="s">
        <v>33</v>
      </c>
      <c r="G520" s="31" t="s">
        <v>34</v>
      </c>
      <c r="H520" s="32" t="s">
        <v>35</v>
      </c>
      <c r="I520" s="32" t="s">
        <v>36</v>
      </c>
      <c r="J520" s="31" t="s">
        <v>37</v>
      </c>
      <c r="K520" s="31" t="s">
        <v>38</v>
      </c>
      <c r="L520" s="31" t="s">
        <v>39</v>
      </c>
      <c r="M520" s="31" t="s">
        <v>40</v>
      </c>
      <c r="N520" s="31" t="s">
        <v>41</v>
      </c>
      <c r="O520" s="33" t="s">
        <v>42</v>
      </c>
      <c r="P520" s="32" t="s">
        <v>43</v>
      </c>
      <c r="Q520" s="32" t="s">
        <v>44</v>
      </c>
      <c r="R520" s="34" t="s">
        <v>45</v>
      </c>
      <c r="S520" s="34" t="s">
        <v>46</v>
      </c>
      <c r="T520" s="34" t="s">
        <v>47</v>
      </c>
      <c r="U520" s="35" t="s">
        <v>48</v>
      </c>
      <c r="V520" s="36" t="s">
        <v>47</v>
      </c>
      <c r="W520" s="36" t="s">
        <v>49</v>
      </c>
      <c r="X520" s="37" t="s">
        <v>50</v>
      </c>
      <c r="Y520" s="37" t="s">
        <v>51</v>
      </c>
      <c r="Z520" s="38" t="s">
        <v>48</v>
      </c>
      <c r="AA520" s="39" t="s">
        <v>47</v>
      </c>
      <c r="AB520" s="40" t="s">
        <v>48</v>
      </c>
      <c r="AC520" s="41" t="s">
        <v>47</v>
      </c>
      <c r="AD520" s="42" t="s">
        <v>52</v>
      </c>
    </row>
    <row r="521" spans="2:30" ht="23.25" customHeight="1">
      <c r="B521" s="9" t="s">
        <v>5</v>
      </c>
      <c r="C521" s="10" t="s">
        <v>6</v>
      </c>
      <c r="D521" s="10"/>
      <c r="E521" s="11" t="s">
        <v>7</v>
      </c>
      <c r="F521" s="11" t="s">
        <v>8</v>
      </c>
      <c r="G521" s="11" t="s">
        <v>9</v>
      </c>
      <c r="H521" s="11" t="s">
        <v>10</v>
      </c>
      <c r="I521" s="11" t="s">
        <v>11</v>
      </c>
      <c r="J521" s="11" t="s">
        <v>12</v>
      </c>
      <c r="K521" s="11" t="s">
        <v>13</v>
      </c>
      <c r="L521" s="11" t="s">
        <v>14</v>
      </c>
      <c r="M521" s="11" t="s">
        <v>15</v>
      </c>
      <c r="N521" s="11" t="s">
        <v>16</v>
      </c>
      <c r="O521" s="11" t="s">
        <v>17</v>
      </c>
      <c r="P521" s="12" t="s">
        <v>18</v>
      </c>
      <c r="Q521" s="11" t="s">
        <v>19</v>
      </c>
      <c r="R521" s="11"/>
      <c r="S521" s="10" t="s">
        <v>20</v>
      </c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3"/>
    </row>
    <row r="522" spans="2:30">
      <c r="B522" s="14" t="s">
        <v>934</v>
      </c>
      <c r="C522" s="15" t="str">
        <f>"Nguyễn"&amp;" " &amp; "Hữu Toàn"</f>
        <v>Nguyễn Hữu Toàn</v>
      </c>
      <c r="D522" s="15"/>
      <c r="E522" s="16" t="s">
        <v>314</v>
      </c>
      <c r="F522" s="16" t="s">
        <v>385</v>
      </c>
      <c r="G522" s="17" t="s">
        <v>127</v>
      </c>
      <c r="H522" s="16" t="s">
        <v>386</v>
      </c>
      <c r="I522" s="18">
        <v>0</v>
      </c>
      <c r="J522" s="19">
        <v>30000000</v>
      </c>
      <c r="K522" s="19">
        <f>IFERROR(IF(N522&lt;4,Q522,SUM(Sheet3!J524:J528)),0)</f>
        <v>46082128</v>
      </c>
      <c r="L522" s="20">
        <f>IFERROR(K522/J522,0)</f>
        <v>1.5360709333333333</v>
      </c>
      <c r="M522" s="19">
        <f>IFERROR(IF(OR(N522=3,N522=4),SUM(Sheet3!AD524:AD528)+AD522,IF(N522=1,0.6%,IF(N522=2,0.65%,IF(N522=3,0.6%,0)))*IF(L522&lt;0.8,0,IF(L522&lt;1,L522,1))*IF(RIGHT("2018-09",2)="03",1,0)),0)</f>
        <v>452640.6</v>
      </c>
      <c r="N522" s="19">
        <v>4</v>
      </c>
      <c r="O522" s="18">
        <f>IF(N522=4,0.5%,IF(N522=5,0.3%,0))</f>
        <v>5.0000000000000001E-3</v>
      </c>
      <c r="P522" s="21">
        <f>IFERROR(SUM(Sheet3!P524:P528),0)</f>
        <v>0</v>
      </c>
      <c r="Q522" s="19">
        <f>SUMIF($G:$G,B522,$K:$K)</f>
        <v>0</v>
      </c>
      <c r="R522" s="22"/>
      <c r="S522" s="23" t="s">
        <v>26</v>
      </c>
      <c r="T522" s="23"/>
      <c r="U522" s="24" t="s">
        <v>27</v>
      </c>
      <c r="V522" s="24"/>
      <c r="W522" s="24"/>
      <c r="X522" s="25" t="s">
        <v>28</v>
      </c>
      <c r="Y522" s="25"/>
      <c r="Z522" s="26" t="s">
        <v>29</v>
      </c>
      <c r="AA522" s="26"/>
      <c r="AB522" s="27" t="s">
        <v>30</v>
      </c>
      <c r="AC522" s="27"/>
      <c r="AD522" s="28">
        <f>IF(IFERROR(SUM(Sheet3!Y524:Y528)*O522,0)&gt;2000000,2000000,IFERROR(SUM(Sheet3!Y524:Y528)*O522,0))</f>
        <v>0</v>
      </c>
    </row>
    <row r="523" spans="2:30" ht="25.5">
      <c r="C523" s="29" t="s">
        <v>31</v>
      </c>
      <c r="D523" s="30" t="s">
        <v>32</v>
      </c>
      <c r="E523" s="30"/>
      <c r="F523" s="31" t="s">
        <v>33</v>
      </c>
      <c r="G523" s="31" t="s">
        <v>34</v>
      </c>
      <c r="H523" s="32" t="s">
        <v>35</v>
      </c>
      <c r="I523" s="32" t="s">
        <v>36</v>
      </c>
      <c r="J523" s="31" t="s">
        <v>37</v>
      </c>
      <c r="K523" s="31" t="s">
        <v>38</v>
      </c>
      <c r="L523" s="31" t="s">
        <v>39</v>
      </c>
      <c r="M523" s="31" t="s">
        <v>40</v>
      </c>
      <c r="N523" s="31" t="s">
        <v>41</v>
      </c>
      <c r="O523" s="33" t="s">
        <v>42</v>
      </c>
      <c r="P523" s="32" t="s">
        <v>43</v>
      </c>
      <c r="Q523" s="32" t="s">
        <v>44</v>
      </c>
      <c r="R523" s="34" t="s">
        <v>45</v>
      </c>
      <c r="S523" s="34" t="s">
        <v>46</v>
      </c>
      <c r="T523" s="34" t="s">
        <v>47</v>
      </c>
      <c r="U523" s="35" t="s">
        <v>48</v>
      </c>
      <c r="V523" s="36" t="s">
        <v>47</v>
      </c>
      <c r="W523" s="36" t="s">
        <v>49</v>
      </c>
      <c r="X523" s="37" t="s">
        <v>50</v>
      </c>
      <c r="Y523" s="37" t="s">
        <v>51</v>
      </c>
      <c r="Z523" s="38" t="s">
        <v>48</v>
      </c>
      <c r="AA523" s="39" t="s">
        <v>47</v>
      </c>
      <c r="AB523" s="40" t="s">
        <v>48</v>
      </c>
      <c r="AC523" s="41" t="s">
        <v>47</v>
      </c>
      <c r="AD523" s="42" t="s">
        <v>52</v>
      </c>
    </row>
    <row r="524" spans="2:30">
      <c r="C524" s="43" t="s">
        <v>935</v>
      </c>
      <c r="D524" s="44" t="s">
        <v>936</v>
      </c>
      <c r="E524" s="44"/>
      <c r="F524" s="45">
        <v>41450.412511574075</v>
      </c>
      <c r="G524" s="46">
        <v>63</v>
      </c>
      <c r="H524" s="47">
        <v>43395</v>
      </c>
      <c r="I524" s="47">
        <v>43395</v>
      </c>
      <c r="J524" s="46">
        <v>6202019</v>
      </c>
      <c r="K524" s="46">
        <v>818068</v>
      </c>
      <c r="L524" s="46">
        <v>0</v>
      </c>
      <c r="M524" s="46">
        <f>IFERROR(J524-K524-L524,0)</f>
        <v>5383951</v>
      </c>
      <c r="N524" s="46">
        <v>5932795</v>
      </c>
      <c r="O524" s="48">
        <f>IFERROR(IF(1 - M524/N524&lt;0,0,1-M524/N524),0)</f>
        <v>9.2510191233642791E-2</v>
      </c>
      <c r="P524" s="46">
        <v>0</v>
      </c>
      <c r="Q524" s="46">
        <v>6202019</v>
      </c>
      <c r="R524" s="49">
        <f>IF(F524&lt;DATEVALUE("2018-07-01"),1,0)</f>
        <v>1</v>
      </c>
      <c r="S524" s="50">
        <f>IF(R524=1,1%,0)</f>
        <v>0.01</v>
      </c>
      <c r="T524" s="49">
        <f>IFERROR(S524*M524,0)</f>
        <v>53839.51</v>
      </c>
      <c r="U524" s="51">
        <f>IF(O524&lt;=0.12,1,0)*(1-R524)*M524</f>
        <v>0</v>
      </c>
      <c r="V524" s="52">
        <f>IF(0&lt;0.8,0,IF(0&lt;1,Sheet3!L522,1))*IF(G524&lt;3,0.12 - O524,0.01) *U524</f>
        <v>0</v>
      </c>
      <c r="W524" s="52">
        <f>IF(0&gt;1,IF(0&lt;=1.1,1,IF(0&lt;=1.2,2,IF(0&lt;=1.5,3,5))),0) * 1000000</f>
        <v>0</v>
      </c>
      <c r="X524" s="53">
        <f>IF(AND(P524&gt;=150000000,P524&lt;300000000),5000000,IF(AND(P524&gt;=300000000,P524&lt;500000000),10000000,IF(AND(P524&gt;=300000000,P524&lt;500000000),15000000,IF(AND(P524&gt;=500000000,P524&lt;3000000000),20000000,IF(P524&gt;=30000000000,35000000,0))))) * (1-R524)</f>
        <v>0</v>
      </c>
      <c r="Y524" s="53">
        <f>IFERROR(Q524 * (1-R524),0)</f>
        <v>0</v>
      </c>
      <c r="Z524" s="54">
        <f>IF(R524=1,0,0)</f>
        <v>0</v>
      </c>
      <c r="AA524" s="54">
        <f>IFERROR((1-R524) * Z524 * 2%,0)</f>
        <v>0</v>
      </c>
      <c r="AB524" s="55">
        <f>IF(R524=0,0,0)</f>
        <v>0</v>
      </c>
      <c r="AC524" s="55">
        <f>IFERROR(AB524 * (1-R524) * 2%,0)</f>
        <v>0</v>
      </c>
      <c r="AD524" s="56">
        <f>T524+V524+W524+X524+AA524+AC524</f>
        <v>53839.51</v>
      </c>
    </row>
    <row r="525" spans="2:30">
      <c r="C525" s="43" t="s">
        <v>937</v>
      </c>
      <c r="D525" s="44" t="s">
        <v>938</v>
      </c>
      <c r="E525" s="44"/>
      <c r="F525" s="45">
        <v>41799.640185185184</v>
      </c>
      <c r="G525" s="46">
        <v>51</v>
      </c>
      <c r="H525" s="47">
        <v>43389</v>
      </c>
      <c r="I525" s="47">
        <v>43434</v>
      </c>
      <c r="J525" s="46">
        <v>37711266</v>
      </c>
      <c r="K525" s="46">
        <v>0</v>
      </c>
      <c r="L525" s="46">
        <v>0</v>
      </c>
      <c r="M525" s="46">
        <f>IFERROR(J525-K525-L525,0)</f>
        <v>37711266</v>
      </c>
      <c r="N525" s="46">
        <v>41413502</v>
      </c>
      <c r="O525" s="48">
        <f>IFERROR(IF(1 - M525/N525&lt;0,0,1-M525/N525),0)</f>
        <v>8.9396834877668585E-2</v>
      </c>
      <c r="P525" s="46">
        <v>0</v>
      </c>
      <c r="Q525" s="46">
        <v>37711266</v>
      </c>
      <c r="R525" s="49">
        <f>IF(F525&lt;DATEVALUE("2018-07-01"),1,0)</f>
        <v>1</v>
      </c>
      <c r="S525" s="50">
        <f>IF(R525=1,1%,0)</f>
        <v>0.01</v>
      </c>
      <c r="T525" s="49">
        <f>IFERROR(S525*M525,0)</f>
        <v>377112.66000000003</v>
      </c>
      <c r="U525" s="51">
        <f>IF(O525&lt;=0.12,1,0)*(1-R525)*M525</f>
        <v>0</v>
      </c>
      <c r="V525" s="52">
        <f>IF(0&lt;0.8,0,IF(0&lt;1,Sheet3!L522,1))*IF(G525&lt;3,0.12 - O525,0.01) *U525</f>
        <v>0</v>
      </c>
      <c r="W525" s="52">
        <f>IF(0&gt;1,IF(0&lt;=1.1,1,IF(0&lt;=1.2,2,IF(0&lt;=1.5,3,5))),0) * 1000000</f>
        <v>0</v>
      </c>
      <c r="X525" s="53">
        <f>IF(AND(P525&gt;=150000000,P525&lt;300000000),5000000,IF(AND(P525&gt;=300000000,P525&lt;500000000),10000000,IF(AND(P525&gt;=300000000,P525&lt;500000000),15000000,IF(AND(P525&gt;=500000000,P525&lt;3000000000),20000000,IF(P525&gt;=30000000000,35000000,0))))) * (1-R525)</f>
        <v>0</v>
      </c>
      <c r="Y525" s="53">
        <f>IFERROR(Q525 * (1-R525),0)</f>
        <v>0</v>
      </c>
      <c r="Z525" s="54">
        <f>IF(R525=1,0,0)</f>
        <v>0</v>
      </c>
      <c r="AA525" s="54">
        <f>IFERROR((1-R525) * Z525 * 2%,0)</f>
        <v>0</v>
      </c>
      <c r="AB525" s="55">
        <f>IF(R525=0,0,0)</f>
        <v>0</v>
      </c>
      <c r="AC525" s="55">
        <f>IFERROR(AB525 * (1-R525) * 2%,0)</f>
        <v>0</v>
      </c>
      <c r="AD525" s="56">
        <f>T525+V525+W525+X525+AA525+AC525</f>
        <v>377112.66000000003</v>
      </c>
    </row>
    <row r="526" spans="2:30">
      <c r="C526" s="43" t="s">
        <v>939</v>
      </c>
      <c r="D526" s="44" t="s">
        <v>940</v>
      </c>
      <c r="E526" s="44"/>
      <c r="F526" s="45">
        <v>42509.098414351851</v>
      </c>
      <c r="G526" s="46">
        <v>28</v>
      </c>
      <c r="H526" s="47">
        <v>43399</v>
      </c>
      <c r="I526" s="47">
        <v>43434</v>
      </c>
      <c r="J526" s="46">
        <v>1253961</v>
      </c>
      <c r="K526" s="46">
        <v>0</v>
      </c>
      <c r="L526" s="46">
        <v>0</v>
      </c>
      <c r="M526" s="46">
        <f>IFERROR(J526-K526-L526,0)</f>
        <v>1253961</v>
      </c>
      <c r="N526" s="46">
        <v>1133977</v>
      </c>
      <c r="O526" s="48">
        <f>IFERROR(IF(1 - M526/N526&lt;0,0,1-M526/N526),0)</f>
        <v>0</v>
      </c>
      <c r="P526" s="46">
        <v>0</v>
      </c>
      <c r="Q526" s="46">
        <v>1253961</v>
      </c>
      <c r="R526" s="49">
        <f>IF(F526&lt;DATEVALUE("2018-07-01"),1,0)</f>
        <v>1</v>
      </c>
      <c r="S526" s="50">
        <f>IF(R526=1,1%,0)</f>
        <v>0.01</v>
      </c>
      <c r="T526" s="49">
        <f>IFERROR(S526*M526,0)</f>
        <v>12539.61</v>
      </c>
      <c r="U526" s="51">
        <f>IF(O526&lt;=0.12,1,0)*(1-R526)*M526</f>
        <v>0</v>
      </c>
      <c r="V526" s="52">
        <f>IF(0&lt;0.8,0,IF(0&lt;1,Sheet3!L522,1))*IF(G526&lt;3,0.12 - O526,0.01) *U526</f>
        <v>0</v>
      </c>
      <c r="W526" s="52">
        <f>IF(0&gt;1,IF(0&lt;=1.1,1,IF(0&lt;=1.2,2,IF(0&lt;=1.5,3,5))),0) * 1000000</f>
        <v>0</v>
      </c>
      <c r="X526" s="53">
        <f>IF(AND(P526&gt;=150000000,P526&lt;300000000),5000000,IF(AND(P526&gt;=300000000,P526&lt;500000000),10000000,IF(AND(P526&gt;=300000000,P526&lt;500000000),15000000,IF(AND(P526&gt;=500000000,P526&lt;3000000000),20000000,IF(P526&gt;=30000000000,35000000,0))))) * (1-R526)</f>
        <v>0</v>
      </c>
      <c r="Y526" s="53">
        <f>IFERROR(Q526 * (1-R526),0)</f>
        <v>0</v>
      </c>
      <c r="Z526" s="54">
        <f>IF(R526=1,0,0)</f>
        <v>0</v>
      </c>
      <c r="AA526" s="54">
        <f>IFERROR((1-R526) * Z526 * 2%,0)</f>
        <v>0</v>
      </c>
      <c r="AB526" s="55">
        <f>IF(R526=0,0,0)</f>
        <v>0</v>
      </c>
      <c r="AC526" s="55">
        <f>IFERROR(AB526 * (1-R526) * 2%,0)</f>
        <v>0</v>
      </c>
      <c r="AD526" s="56">
        <f>T526+V526+W526+X526+AA526+AC526</f>
        <v>12539.61</v>
      </c>
    </row>
    <row r="527" spans="2:30">
      <c r="C527" s="43" t="s">
        <v>941</v>
      </c>
      <c r="D527" s="44" t="s">
        <v>942</v>
      </c>
      <c r="E527" s="44"/>
      <c r="F527" s="45">
        <v>43006.162060185183</v>
      </c>
      <c r="G527" s="46">
        <v>12</v>
      </c>
      <c r="H527" s="47" t="s">
        <v>24</v>
      </c>
      <c r="I527" s="47" t="s">
        <v>24</v>
      </c>
      <c r="J527" s="46">
        <v>457441</v>
      </c>
      <c r="K527" s="46">
        <v>0</v>
      </c>
      <c r="L527" s="46">
        <v>0</v>
      </c>
      <c r="M527" s="46">
        <f>IFERROR(J527-K527-L527,0)</f>
        <v>457441</v>
      </c>
      <c r="N527" s="46" t="s">
        <v>24</v>
      </c>
      <c r="O527" s="48">
        <f>IFERROR(IF(1 - M527/N527&lt;0,0,1-M527/N527),0)</f>
        <v>0</v>
      </c>
      <c r="P527" s="46">
        <v>0</v>
      </c>
      <c r="Q527" s="46">
        <v>0</v>
      </c>
      <c r="R527" s="49">
        <f>IF(F527&lt;DATEVALUE("2018-07-01"),1,0)</f>
        <v>1</v>
      </c>
      <c r="S527" s="50">
        <f>IF(R527=1,1%,0)</f>
        <v>0.01</v>
      </c>
      <c r="T527" s="49">
        <f>IFERROR(S527*M527,0)</f>
        <v>4574.41</v>
      </c>
      <c r="U527" s="51">
        <f>IF(O527&lt;=0.12,1,0)*(1-R527)*M527</f>
        <v>0</v>
      </c>
      <c r="V527" s="52">
        <f>IF(0&lt;0.8,0,IF(0&lt;1,Sheet3!L522,1))*IF(G527&lt;3,0.12 - O527,0.01) *U527</f>
        <v>0</v>
      </c>
      <c r="W527" s="52">
        <f>IF(0&gt;1,IF(0&lt;=1.1,1,IF(0&lt;=1.2,2,IF(0&lt;=1.5,3,5))),0) * 1000000</f>
        <v>0</v>
      </c>
      <c r="X527" s="53">
        <f>IF(AND(P527&gt;=150000000,P527&lt;300000000),5000000,IF(AND(P527&gt;=300000000,P527&lt;500000000),10000000,IF(AND(P527&gt;=300000000,P527&lt;500000000),15000000,IF(AND(P527&gt;=500000000,P527&lt;3000000000),20000000,IF(P527&gt;=30000000000,35000000,0))))) * (1-R527)</f>
        <v>0</v>
      </c>
      <c r="Y527" s="53">
        <f>IFERROR(Q527 * (1-R527),0)</f>
        <v>0</v>
      </c>
      <c r="Z527" s="54">
        <f>IF(R527=1,0,"")</f>
        <v>0</v>
      </c>
      <c r="AA527" s="54">
        <f>IFERROR((1-R527) * Z527 * 2%,0)</f>
        <v>0</v>
      </c>
      <c r="AB527" s="55">
        <f>IF(R527=0,"",0)</f>
        <v>0</v>
      </c>
      <c r="AC527" s="55">
        <f>IFERROR(AB527 * (1-R527) * 2%,0)</f>
        <v>0</v>
      </c>
      <c r="AD527" s="56">
        <f>T527+V527+W527+X527+AA527+AC527</f>
        <v>4574.41</v>
      </c>
    </row>
    <row r="528" spans="2:30">
      <c r="C528" s="43" t="s">
        <v>941</v>
      </c>
      <c r="D528" s="44" t="s">
        <v>942</v>
      </c>
      <c r="E528" s="44"/>
      <c r="F528" s="45">
        <v>43006.162060185183</v>
      </c>
      <c r="G528" s="46">
        <v>12</v>
      </c>
      <c r="H528" s="47" t="s">
        <v>24</v>
      </c>
      <c r="I528" s="47" t="s">
        <v>24</v>
      </c>
      <c r="J528" s="46">
        <v>457441</v>
      </c>
      <c r="K528" s="46">
        <v>0</v>
      </c>
      <c r="L528" s="46">
        <v>0</v>
      </c>
      <c r="M528" s="46">
        <f>IFERROR(J528-K528-L528,0)</f>
        <v>457441</v>
      </c>
      <c r="N528" s="46" t="s">
        <v>24</v>
      </c>
      <c r="O528" s="48">
        <f>IFERROR(IF(1 - M528/N528&lt;0,0,1-M528/N528),0)</f>
        <v>0</v>
      </c>
      <c r="P528" s="46">
        <v>0</v>
      </c>
      <c r="Q528" s="46">
        <v>0</v>
      </c>
      <c r="R528" s="49">
        <f>IF(F528&lt;DATEVALUE("2018-07-01"),1,0)</f>
        <v>1</v>
      </c>
      <c r="S528" s="50">
        <f>IF(R528=1,1%,0)</f>
        <v>0.01</v>
      </c>
      <c r="T528" s="49">
        <f>IFERROR(S528*M528,0)</f>
        <v>4574.41</v>
      </c>
      <c r="U528" s="51">
        <f>IF(O528&lt;=0.12,1,0)*(1-R528)*M528</f>
        <v>0</v>
      </c>
      <c r="V528" s="52">
        <f>IF(0&lt;0.8,0,IF(0&lt;1,Sheet3!L522,1))*IF(G528&lt;3,0.12 - O528,0.01) *U528</f>
        <v>0</v>
      </c>
      <c r="W528" s="52">
        <f>IF(0&gt;1,IF(0&lt;=1.1,1,IF(0&lt;=1.2,2,IF(0&lt;=1.5,3,5))),0) * 1000000</f>
        <v>0</v>
      </c>
      <c r="X528" s="53">
        <f>IF(AND(P528&gt;=150000000,P528&lt;300000000),5000000,IF(AND(P528&gt;=300000000,P528&lt;500000000),10000000,IF(AND(P528&gt;=300000000,P528&lt;500000000),15000000,IF(AND(P528&gt;=500000000,P528&lt;3000000000),20000000,IF(P528&gt;=30000000000,35000000,0))))) * (1-R528)</f>
        <v>0</v>
      </c>
      <c r="Y528" s="53">
        <f>IFERROR(Q528 * (1-R528),0)</f>
        <v>0</v>
      </c>
      <c r="Z528" s="54">
        <f>IF(R528=1,0,"")</f>
        <v>0</v>
      </c>
      <c r="AA528" s="54">
        <f>IFERROR((1-R528) * Z528 * 2%,0)</f>
        <v>0</v>
      </c>
      <c r="AB528" s="55">
        <f>IF(R528=0,"",0)</f>
        <v>0</v>
      </c>
      <c r="AC528" s="55">
        <f>IFERROR(AB528 * (1-R528) * 2%,0)</f>
        <v>0</v>
      </c>
      <c r="AD528" s="56">
        <f>T528+V528+W528+X528+AA528+AC528</f>
        <v>4574.41</v>
      </c>
    </row>
    <row r="529" spans="2:30" ht="23.25" customHeight="1">
      <c r="B529" s="9" t="s">
        <v>5</v>
      </c>
      <c r="C529" s="10" t="s">
        <v>6</v>
      </c>
      <c r="D529" s="10"/>
      <c r="E529" s="11" t="s">
        <v>7</v>
      </c>
      <c r="F529" s="11" t="s">
        <v>8</v>
      </c>
      <c r="G529" s="11" t="s">
        <v>9</v>
      </c>
      <c r="H529" s="11" t="s">
        <v>10</v>
      </c>
      <c r="I529" s="11" t="s">
        <v>11</v>
      </c>
      <c r="J529" s="11" t="s">
        <v>12</v>
      </c>
      <c r="K529" s="11" t="s">
        <v>13</v>
      </c>
      <c r="L529" s="11" t="s">
        <v>14</v>
      </c>
      <c r="M529" s="11" t="s">
        <v>15</v>
      </c>
      <c r="N529" s="11" t="s">
        <v>16</v>
      </c>
      <c r="O529" s="11" t="s">
        <v>17</v>
      </c>
      <c r="P529" s="12" t="s">
        <v>18</v>
      </c>
      <c r="Q529" s="11" t="s">
        <v>19</v>
      </c>
      <c r="R529" s="11"/>
      <c r="S529" s="10" t="s">
        <v>20</v>
      </c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3"/>
    </row>
    <row r="530" spans="2:30">
      <c r="B530" s="14" t="s">
        <v>943</v>
      </c>
      <c r="C530" s="15" t="str">
        <f>"Lê"&amp;" " &amp; "Hồng Nghiêm"</f>
        <v>Lê Hồng Nghiêm</v>
      </c>
      <c r="D530" s="15"/>
      <c r="E530" s="16" t="s">
        <v>314</v>
      </c>
      <c r="F530" s="16" t="s">
        <v>944</v>
      </c>
      <c r="G530" s="17" t="s">
        <v>24</v>
      </c>
      <c r="H530" s="16" t="s">
        <v>945</v>
      </c>
      <c r="I530" s="18">
        <v>0</v>
      </c>
      <c r="J530" s="19">
        <v>18000000</v>
      </c>
      <c r="K530" s="19">
        <f>IFERROR(IF(N530&lt;4,Q530,SUM(#VALUE!)),0)</f>
        <v>0</v>
      </c>
      <c r="L530" s="20">
        <f>IFERROR(K530/J530,0)</f>
        <v>0</v>
      </c>
      <c r="M530" s="19">
        <f>IFERROR(IF(OR(N530=3,N530=4),SUM(#VALUE!)+AD530,IF(N530=1,0.6%,IF(N530=2,0.65%,IF(N530=3,0.6%,0)))*IF(L530&lt;0.8,0,IF(L530&lt;1,L530,1))*IF(RIGHT("2018-09",2)="03",1,0)),0)</f>
        <v>0</v>
      </c>
      <c r="N530" s="19">
        <v>4</v>
      </c>
      <c r="O530" s="18">
        <f>IF(N530=4,0.5%,IF(N530=5,0.3%,0))</f>
        <v>5.0000000000000001E-3</v>
      </c>
      <c r="P530" s="21">
        <f>IFERROR(SUM(#VALUE!),0)</f>
        <v>0</v>
      </c>
      <c r="Q530" s="19">
        <f>SUMIF($G:$G,B530,$K:$K)</f>
        <v>0</v>
      </c>
      <c r="R530" s="22"/>
      <c r="S530" s="23" t="s">
        <v>26</v>
      </c>
      <c r="T530" s="23"/>
      <c r="U530" s="24" t="s">
        <v>27</v>
      </c>
      <c r="V530" s="24"/>
      <c r="W530" s="24"/>
      <c r="X530" s="25" t="s">
        <v>28</v>
      </c>
      <c r="Y530" s="25"/>
      <c r="Z530" s="26" t="s">
        <v>29</v>
      </c>
      <c r="AA530" s="26"/>
      <c r="AB530" s="27" t="s">
        <v>30</v>
      </c>
      <c r="AC530" s="27"/>
      <c r="AD530" s="28">
        <f>IF(IFERROR(SUM(#VALUE!)*O530,0)&gt;2000000,2000000,IFERROR(SUM(#VALUE!)*O530,0))</f>
        <v>0</v>
      </c>
    </row>
    <row r="531" spans="2:30" ht="25.5">
      <c r="C531" s="29" t="s">
        <v>31</v>
      </c>
      <c r="D531" s="30" t="s">
        <v>32</v>
      </c>
      <c r="E531" s="30"/>
      <c r="F531" s="31" t="s">
        <v>33</v>
      </c>
      <c r="G531" s="31" t="s">
        <v>34</v>
      </c>
      <c r="H531" s="32" t="s">
        <v>35</v>
      </c>
      <c r="I531" s="32" t="s">
        <v>36</v>
      </c>
      <c r="J531" s="31" t="s">
        <v>37</v>
      </c>
      <c r="K531" s="31" t="s">
        <v>38</v>
      </c>
      <c r="L531" s="31" t="s">
        <v>39</v>
      </c>
      <c r="M531" s="31" t="s">
        <v>40</v>
      </c>
      <c r="N531" s="31" t="s">
        <v>41</v>
      </c>
      <c r="O531" s="33" t="s">
        <v>42</v>
      </c>
      <c r="P531" s="32" t="s">
        <v>43</v>
      </c>
      <c r="Q531" s="32" t="s">
        <v>44</v>
      </c>
      <c r="R531" s="34" t="s">
        <v>45</v>
      </c>
      <c r="S531" s="34" t="s">
        <v>46</v>
      </c>
      <c r="T531" s="34" t="s">
        <v>47</v>
      </c>
      <c r="U531" s="35" t="s">
        <v>48</v>
      </c>
      <c r="V531" s="36" t="s">
        <v>47</v>
      </c>
      <c r="W531" s="36" t="s">
        <v>49</v>
      </c>
      <c r="X531" s="37" t="s">
        <v>50</v>
      </c>
      <c r="Y531" s="37" t="s">
        <v>51</v>
      </c>
      <c r="Z531" s="38" t="s">
        <v>48</v>
      </c>
      <c r="AA531" s="39" t="s">
        <v>47</v>
      </c>
      <c r="AB531" s="40" t="s">
        <v>48</v>
      </c>
      <c r="AC531" s="41" t="s">
        <v>47</v>
      </c>
      <c r="AD531" s="42" t="s">
        <v>52</v>
      </c>
    </row>
    <row r="532" spans="2:30" ht="23.25" customHeight="1">
      <c r="B532" s="9" t="s">
        <v>5</v>
      </c>
      <c r="C532" s="10" t="s">
        <v>6</v>
      </c>
      <c r="D532" s="10"/>
      <c r="E532" s="11" t="s">
        <v>7</v>
      </c>
      <c r="F532" s="11" t="s">
        <v>8</v>
      </c>
      <c r="G532" s="11" t="s">
        <v>9</v>
      </c>
      <c r="H532" s="11" t="s">
        <v>10</v>
      </c>
      <c r="I532" s="11" t="s">
        <v>11</v>
      </c>
      <c r="J532" s="11" t="s">
        <v>12</v>
      </c>
      <c r="K532" s="11" t="s">
        <v>13</v>
      </c>
      <c r="L532" s="11" t="s">
        <v>14</v>
      </c>
      <c r="M532" s="11" t="s">
        <v>15</v>
      </c>
      <c r="N532" s="11" t="s">
        <v>16</v>
      </c>
      <c r="O532" s="11" t="s">
        <v>17</v>
      </c>
      <c r="P532" s="12" t="s">
        <v>18</v>
      </c>
      <c r="Q532" s="11" t="s">
        <v>19</v>
      </c>
      <c r="R532" s="11"/>
      <c r="S532" s="10" t="s">
        <v>20</v>
      </c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3"/>
    </row>
    <row r="533" spans="2:30">
      <c r="B533" s="14" t="s">
        <v>946</v>
      </c>
      <c r="C533" s="15" t="str">
        <f>"Ngo"&amp;" " &amp; "Phuong Trang"</f>
        <v>Ngo Phuong Trang</v>
      </c>
      <c r="D533" s="15"/>
      <c r="E533" s="16" t="s">
        <v>314</v>
      </c>
      <c r="F533" s="16" t="s">
        <v>944</v>
      </c>
      <c r="G533" s="17" t="s">
        <v>24</v>
      </c>
      <c r="H533" s="16" t="s">
        <v>945</v>
      </c>
      <c r="I533" s="18">
        <v>0</v>
      </c>
      <c r="J533" s="19">
        <v>18000000</v>
      </c>
      <c r="K533" s="19">
        <f>IFERROR(IF(N533&lt;4,Q533,SUM(#VALUE!)),0)</f>
        <v>0</v>
      </c>
      <c r="L533" s="20">
        <f>IFERROR(K533/J533,0)</f>
        <v>0</v>
      </c>
      <c r="M533" s="19">
        <f>IFERROR(IF(OR(N533=3,N533=4),SUM(#VALUE!)+AD533,IF(N533=1,0.6%,IF(N533=2,0.65%,IF(N533=3,0.6%,0)))*IF(L533&lt;0.8,0,IF(L533&lt;1,L533,1))*IF(RIGHT("2018-09",2)="03",1,0)),0)</f>
        <v>0</v>
      </c>
      <c r="N533" s="19">
        <v>4</v>
      </c>
      <c r="O533" s="18">
        <f>IF(N533=4,0.5%,IF(N533=5,0.3%,0))</f>
        <v>5.0000000000000001E-3</v>
      </c>
      <c r="P533" s="21">
        <f>IFERROR(SUM(#VALUE!),0)</f>
        <v>0</v>
      </c>
      <c r="Q533" s="19">
        <f>SUMIF($G:$G,B533,$K:$K)</f>
        <v>0</v>
      </c>
      <c r="R533" s="22"/>
      <c r="S533" s="23" t="s">
        <v>26</v>
      </c>
      <c r="T533" s="23"/>
      <c r="U533" s="24" t="s">
        <v>27</v>
      </c>
      <c r="V533" s="24"/>
      <c r="W533" s="24"/>
      <c r="X533" s="25" t="s">
        <v>28</v>
      </c>
      <c r="Y533" s="25"/>
      <c r="Z533" s="26" t="s">
        <v>29</v>
      </c>
      <c r="AA533" s="26"/>
      <c r="AB533" s="27" t="s">
        <v>30</v>
      </c>
      <c r="AC533" s="27"/>
      <c r="AD533" s="28">
        <f>IF(IFERROR(SUM(#VALUE!)*O533,0)&gt;2000000,2000000,IFERROR(SUM(#VALUE!)*O533,0))</f>
        <v>0</v>
      </c>
    </row>
    <row r="534" spans="2:30" ht="25.5">
      <c r="C534" s="29" t="s">
        <v>31</v>
      </c>
      <c r="D534" s="30" t="s">
        <v>32</v>
      </c>
      <c r="E534" s="30"/>
      <c r="F534" s="31" t="s">
        <v>33</v>
      </c>
      <c r="G534" s="31" t="s">
        <v>34</v>
      </c>
      <c r="H534" s="32" t="s">
        <v>35</v>
      </c>
      <c r="I534" s="32" t="s">
        <v>36</v>
      </c>
      <c r="J534" s="31" t="s">
        <v>37</v>
      </c>
      <c r="K534" s="31" t="s">
        <v>38</v>
      </c>
      <c r="L534" s="31" t="s">
        <v>39</v>
      </c>
      <c r="M534" s="31" t="s">
        <v>40</v>
      </c>
      <c r="N534" s="31" t="s">
        <v>41</v>
      </c>
      <c r="O534" s="33" t="s">
        <v>42</v>
      </c>
      <c r="P534" s="32" t="s">
        <v>43</v>
      </c>
      <c r="Q534" s="32" t="s">
        <v>44</v>
      </c>
      <c r="R534" s="34" t="s">
        <v>45</v>
      </c>
      <c r="S534" s="34" t="s">
        <v>46</v>
      </c>
      <c r="T534" s="34" t="s">
        <v>47</v>
      </c>
      <c r="U534" s="35" t="s">
        <v>48</v>
      </c>
      <c r="V534" s="36" t="s">
        <v>47</v>
      </c>
      <c r="W534" s="36" t="s">
        <v>49</v>
      </c>
      <c r="X534" s="37" t="s">
        <v>50</v>
      </c>
      <c r="Y534" s="37" t="s">
        <v>51</v>
      </c>
      <c r="Z534" s="38" t="s">
        <v>48</v>
      </c>
      <c r="AA534" s="39" t="s">
        <v>47</v>
      </c>
      <c r="AB534" s="40" t="s">
        <v>48</v>
      </c>
      <c r="AC534" s="41" t="s">
        <v>47</v>
      </c>
      <c r="AD534" s="42" t="s">
        <v>52</v>
      </c>
    </row>
    <row r="535" spans="2:30" ht="23.25" customHeight="1">
      <c r="B535" s="9" t="s">
        <v>5</v>
      </c>
      <c r="C535" s="10" t="s">
        <v>6</v>
      </c>
      <c r="D535" s="10"/>
      <c r="E535" s="11" t="s">
        <v>7</v>
      </c>
      <c r="F535" s="11" t="s">
        <v>8</v>
      </c>
      <c r="G535" s="11" t="s">
        <v>9</v>
      </c>
      <c r="H535" s="11" t="s">
        <v>10</v>
      </c>
      <c r="I535" s="11" t="s">
        <v>11</v>
      </c>
      <c r="J535" s="11" t="s">
        <v>12</v>
      </c>
      <c r="K535" s="11" t="s">
        <v>13</v>
      </c>
      <c r="L535" s="11" t="s">
        <v>14</v>
      </c>
      <c r="M535" s="11" t="s">
        <v>15</v>
      </c>
      <c r="N535" s="11" t="s">
        <v>16</v>
      </c>
      <c r="O535" s="11" t="s">
        <v>17</v>
      </c>
      <c r="P535" s="12" t="s">
        <v>18</v>
      </c>
      <c r="Q535" s="11" t="s">
        <v>19</v>
      </c>
      <c r="R535" s="11"/>
      <c r="S535" s="10" t="s">
        <v>20</v>
      </c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3"/>
    </row>
    <row r="536" spans="2:30">
      <c r="B536" s="14" t="s">
        <v>947</v>
      </c>
      <c r="C536" s="15" t="str">
        <f>"Trần"&amp;" " &amp; "Đình Hải Bằng"</f>
        <v>Trần Đình Hải Bằng</v>
      </c>
      <c r="D536" s="15"/>
      <c r="E536" s="16" t="s">
        <v>314</v>
      </c>
      <c r="F536" s="16" t="s">
        <v>948</v>
      </c>
      <c r="G536" s="17" t="s">
        <v>24</v>
      </c>
      <c r="H536" s="16" t="s">
        <v>949</v>
      </c>
      <c r="I536" s="18">
        <v>0</v>
      </c>
      <c r="J536" s="19">
        <v>18000000</v>
      </c>
      <c r="K536" s="19">
        <f>IFERROR(IF(N536&lt;4,Q536,SUM(#VALUE!)),0)</f>
        <v>0</v>
      </c>
      <c r="L536" s="20">
        <f>IFERROR(K536/J536,0)</f>
        <v>0</v>
      </c>
      <c r="M536" s="19">
        <f>IFERROR(IF(OR(N536=3,N536=4),SUM(#VALUE!)+AD536,IF(N536=1,0.6%,IF(N536=2,0.65%,IF(N536=3,0.6%,0)))*IF(L536&lt;0.8,0,IF(L536&lt;1,L536,1))*IF(RIGHT("2018-09",2)="03",1,0)),0)</f>
        <v>0</v>
      </c>
      <c r="N536" s="19">
        <v>4</v>
      </c>
      <c r="O536" s="18">
        <f>IF(N536=4,0.5%,IF(N536=5,0.3%,0))</f>
        <v>5.0000000000000001E-3</v>
      </c>
      <c r="P536" s="21">
        <f>IFERROR(SUM(#VALUE!),0)</f>
        <v>0</v>
      </c>
      <c r="Q536" s="19">
        <f>SUMIF($G:$G,B536,$K:$K)</f>
        <v>0</v>
      </c>
      <c r="R536" s="22"/>
      <c r="S536" s="23" t="s">
        <v>26</v>
      </c>
      <c r="T536" s="23"/>
      <c r="U536" s="24" t="s">
        <v>27</v>
      </c>
      <c r="V536" s="24"/>
      <c r="W536" s="24"/>
      <c r="X536" s="25" t="s">
        <v>28</v>
      </c>
      <c r="Y536" s="25"/>
      <c r="Z536" s="26" t="s">
        <v>29</v>
      </c>
      <c r="AA536" s="26"/>
      <c r="AB536" s="27" t="s">
        <v>30</v>
      </c>
      <c r="AC536" s="27"/>
      <c r="AD536" s="28">
        <f>IF(IFERROR(SUM(#VALUE!)*O536,0)&gt;2000000,2000000,IFERROR(SUM(#VALUE!)*O536,0))</f>
        <v>0</v>
      </c>
    </row>
    <row r="537" spans="2:30" ht="25.5">
      <c r="C537" s="29" t="s">
        <v>31</v>
      </c>
      <c r="D537" s="30" t="s">
        <v>32</v>
      </c>
      <c r="E537" s="30"/>
      <c r="F537" s="31" t="s">
        <v>33</v>
      </c>
      <c r="G537" s="31" t="s">
        <v>34</v>
      </c>
      <c r="H537" s="32" t="s">
        <v>35</v>
      </c>
      <c r="I537" s="32" t="s">
        <v>36</v>
      </c>
      <c r="J537" s="31" t="s">
        <v>37</v>
      </c>
      <c r="K537" s="31" t="s">
        <v>38</v>
      </c>
      <c r="L537" s="31" t="s">
        <v>39</v>
      </c>
      <c r="M537" s="31" t="s">
        <v>40</v>
      </c>
      <c r="N537" s="31" t="s">
        <v>41</v>
      </c>
      <c r="O537" s="33" t="s">
        <v>42</v>
      </c>
      <c r="P537" s="32" t="s">
        <v>43</v>
      </c>
      <c r="Q537" s="32" t="s">
        <v>44</v>
      </c>
      <c r="R537" s="34" t="s">
        <v>45</v>
      </c>
      <c r="S537" s="34" t="s">
        <v>46</v>
      </c>
      <c r="T537" s="34" t="s">
        <v>47</v>
      </c>
      <c r="U537" s="35" t="s">
        <v>48</v>
      </c>
      <c r="V537" s="36" t="s">
        <v>47</v>
      </c>
      <c r="W537" s="36" t="s">
        <v>49</v>
      </c>
      <c r="X537" s="37" t="s">
        <v>50</v>
      </c>
      <c r="Y537" s="37" t="s">
        <v>51</v>
      </c>
      <c r="Z537" s="38" t="s">
        <v>48</v>
      </c>
      <c r="AA537" s="39" t="s">
        <v>47</v>
      </c>
      <c r="AB537" s="40" t="s">
        <v>48</v>
      </c>
      <c r="AC537" s="41" t="s">
        <v>47</v>
      </c>
      <c r="AD537" s="42" t="s">
        <v>52</v>
      </c>
    </row>
    <row r="538" spans="2:30" ht="23.25" customHeight="1">
      <c r="B538" s="9" t="s">
        <v>5</v>
      </c>
      <c r="C538" s="10" t="s">
        <v>6</v>
      </c>
      <c r="D538" s="10"/>
      <c r="E538" s="11" t="s">
        <v>7</v>
      </c>
      <c r="F538" s="11" t="s">
        <v>8</v>
      </c>
      <c r="G538" s="11" t="s">
        <v>9</v>
      </c>
      <c r="H538" s="11" t="s">
        <v>10</v>
      </c>
      <c r="I538" s="11" t="s">
        <v>11</v>
      </c>
      <c r="J538" s="11" t="s">
        <v>12</v>
      </c>
      <c r="K538" s="11" t="s">
        <v>13</v>
      </c>
      <c r="L538" s="11" t="s">
        <v>14</v>
      </c>
      <c r="M538" s="11" t="s">
        <v>15</v>
      </c>
      <c r="N538" s="11" t="s">
        <v>16</v>
      </c>
      <c r="O538" s="11" t="s">
        <v>17</v>
      </c>
      <c r="P538" s="12" t="s">
        <v>18</v>
      </c>
      <c r="Q538" s="11" t="s">
        <v>19</v>
      </c>
      <c r="R538" s="11"/>
      <c r="S538" s="10" t="s">
        <v>20</v>
      </c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3"/>
    </row>
    <row r="539" spans="2:30">
      <c r="B539" s="14" t="s">
        <v>950</v>
      </c>
      <c r="C539" s="15" t="str">
        <f>"Nguyễn"&amp;" " &amp; "Thị Nhàn"</f>
        <v>Nguyễn Thị Nhàn</v>
      </c>
      <c r="D539" s="15"/>
      <c r="E539" s="16" t="s">
        <v>314</v>
      </c>
      <c r="F539" s="16" t="s">
        <v>948</v>
      </c>
      <c r="G539" s="17" t="s">
        <v>24</v>
      </c>
      <c r="H539" s="16" t="s">
        <v>949</v>
      </c>
      <c r="I539" s="18">
        <v>0</v>
      </c>
      <c r="J539" s="19">
        <v>18000000</v>
      </c>
      <c r="K539" s="19">
        <f>IFERROR(IF(N539&lt;4,Q539,SUM(#VALUE!)),0)</f>
        <v>0</v>
      </c>
      <c r="L539" s="20">
        <f>IFERROR(K539/J539,0)</f>
        <v>0</v>
      </c>
      <c r="M539" s="19">
        <f>IFERROR(IF(OR(N539=3,N539=4),SUM(#VALUE!)+AD539,IF(N539=1,0.6%,IF(N539=2,0.65%,IF(N539=3,0.6%,0)))*IF(L539&lt;0.8,0,IF(L539&lt;1,L539,1))*IF(RIGHT("2018-09",2)="03",1,0)),0)</f>
        <v>0</v>
      </c>
      <c r="N539" s="19">
        <v>4</v>
      </c>
      <c r="O539" s="18">
        <f>IF(N539=4,0.5%,IF(N539=5,0.3%,0))</f>
        <v>5.0000000000000001E-3</v>
      </c>
      <c r="P539" s="21">
        <f>IFERROR(SUM(#VALUE!),0)</f>
        <v>0</v>
      </c>
      <c r="Q539" s="19">
        <f>SUMIF($G:$G,B539,$K:$K)</f>
        <v>0</v>
      </c>
      <c r="R539" s="22"/>
      <c r="S539" s="23" t="s">
        <v>26</v>
      </c>
      <c r="T539" s="23"/>
      <c r="U539" s="24" t="s">
        <v>27</v>
      </c>
      <c r="V539" s="24"/>
      <c r="W539" s="24"/>
      <c r="X539" s="25" t="s">
        <v>28</v>
      </c>
      <c r="Y539" s="25"/>
      <c r="Z539" s="26" t="s">
        <v>29</v>
      </c>
      <c r="AA539" s="26"/>
      <c r="AB539" s="27" t="s">
        <v>30</v>
      </c>
      <c r="AC539" s="27"/>
      <c r="AD539" s="28">
        <f>IF(IFERROR(SUM(#VALUE!)*O539,0)&gt;2000000,2000000,IFERROR(SUM(#VALUE!)*O539,0))</f>
        <v>0</v>
      </c>
    </row>
    <row r="540" spans="2:30" ht="25.5">
      <c r="C540" s="29" t="s">
        <v>31</v>
      </c>
      <c r="D540" s="30" t="s">
        <v>32</v>
      </c>
      <c r="E540" s="30"/>
      <c r="F540" s="31" t="s">
        <v>33</v>
      </c>
      <c r="G540" s="31" t="s">
        <v>34</v>
      </c>
      <c r="H540" s="32" t="s">
        <v>35</v>
      </c>
      <c r="I540" s="32" t="s">
        <v>36</v>
      </c>
      <c r="J540" s="31" t="s">
        <v>37</v>
      </c>
      <c r="K540" s="31" t="s">
        <v>38</v>
      </c>
      <c r="L540" s="31" t="s">
        <v>39</v>
      </c>
      <c r="M540" s="31" t="s">
        <v>40</v>
      </c>
      <c r="N540" s="31" t="s">
        <v>41</v>
      </c>
      <c r="O540" s="33" t="s">
        <v>42</v>
      </c>
      <c r="P540" s="32" t="s">
        <v>43</v>
      </c>
      <c r="Q540" s="32" t="s">
        <v>44</v>
      </c>
      <c r="R540" s="34" t="s">
        <v>45</v>
      </c>
      <c r="S540" s="34" t="s">
        <v>46</v>
      </c>
      <c r="T540" s="34" t="s">
        <v>47</v>
      </c>
      <c r="U540" s="35" t="s">
        <v>48</v>
      </c>
      <c r="V540" s="36" t="s">
        <v>47</v>
      </c>
      <c r="W540" s="36" t="s">
        <v>49</v>
      </c>
      <c r="X540" s="37" t="s">
        <v>50</v>
      </c>
      <c r="Y540" s="37" t="s">
        <v>51</v>
      </c>
      <c r="Z540" s="38" t="s">
        <v>48</v>
      </c>
      <c r="AA540" s="39" t="s">
        <v>47</v>
      </c>
      <c r="AB540" s="40" t="s">
        <v>48</v>
      </c>
      <c r="AC540" s="41" t="s">
        <v>47</v>
      </c>
      <c r="AD540" s="42" t="s">
        <v>52</v>
      </c>
    </row>
    <row r="541" spans="2:30" ht="23.25" customHeight="1">
      <c r="B541" s="9" t="s">
        <v>5</v>
      </c>
      <c r="C541" s="10" t="s">
        <v>6</v>
      </c>
      <c r="D541" s="10"/>
      <c r="E541" s="11" t="s">
        <v>7</v>
      </c>
      <c r="F541" s="11" t="s">
        <v>8</v>
      </c>
      <c r="G541" s="11" t="s">
        <v>9</v>
      </c>
      <c r="H541" s="11" t="s">
        <v>10</v>
      </c>
      <c r="I541" s="11" t="s">
        <v>11</v>
      </c>
      <c r="J541" s="11" t="s">
        <v>12</v>
      </c>
      <c r="K541" s="11" t="s">
        <v>13</v>
      </c>
      <c r="L541" s="11" t="s">
        <v>14</v>
      </c>
      <c r="M541" s="11" t="s">
        <v>15</v>
      </c>
      <c r="N541" s="11" t="s">
        <v>16</v>
      </c>
      <c r="O541" s="11" t="s">
        <v>17</v>
      </c>
      <c r="P541" s="12" t="s">
        <v>18</v>
      </c>
      <c r="Q541" s="11" t="s">
        <v>19</v>
      </c>
      <c r="R541" s="11"/>
      <c r="S541" s="10" t="s">
        <v>20</v>
      </c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3"/>
    </row>
    <row r="542" spans="2:30">
      <c r="B542" s="14" t="s">
        <v>951</v>
      </c>
      <c r="C542" s="15" t="str">
        <f>"Đặng"&amp;" " &amp; "Thiện Cảm"</f>
        <v>Đặng Thiện Cảm</v>
      </c>
      <c r="D542" s="15"/>
      <c r="E542" s="16" t="s">
        <v>314</v>
      </c>
      <c r="F542" s="16" t="s">
        <v>948</v>
      </c>
      <c r="G542" s="17" t="s">
        <v>24</v>
      </c>
      <c r="H542" s="16" t="s">
        <v>949</v>
      </c>
      <c r="I542" s="18">
        <v>0</v>
      </c>
      <c r="J542" s="19">
        <v>18000000</v>
      </c>
      <c r="K542" s="19">
        <f>IFERROR(IF(N542&lt;4,Q542,SUM(#VALUE!)),0)</f>
        <v>0</v>
      </c>
      <c r="L542" s="20">
        <f>IFERROR(K542/J542,0)</f>
        <v>0</v>
      </c>
      <c r="M542" s="19">
        <f>IFERROR(IF(OR(N542=3,N542=4),SUM(#VALUE!)+AD542,IF(N542=1,0.6%,IF(N542=2,0.65%,IF(N542=3,0.6%,0)))*IF(L542&lt;0.8,0,IF(L542&lt;1,L542,1))*IF(RIGHT("2018-09",2)="03",1,0)),0)</f>
        <v>0</v>
      </c>
      <c r="N542" s="19">
        <v>4</v>
      </c>
      <c r="O542" s="18">
        <f>IF(N542=4,0.5%,IF(N542=5,0.3%,0))</f>
        <v>5.0000000000000001E-3</v>
      </c>
      <c r="P542" s="21">
        <f>IFERROR(SUM(#VALUE!),0)</f>
        <v>0</v>
      </c>
      <c r="Q542" s="19">
        <f>SUMIF($G:$G,B542,$K:$K)</f>
        <v>0</v>
      </c>
      <c r="R542" s="22"/>
      <c r="S542" s="23" t="s">
        <v>26</v>
      </c>
      <c r="T542" s="23"/>
      <c r="U542" s="24" t="s">
        <v>27</v>
      </c>
      <c r="V542" s="24"/>
      <c r="W542" s="24"/>
      <c r="X542" s="25" t="s">
        <v>28</v>
      </c>
      <c r="Y542" s="25"/>
      <c r="Z542" s="26" t="s">
        <v>29</v>
      </c>
      <c r="AA542" s="26"/>
      <c r="AB542" s="27" t="s">
        <v>30</v>
      </c>
      <c r="AC542" s="27"/>
      <c r="AD542" s="28">
        <f>IF(IFERROR(SUM(#VALUE!)*O542,0)&gt;2000000,2000000,IFERROR(SUM(#VALUE!)*O542,0))</f>
        <v>0</v>
      </c>
    </row>
    <row r="543" spans="2:30" ht="25.5">
      <c r="C543" s="29" t="s">
        <v>31</v>
      </c>
      <c r="D543" s="30" t="s">
        <v>32</v>
      </c>
      <c r="E543" s="30"/>
      <c r="F543" s="31" t="s">
        <v>33</v>
      </c>
      <c r="G543" s="31" t="s">
        <v>34</v>
      </c>
      <c r="H543" s="32" t="s">
        <v>35</v>
      </c>
      <c r="I543" s="32" t="s">
        <v>36</v>
      </c>
      <c r="J543" s="31" t="s">
        <v>37</v>
      </c>
      <c r="K543" s="31" t="s">
        <v>38</v>
      </c>
      <c r="L543" s="31" t="s">
        <v>39</v>
      </c>
      <c r="M543" s="31" t="s">
        <v>40</v>
      </c>
      <c r="N543" s="31" t="s">
        <v>41</v>
      </c>
      <c r="O543" s="33" t="s">
        <v>42</v>
      </c>
      <c r="P543" s="32" t="s">
        <v>43</v>
      </c>
      <c r="Q543" s="32" t="s">
        <v>44</v>
      </c>
      <c r="R543" s="34" t="s">
        <v>45</v>
      </c>
      <c r="S543" s="34" t="s">
        <v>46</v>
      </c>
      <c r="T543" s="34" t="s">
        <v>47</v>
      </c>
      <c r="U543" s="35" t="s">
        <v>48</v>
      </c>
      <c r="V543" s="36" t="s">
        <v>47</v>
      </c>
      <c r="W543" s="36" t="s">
        <v>49</v>
      </c>
      <c r="X543" s="37" t="s">
        <v>50</v>
      </c>
      <c r="Y543" s="37" t="s">
        <v>51</v>
      </c>
      <c r="Z543" s="38" t="s">
        <v>48</v>
      </c>
      <c r="AA543" s="39" t="s">
        <v>47</v>
      </c>
      <c r="AB543" s="40" t="s">
        <v>48</v>
      </c>
      <c r="AC543" s="41" t="s">
        <v>47</v>
      </c>
      <c r="AD543" s="42" t="s">
        <v>52</v>
      </c>
    </row>
    <row r="544" spans="2:30" ht="23.25" customHeight="1">
      <c r="B544" s="9" t="s">
        <v>5</v>
      </c>
      <c r="C544" s="10" t="s">
        <v>6</v>
      </c>
      <c r="D544" s="10"/>
      <c r="E544" s="11" t="s">
        <v>7</v>
      </c>
      <c r="F544" s="11" t="s">
        <v>8</v>
      </c>
      <c r="G544" s="11" t="s">
        <v>9</v>
      </c>
      <c r="H544" s="11" t="s">
        <v>10</v>
      </c>
      <c r="I544" s="11" t="s">
        <v>11</v>
      </c>
      <c r="J544" s="11" t="s">
        <v>12</v>
      </c>
      <c r="K544" s="11" t="s">
        <v>13</v>
      </c>
      <c r="L544" s="11" t="s">
        <v>14</v>
      </c>
      <c r="M544" s="11" t="s">
        <v>15</v>
      </c>
      <c r="N544" s="11" t="s">
        <v>16</v>
      </c>
      <c r="O544" s="11" t="s">
        <v>17</v>
      </c>
      <c r="P544" s="12" t="s">
        <v>18</v>
      </c>
      <c r="Q544" s="11" t="s">
        <v>19</v>
      </c>
      <c r="R544" s="11"/>
      <c r="S544" s="10" t="s">
        <v>20</v>
      </c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3"/>
    </row>
    <row r="545" spans="2:30">
      <c r="B545" s="14" t="s">
        <v>952</v>
      </c>
      <c r="C545" s="15" t="str">
        <f>"Trần"&amp;" " &amp; "Tuấn Anh"</f>
        <v>Trần Tuấn Anh</v>
      </c>
      <c r="D545" s="15"/>
      <c r="E545" s="16" t="s">
        <v>314</v>
      </c>
      <c r="F545" s="16" t="s">
        <v>948</v>
      </c>
      <c r="G545" s="17" t="s">
        <v>24</v>
      </c>
      <c r="H545" s="16" t="s">
        <v>949</v>
      </c>
      <c r="I545" s="18">
        <v>0</v>
      </c>
      <c r="J545" s="19">
        <v>18000000</v>
      </c>
      <c r="K545" s="19">
        <f>IFERROR(IF(N545&lt;4,Q545,SUM(Sheet3!J547:J559)),0)</f>
        <v>92025097</v>
      </c>
      <c r="L545" s="20">
        <f>IFERROR(K545/J545,0)</f>
        <v>5.1125053888888887</v>
      </c>
      <c r="M545" s="19">
        <f>IFERROR(IF(OR(N545=3,N545=4),SUM(Sheet3!AD547:AD559)+AD545,IF(N545=1,0.6%,IF(N545=2,0.65%,IF(N545=3,0.6%,0)))*IF(L545&lt;0.8,0,IF(L545&lt;1,L545,1))*IF(RIGHT("2018-09",2)="03",1,0)),0)</f>
        <v>859061.88</v>
      </c>
      <c r="N545" s="19">
        <v>4</v>
      </c>
      <c r="O545" s="18">
        <f>IF(N545=4,0.5%,IF(N545=5,0.3%,0))</f>
        <v>5.0000000000000001E-3</v>
      </c>
      <c r="P545" s="21">
        <f>IFERROR(SUM(Sheet3!P547:P559),0)</f>
        <v>0</v>
      </c>
      <c r="Q545" s="19">
        <f>SUMIF($G:$G,B545,$K:$K)</f>
        <v>0</v>
      </c>
      <c r="R545" s="22"/>
      <c r="S545" s="23" t="s">
        <v>26</v>
      </c>
      <c r="T545" s="23"/>
      <c r="U545" s="24" t="s">
        <v>27</v>
      </c>
      <c r="V545" s="24"/>
      <c r="W545" s="24"/>
      <c r="X545" s="25" t="s">
        <v>28</v>
      </c>
      <c r="Y545" s="25"/>
      <c r="Z545" s="26" t="s">
        <v>29</v>
      </c>
      <c r="AA545" s="26"/>
      <c r="AB545" s="27" t="s">
        <v>30</v>
      </c>
      <c r="AC545" s="27"/>
      <c r="AD545" s="28">
        <f>IF(IFERROR(SUM(Sheet3!Y547:Y559)*O545,0)&gt;2000000,2000000,IFERROR(SUM(Sheet3!Y547:Y559)*O545,0))</f>
        <v>0</v>
      </c>
    </row>
    <row r="546" spans="2:30" ht="25.5">
      <c r="C546" s="29" t="s">
        <v>31</v>
      </c>
      <c r="D546" s="30" t="s">
        <v>32</v>
      </c>
      <c r="E546" s="30"/>
      <c r="F546" s="31" t="s">
        <v>33</v>
      </c>
      <c r="G546" s="31" t="s">
        <v>34</v>
      </c>
      <c r="H546" s="32" t="s">
        <v>35</v>
      </c>
      <c r="I546" s="32" t="s">
        <v>36</v>
      </c>
      <c r="J546" s="31" t="s">
        <v>37</v>
      </c>
      <c r="K546" s="31" t="s">
        <v>38</v>
      </c>
      <c r="L546" s="31" t="s">
        <v>39</v>
      </c>
      <c r="M546" s="31" t="s">
        <v>40</v>
      </c>
      <c r="N546" s="31" t="s">
        <v>41</v>
      </c>
      <c r="O546" s="33" t="s">
        <v>42</v>
      </c>
      <c r="P546" s="32" t="s">
        <v>43</v>
      </c>
      <c r="Q546" s="32" t="s">
        <v>44</v>
      </c>
      <c r="R546" s="34" t="s">
        <v>45</v>
      </c>
      <c r="S546" s="34" t="s">
        <v>46</v>
      </c>
      <c r="T546" s="34" t="s">
        <v>47</v>
      </c>
      <c r="U546" s="35" t="s">
        <v>48</v>
      </c>
      <c r="V546" s="36" t="s">
        <v>47</v>
      </c>
      <c r="W546" s="36" t="s">
        <v>49</v>
      </c>
      <c r="X546" s="37" t="s">
        <v>50</v>
      </c>
      <c r="Y546" s="37" t="s">
        <v>51</v>
      </c>
      <c r="Z546" s="38" t="s">
        <v>48</v>
      </c>
      <c r="AA546" s="39" t="s">
        <v>47</v>
      </c>
      <c r="AB546" s="40" t="s">
        <v>48</v>
      </c>
      <c r="AC546" s="41" t="s">
        <v>47</v>
      </c>
      <c r="AD546" s="42" t="s">
        <v>52</v>
      </c>
    </row>
    <row r="547" spans="2:30">
      <c r="C547" s="43" t="s">
        <v>953</v>
      </c>
      <c r="D547" s="44" t="s">
        <v>954</v>
      </c>
      <c r="E547" s="44"/>
      <c r="F547" s="45">
        <v>42076.597002314811</v>
      </c>
      <c r="G547" s="46">
        <v>42</v>
      </c>
      <c r="H547" s="47">
        <v>43377</v>
      </c>
      <c r="I547" s="47">
        <v>43384</v>
      </c>
      <c r="J547" s="46">
        <v>611934</v>
      </c>
      <c r="K547" s="46">
        <v>0</v>
      </c>
      <c r="L547" s="46">
        <v>0</v>
      </c>
      <c r="M547" s="46">
        <f t="shared" ref="M547:M559" si="188">IFERROR(J547-K547-L547,0)</f>
        <v>611934</v>
      </c>
      <c r="N547" s="46">
        <v>611934</v>
      </c>
      <c r="O547" s="48">
        <f t="shared" ref="O547:O559" si="189">IFERROR(IF(1 - M547/N547&lt;0,0,1-M547/N547),0)</f>
        <v>0</v>
      </c>
      <c r="P547" s="46">
        <v>0</v>
      </c>
      <c r="Q547" s="46">
        <v>611934</v>
      </c>
      <c r="R547" s="49">
        <f t="shared" ref="R547:R559" si="190">IF(F547&lt;DATEVALUE("2018-07-01"),1,0)</f>
        <v>1</v>
      </c>
      <c r="S547" s="50">
        <f t="shared" ref="S547:S559" si="191">IF(R547=1,1%,0)</f>
        <v>0.01</v>
      </c>
      <c r="T547" s="49">
        <f t="shared" ref="T547:T559" si="192">IFERROR(S547*M547,0)</f>
        <v>6119.34</v>
      </c>
      <c r="U547" s="51">
        <f t="shared" ref="U547:U559" si="193">IF(O547&lt;=0.12,1,0)*(1-R547)*M547</f>
        <v>0</v>
      </c>
      <c r="V547" s="52">
        <f>IF(0&lt;0.8,0,IF(0&lt;1,Sheet3!L545,1))*IF(G547&lt;3,0.12 - O547,0.01) *U547</f>
        <v>0</v>
      </c>
      <c r="W547" s="52">
        <f t="shared" ref="W547:W559" si="194">IF(0&gt;1,IF(0&lt;=1.1,1,IF(0&lt;=1.2,2,IF(0&lt;=1.5,3,5))),0) * 1000000</f>
        <v>0</v>
      </c>
      <c r="X547" s="53">
        <f t="shared" ref="X547:X559" si="195">IF(AND(P547&gt;=150000000,P547&lt;300000000),5000000,IF(AND(P547&gt;=300000000,P547&lt;500000000),10000000,IF(AND(P547&gt;=300000000,P547&lt;500000000),15000000,IF(AND(P547&gt;=500000000,P547&lt;3000000000),20000000,IF(P547&gt;=30000000000,35000000,0))))) * (1-R547)</f>
        <v>0</v>
      </c>
      <c r="Y547" s="53">
        <f t="shared" ref="Y547:Y559" si="196">IFERROR(Q547 * (1-R547),0)</f>
        <v>0</v>
      </c>
      <c r="Z547" s="54">
        <f t="shared" ref="Z547:Z552" si="197">IF(R547=1,0,0)</f>
        <v>0</v>
      </c>
      <c r="AA547" s="54">
        <f t="shared" ref="AA547:AA559" si="198">IFERROR((1-R547) * Z547 * 2%,0)</f>
        <v>0</v>
      </c>
      <c r="AB547" s="55">
        <f t="shared" ref="AB547:AB558" si="199">IF(R547=0,0,0)</f>
        <v>0</v>
      </c>
      <c r="AC547" s="55">
        <f t="shared" ref="AC547:AC559" si="200">IFERROR(AB547 * (1-R547) * 2%,0)</f>
        <v>0</v>
      </c>
      <c r="AD547" s="56">
        <f t="shared" ref="AD547:AD559" si="201">T547+V547+W547+X547+AA547+AC547</f>
        <v>6119.34</v>
      </c>
    </row>
    <row r="548" spans="2:30">
      <c r="C548" s="43" t="s">
        <v>955</v>
      </c>
      <c r="D548" s="44" t="s">
        <v>956</v>
      </c>
      <c r="E548" s="44"/>
      <c r="F548" s="45">
        <v>42908.063645833332</v>
      </c>
      <c r="G548" s="46">
        <v>15</v>
      </c>
      <c r="H548" s="47">
        <v>43377</v>
      </c>
      <c r="I548" s="47">
        <v>43411</v>
      </c>
      <c r="J548" s="46">
        <v>108151</v>
      </c>
      <c r="K548" s="46">
        <v>0</v>
      </c>
      <c r="L548" s="46">
        <v>0</v>
      </c>
      <c r="M548" s="46">
        <f t="shared" si="188"/>
        <v>108151</v>
      </c>
      <c r="N548" s="46">
        <v>108151</v>
      </c>
      <c r="O548" s="48">
        <f t="shared" si="189"/>
        <v>0</v>
      </c>
      <c r="P548" s="46">
        <v>0</v>
      </c>
      <c r="Q548" s="46">
        <v>108151</v>
      </c>
      <c r="R548" s="49">
        <f t="shared" si="190"/>
        <v>1</v>
      </c>
      <c r="S548" s="50">
        <f t="shared" si="191"/>
        <v>0.01</v>
      </c>
      <c r="T548" s="49">
        <f t="shared" si="192"/>
        <v>1081.51</v>
      </c>
      <c r="U548" s="51">
        <f t="shared" si="193"/>
        <v>0</v>
      </c>
      <c r="V548" s="52">
        <f>IF(0&lt;0.8,0,IF(0&lt;1,Sheet3!L545,1))*IF(G548&lt;3,0.12 - O548,0.01) *U548</f>
        <v>0</v>
      </c>
      <c r="W548" s="52">
        <f t="shared" si="194"/>
        <v>0</v>
      </c>
      <c r="X548" s="53">
        <f t="shared" si="195"/>
        <v>0</v>
      </c>
      <c r="Y548" s="53">
        <f t="shared" si="196"/>
        <v>0</v>
      </c>
      <c r="Z548" s="54">
        <f t="shared" si="197"/>
        <v>0</v>
      </c>
      <c r="AA548" s="54">
        <f t="shared" si="198"/>
        <v>0</v>
      </c>
      <c r="AB548" s="55">
        <f t="shared" si="199"/>
        <v>0</v>
      </c>
      <c r="AC548" s="55">
        <f t="shared" si="200"/>
        <v>0</v>
      </c>
      <c r="AD548" s="56">
        <f t="shared" si="201"/>
        <v>1081.51</v>
      </c>
    </row>
    <row r="549" spans="2:30">
      <c r="C549" s="43" t="s">
        <v>957</v>
      </c>
      <c r="D549" s="44" t="s">
        <v>958</v>
      </c>
      <c r="E549" s="44"/>
      <c r="F549" s="45">
        <v>42921.288287037038</v>
      </c>
      <c r="G549" s="46">
        <v>14</v>
      </c>
      <c r="H549" s="47">
        <v>43377</v>
      </c>
      <c r="I549" s="47">
        <v>43391</v>
      </c>
      <c r="J549" s="46">
        <v>480462</v>
      </c>
      <c r="K549" s="46">
        <v>0</v>
      </c>
      <c r="L549" s="46">
        <v>0</v>
      </c>
      <c r="M549" s="46">
        <f t="shared" si="188"/>
        <v>480462</v>
      </c>
      <c r="N549" s="46">
        <v>480462</v>
      </c>
      <c r="O549" s="48">
        <f t="shared" si="189"/>
        <v>0</v>
      </c>
      <c r="P549" s="46">
        <v>0</v>
      </c>
      <c r="Q549" s="46">
        <v>480462</v>
      </c>
      <c r="R549" s="49">
        <f t="shared" si="190"/>
        <v>1</v>
      </c>
      <c r="S549" s="50">
        <f t="shared" si="191"/>
        <v>0.01</v>
      </c>
      <c r="T549" s="49">
        <f t="shared" si="192"/>
        <v>4804.62</v>
      </c>
      <c r="U549" s="51">
        <f t="shared" si="193"/>
        <v>0</v>
      </c>
      <c r="V549" s="52">
        <f>IF(0&lt;0.8,0,IF(0&lt;1,Sheet3!L545,1))*IF(G549&lt;3,0.12 - O549,0.01) *U549</f>
        <v>0</v>
      </c>
      <c r="W549" s="52">
        <f t="shared" si="194"/>
        <v>0</v>
      </c>
      <c r="X549" s="53">
        <f t="shared" si="195"/>
        <v>0</v>
      </c>
      <c r="Y549" s="53">
        <f t="shared" si="196"/>
        <v>0</v>
      </c>
      <c r="Z549" s="54">
        <f t="shared" si="197"/>
        <v>0</v>
      </c>
      <c r="AA549" s="54">
        <f t="shared" si="198"/>
        <v>0</v>
      </c>
      <c r="AB549" s="55">
        <f t="shared" si="199"/>
        <v>0</v>
      </c>
      <c r="AC549" s="55">
        <f t="shared" si="200"/>
        <v>0</v>
      </c>
      <c r="AD549" s="56">
        <f t="shared" si="201"/>
        <v>4804.62</v>
      </c>
    </row>
    <row r="550" spans="2:30">
      <c r="C550" s="43" t="s">
        <v>959</v>
      </c>
      <c r="D550" s="44" t="s">
        <v>960</v>
      </c>
      <c r="E550" s="44"/>
      <c r="F550" s="45">
        <v>42936.088194444441</v>
      </c>
      <c r="G550" s="46">
        <v>14</v>
      </c>
      <c r="H550" s="47">
        <v>43382</v>
      </c>
      <c r="I550" s="47">
        <v>43398</v>
      </c>
      <c r="J550" s="46">
        <v>1330889</v>
      </c>
      <c r="K550" s="46">
        <v>0</v>
      </c>
      <c r="L550" s="46">
        <v>0</v>
      </c>
      <c r="M550" s="46">
        <f t="shared" si="188"/>
        <v>1330889</v>
      </c>
      <c r="N550" s="46">
        <v>1330889</v>
      </c>
      <c r="O550" s="48">
        <f t="shared" si="189"/>
        <v>0</v>
      </c>
      <c r="P550" s="46">
        <v>0</v>
      </c>
      <c r="Q550" s="46">
        <v>1330889</v>
      </c>
      <c r="R550" s="49">
        <f t="shared" si="190"/>
        <v>1</v>
      </c>
      <c r="S550" s="50">
        <f t="shared" si="191"/>
        <v>0.01</v>
      </c>
      <c r="T550" s="49">
        <f t="shared" si="192"/>
        <v>13308.89</v>
      </c>
      <c r="U550" s="51">
        <f t="shared" si="193"/>
        <v>0</v>
      </c>
      <c r="V550" s="52">
        <f>IF(0&lt;0.8,0,IF(0&lt;1,Sheet3!L545,1))*IF(G550&lt;3,0.12 - O550,0.01) *U550</f>
        <v>0</v>
      </c>
      <c r="W550" s="52">
        <f t="shared" si="194"/>
        <v>0</v>
      </c>
      <c r="X550" s="53">
        <f t="shared" si="195"/>
        <v>0</v>
      </c>
      <c r="Y550" s="53">
        <f t="shared" si="196"/>
        <v>0</v>
      </c>
      <c r="Z550" s="54">
        <f t="shared" si="197"/>
        <v>0</v>
      </c>
      <c r="AA550" s="54">
        <f t="shared" si="198"/>
        <v>0</v>
      </c>
      <c r="AB550" s="55">
        <f t="shared" si="199"/>
        <v>0</v>
      </c>
      <c r="AC550" s="55">
        <f t="shared" si="200"/>
        <v>0</v>
      </c>
      <c r="AD550" s="56">
        <f t="shared" si="201"/>
        <v>13308.89</v>
      </c>
    </row>
    <row r="551" spans="2:30">
      <c r="C551" s="43" t="s">
        <v>961</v>
      </c>
      <c r="D551" s="44" t="s">
        <v>962</v>
      </c>
      <c r="E551" s="44"/>
      <c r="F551" s="45">
        <v>42992.272222222222</v>
      </c>
      <c r="G551" s="46">
        <v>12</v>
      </c>
      <c r="H551" s="47">
        <v>43372</v>
      </c>
      <c r="I551" s="47">
        <v>43384</v>
      </c>
      <c r="J551" s="46">
        <v>5015917</v>
      </c>
      <c r="K551" s="46">
        <v>0</v>
      </c>
      <c r="L551" s="46">
        <v>0</v>
      </c>
      <c r="M551" s="46">
        <f t="shared" si="188"/>
        <v>5015917</v>
      </c>
      <c r="N551" s="46">
        <v>5015917</v>
      </c>
      <c r="O551" s="48">
        <f t="shared" si="189"/>
        <v>0</v>
      </c>
      <c r="P551" s="46">
        <v>0</v>
      </c>
      <c r="Q551" s="46">
        <v>5015917</v>
      </c>
      <c r="R551" s="49">
        <f t="shared" si="190"/>
        <v>1</v>
      </c>
      <c r="S551" s="50">
        <f t="shared" si="191"/>
        <v>0.01</v>
      </c>
      <c r="T551" s="49">
        <f t="shared" si="192"/>
        <v>50159.17</v>
      </c>
      <c r="U551" s="51">
        <f t="shared" si="193"/>
        <v>0</v>
      </c>
      <c r="V551" s="52">
        <f>IF(0&lt;0.8,0,IF(0&lt;1,Sheet3!L545,1))*IF(G551&lt;3,0.12 - O551,0.01) *U551</f>
        <v>0</v>
      </c>
      <c r="W551" s="52">
        <f t="shared" si="194"/>
        <v>0</v>
      </c>
      <c r="X551" s="53">
        <f t="shared" si="195"/>
        <v>0</v>
      </c>
      <c r="Y551" s="53">
        <f t="shared" si="196"/>
        <v>0</v>
      </c>
      <c r="Z551" s="54">
        <f t="shared" si="197"/>
        <v>0</v>
      </c>
      <c r="AA551" s="54">
        <f t="shared" si="198"/>
        <v>0</v>
      </c>
      <c r="AB551" s="55">
        <f t="shared" si="199"/>
        <v>0</v>
      </c>
      <c r="AC551" s="55">
        <f t="shared" si="200"/>
        <v>0</v>
      </c>
      <c r="AD551" s="56">
        <f t="shared" si="201"/>
        <v>50159.17</v>
      </c>
    </row>
    <row r="552" spans="2:30">
      <c r="C552" s="43" t="s">
        <v>963</v>
      </c>
      <c r="D552" s="44" t="s">
        <v>964</v>
      </c>
      <c r="E552" s="44"/>
      <c r="F552" s="45">
        <v>43001.383564814816</v>
      </c>
      <c r="G552" s="46">
        <v>12</v>
      </c>
      <c r="H552" s="47">
        <v>43376</v>
      </c>
      <c r="I552" s="47">
        <v>43399</v>
      </c>
      <c r="J552" s="46">
        <v>469345</v>
      </c>
      <c r="K552" s="46">
        <v>0</v>
      </c>
      <c r="L552" s="46">
        <v>0</v>
      </c>
      <c r="M552" s="46">
        <f t="shared" si="188"/>
        <v>469345</v>
      </c>
      <c r="N552" s="46">
        <v>469345</v>
      </c>
      <c r="O552" s="48">
        <f t="shared" si="189"/>
        <v>0</v>
      </c>
      <c r="P552" s="46">
        <v>0</v>
      </c>
      <c r="Q552" s="46">
        <v>469345</v>
      </c>
      <c r="R552" s="49">
        <f t="shared" si="190"/>
        <v>1</v>
      </c>
      <c r="S552" s="50">
        <f t="shared" si="191"/>
        <v>0.01</v>
      </c>
      <c r="T552" s="49">
        <f t="shared" si="192"/>
        <v>4693.45</v>
      </c>
      <c r="U552" s="51">
        <f t="shared" si="193"/>
        <v>0</v>
      </c>
      <c r="V552" s="52">
        <f>IF(0&lt;0.8,0,IF(0&lt;1,Sheet3!L545,1))*IF(G552&lt;3,0.12 - O552,0.01) *U552</f>
        <v>0</v>
      </c>
      <c r="W552" s="52">
        <f t="shared" si="194"/>
        <v>0</v>
      </c>
      <c r="X552" s="53">
        <f t="shared" si="195"/>
        <v>0</v>
      </c>
      <c r="Y552" s="53">
        <f t="shared" si="196"/>
        <v>0</v>
      </c>
      <c r="Z552" s="54">
        <f t="shared" si="197"/>
        <v>0</v>
      </c>
      <c r="AA552" s="54">
        <f t="shared" si="198"/>
        <v>0</v>
      </c>
      <c r="AB552" s="55">
        <f t="shared" si="199"/>
        <v>0</v>
      </c>
      <c r="AC552" s="55">
        <f t="shared" si="200"/>
        <v>0</v>
      </c>
      <c r="AD552" s="56">
        <f t="shared" si="201"/>
        <v>4693.45</v>
      </c>
    </row>
    <row r="553" spans="2:30">
      <c r="C553" s="43" t="s">
        <v>965</v>
      </c>
      <c r="D553" s="44" t="s">
        <v>966</v>
      </c>
      <c r="E553" s="44"/>
      <c r="F553" s="45">
        <v>43040.312199074069</v>
      </c>
      <c r="G553" s="46">
        <v>10</v>
      </c>
      <c r="H553" s="47">
        <v>43372</v>
      </c>
      <c r="I553" s="47">
        <v>43382</v>
      </c>
      <c r="J553" s="46">
        <v>1320000</v>
      </c>
      <c r="K553" s="46">
        <v>0</v>
      </c>
      <c r="L553" s="46">
        <v>0</v>
      </c>
      <c r="M553" s="46">
        <f t="shared" si="188"/>
        <v>1320000</v>
      </c>
      <c r="N553" s="46">
        <v>6891518</v>
      </c>
      <c r="O553" s="48">
        <f t="shared" si="189"/>
        <v>0.80846019701319793</v>
      </c>
      <c r="P553" s="46">
        <v>0</v>
      </c>
      <c r="Q553" s="46">
        <v>1320000</v>
      </c>
      <c r="R553" s="49">
        <f t="shared" si="190"/>
        <v>1</v>
      </c>
      <c r="S553" s="50">
        <f t="shared" si="191"/>
        <v>0.01</v>
      </c>
      <c r="T553" s="49">
        <f t="shared" si="192"/>
        <v>13200</v>
      </c>
      <c r="U553" s="51">
        <f t="shared" si="193"/>
        <v>0</v>
      </c>
      <c r="V553" s="52">
        <f>IF(0&lt;0.8,0,IF(0&lt;1,Sheet3!L545,1))*IF(G553&lt;3,0.12 - O553,0.01) *U553</f>
        <v>0</v>
      </c>
      <c r="W553" s="52">
        <f t="shared" si="194"/>
        <v>0</v>
      </c>
      <c r="X553" s="53">
        <f t="shared" si="195"/>
        <v>0</v>
      </c>
      <c r="Y553" s="53">
        <f t="shared" si="196"/>
        <v>0</v>
      </c>
      <c r="Z553" s="54">
        <f>IF(R553=1,0,1320000)</f>
        <v>0</v>
      </c>
      <c r="AA553" s="54">
        <f t="shared" si="198"/>
        <v>0</v>
      </c>
      <c r="AB553" s="55">
        <f t="shared" si="199"/>
        <v>0</v>
      </c>
      <c r="AC553" s="55">
        <f t="shared" si="200"/>
        <v>0</v>
      </c>
      <c r="AD553" s="56">
        <f t="shared" si="201"/>
        <v>13200</v>
      </c>
    </row>
    <row r="554" spans="2:30">
      <c r="C554" s="43" t="s">
        <v>967</v>
      </c>
      <c r="D554" s="44" t="s">
        <v>968</v>
      </c>
      <c r="E554" s="44"/>
      <c r="F554" s="45">
        <v>43040.31386574074</v>
      </c>
      <c r="G554" s="46">
        <v>10</v>
      </c>
      <c r="H554" s="47">
        <v>43376</v>
      </c>
      <c r="I554" s="47">
        <v>43404</v>
      </c>
      <c r="J554" s="46">
        <v>327842</v>
      </c>
      <c r="K554" s="46">
        <v>0</v>
      </c>
      <c r="L554" s="46">
        <v>0</v>
      </c>
      <c r="M554" s="46">
        <f t="shared" si="188"/>
        <v>327842</v>
      </c>
      <c r="N554" s="46">
        <v>327842</v>
      </c>
      <c r="O554" s="48">
        <f t="shared" si="189"/>
        <v>0</v>
      </c>
      <c r="P554" s="46">
        <v>0</v>
      </c>
      <c r="Q554" s="46">
        <v>327842</v>
      </c>
      <c r="R554" s="49">
        <f t="shared" si="190"/>
        <v>1</v>
      </c>
      <c r="S554" s="50">
        <f t="shared" si="191"/>
        <v>0.01</v>
      </c>
      <c r="T554" s="49">
        <f t="shared" si="192"/>
        <v>3278.42</v>
      </c>
      <c r="U554" s="51">
        <f t="shared" si="193"/>
        <v>0</v>
      </c>
      <c r="V554" s="52">
        <f>IF(0&lt;0.8,0,IF(0&lt;1,Sheet3!L545,1))*IF(G554&lt;3,0.12 - O554,0.01) *U554</f>
        <v>0</v>
      </c>
      <c r="W554" s="52">
        <f t="shared" si="194"/>
        <v>0</v>
      </c>
      <c r="X554" s="53">
        <f t="shared" si="195"/>
        <v>0</v>
      </c>
      <c r="Y554" s="53">
        <f t="shared" si="196"/>
        <v>0</v>
      </c>
      <c r="Z554" s="54">
        <f>IF(R554=1,0,0)</f>
        <v>0</v>
      </c>
      <c r="AA554" s="54">
        <f t="shared" si="198"/>
        <v>0</v>
      </c>
      <c r="AB554" s="55">
        <f t="shared" si="199"/>
        <v>0</v>
      </c>
      <c r="AC554" s="55">
        <f t="shared" si="200"/>
        <v>0</v>
      </c>
      <c r="AD554" s="56">
        <f t="shared" si="201"/>
        <v>3278.42</v>
      </c>
    </row>
    <row r="555" spans="2:30">
      <c r="C555" s="43" t="s">
        <v>969</v>
      </c>
      <c r="D555" s="44" t="s">
        <v>970</v>
      </c>
      <c r="E555" s="44"/>
      <c r="F555" s="45">
        <v>43055.103935185187</v>
      </c>
      <c r="G555" s="46">
        <v>10</v>
      </c>
      <c r="H555" s="47">
        <v>43376</v>
      </c>
      <c r="I555" s="47">
        <v>43390</v>
      </c>
      <c r="J555" s="46">
        <v>444099</v>
      </c>
      <c r="K555" s="46">
        <v>0</v>
      </c>
      <c r="L555" s="46">
        <v>0</v>
      </c>
      <c r="M555" s="46">
        <f t="shared" si="188"/>
        <v>444099</v>
      </c>
      <c r="N555" s="46">
        <v>444099</v>
      </c>
      <c r="O555" s="48">
        <f t="shared" si="189"/>
        <v>0</v>
      </c>
      <c r="P555" s="46">
        <v>0</v>
      </c>
      <c r="Q555" s="46">
        <v>444099</v>
      </c>
      <c r="R555" s="49">
        <f t="shared" si="190"/>
        <v>1</v>
      </c>
      <c r="S555" s="50">
        <f t="shared" si="191"/>
        <v>0.01</v>
      </c>
      <c r="T555" s="49">
        <f t="shared" si="192"/>
        <v>4440.99</v>
      </c>
      <c r="U555" s="51">
        <f t="shared" si="193"/>
        <v>0</v>
      </c>
      <c r="V555" s="52">
        <f>IF(0&lt;0.8,0,IF(0&lt;1,Sheet3!L545,1))*IF(G555&lt;3,0.12 - O555,0.01) *U555</f>
        <v>0</v>
      </c>
      <c r="W555" s="52">
        <f t="shared" si="194"/>
        <v>0</v>
      </c>
      <c r="X555" s="53">
        <f t="shared" si="195"/>
        <v>0</v>
      </c>
      <c r="Y555" s="53">
        <f t="shared" si="196"/>
        <v>0</v>
      </c>
      <c r="Z555" s="54">
        <f>IF(R555=1,0,0)</f>
        <v>0</v>
      </c>
      <c r="AA555" s="54">
        <f t="shared" si="198"/>
        <v>0</v>
      </c>
      <c r="AB555" s="55">
        <f t="shared" si="199"/>
        <v>0</v>
      </c>
      <c r="AC555" s="55">
        <f t="shared" si="200"/>
        <v>0</v>
      </c>
      <c r="AD555" s="56">
        <f t="shared" si="201"/>
        <v>4440.99</v>
      </c>
    </row>
    <row r="556" spans="2:30">
      <c r="C556" s="43" t="s">
        <v>971</v>
      </c>
      <c r="D556" s="44" t="s">
        <v>972</v>
      </c>
      <c r="E556" s="44"/>
      <c r="F556" s="45">
        <v>43069.15960648148</v>
      </c>
      <c r="G556" s="46">
        <v>10</v>
      </c>
      <c r="H556" s="47">
        <v>43379</v>
      </c>
      <c r="I556" s="47">
        <v>43406</v>
      </c>
      <c r="J556" s="46">
        <v>53826</v>
      </c>
      <c r="K556" s="46">
        <v>0</v>
      </c>
      <c r="L556" s="46">
        <v>0</v>
      </c>
      <c r="M556" s="46">
        <f t="shared" si="188"/>
        <v>53826</v>
      </c>
      <c r="N556" s="46">
        <v>53826</v>
      </c>
      <c r="O556" s="48">
        <f t="shared" si="189"/>
        <v>0</v>
      </c>
      <c r="P556" s="46">
        <v>0</v>
      </c>
      <c r="Q556" s="46">
        <v>53826</v>
      </c>
      <c r="R556" s="49">
        <f t="shared" si="190"/>
        <v>1</v>
      </c>
      <c r="S556" s="50">
        <f t="shared" si="191"/>
        <v>0.01</v>
      </c>
      <c r="T556" s="49">
        <f t="shared" si="192"/>
        <v>538.26</v>
      </c>
      <c r="U556" s="51">
        <f t="shared" si="193"/>
        <v>0</v>
      </c>
      <c r="V556" s="52">
        <f>IF(0&lt;0.8,0,IF(0&lt;1,Sheet3!L545,1))*IF(G556&lt;3,0.12 - O556,0.01) *U556</f>
        <v>0</v>
      </c>
      <c r="W556" s="52">
        <f t="shared" si="194"/>
        <v>0</v>
      </c>
      <c r="X556" s="53">
        <f t="shared" si="195"/>
        <v>0</v>
      </c>
      <c r="Y556" s="53">
        <f t="shared" si="196"/>
        <v>0</v>
      </c>
      <c r="Z556" s="54">
        <f>IF(R556=1,0,0)</f>
        <v>0</v>
      </c>
      <c r="AA556" s="54">
        <f t="shared" si="198"/>
        <v>0</v>
      </c>
      <c r="AB556" s="55">
        <f t="shared" si="199"/>
        <v>0</v>
      </c>
      <c r="AC556" s="55">
        <f t="shared" si="200"/>
        <v>0</v>
      </c>
      <c r="AD556" s="56">
        <f t="shared" si="201"/>
        <v>538.26</v>
      </c>
    </row>
    <row r="557" spans="2:30">
      <c r="C557" s="43" t="s">
        <v>973</v>
      </c>
      <c r="D557" s="44" t="s">
        <v>974</v>
      </c>
      <c r="E557" s="44"/>
      <c r="F557" s="45">
        <v>43101.074803240735</v>
      </c>
      <c r="G557" s="46">
        <v>8</v>
      </c>
      <c r="H557" s="47">
        <v>43416</v>
      </c>
      <c r="I557" s="47">
        <v>43451</v>
      </c>
      <c r="J557" s="46">
        <v>79172858</v>
      </c>
      <c r="K557" s="46">
        <v>5784647</v>
      </c>
      <c r="L557" s="46">
        <v>0</v>
      </c>
      <c r="M557" s="46">
        <f t="shared" si="188"/>
        <v>73388211</v>
      </c>
      <c r="N557" s="46">
        <v>162709668</v>
      </c>
      <c r="O557" s="48">
        <f t="shared" si="189"/>
        <v>0.5489621981159718</v>
      </c>
      <c r="P557" s="46">
        <v>0</v>
      </c>
      <c r="Q557" s="46">
        <v>90488858</v>
      </c>
      <c r="R557" s="49">
        <f t="shared" si="190"/>
        <v>1</v>
      </c>
      <c r="S557" s="50">
        <f t="shared" si="191"/>
        <v>0.01</v>
      </c>
      <c r="T557" s="49">
        <f t="shared" si="192"/>
        <v>733882.11</v>
      </c>
      <c r="U557" s="51">
        <f t="shared" si="193"/>
        <v>0</v>
      </c>
      <c r="V557" s="52">
        <f>IF(0&lt;0.8,0,IF(0&lt;1,Sheet3!L545,1))*IF(G557&lt;3,0.12 - O557,0.01) *U557</f>
        <v>0</v>
      </c>
      <c r="W557" s="52">
        <f t="shared" si="194"/>
        <v>0</v>
      </c>
      <c r="X557" s="53">
        <f t="shared" si="195"/>
        <v>0</v>
      </c>
      <c r="Y557" s="53">
        <f t="shared" si="196"/>
        <v>0</v>
      </c>
      <c r="Z557" s="54">
        <f>IF(R557=1,0,0)</f>
        <v>0</v>
      </c>
      <c r="AA557" s="54">
        <f t="shared" si="198"/>
        <v>0</v>
      </c>
      <c r="AB557" s="55">
        <f t="shared" si="199"/>
        <v>0</v>
      </c>
      <c r="AC557" s="55">
        <f t="shared" si="200"/>
        <v>0</v>
      </c>
      <c r="AD557" s="56">
        <f t="shared" si="201"/>
        <v>733882.11</v>
      </c>
    </row>
    <row r="558" spans="2:30">
      <c r="C558" s="43" t="s">
        <v>975</v>
      </c>
      <c r="D558" s="44" t="s">
        <v>976</v>
      </c>
      <c r="E558" s="44"/>
      <c r="F558" s="45">
        <v>43130.356192129628</v>
      </c>
      <c r="G558" s="46">
        <v>8</v>
      </c>
      <c r="H558" s="47" t="s">
        <v>24</v>
      </c>
      <c r="I558" s="47" t="s">
        <v>24</v>
      </c>
      <c r="J558" s="46">
        <v>2673464</v>
      </c>
      <c r="K558" s="46">
        <v>334262</v>
      </c>
      <c r="L558" s="46">
        <v>0</v>
      </c>
      <c r="M558" s="46">
        <f t="shared" si="188"/>
        <v>2339202</v>
      </c>
      <c r="N558" s="46">
        <v>2673464</v>
      </c>
      <c r="O558" s="48">
        <f t="shared" si="189"/>
        <v>0.12502954967787105</v>
      </c>
      <c r="P558" s="46">
        <v>0</v>
      </c>
      <c r="Q558" s="46">
        <v>2673464</v>
      </c>
      <c r="R558" s="49">
        <f t="shared" si="190"/>
        <v>1</v>
      </c>
      <c r="S558" s="50">
        <f t="shared" si="191"/>
        <v>0.01</v>
      </c>
      <c r="T558" s="49">
        <f t="shared" si="192"/>
        <v>23392.02</v>
      </c>
      <c r="U558" s="51">
        <f t="shared" si="193"/>
        <v>0</v>
      </c>
      <c r="V558" s="52">
        <f>IF(0&lt;0.8,0,IF(0&lt;1,Sheet3!L545,1))*IF(G558&lt;3,0.12 - O558,0.01) *U558</f>
        <v>0</v>
      </c>
      <c r="W558" s="52">
        <f t="shared" si="194"/>
        <v>0</v>
      </c>
      <c r="X558" s="53">
        <f t="shared" si="195"/>
        <v>0</v>
      </c>
      <c r="Y558" s="53">
        <f t="shared" si="196"/>
        <v>0</v>
      </c>
      <c r="Z558" s="54">
        <f>IF(R558=1,0,0)</f>
        <v>0</v>
      </c>
      <c r="AA558" s="54">
        <f t="shared" si="198"/>
        <v>0</v>
      </c>
      <c r="AB558" s="55">
        <f t="shared" si="199"/>
        <v>0</v>
      </c>
      <c r="AC558" s="55">
        <f t="shared" si="200"/>
        <v>0</v>
      </c>
      <c r="AD558" s="56">
        <f t="shared" si="201"/>
        <v>23392.02</v>
      </c>
    </row>
    <row r="559" spans="2:30">
      <c r="C559" s="43" t="s">
        <v>977</v>
      </c>
      <c r="D559" s="44" t="s">
        <v>978</v>
      </c>
      <c r="E559" s="44"/>
      <c r="F559" s="45">
        <v>43165.351053240738</v>
      </c>
      <c r="G559" s="46">
        <v>6</v>
      </c>
      <c r="H559" s="47" t="s">
        <v>24</v>
      </c>
      <c r="I559" s="47" t="s">
        <v>24</v>
      </c>
      <c r="J559" s="46">
        <v>16310</v>
      </c>
      <c r="K559" s="46">
        <v>0</v>
      </c>
      <c r="L559" s="46">
        <v>0</v>
      </c>
      <c r="M559" s="46">
        <f t="shared" si="188"/>
        <v>16310</v>
      </c>
      <c r="N559" s="46" t="s">
        <v>24</v>
      </c>
      <c r="O559" s="48">
        <f t="shared" si="189"/>
        <v>0</v>
      </c>
      <c r="P559" s="46">
        <v>0</v>
      </c>
      <c r="Q559" s="46">
        <v>0</v>
      </c>
      <c r="R559" s="49">
        <f t="shared" si="190"/>
        <v>1</v>
      </c>
      <c r="S559" s="50">
        <f t="shared" si="191"/>
        <v>0.01</v>
      </c>
      <c r="T559" s="49">
        <f t="shared" si="192"/>
        <v>163.1</v>
      </c>
      <c r="U559" s="51">
        <f t="shared" si="193"/>
        <v>0</v>
      </c>
      <c r="V559" s="52">
        <f>IF(0&lt;0.8,0,IF(0&lt;1,Sheet3!L545,1))*IF(G559&lt;3,0.12 - O559,0.01) *U559</f>
        <v>0</v>
      </c>
      <c r="W559" s="52">
        <f t="shared" si="194"/>
        <v>0</v>
      </c>
      <c r="X559" s="53">
        <f t="shared" si="195"/>
        <v>0</v>
      </c>
      <c r="Y559" s="53">
        <f t="shared" si="196"/>
        <v>0</v>
      </c>
      <c r="Z559" s="54">
        <f>IF(R559=1,0,"")</f>
        <v>0</v>
      </c>
      <c r="AA559" s="54">
        <f t="shared" si="198"/>
        <v>0</v>
      </c>
      <c r="AB559" s="55">
        <f>IF(R559=0,"",0)</f>
        <v>0</v>
      </c>
      <c r="AC559" s="55">
        <f t="shared" si="200"/>
        <v>0</v>
      </c>
      <c r="AD559" s="56">
        <f t="shared" si="201"/>
        <v>163.1</v>
      </c>
    </row>
    <row r="560" spans="2:30" ht="23.25" customHeight="1">
      <c r="B560" s="9" t="s">
        <v>5</v>
      </c>
      <c r="C560" s="10" t="s">
        <v>6</v>
      </c>
      <c r="D560" s="10"/>
      <c r="E560" s="11" t="s">
        <v>7</v>
      </c>
      <c r="F560" s="11" t="s">
        <v>8</v>
      </c>
      <c r="G560" s="11" t="s">
        <v>9</v>
      </c>
      <c r="H560" s="11" t="s">
        <v>10</v>
      </c>
      <c r="I560" s="11" t="s">
        <v>11</v>
      </c>
      <c r="J560" s="11" t="s">
        <v>12</v>
      </c>
      <c r="K560" s="11" t="s">
        <v>13</v>
      </c>
      <c r="L560" s="11" t="s">
        <v>14</v>
      </c>
      <c r="M560" s="11" t="s">
        <v>15</v>
      </c>
      <c r="N560" s="11" t="s">
        <v>16</v>
      </c>
      <c r="O560" s="11" t="s">
        <v>17</v>
      </c>
      <c r="P560" s="12" t="s">
        <v>18</v>
      </c>
      <c r="Q560" s="11" t="s">
        <v>19</v>
      </c>
      <c r="R560" s="11"/>
      <c r="S560" s="10" t="s">
        <v>20</v>
      </c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3"/>
    </row>
    <row r="561" spans="2:30">
      <c r="B561" s="14" t="s">
        <v>979</v>
      </c>
      <c r="C561" s="15" t="str">
        <f>"Marco"&amp;" " &amp; "Cheng"</f>
        <v>Marco Cheng</v>
      </c>
      <c r="D561" s="15"/>
      <c r="E561" s="16" t="s">
        <v>314</v>
      </c>
      <c r="F561" s="16" t="s">
        <v>980</v>
      </c>
      <c r="G561" s="17" t="s">
        <v>24</v>
      </c>
      <c r="H561" s="16" t="s">
        <v>981</v>
      </c>
      <c r="I561" s="18">
        <v>0</v>
      </c>
      <c r="J561" s="19">
        <v>30000000000</v>
      </c>
      <c r="K561" s="19">
        <f>IFERROR(IF(N561&lt;4,Q561,SUM(Sheet3!J563:J3747)),0)</f>
        <v>31502113050.400002</v>
      </c>
      <c r="L561" s="20">
        <f>IFERROR(K561/J561,0)</f>
        <v>1.0500704350133334</v>
      </c>
      <c r="M561" s="19">
        <f>IFERROR(IF(OR(N561=3,N561=4),SUM(Sheet3!AD563:AD3747)+AD561,IF(N561=1,0.6%,IF(N561=2,0.65%,IF(N561=3,0.6%,0)))*IF(L561&lt;0.8,0,IF(L561&lt;1,L561,1))*IF(RIGHT("2018-09",2)="03",1,0)),0)</f>
        <v>282102233.63399947</v>
      </c>
      <c r="N561" s="19">
        <v>4</v>
      </c>
      <c r="O561" s="18">
        <f>IF(N561=4,0.5%,IF(N561=5,0.3%,0))</f>
        <v>5.0000000000000001E-3</v>
      </c>
      <c r="P561" s="21">
        <f>IFERROR(SUM(Sheet3!P563:P3747),0)</f>
        <v>384493763</v>
      </c>
      <c r="Q561" s="19">
        <f>SUMIF($G:$G,B561,$K:$K)</f>
        <v>0</v>
      </c>
      <c r="R561" s="22"/>
      <c r="S561" s="23" t="s">
        <v>26</v>
      </c>
      <c r="T561" s="23"/>
      <c r="U561" s="24" t="s">
        <v>27</v>
      </c>
      <c r="V561" s="24"/>
      <c r="W561" s="24"/>
      <c r="X561" s="25" t="s">
        <v>28</v>
      </c>
      <c r="Y561" s="25"/>
      <c r="Z561" s="26" t="s">
        <v>29</v>
      </c>
      <c r="AA561" s="26"/>
      <c r="AB561" s="27" t="s">
        <v>30</v>
      </c>
      <c r="AC561" s="27"/>
      <c r="AD561" s="28">
        <f>IF(IFERROR(SUM(Sheet3!Y563:Y3747)*O561,0)&gt;2000000,2000000,IFERROR(SUM(Sheet3!Y563:Y3747)*O561,0))</f>
        <v>0</v>
      </c>
    </row>
    <row r="562" spans="2:30" ht="25.5">
      <c r="C562" s="29" t="s">
        <v>31</v>
      </c>
      <c r="D562" s="30" t="s">
        <v>32</v>
      </c>
      <c r="E562" s="30"/>
      <c r="F562" s="31" t="s">
        <v>33</v>
      </c>
      <c r="G562" s="31" t="s">
        <v>34</v>
      </c>
      <c r="H562" s="32" t="s">
        <v>35</v>
      </c>
      <c r="I562" s="32" t="s">
        <v>36</v>
      </c>
      <c r="J562" s="31" t="s">
        <v>37</v>
      </c>
      <c r="K562" s="31" t="s">
        <v>38</v>
      </c>
      <c r="L562" s="31" t="s">
        <v>39</v>
      </c>
      <c r="M562" s="31" t="s">
        <v>40</v>
      </c>
      <c r="N562" s="31" t="s">
        <v>41</v>
      </c>
      <c r="O562" s="33" t="s">
        <v>42</v>
      </c>
      <c r="P562" s="32" t="s">
        <v>43</v>
      </c>
      <c r="Q562" s="32" t="s">
        <v>44</v>
      </c>
      <c r="R562" s="34" t="s">
        <v>45</v>
      </c>
      <c r="S562" s="34" t="s">
        <v>46</v>
      </c>
      <c r="T562" s="34" t="s">
        <v>47</v>
      </c>
      <c r="U562" s="35" t="s">
        <v>48</v>
      </c>
      <c r="V562" s="36" t="s">
        <v>47</v>
      </c>
      <c r="W562" s="36" t="s">
        <v>49</v>
      </c>
      <c r="X562" s="37" t="s">
        <v>50</v>
      </c>
      <c r="Y562" s="37" t="s">
        <v>51</v>
      </c>
      <c r="Z562" s="38" t="s">
        <v>48</v>
      </c>
      <c r="AA562" s="39" t="s">
        <v>47</v>
      </c>
      <c r="AB562" s="40" t="s">
        <v>48</v>
      </c>
      <c r="AC562" s="41" t="s">
        <v>47</v>
      </c>
      <c r="AD562" s="42" t="s">
        <v>52</v>
      </c>
    </row>
    <row r="563" spans="2:30">
      <c r="C563" s="43" t="s">
        <v>982</v>
      </c>
      <c r="D563" s="44" t="s">
        <v>983</v>
      </c>
      <c r="E563" s="44"/>
      <c r="F563" s="45">
        <v>41807.673043981478</v>
      </c>
      <c r="G563" s="46">
        <v>51</v>
      </c>
      <c r="H563" s="47">
        <v>43396</v>
      </c>
      <c r="I563" s="47">
        <v>43412</v>
      </c>
      <c r="J563" s="46">
        <v>1879712</v>
      </c>
      <c r="K563" s="46">
        <v>0</v>
      </c>
      <c r="L563" s="46">
        <v>0</v>
      </c>
      <c r="M563" s="46">
        <f t="shared" ref="M563:M626" si="202">IFERROR(J563-K563-L563,0)</f>
        <v>1879712</v>
      </c>
      <c r="N563" s="46">
        <v>2066200</v>
      </c>
      <c r="O563" s="48">
        <f t="shared" ref="O563:O626" si="203">IFERROR(IF(1 - M563/N563&lt;0,0,1-M563/N563),0)</f>
        <v>9.0256509534411E-2</v>
      </c>
      <c r="P563" s="46">
        <v>0</v>
      </c>
      <c r="Q563" s="46">
        <v>1916287</v>
      </c>
      <c r="R563" s="49">
        <f t="shared" ref="R563:R626" si="204">IF(F563&lt;DATEVALUE("2018-07-01"),1,0)</f>
        <v>1</v>
      </c>
      <c r="S563" s="50">
        <f t="shared" ref="S563:S626" si="205">IF(R563=1,1%,0)</f>
        <v>0.01</v>
      </c>
      <c r="T563" s="49">
        <f t="shared" ref="T563:T626" si="206">IFERROR(S563*M563,0)</f>
        <v>18797.12</v>
      </c>
      <c r="U563" s="51">
        <f t="shared" ref="U563:U626" si="207">IF(O563&lt;=0.12,1,0)*(1-R563)*M563</f>
        <v>0</v>
      </c>
      <c r="V563" s="52">
        <f>IF(0&lt;0.8,0,IF(0&lt;1,Sheet3!L561,1))*IF(G563&lt;3,0.12 - O563,0.01) *U563</f>
        <v>0</v>
      </c>
      <c r="W563" s="52">
        <f t="shared" ref="W563:W626" si="208">IF(0&gt;1,IF(0&lt;=1.1,1,IF(0&lt;=1.2,2,IF(0&lt;=1.5,3,5))),0) * 1000000</f>
        <v>0</v>
      </c>
      <c r="X563" s="53">
        <f t="shared" ref="X563:X626" si="209">IF(AND(P563&gt;=150000000,P563&lt;300000000),5000000,IF(AND(P563&gt;=300000000,P563&lt;500000000),10000000,IF(AND(P563&gt;=300000000,P563&lt;500000000),15000000,IF(AND(P563&gt;=500000000,P563&lt;3000000000),20000000,IF(P563&gt;=30000000000,35000000,0))))) * (1-R563)</f>
        <v>0</v>
      </c>
      <c r="Y563" s="53">
        <f t="shared" ref="Y563:Y626" si="210">IFERROR(Q563 * (1-R563),0)</f>
        <v>0</v>
      </c>
      <c r="Z563" s="54">
        <f>IF(R563=1,0,0)</f>
        <v>0</v>
      </c>
      <c r="AA563" s="54">
        <f t="shared" ref="AA563:AA626" si="211">IFERROR((1-R563) * Z563 * 2%,0)</f>
        <v>0</v>
      </c>
      <c r="AB563" s="55">
        <f>IF(R563=0,0,0)</f>
        <v>0</v>
      </c>
      <c r="AC563" s="55">
        <f t="shared" ref="AC563:AC626" si="212">IFERROR(AB563 * (1-R563) * 2%,0)</f>
        <v>0</v>
      </c>
      <c r="AD563" s="56">
        <f t="shared" ref="AD563:AD626" si="213">T563+V563+W563+X563+AA563+AC563</f>
        <v>18797.12</v>
      </c>
    </row>
    <row r="564" spans="2:30">
      <c r="C564" s="43" t="s">
        <v>984</v>
      </c>
      <c r="D564" s="44" t="s">
        <v>985</v>
      </c>
      <c r="E564" s="44"/>
      <c r="F564" s="45">
        <v>43245.273553240739</v>
      </c>
      <c r="G564" s="46">
        <v>4</v>
      </c>
      <c r="H564" s="47" t="s">
        <v>24</v>
      </c>
      <c r="I564" s="47" t="s">
        <v>24</v>
      </c>
      <c r="J564" s="46">
        <v>0</v>
      </c>
      <c r="K564" s="46">
        <v>0</v>
      </c>
      <c r="L564" s="46">
        <v>0</v>
      </c>
      <c r="M564" s="46">
        <f t="shared" si="202"/>
        <v>0</v>
      </c>
      <c r="N564" s="46">
        <v>266459</v>
      </c>
      <c r="O564" s="48">
        <f t="shared" si="203"/>
        <v>1</v>
      </c>
      <c r="P564" s="46">
        <v>0</v>
      </c>
      <c r="Q564" s="46">
        <v>0</v>
      </c>
      <c r="R564" s="49">
        <f t="shared" si="204"/>
        <v>1</v>
      </c>
      <c r="S564" s="50">
        <f t="shared" si="205"/>
        <v>0.01</v>
      </c>
      <c r="T564" s="49">
        <f t="shared" si="206"/>
        <v>0</v>
      </c>
      <c r="U564" s="51">
        <f t="shared" si="207"/>
        <v>0</v>
      </c>
      <c r="V564" s="52">
        <f>IF(0&lt;0.8,0,IF(0&lt;1,Sheet3!L561,1))*IF(G564&lt;3,0.12 - O564,0.01) *U564</f>
        <v>0</v>
      </c>
      <c r="W564" s="52">
        <f t="shared" si="208"/>
        <v>0</v>
      </c>
      <c r="X564" s="53">
        <f t="shared" si="209"/>
        <v>0</v>
      </c>
      <c r="Y564" s="53">
        <f t="shared" si="210"/>
        <v>0</v>
      </c>
      <c r="Z564" s="54">
        <f>IF(R564=1,0,"")</f>
        <v>0</v>
      </c>
      <c r="AA564" s="54">
        <f t="shared" si="211"/>
        <v>0</v>
      </c>
      <c r="AB564" s="55">
        <f>IF(R564=0,"",0)</f>
        <v>0</v>
      </c>
      <c r="AC564" s="55">
        <f t="shared" si="212"/>
        <v>0</v>
      </c>
      <c r="AD564" s="56">
        <f t="shared" si="213"/>
        <v>0</v>
      </c>
    </row>
    <row r="565" spans="2:30">
      <c r="C565" s="43" t="s">
        <v>986</v>
      </c>
      <c r="D565" s="44" t="s">
        <v>987</v>
      </c>
      <c r="E565" s="44"/>
      <c r="F565" s="45">
        <v>41387.4055787037</v>
      </c>
      <c r="G565" s="46">
        <v>65</v>
      </c>
      <c r="H565" s="47">
        <v>43395</v>
      </c>
      <c r="I565" s="47">
        <v>43412</v>
      </c>
      <c r="J565" s="46">
        <v>438735</v>
      </c>
      <c r="K565" s="46">
        <v>0</v>
      </c>
      <c r="L565" s="46">
        <v>0</v>
      </c>
      <c r="M565" s="46">
        <f t="shared" si="202"/>
        <v>438735</v>
      </c>
      <c r="N565" s="46">
        <v>661520</v>
      </c>
      <c r="O565" s="48">
        <f t="shared" si="203"/>
        <v>0.33677742169548919</v>
      </c>
      <c r="P565" s="46">
        <v>0</v>
      </c>
      <c r="Q565" s="46">
        <v>438735</v>
      </c>
      <c r="R565" s="49">
        <f t="shared" si="204"/>
        <v>1</v>
      </c>
      <c r="S565" s="50">
        <f t="shared" si="205"/>
        <v>0.01</v>
      </c>
      <c r="T565" s="49">
        <f t="shared" si="206"/>
        <v>4387.3500000000004</v>
      </c>
      <c r="U565" s="51">
        <f t="shared" si="207"/>
        <v>0</v>
      </c>
      <c r="V565" s="52">
        <f>IF(0&lt;0.8,0,IF(0&lt;1,Sheet3!L561,1))*IF(G565&lt;3,0.12 - O565,0.01) *U565</f>
        <v>0</v>
      </c>
      <c r="W565" s="52">
        <f t="shared" si="208"/>
        <v>0</v>
      </c>
      <c r="X565" s="53">
        <f t="shared" si="209"/>
        <v>0</v>
      </c>
      <c r="Y565" s="53">
        <f t="shared" si="210"/>
        <v>0</v>
      </c>
      <c r="Z565" s="54">
        <f>IF(R565=1,0,0)</f>
        <v>0</v>
      </c>
      <c r="AA565" s="54">
        <f t="shared" si="211"/>
        <v>0</v>
      </c>
      <c r="AB565" s="55">
        <f>IF(R565=0,0,0)</f>
        <v>0</v>
      </c>
      <c r="AC565" s="55">
        <f t="shared" si="212"/>
        <v>0</v>
      </c>
      <c r="AD565" s="56">
        <f t="shared" si="213"/>
        <v>4387.3500000000004</v>
      </c>
    </row>
    <row r="566" spans="2:30">
      <c r="C566" s="43" t="s">
        <v>988</v>
      </c>
      <c r="D566" s="44" t="s">
        <v>989</v>
      </c>
      <c r="E566" s="44"/>
      <c r="F566" s="45">
        <v>42942.326747685183</v>
      </c>
      <c r="G566" s="46">
        <v>14</v>
      </c>
      <c r="H566" s="47">
        <v>43395</v>
      </c>
      <c r="I566" s="47">
        <v>43412</v>
      </c>
      <c r="J566" s="46">
        <v>338635</v>
      </c>
      <c r="K566" s="46">
        <v>0</v>
      </c>
      <c r="L566" s="46">
        <v>0</v>
      </c>
      <c r="M566" s="46">
        <f t="shared" si="202"/>
        <v>338635</v>
      </c>
      <c r="N566" s="46">
        <v>470530</v>
      </c>
      <c r="O566" s="48">
        <f t="shared" si="203"/>
        <v>0.28031156355599007</v>
      </c>
      <c r="P566" s="46">
        <v>0</v>
      </c>
      <c r="Q566" s="46">
        <v>338635</v>
      </c>
      <c r="R566" s="49">
        <f t="shared" si="204"/>
        <v>1</v>
      </c>
      <c r="S566" s="50">
        <f t="shared" si="205"/>
        <v>0.01</v>
      </c>
      <c r="T566" s="49">
        <f t="shared" si="206"/>
        <v>3386.35</v>
      </c>
      <c r="U566" s="51">
        <f t="shared" si="207"/>
        <v>0</v>
      </c>
      <c r="V566" s="52">
        <f>IF(0&lt;0.8,0,IF(0&lt;1,Sheet3!L561,1))*IF(G566&lt;3,0.12 - O566,0.01) *U566</f>
        <v>0</v>
      </c>
      <c r="W566" s="52">
        <f t="shared" si="208"/>
        <v>0</v>
      </c>
      <c r="X566" s="53">
        <f t="shared" si="209"/>
        <v>0</v>
      </c>
      <c r="Y566" s="53">
        <f t="shared" si="210"/>
        <v>0</v>
      </c>
      <c r="Z566" s="54">
        <f>IF(R566=1,0,0)</f>
        <v>0</v>
      </c>
      <c r="AA566" s="54">
        <f t="shared" si="211"/>
        <v>0</v>
      </c>
      <c r="AB566" s="55">
        <f>IF(R566=0,0,0)</f>
        <v>0</v>
      </c>
      <c r="AC566" s="55">
        <f t="shared" si="212"/>
        <v>0</v>
      </c>
      <c r="AD566" s="56">
        <f t="shared" si="213"/>
        <v>3386.35</v>
      </c>
    </row>
    <row r="567" spans="2:30">
      <c r="C567" s="43" t="s">
        <v>990</v>
      </c>
      <c r="D567" s="44" t="s">
        <v>989</v>
      </c>
      <c r="E567" s="44"/>
      <c r="F567" s="45">
        <v>42942.325416666667</v>
      </c>
      <c r="G567" s="46">
        <v>14</v>
      </c>
      <c r="H567" s="47">
        <v>43395</v>
      </c>
      <c r="I567" s="47">
        <v>43412</v>
      </c>
      <c r="J567" s="46">
        <v>233530</v>
      </c>
      <c r="K567" s="46">
        <v>0</v>
      </c>
      <c r="L567" s="46">
        <v>0</v>
      </c>
      <c r="M567" s="46">
        <f t="shared" si="202"/>
        <v>233530</v>
      </c>
      <c r="N567" s="46">
        <v>291244</v>
      </c>
      <c r="O567" s="48">
        <f t="shared" si="203"/>
        <v>0.19816373899548145</v>
      </c>
      <c r="P567" s="46">
        <v>0</v>
      </c>
      <c r="Q567" s="46">
        <v>233530</v>
      </c>
      <c r="R567" s="49">
        <f t="shared" si="204"/>
        <v>1</v>
      </c>
      <c r="S567" s="50">
        <f t="shared" si="205"/>
        <v>0.01</v>
      </c>
      <c r="T567" s="49">
        <f t="shared" si="206"/>
        <v>2335.3000000000002</v>
      </c>
      <c r="U567" s="51">
        <f t="shared" si="207"/>
        <v>0</v>
      </c>
      <c r="V567" s="52">
        <f>IF(0&lt;0.8,0,IF(0&lt;1,Sheet3!L561,1))*IF(G567&lt;3,0.12 - O567,0.01) *U567</f>
        <v>0</v>
      </c>
      <c r="W567" s="52">
        <f t="shared" si="208"/>
        <v>0</v>
      </c>
      <c r="X567" s="53">
        <f t="shared" si="209"/>
        <v>0</v>
      </c>
      <c r="Y567" s="53">
        <f t="shared" si="210"/>
        <v>0</v>
      </c>
      <c r="Z567" s="54">
        <f>IF(R567=1,0,0)</f>
        <v>0</v>
      </c>
      <c r="AA567" s="54">
        <f t="shared" si="211"/>
        <v>0</v>
      </c>
      <c r="AB567" s="55">
        <f>IF(R567=0,0,0)</f>
        <v>0</v>
      </c>
      <c r="AC567" s="55">
        <f t="shared" si="212"/>
        <v>0</v>
      </c>
      <c r="AD567" s="56">
        <f t="shared" si="213"/>
        <v>2335.3000000000002</v>
      </c>
    </row>
    <row r="568" spans="2:30">
      <c r="C568" s="43" t="s">
        <v>991</v>
      </c>
      <c r="D568" s="44" t="s">
        <v>24</v>
      </c>
      <c r="E568" s="44"/>
      <c r="F568" s="45" t="s">
        <v>24</v>
      </c>
      <c r="G568" s="46" t="s">
        <v>24</v>
      </c>
      <c r="H568" s="47" t="s">
        <v>24</v>
      </c>
      <c r="I568" s="47" t="s">
        <v>24</v>
      </c>
      <c r="J568" s="46">
        <v>450120</v>
      </c>
      <c r="K568" s="46">
        <v>0</v>
      </c>
      <c r="L568" s="46">
        <v>0</v>
      </c>
      <c r="M568" s="46">
        <f t="shared" si="202"/>
        <v>450120</v>
      </c>
      <c r="N568" s="46" t="s">
        <v>24</v>
      </c>
      <c r="O568" s="48">
        <f t="shared" si="203"/>
        <v>0</v>
      </c>
      <c r="P568" s="46">
        <v>0</v>
      </c>
      <c r="Q568" s="46">
        <v>0</v>
      </c>
      <c r="R568" s="49">
        <f t="shared" si="204"/>
        <v>0</v>
      </c>
      <c r="S568" s="50">
        <f t="shared" si="205"/>
        <v>0</v>
      </c>
      <c r="T568" s="49">
        <f t="shared" si="206"/>
        <v>0</v>
      </c>
      <c r="U568" s="51">
        <f t="shared" si="207"/>
        <v>450120</v>
      </c>
      <c r="V568" s="52">
        <f>IF(0&lt;0.8,0,IF(0&lt;1,Sheet3!L561,1))*IF(G568&lt;3,0.12 - O568,0.01) *U568</f>
        <v>0</v>
      </c>
      <c r="W568" s="52">
        <f t="shared" si="208"/>
        <v>0</v>
      </c>
      <c r="X568" s="53">
        <f t="shared" si="209"/>
        <v>0</v>
      </c>
      <c r="Y568" s="53">
        <f t="shared" si="210"/>
        <v>0</v>
      </c>
      <c r="Z568" s="54" t="str">
        <f>IF(R568=1,0,"")</f>
        <v/>
      </c>
      <c r="AA568" s="54">
        <f t="shared" si="211"/>
        <v>0</v>
      </c>
      <c r="AB568" s="55" t="str">
        <f>IF(R568=0,"",0)</f>
        <v/>
      </c>
      <c r="AC568" s="55">
        <f t="shared" si="212"/>
        <v>0</v>
      </c>
      <c r="AD568" s="56">
        <f t="shared" si="213"/>
        <v>0</v>
      </c>
    </row>
    <row r="569" spans="2:30">
      <c r="C569" s="43" t="s">
        <v>992</v>
      </c>
      <c r="D569" s="44" t="s">
        <v>993</v>
      </c>
      <c r="E569" s="44"/>
      <c r="F569" s="45">
        <v>43245.274212962962</v>
      </c>
      <c r="G569" s="46">
        <v>4</v>
      </c>
      <c r="H569" s="47" t="s">
        <v>24</v>
      </c>
      <c r="I569" s="47" t="s">
        <v>24</v>
      </c>
      <c r="J569" s="46">
        <v>26620</v>
      </c>
      <c r="K569" s="46">
        <v>26620</v>
      </c>
      <c r="L569" s="46">
        <v>0</v>
      </c>
      <c r="M569" s="46">
        <f t="shared" si="202"/>
        <v>0</v>
      </c>
      <c r="N569" s="46">
        <v>834059</v>
      </c>
      <c r="O569" s="48">
        <f t="shared" si="203"/>
        <v>1</v>
      </c>
      <c r="P569" s="46">
        <v>0</v>
      </c>
      <c r="Q569" s="46">
        <v>0</v>
      </c>
      <c r="R569" s="49">
        <f t="shared" si="204"/>
        <v>1</v>
      </c>
      <c r="S569" s="50">
        <f t="shared" si="205"/>
        <v>0.01</v>
      </c>
      <c r="T569" s="49">
        <f t="shared" si="206"/>
        <v>0</v>
      </c>
      <c r="U569" s="51">
        <f t="shared" si="207"/>
        <v>0</v>
      </c>
      <c r="V569" s="52">
        <f>IF(0&lt;0.8,0,IF(0&lt;1,Sheet3!L561,1))*IF(G569&lt;3,0.12 - O569,0.01) *U569</f>
        <v>0</v>
      </c>
      <c r="W569" s="52">
        <f t="shared" si="208"/>
        <v>0</v>
      </c>
      <c r="X569" s="53">
        <f t="shared" si="209"/>
        <v>0</v>
      </c>
      <c r="Y569" s="53">
        <f t="shared" si="210"/>
        <v>0</v>
      </c>
      <c r="Z569" s="54">
        <f>IF(R569=1,0,"")</f>
        <v>0</v>
      </c>
      <c r="AA569" s="54">
        <f t="shared" si="211"/>
        <v>0</v>
      </c>
      <c r="AB569" s="55">
        <f>IF(R569=0,"",0)</f>
        <v>0</v>
      </c>
      <c r="AC569" s="55">
        <f t="shared" si="212"/>
        <v>0</v>
      </c>
      <c r="AD569" s="56">
        <f t="shared" si="213"/>
        <v>0</v>
      </c>
    </row>
    <row r="570" spans="2:30">
      <c r="C570" s="43" t="s">
        <v>994</v>
      </c>
      <c r="D570" s="44" t="s">
        <v>995</v>
      </c>
      <c r="E570" s="44"/>
      <c r="F570" s="45">
        <v>43316.363449074073</v>
      </c>
      <c r="G570" s="46">
        <v>1</v>
      </c>
      <c r="H570" s="47">
        <v>43404</v>
      </c>
      <c r="I570" s="47">
        <v>43430</v>
      </c>
      <c r="J570" s="46">
        <v>856548</v>
      </c>
      <c r="K570" s="46">
        <v>0</v>
      </c>
      <c r="L570" s="46">
        <v>0</v>
      </c>
      <c r="M570" s="46">
        <f t="shared" si="202"/>
        <v>856548</v>
      </c>
      <c r="N570" s="46">
        <v>966336</v>
      </c>
      <c r="O570" s="48">
        <f t="shared" si="203"/>
        <v>0.11361265646731566</v>
      </c>
      <c r="P570" s="46">
        <v>0</v>
      </c>
      <c r="Q570" s="46">
        <v>0</v>
      </c>
      <c r="R570" s="49">
        <f t="shared" si="204"/>
        <v>0</v>
      </c>
      <c r="S570" s="50">
        <f t="shared" si="205"/>
        <v>0</v>
      </c>
      <c r="T570" s="49">
        <f t="shared" si="206"/>
        <v>0</v>
      </c>
      <c r="U570" s="51">
        <f t="shared" si="207"/>
        <v>856548</v>
      </c>
      <c r="V570" s="52">
        <f>IF(0&lt;0.8,0,IF(0&lt;1,Sheet3!L561,1))*IF(G570&lt;3,0.12 - O570,0.01) *U570</f>
        <v>0</v>
      </c>
      <c r="W570" s="52">
        <f t="shared" si="208"/>
        <v>0</v>
      </c>
      <c r="X570" s="53">
        <f t="shared" si="209"/>
        <v>0</v>
      </c>
      <c r="Y570" s="53">
        <f t="shared" si="210"/>
        <v>0</v>
      </c>
      <c r="Z570" s="54">
        <f t="shared" ref="Z570:Z577" si="214">IF(R570=1,0,0)</f>
        <v>0</v>
      </c>
      <c r="AA570" s="54">
        <f t="shared" si="211"/>
        <v>0</v>
      </c>
      <c r="AB570" s="55">
        <f t="shared" ref="AB570:AB577" si="215">IF(R570=0,0,0)</f>
        <v>0</v>
      </c>
      <c r="AC570" s="55">
        <f t="shared" si="212"/>
        <v>0</v>
      </c>
      <c r="AD570" s="56">
        <f t="shared" si="213"/>
        <v>0</v>
      </c>
    </row>
    <row r="571" spans="2:30">
      <c r="C571" s="43" t="s">
        <v>996</v>
      </c>
      <c r="D571" s="44" t="s">
        <v>997</v>
      </c>
      <c r="E571" s="44"/>
      <c r="F571" s="45">
        <v>41835.416643518518</v>
      </c>
      <c r="G571" s="46">
        <v>50</v>
      </c>
      <c r="H571" s="47">
        <v>43395</v>
      </c>
      <c r="I571" s="47">
        <v>43412</v>
      </c>
      <c r="J571" s="46">
        <v>1601435</v>
      </c>
      <c r="K571" s="46">
        <v>0</v>
      </c>
      <c r="L571" s="46">
        <v>0</v>
      </c>
      <c r="M571" s="46">
        <f t="shared" si="202"/>
        <v>1601435</v>
      </c>
      <c r="N571" s="46">
        <v>1871124</v>
      </c>
      <c r="O571" s="48">
        <f t="shared" si="203"/>
        <v>0.14413208317567405</v>
      </c>
      <c r="P571" s="46">
        <v>0</v>
      </c>
      <c r="Q571" s="46">
        <v>1601435</v>
      </c>
      <c r="R571" s="49">
        <f t="shared" si="204"/>
        <v>1</v>
      </c>
      <c r="S571" s="50">
        <f t="shared" si="205"/>
        <v>0.01</v>
      </c>
      <c r="T571" s="49">
        <f t="shared" si="206"/>
        <v>16014.35</v>
      </c>
      <c r="U571" s="51">
        <f t="shared" si="207"/>
        <v>0</v>
      </c>
      <c r="V571" s="52">
        <f>IF(0&lt;0.8,0,IF(0&lt;1,Sheet3!L561,1))*IF(G571&lt;3,0.12 - O571,0.01) *U571</f>
        <v>0</v>
      </c>
      <c r="W571" s="52">
        <f t="shared" si="208"/>
        <v>0</v>
      </c>
      <c r="X571" s="53">
        <f t="shared" si="209"/>
        <v>0</v>
      </c>
      <c r="Y571" s="53">
        <f t="shared" si="210"/>
        <v>0</v>
      </c>
      <c r="Z571" s="54">
        <f t="shared" si="214"/>
        <v>0</v>
      </c>
      <c r="AA571" s="54">
        <f t="shared" si="211"/>
        <v>0</v>
      </c>
      <c r="AB571" s="55">
        <f t="shared" si="215"/>
        <v>0</v>
      </c>
      <c r="AC571" s="55">
        <f t="shared" si="212"/>
        <v>0</v>
      </c>
      <c r="AD571" s="56">
        <f t="shared" si="213"/>
        <v>16014.35</v>
      </c>
    </row>
    <row r="572" spans="2:30">
      <c r="C572" s="43" t="s">
        <v>998</v>
      </c>
      <c r="D572" s="44" t="s">
        <v>999</v>
      </c>
      <c r="E572" s="44"/>
      <c r="F572" s="45">
        <v>41870.655717592592</v>
      </c>
      <c r="G572" s="46">
        <v>49</v>
      </c>
      <c r="H572" s="47">
        <v>43395</v>
      </c>
      <c r="I572" s="47">
        <v>43412</v>
      </c>
      <c r="J572" s="46">
        <v>803550</v>
      </c>
      <c r="K572" s="46">
        <v>0</v>
      </c>
      <c r="L572" s="46">
        <v>0</v>
      </c>
      <c r="M572" s="46">
        <f t="shared" si="202"/>
        <v>803550</v>
      </c>
      <c r="N572" s="46">
        <v>1084364</v>
      </c>
      <c r="O572" s="48">
        <f t="shared" si="203"/>
        <v>0.25896654628888449</v>
      </c>
      <c r="P572" s="46">
        <v>0</v>
      </c>
      <c r="Q572" s="46">
        <v>803550</v>
      </c>
      <c r="R572" s="49">
        <f t="shared" si="204"/>
        <v>1</v>
      </c>
      <c r="S572" s="50">
        <f t="shared" si="205"/>
        <v>0.01</v>
      </c>
      <c r="T572" s="49">
        <f t="shared" si="206"/>
        <v>8035.5</v>
      </c>
      <c r="U572" s="51">
        <f t="shared" si="207"/>
        <v>0</v>
      </c>
      <c r="V572" s="52">
        <f>IF(0&lt;0.8,0,IF(0&lt;1,Sheet3!L561,1))*IF(G572&lt;3,0.12 - O572,0.01) *U572</f>
        <v>0</v>
      </c>
      <c r="W572" s="52">
        <f t="shared" si="208"/>
        <v>0</v>
      </c>
      <c r="X572" s="53">
        <f t="shared" si="209"/>
        <v>0</v>
      </c>
      <c r="Y572" s="53">
        <f t="shared" si="210"/>
        <v>0</v>
      </c>
      <c r="Z572" s="54">
        <f t="shared" si="214"/>
        <v>0</v>
      </c>
      <c r="AA572" s="54">
        <f t="shared" si="211"/>
        <v>0</v>
      </c>
      <c r="AB572" s="55">
        <f t="shared" si="215"/>
        <v>0</v>
      </c>
      <c r="AC572" s="55">
        <f t="shared" si="212"/>
        <v>0</v>
      </c>
      <c r="AD572" s="56">
        <f t="shared" si="213"/>
        <v>8035.5</v>
      </c>
    </row>
    <row r="573" spans="2:30">
      <c r="C573" s="43" t="s">
        <v>1000</v>
      </c>
      <c r="D573" s="44" t="s">
        <v>1001</v>
      </c>
      <c r="E573" s="44"/>
      <c r="F573" s="45">
        <v>42226.623113425921</v>
      </c>
      <c r="G573" s="46">
        <v>37</v>
      </c>
      <c r="H573" s="47">
        <v>43395</v>
      </c>
      <c r="I573" s="47">
        <v>43412</v>
      </c>
      <c r="J573" s="46">
        <v>287210</v>
      </c>
      <c r="K573" s="46">
        <v>0</v>
      </c>
      <c r="L573" s="46">
        <v>0</v>
      </c>
      <c r="M573" s="46">
        <f t="shared" si="202"/>
        <v>287210</v>
      </c>
      <c r="N573" s="46">
        <v>400232</v>
      </c>
      <c r="O573" s="48">
        <f t="shared" si="203"/>
        <v>0.28239121309640414</v>
      </c>
      <c r="P573" s="46">
        <v>0</v>
      </c>
      <c r="Q573" s="46">
        <v>287210</v>
      </c>
      <c r="R573" s="49">
        <f t="shared" si="204"/>
        <v>1</v>
      </c>
      <c r="S573" s="50">
        <f t="shared" si="205"/>
        <v>0.01</v>
      </c>
      <c r="T573" s="49">
        <f t="shared" si="206"/>
        <v>2872.1</v>
      </c>
      <c r="U573" s="51">
        <f t="shared" si="207"/>
        <v>0</v>
      </c>
      <c r="V573" s="52">
        <f>IF(0&lt;0.8,0,IF(0&lt;1,Sheet3!L561,1))*IF(G573&lt;3,0.12 - O573,0.01) *U573</f>
        <v>0</v>
      </c>
      <c r="W573" s="52">
        <f t="shared" si="208"/>
        <v>0</v>
      </c>
      <c r="X573" s="53">
        <f t="shared" si="209"/>
        <v>0</v>
      </c>
      <c r="Y573" s="53">
        <f t="shared" si="210"/>
        <v>0</v>
      </c>
      <c r="Z573" s="54">
        <f t="shared" si="214"/>
        <v>0</v>
      </c>
      <c r="AA573" s="54">
        <f t="shared" si="211"/>
        <v>0</v>
      </c>
      <c r="AB573" s="55">
        <f t="shared" si="215"/>
        <v>0</v>
      </c>
      <c r="AC573" s="55">
        <f t="shared" si="212"/>
        <v>0</v>
      </c>
      <c r="AD573" s="56">
        <f t="shared" si="213"/>
        <v>2872.1</v>
      </c>
    </row>
    <row r="574" spans="2:30">
      <c r="C574" s="43" t="s">
        <v>1002</v>
      </c>
      <c r="D574" s="44" t="s">
        <v>1003</v>
      </c>
      <c r="E574" s="44"/>
      <c r="F574" s="45">
        <v>42271.405324074076</v>
      </c>
      <c r="G574" s="46">
        <v>36</v>
      </c>
      <c r="H574" s="47">
        <v>43395</v>
      </c>
      <c r="I574" s="47">
        <v>43412</v>
      </c>
      <c r="J574" s="46">
        <v>89348</v>
      </c>
      <c r="K574" s="46">
        <v>0</v>
      </c>
      <c r="L574" s="46">
        <v>0</v>
      </c>
      <c r="M574" s="46">
        <f t="shared" si="202"/>
        <v>89348</v>
      </c>
      <c r="N574" s="46">
        <v>131236</v>
      </c>
      <c r="O574" s="48">
        <f t="shared" si="203"/>
        <v>0.319180712609345</v>
      </c>
      <c r="P574" s="46">
        <v>0</v>
      </c>
      <c r="Q574" s="46">
        <v>89348</v>
      </c>
      <c r="R574" s="49">
        <f t="shared" si="204"/>
        <v>1</v>
      </c>
      <c r="S574" s="50">
        <f t="shared" si="205"/>
        <v>0.01</v>
      </c>
      <c r="T574" s="49">
        <f t="shared" si="206"/>
        <v>893.48</v>
      </c>
      <c r="U574" s="51">
        <f t="shared" si="207"/>
        <v>0</v>
      </c>
      <c r="V574" s="52">
        <f>IF(0&lt;0.8,0,IF(0&lt;1,Sheet3!L561,1))*IF(G574&lt;3,0.12 - O574,0.01) *U574</f>
        <v>0</v>
      </c>
      <c r="W574" s="52">
        <f t="shared" si="208"/>
        <v>0</v>
      </c>
      <c r="X574" s="53">
        <f t="shared" si="209"/>
        <v>0</v>
      </c>
      <c r="Y574" s="53">
        <f t="shared" si="210"/>
        <v>0</v>
      </c>
      <c r="Z574" s="54">
        <f t="shared" si="214"/>
        <v>0</v>
      </c>
      <c r="AA574" s="54">
        <f t="shared" si="211"/>
        <v>0</v>
      </c>
      <c r="AB574" s="55">
        <f t="shared" si="215"/>
        <v>0</v>
      </c>
      <c r="AC574" s="55">
        <f t="shared" si="212"/>
        <v>0</v>
      </c>
      <c r="AD574" s="56">
        <f t="shared" si="213"/>
        <v>893.48</v>
      </c>
    </row>
    <row r="575" spans="2:30">
      <c r="C575" s="43" t="s">
        <v>1004</v>
      </c>
      <c r="D575" s="44" t="s">
        <v>1005</v>
      </c>
      <c r="E575" s="44"/>
      <c r="F575" s="45">
        <v>42388.412835648145</v>
      </c>
      <c r="G575" s="46">
        <v>32</v>
      </c>
      <c r="H575" s="47">
        <v>43395</v>
      </c>
      <c r="I575" s="47">
        <v>43412</v>
      </c>
      <c r="J575" s="46">
        <v>334015</v>
      </c>
      <c r="K575" s="46">
        <v>0</v>
      </c>
      <c r="L575" s="46">
        <v>0</v>
      </c>
      <c r="M575" s="46">
        <f t="shared" si="202"/>
        <v>334015</v>
      </c>
      <c r="N575" s="46">
        <v>474819</v>
      </c>
      <c r="O575" s="48">
        <f t="shared" si="203"/>
        <v>0.29654247197353101</v>
      </c>
      <c r="P575" s="46">
        <v>0</v>
      </c>
      <c r="Q575" s="46">
        <v>334015</v>
      </c>
      <c r="R575" s="49">
        <f t="shared" si="204"/>
        <v>1</v>
      </c>
      <c r="S575" s="50">
        <f t="shared" si="205"/>
        <v>0.01</v>
      </c>
      <c r="T575" s="49">
        <f t="shared" si="206"/>
        <v>3340.15</v>
      </c>
      <c r="U575" s="51">
        <f t="shared" si="207"/>
        <v>0</v>
      </c>
      <c r="V575" s="52">
        <f>IF(0&lt;0.8,0,IF(0&lt;1,Sheet3!L561,1))*IF(G575&lt;3,0.12 - O575,0.01) *U575</f>
        <v>0</v>
      </c>
      <c r="W575" s="52">
        <f t="shared" si="208"/>
        <v>0</v>
      </c>
      <c r="X575" s="53">
        <f t="shared" si="209"/>
        <v>0</v>
      </c>
      <c r="Y575" s="53">
        <f t="shared" si="210"/>
        <v>0</v>
      </c>
      <c r="Z575" s="54">
        <f t="shared" si="214"/>
        <v>0</v>
      </c>
      <c r="AA575" s="54">
        <f t="shared" si="211"/>
        <v>0</v>
      </c>
      <c r="AB575" s="55">
        <f t="shared" si="215"/>
        <v>0</v>
      </c>
      <c r="AC575" s="55">
        <f t="shared" si="212"/>
        <v>0</v>
      </c>
      <c r="AD575" s="56">
        <f t="shared" si="213"/>
        <v>3340.15</v>
      </c>
    </row>
    <row r="576" spans="2:30">
      <c r="C576" s="43" t="s">
        <v>1006</v>
      </c>
      <c r="D576" s="44" t="s">
        <v>1007</v>
      </c>
      <c r="E576" s="44"/>
      <c r="F576" s="45">
        <v>42525.358958333331</v>
      </c>
      <c r="G576" s="46">
        <v>27</v>
      </c>
      <c r="H576" s="47">
        <v>43395</v>
      </c>
      <c r="I576" s="47">
        <v>43412</v>
      </c>
      <c r="J576" s="46">
        <v>1235630</v>
      </c>
      <c r="K576" s="46">
        <v>0</v>
      </c>
      <c r="L576" s="46">
        <v>0</v>
      </c>
      <c r="M576" s="46">
        <f t="shared" si="202"/>
        <v>1235630</v>
      </c>
      <c r="N576" s="46">
        <v>1432993</v>
      </c>
      <c r="O576" s="48">
        <f t="shared" si="203"/>
        <v>0.13772781862856276</v>
      </c>
      <c r="P576" s="46">
        <v>0</v>
      </c>
      <c r="Q576" s="46">
        <v>1235630</v>
      </c>
      <c r="R576" s="49">
        <f t="shared" si="204"/>
        <v>1</v>
      </c>
      <c r="S576" s="50">
        <f t="shared" si="205"/>
        <v>0.01</v>
      </c>
      <c r="T576" s="49">
        <f t="shared" si="206"/>
        <v>12356.300000000001</v>
      </c>
      <c r="U576" s="51">
        <f t="shared" si="207"/>
        <v>0</v>
      </c>
      <c r="V576" s="52">
        <f>IF(0&lt;0.8,0,IF(0&lt;1,Sheet3!L561,1))*IF(G576&lt;3,0.12 - O576,0.01) *U576</f>
        <v>0</v>
      </c>
      <c r="W576" s="52">
        <f t="shared" si="208"/>
        <v>0</v>
      </c>
      <c r="X576" s="53">
        <f t="shared" si="209"/>
        <v>0</v>
      </c>
      <c r="Y576" s="53">
        <f t="shared" si="210"/>
        <v>0</v>
      </c>
      <c r="Z576" s="54">
        <f t="shared" si="214"/>
        <v>0</v>
      </c>
      <c r="AA576" s="54">
        <f t="shared" si="211"/>
        <v>0</v>
      </c>
      <c r="AB576" s="55">
        <f t="shared" si="215"/>
        <v>0</v>
      </c>
      <c r="AC576" s="55">
        <f t="shared" si="212"/>
        <v>0</v>
      </c>
      <c r="AD576" s="56">
        <f t="shared" si="213"/>
        <v>12356.300000000001</v>
      </c>
    </row>
    <row r="577" spans="3:30">
      <c r="C577" s="43" t="s">
        <v>1008</v>
      </c>
      <c r="D577" s="44" t="s">
        <v>1003</v>
      </c>
      <c r="E577" s="44"/>
      <c r="F577" s="45">
        <v>42558.405763888884</v>
      </c>
      <c r="G577" s="46">
        <v>26</v>
      </c>
      <c r="H577" s="47">
        <v>43395</v>
      </c>
      <c r="I577" s="47">
        <v>43412</v>
      </c>
      <c r="J577" s="46">
        <v>617210</v>
      </c>
      <c r="K577" s="46">
        <v>0</v>
      </c>
      <c r="L577" s="46">
        <v>0</v>
      </c>
      <c r="M577" s="46">
        <f t="shared" si="202"/>
        <v>617210</v>
      </c>
      <c r="N577" s="46">
        <v>842282</v>
      </c>
      <c r="O577" s="48">
        <f t="shared" si="203"/>
        <v>0.26721691784936641</v>
      </c>
      <c r="P577" s="46">
        <v>0</v>
      </c>
      <c r="Q577" s="46">
        <v>617210</v>
      </c>
      <c r="R577" s="49">
        <f t="shared" si="204"/>
        <v>1</v>
      </c>
      <c r="S577" s="50">
        <f t="shared" si="205"/>
        <v>0.01</v>
      </c>
      <c r="T577" s="49">
        <f t="shared" si="206"/>
        <v>6172.1</v>
      </c>
      <c r="U577" s="51">
        <f t="shared" si="207"/>
        <v>0</v>
      </c>
      <c r="V577" s="52">
        <f>IF(0&lt;0.8,0,IF(0&lt;1,Sheet3!L561,1))*IF(G577&lt;3,0.12 - O577,0.01) *U577</f>
        <v>0</v>
      </c>
      <c r="W577" s="52">
        <f t="shared" si="208"/>
        <v>0</v>
      </c>
      <c r="X577" s="53">
        <f t="shared" si="209"/>
        <v>0</v>
      </c>
      <c r="Y577" s="53">
        <f t="shared" si="210"/>
        <v>0</v>
      </c>
      <c r="Z577" s="54">
        <f t="shared" si="214"/>
        <v>0</v>
      </c>
      <c r="AA577" s="54">
        <f t="shared" si="211"/>
        <v>0</v>
      </c>
      <c r="AB577" s="55">
        <f t="shared" si="215"/>
        <v>0</v>
      </c>
      <c r="AC577" s="55">
        <f t="shared" si="212"/>
        <v>0</v>
      </c>
      <c r="AD577" s="56">
        <f t="shared" si="213"/>
        <v>6172.1</v>
      </c>
    </row>
    <row r="578" spans="3:30">
      <c r="C578" s="43" t="s">
        <v>1009</v>
      </c>
      <c r="D578" s="44" t="s">
        <v>24</v>
      </c>
      <c r="E578" s="44"/>
      <c r="F578" s="45" t="s">
        <v>24</v>
      </c>
      <c r="G578" s="46" t="s">
        <v>24</v>
      </c>
      <c r="H578" s="47" t="s">
        <v>24</v>
      </c>
      <c r="I578" s="47" t="s">
        <v>24</v>
      </c>
      <c r="J578" s="46">
        <v>1639561</v>
      </c>
      <c r="K578" s="46">
        <v>0</v>
      </c>
      <c r="L578" s="46">
        <v>0</v>
      </c>
      <c r="M578" s="46">
        <f t="shared" si="202"/>
        <v>1639561</v>
      </c>
      <c r="N578" s="46" t="s">
        <v>24</v>
      </c>
      <c r="O578" s="48">
        <f t="shared" si="203"/>
        <v>0</v>
      </c>
      <c r="P578" s="46">
        <v>0</v>
      </c>
      <c r="Q578" s="46">
        <v>0</v>
      </c>
      <c r="R578" s="49">
        <f t="shared" si="204"/>
        <v>0</v>
      </c>
      <c r="S578" s="50">
        <f t="shared" si="205"/>
        <v>0</v>
      </c>
      <c r="T578" s="49">
        <f t="shared" si="206"/>
        <v>0</v>
      </c>
      <c r="U578" s="51">
        <f t="shared" si="207"/>
        <v>1639561</v>
      </c>
      <c r="V578" s="52">
        <f>IF(0&lt;0.8,0,IF(0&lt;1,Sheet3!L561,1))*IF(G578&lt;3,0.12 - O578,0.01) *U578</f>
        <v>0</v>
      </c>
      <c r="W578" s="52">
        <f t="shared" si="208"/>
        <v>0</v>
      </c>
      <c r="X578" s="53">
        <f t="shared" si="209"/>
        <v>0</v>
      </c>
      <c r="Y578" s="53">
        <f t="shared" si="210"/>
        <v>0</v>
      </c>
      <c r="Z578" s="54" t="str">
        <f>IF(R578=1,0,"")</f>
        <v/>
      </c>
      <c r="AA578" s="54">
        <f t="shared" si="211"/>
        <v>0</v>
      </c>
      <c r="AB578" s="55" t="str">
        <f>IF(R578=0,"",0)</f>
        <v/>
      </c>
      <c r="AC578" s="55">
        <f t="shared" si="212"/>
        <v>0</v>
      </c>
      <c r="AD578" s="56">
        <f t="shared" si="213"/>
        <v>0</v>
      </c>
    </row>
    <row r="579" spans="3:30">
      <c r="C579" s="43" t="s">
        <v>1010</v>
      </c>
      <c r="D579" s="44" t="s">
        <v>1011</v>
      </c>
      <c r="E579" s="44"/>
      <c r="F579" s="45">
        <v>42583.163344907407</v>
      </c>
      <c r="G579" s="46">
        <v>25</v>
      </c>
      <c r="H579" s="47">
        <v>43395</v>
      </c>
      <c r="I579" s="47">
        <v>43412</v>
      </c>
      <c r="J579" s="46">
        <v>835120</v>
      </c>
      <c r="K579" s="46">
        <v>0</v>
      </c>
      <c r="L579" s="46">
        <v>0</v>
      </c>
      <c r="M579" s="46">
        <f t="shared" si="202"/>
        <v>835120</v>
      </c>
      <c r="N579" s="46">
        <v>980283</v>
      </c>
      <c r="O579" s="48">
        <f t="shared" si="203"/>
        <v>0.14808274753311035</v>
      </c>
      <c r="P579" s="46">
        <v>0</v>
      </c>
      <c r="Q579" s="46">
        <v>835120</v>
      </c>
      <c r="R579" s="49">
        <f t="shared" si="204"/>
        <v>1</v>
      </c>
      <c r="S579" s="50">
        <f t="shared" si="205"/>
        <v>0.01</v>
      </c>
      <c r="T579" s="49">
        <f t="shared" si="206"/>
        <v>8351.2000000000007</v>
      </c>
      <c r="U579" s="51">
        <f t="shared" si="207"/>
        <v>0</v>
      </c>
      <c r="V579" s="52">
        <f>IF(0&lt;0.8,0,IF(0&lt;1,Sheet3!L561,1))*IF(G579&lt;3,0.12 - O579,0.01) *U579</f>
        <v>0</v>
      </c>
      <c r="W579" s="52">
        <f t="shared" si="208"/>
        <v>0</v>
      </c>
      <c r="X579" s="53">
        <f t="shared" si="209"/>
        <v>0</v>
      </c>
      <c r="Y579" s="53">
        <f t="shared" si="210"/>
        <v>0</v>
      </c>
      <c r="Z579" s="54">
        <f>IF(R579=1,0,0)</f>
        <v>0</v>
      </c>
      <c r="AA579" s="54">
        <f t="shared" si="211"/>
        <v>0</v>
      </c>
      <c r="AB579" s="55">
        <f>IF(R579=0,0,0)</f>
        <v>0</v>
      </c>
      <c r="AC579" s="55">
        <f t="shared" si="212"/>
        <v>0</v>
      </c>
      <c r="AD579" s="56">
        <f t="shared" si="213"/>
        <v>8351.2000000000007</v>
      </c>
    </row>
    <row r="580" spans="3:30">
      <c r="C580" s="43" t="s">
        <v>1012</v>
      </c>
      <c r="D580" s="44" t="s">
        <v>1011</v>
      </c>
      <c r="E580" s="44"/>
      <c r="F580" s="45">
        <v>42843.318541666667</v>
      </c>
      <c r="G580" s="46">
        <v>17</v>
      </c>
      <c r="H580" s="47">
        <v>43395</v>
      </c>
      <c r="I580" s="47">
        <v>43412</v>
      </c>
      <c r="J580" s="46">
        <v>941820</v>
      </c>
      <c r="K580" s="46">
        <v>0</v>
      </c>
      <c r="L580" s="46">
        <v>0</v>
      </c>
      <c r="M580" s="46">
        <f t="shared" si="202"/>
        <v>941820</v>
      </c>
      <c r="N580" s="46">
        <v>1073418</v>
      </c>
      <c r="O580" s="48">
        <f t="shared" si="203"/>
        <v>0.12259716159035905</v>
      </c>
      <c r="P580" s="46">
        <v>0</v>
      </c>
      <c r="Q580" s="46">
        <v>941820</v>
      </c>
      <c r="R580" s="49">
        <f t="shared" si="204"/>
        <v>1</v>
      </c>
      <c r="S580" s="50">
        <f t="shared" si="205"/>
        <v>0.01</v>
      </c>
      <c r="T580" s="49">
        <f t="shared" si="206"/>
        <v>9418.2000000000007</v>
      </c>
      <c r="U580" s="51">
        <f t="shared" si="207"/>
        <v>0</v>
      </c>
      <c r="V580" s="52">
        <f>IF(0&lt;0.8,0,IF(0&lt;1,Sheet3!L561,1))*IF(G580&lt;3,0.12 - O580,0.01) *U580</f>
        <v>0</v>
      </c>
      <c r="W580" s="52">
        <f t="shared" si="208"/>
        <v>0</v>
      </c>
      <c r="X580" s="53">
        <f t="shared" si="209"/>
        <v>0</v>
      </c>
      <c r="Y580" s="53">
        <f t="shared" si="210"/>
        <v>0</v>
      </c>
      <c r="Z580" s="54">
        <f>IF(R580=1,0,0)</f>
        <v>0</v>
      </c>
      <c r="AA580" s="54">
        <f t="shared" si="211"/>
        <v>0</v>
      </c>
      <c r="AB580" s="55">
        <f>IF(R580=0,0,0)</f>
        <v>0</v>
      </c>
      <c r="AC580" s="55">
        <f t="shared" si="212"/>
        <v>0</v>
      </c>
      <c r="AD580" s="56">
        <f t="shared" si="213"/>
        <v>9418.2000000000007</v>
      </c>
    </row>
    <row r="581" spans="3:30">
      <c r="C581" s="43" t="s">
        <v>1013</v>
      </c>
      <c r="D581" s="44" t="s">
        <v>1001</v>
      </c>
      <c r="E581" s="44"/>
      <c r="F581" s="45">
        <v>42867.271782407406</v>
      </c>
      <c r="G581" s="46">
        <v>16</v>
      </c>
      <c r="H581" s="47">
        <v>43395</v>
      </c>
      <c r="I581" s="47">
        <v>43412</v>
      </c>
      <c r="J581" s="46">
        <v>559323</v>
      </c>
      <c r="K581" s="46">
        <v>0</v>
      </c>
      <c r="L581" s="46">
        <v>0</v>
      </c>
      <c r="M581" s="46">
        <f t="shared" si="202"/>
        <v>559323</v>
      </c>
      <c r="N581" s="46">
        <v>654593</v>
      </c>
      <c r="O581" s="48">
        <f t="shared" si="203"/>
        <v>0.14554081696565657</v>
      </c>
      <c r="P581" s="46">
        <v>0</v>
      </c>
      <c r="Q581" s="46">
        <v>559323</v>
      </c>
      <c r="R581" s="49">
        <f t="shared" si="204"/>
        <v>1</v>
      </c>
      <c r="S581" s="50">
        <f t="shared" si="205"/>
        <v>0.01</v>
      </c>
      <c r="T581" s="49">
        <f t="shared" si="206"/>
        <v>5593.2300000000005</v>
      </c>
      <c r="U581" s="51">
        <f t="shared" si="207"/>
        <v>0</v>
      </c>
      <c r="V581" s="52">
        <f>IF(0&lt;0.8,0,IF(0&lt;1,Sheet3!L561,1))*IF(G581&lt;3,0.12 - O581,0.01) *U581</f>
        <v>0</v>
      </c>
      <c r="W581" s="52">
        <f t="shared" si="208"/>
        <v>0</v>
      </c>
      <c r="X581" s="53">
        <f t="shared" si="209"/>
        <v>0</v>
      </c>
      <c r="Y581" s="53">
        <f t="shared" si="210"/>
        <v>0</v>
      </c>
      <c r="Z581" s="54">
        <f>IF(R581=1,0,0)</f>
        <v>0</v>
      </c>
      <c r="AA581" s="54">
        <f t="shared" si="211"/>
        <v>0</v>
      </c>
      <c r="AB581" s="55">
        <f>IF(R581=0,0,0)</f>
        <v>0</v>
      </c>
      <c r="AC581" s="55">
        <f t="shared" si="212"/>
        <v>0</v>
      </c>
      <c r="AD581" s="56">
        <f t="shared" si="213"/>
        <v>5593.2300000000005</v>
      </c>
    </row>
    <row r="582" spans="3:30">
      <c r="C582" s="43" t="s">
        <v>1014</v>
      </c>
      <c r="D582" s="44" t="s">
        <v>1005</v>
      </c>
      <c r="E582" s="44"/>
      <c r="F582" s="45">
        <v>42916.286145833328</v>
      </c>
      <c r="G582" s="46">
        <v>15</v>
      </c>
      <c r="H582" s="47">
        <v>43395</v>
      </c>
      <c r="I582" s="47">
        <v>43412</v>
      </c>
      <c r="J582" s="46">
        <v>567875</v>
      </c>
      <c r="K582" s="46">
        <v>0</v>
      </c>
      <c r="L582" s="46">
        <v>0</v>
      </c>
      <c r="M582" s="46">
        <f t="shared" si="202"/>
        <v>567875</v>
      </c>
      <c r="N582" s="46">
        <v>717297</v>
      </c>
      <c r="O582" s="48">
        <f t="shared" si="203"/>
        <v>0.20831259575880001</v>
      </c>
      <c r="P582" s="46">
        <v>0</v>
      </c>
      <c r="Q582" s="46">
        <v>567875</v>
      </c>
      <c r="R582" s="49">
        <f t="shared" si="204"/>
        <v>1</v>
      </c>
      <c r="S582" s="50">
        <f t="shared" si="205"/>
        <v>0.01</v>
      </c>
      <c r="T582" s="49">
        <f t="shared" si="206"/>
        <v>5678.75</v>
      </c>
      <c r="U582" s="51">
        <f t="shared" si="207"/>
        <v>0</v>
      </c>
      <c r="V582" s="52">
        <f>IF(0&lt;0.8,0,IF(0&lt;1,Sheet3!L561,1))*IF(G582&lt;3,0.12 - O582,0.01) *U582</f>
        <v>0</v>
      </c>
      <c r="W582" s="52">
        <f t="shared" si="208"/>
        <v>0</v>
      </c>
      <c r="X582" s="53">
        <f t="shared" si="209"/>
        <v>0</v>
      </c>
      <c r="Y582" s="53">
        <f t="shared" si="210"/>
        <v>0</v>
      </c>
      <c r="Z582" s="54">
        <f>IF(R582=1,0,0)</f>
        <v>0</v>
      </c>
      <c r="AA582" s="54">
        <f t="shared" si="211"/>
        <v>0</v>
      </c>
      <c r="AB582" s="55">
        <f>IF(R582=0,0,0)</f>
        <v>0</v>
      </c>
      <c r="AC582" s="55">
        <f t="shared" si="212"/>
        <v>0</v>
      </c>
      <c r="AD582" s="56">
        <f t="shared" si="213"/>
        <v>5678.75</v>
      </c>
    </row>
    <row r="583" spans="3:30">
      <c r="C583" s="43" t="s">
        <v>1015</v>
      </c>
      <c r="D583" s="44" t="s">
        <v>1005</v>
      </c>
      <c r="E583" s="44"/>
      <c r="F583" s="45">
        <v>42972.078252314815</v>
      </c>
      <c r="G583" s="46">
        <v>13</v>
      </c>
      <c r="H583" s="47">
        <v>43395</v>
      </c>
      <c r="I583" s="47">
        <v>43412</v>
      </c>
      <c r="J583" s="46">
        <v>104445</v>
      </c>
      <c r="K583" s="46">
        <v>0</v>
      </c>
      <c r="L583" s="46">
        <v>0</v>
      </c>
      <c r="M583" s="46">
        <f t="shared" si="202"/>
        <v>104445</v>
      </c>
      <c r="N583" s="46">
        <v>152533</v>
      </c>
      <c r="O583" s="48">
        <f t="shared" si="203"/>
        <v>0.31526292671094125</v>
      </c>
      <c r="P583" s="46">
        <v>0</v>
      </c>
      <c r="Q583" s="46">
        <v>104445</v>
      </c>
      <c r="R583" s="49">
        <f t="shared" si="204"/>
        <v>1</v>
      </c>
      <c r="S583" s="50">
        <f t="shared" si="205"/>
        <v>0.01</v>
      </c>
      <c r="T583" s="49">
        <f t="shared" si="206"/>
        <v>1044.45</v>
      </c>
      <c r="U583" s="51">
        <f t="shared" si="207"/>
        <v>0</v>
      </c>
      <c r="V583" s="52">
        <f>IF(0&lt;0.8,0,IF(0&lt;1,Sheet3!L561,1))*IF(G583&lt;3,0.12 - O583,0.01) *U583</f>
        <v>0</v>
      </c>
      <c r="W583" s="52">
        <f t="shared" si="208"/>
        <v>0</v>
      </c>
      <c r="X583" s="53">
        <f t="shared" si="209"/>
        <v>0</v>
      </c>
      <c r="Y583" s="53">
        <f t="shared" si="210"/>
        <v>0</v>
      </c>
      <c r="Z583" s="54">
        <f>IF(R583=1,0,0)</f>
        <v>0</v>
      </c>
      <c r="AA583" s="54">
        <f t="shared" si="211"/>
        <v>0</v>
      </c>
      <c r="AB583" s="55">
        <f>IF(R583=0,0,0)</f>
        <v>0</v>
      </c>
      <c r="AC583" s="55">
        <f t="shared" si="212"/>
        <v>0</v>
      </c>
      <c r="AD583" s="56">
        <f t="shared" si="213"/>
        <v>1044.45</v>
      </c>
    </row>
    <row r="584" spans="3:30">
      <c r="C584" s="43" t="s">
        <v>1016</v>
      </c>
      <c r="D584" s="44" t="s">
        <v>24</v>
      </c>
      <c r="E584" s="44"/>
      <c r="F584" s="45" t="s">
        <v>24</v>
      </c>
      <c r="G584" s="46" t="s">
        <v>24</v>
      </c>
      <c r="H584" s="47" t="s">
        <v>24</v>
      </c>
      <c r="I584" s="47" t="s">
        <v>24</v>
      </c>
      <c r="J584" s="46">
        <v>1011076</v>
      </c>
      <c r="K584" s="46">
        <v>0</v>
      </c>
      <c r="L584" s="46">
        <v>0</v>
      </c>
      <c r="M584" s="46">
        <f t="shared" si="202"/>
        <v>1011076</v>
      </c>
      <c r="N584" s="46" t="s">
        <v>24</v>
      </c>
      <c r="O584" s="48">
        <f t="shared" si="203"/>
        <v>0</v>
      </c>
      <c r="P584" s="46">
        <v>0</v>
      </c>
      <c r="Q584" s="46">
        <v>0</v>
      </c>
      <c r="R584" s="49">
        <f t="shared" si="204"/>
        <v>0</v>
      </c>
      <c r="S584" s="50">
        <f t="shared" si="205"/>
        <v>0</v>
      </c>
      <c r="T584" s="49">
        <f t="shared" si="206"/>
        <v>0</v>
      </c>
      <c r="U584" s="51">
        <f t="shared" si="207"/>
        <v>1011076</v>
      </c>
      <c r="V584" s="52">
        <f>IF(0&lt;0.8,0,IF(0&lt;1,Sheet3!L561,1))*IF(G584&lt;3,0.12 - O584,0.01) *U584</f>
        <v>0</v>
      </c>
      <c r="W584" s="52">
        <f t="shared" si="208"/>
        <v>0</v>
      </c>
      <c r="X584" s="53">
        <f t="shared" si="209"/>
        <v>0</v>
      </c>
      <c r="Y584" s="53">
        <f t="shared" si="210"/>
        <v>0</v>
      </c>
      <c r="Z584" s="54" t="str">
        <f>IF(R584=1,0,"")</f>
        <v/>
      </c>
      <c r="AA584" s="54">
        <f t="shared" si="211"/>
        <v>0</v>
      </c>
      <c r="AB584" s="55" t="str">
        <f>IF(R584=0,"",0)</f>
        <v/>
      </c>
      <c r="AC584" s="55">
        <f t="shared" si="212"/>
        <v>0</v>
      </c>
      <c r="AD584" s="56">
        <f t="shared" si="213"/>
        <v>0</v>
      </c>
    </row>
    <row r="585" spans="3:30">
      <c r="C585" s="43" t="s">
        <v>1017</v>
      </c>
      <c r="D585" s="44" t="s">
        <v>1018</v>
      </c>
      <c r="E585" s="44"/>
      <c r="F585" s="45">
        <v>43172.290509259255</v>
      </c>
      <c r="G585" s="46">
        <v>6</v>
      </c>
      <c r="H585" s="47" t="s">
        <v>24</v>
      </c>
      <c r="I585" s="47" t="s">
        <v>24</v>
      </c>
      <c r="J585" s="46">
        <v>3142740</v>
      </c>
      <c r="K585" s="46">
        <v>0</v>
      </c>
      <c r="L585" s="46">
        <v>0</v>
      </c>
      <c r="M585" s="46">
        <f t="shared" si="202"/>
        <v>3142740</v>
      </c>
      <c r="N585" s="46">
        <v>2994515</v>
      </c>
      <c r="O585" s="48">
        <f t="shared" si="203"/>
        <v>0</v>
      </c>
      <c r="P585" s="46">
        <v>0</v>
      </c>
      <c r="Q585" s="46">
        <v>3142740</v>
      </c>
      <c r="R585" s="49">
        <f t="shared" si="204"/>
        <v>1</v>
      </c>
      <c r="S585" s="50">
        <f t="shared" si="205"/>
        <v>0.01</v>
      </c>
      <c r="T585" s="49">
        <f t="shared" si="206"/>
        <v>31427.4</v>
      </c>
      <c r="U585" s="51">
        <f t="shared" si="207"/>
        <v>0</v>
      </c>
      <c r="V585" s="52">
        <f>IF(0&lt;0.8,0,IF(0&lt;1,Sheet3!L561,1))*IF(G585&lt;3,0.12 - O585,0.01) *U585</f>
        <v>0</v>
      </c>
      <c r="W585" s="52">
        <f t="shared" si="208"/>
        <v>0</v>
      </c>
      <c r="X585" s="53">
        <f t="shared" si="209"/>
        <v>0</v>
      </c>
      <c r="Y585" s="53">
        <f t="shared" si="210"/>
        <v>0</v>
      </c>
      <c r="Z585" s="54">
        <f>IF(R585=1,0,0)</f>
        <v>0</v>
      </c>
      <c r="AA585" s="54">
        <f t="shared" si="211"/>
        <v>0</v>
      </c>
      <c r="AB585" s="55">
        <f>IF(R585=0,0,0)</f>
        <v>0</v>
      </c>
      <c r="AC585" s="55">
        <f t="shared" si="212"/>
        <v>0</v>
      </c>
      <c r="AD585" s="56">
        <f t="shared" si="213"/>
        <v>31427.4</v>
      </c>
    </row>
    <row r="586" spans="3:30">
      <c r="C586" s="43" t="s">
        <v>1019</v>
      </c>
      <c r="D586" s="44" t="s">
        <v>1020</v>
      </c>
      <c r="E586" s="44"/>
      <c r="F586" s="45">
        <v>43213.262962962959</v>
      </c>
      <c r="G586" s="46">
        <v>5</v>
      </c>
      <c r="H586" s="47">
        <v>43374</v>
      </c>
      <c r="I586" s="47">
        <v>43395</v>
      </c>
      <c r="J586" s="46">
        <v>97995</v>
      </c>
      <c r="K586" s="46">
        <v>0</v>
      </c>
      <c r="L586" s="46">
        <v>0</v>
      </c>
      <c r="M586" s="46">
        <f t="shared" si="202"/>
        <v>97995</v>
      </c>
      <c r="N586" s="46">
        <v>97995</v>
      </c>
      <c r="O586" s="48">
        <f t="shared" si="203"/>
        <v>0</v>
      </c>
      <c r="P586" s="46">
        <v>0</v>
      </c>
      <c r="Q586" s="46">
        <v>97995</v>
      </c>
      <c r="R586" s="49">
        <f t="shared" si="204"/>
        <v>1</v>
      </c>
      <c r="S586" s="50">
        <f t="shared" si="205"/>
        <v>0.01</v>
      </c>
      <c r="T586" s="49">
        <f t="shared" si="206"/>
        <v>979.95</v>
      </c>
      <c r="U586" s="51">
        <f t="shared" si="207"/>
        <v>0</v>
      </c>
      <c r="V586" s="52">
        <f>IF(0&lt;0.8,0,IF(0&lt;1,Sheet3!L561,1))*IF(G586&lt;3,0.12 - O586,0.01) *U586</f>
        <v>0</v>
      </c>
      <c r="W586" s="52">
        <f t="shared" si="208"/>
        <v>0</v>
      </c>
      <c r="X586" s="53">
        <f t="shared" si="209"/>
        <v>0</v>
      </c>
      <c r="Y586" s="53">
        <f t="shared" si="210"/>
        <v>0</v>
      </c>
      <c r="Z586" s="54">
        <f>IF(R586=1,0,0)</f>
        <v>0</v>
      </c>
      <c r="AA586" s="54">
        <f t="shared" si="211"/>
        <v>0</v>
      </c>
      <c r="AB586" s="55">
        <f>IF(R586=0,0,0)</f>
        <v>0</v>
      </c>
      <c r="AC586" s="55">
        <f t="shared" si="212"/>
        <v>0</v>
      </c>
      <c r="AD586" s="56">
        <f t="shared" si="213"/>
        <v>979.95</v>
      </c>
    </row>
    <row r="587" spans="3:30">
      <c r="C587" s="43" t="s">
        <v>1021</v>
      </c>
      <c r="D587" s="44" t="s">
        <v>1022</v>
      </c>
      <c r="E587" s="44"/>
      <c r="F587" s="45">
        <v>43263.099120370367</v>
      </c>
      <c r="G587" s="46">
        <v>3</v>
      </c>
      <c r="H587" s="47">
        <v>43374</v>
      </c>
      <c r="I587" s="47">
        <v>43439</v>
      </c>
      <c r="J587" s="46">
        <v>455463</v>
      </c>
      <c r="K587" s="46">
        <v>0</v>
      </c>
      <c r="L587" s="46">
        <v>0</v>
      </c>
      <c r="M587" s="46">
        <f t="shared" si="202"/>
        <v>455463</v>
      </c>
      <c r="N587" s="46">
        <v>455463</v>
      </c>
      <c r="O587" s="48">
        <f t="shared" si="203"/>
        <v>0</v>
      </c>
      <c r="P587" s="46">
        <v>0</v>
      </c>
      <c r="Q587" s="46">
        <v>0</v>
      </c>
      <c r="R587" s="49">
        <f t="shared" si="204"/>
        <v>1</v>
      </c>
      <c r="S587" s="50">
        <f t="shared" si="205"/>
        <v>0.01</v>
      </c>
      <c r="T587" s="49">
        <f t="shared" si="206"/>
        <v>4554.63</v>
      </c>
      <c r="U587" s="51">
        <f t="shared" si="207"/>
        <v>0</v>
      </c>
      <c r="V587" s="52">
        <f>IF(0&lt;0.8,0,IF(0&lt;1,Sheet3!L561,1))*IF(G587&lt;3,0.12 - O587,0.01) *U587</f>
        <v>0</v>
      </c>
      <c r="W587" s="52">
        <f t="shared" si="208"/>
        <v>0</v>
      </c>
      <c r="X587" s="53">
        <f t="shared" si="209"/>
        <v>0</v>
      </c>
      <c r="Y587" s="53">
        <f t="shared" si="210"/>
        <v>0</v>
      </c>
      <c r="Z587" s="54">
        <f>IF(R587=1,0,0)</f>
        <v>0</v>
      </c>
      <c r="AA587" s="54">
        <f t="shared" si="211"/>
        <v>0</v>
      </c>
      <c r="AB587" s="55">
        <f>IF(R587=0,0,0)</f>
        <v>0</v>
      </c>
      <c r="AC587" s="55">
        <f t="shared" si="212"/>
        <v>0</v>
      </c>
      <c r="AD587" s="56">
        <f t="shared" si="213"/>
        <v>4554.63</v>
      </c>
    </row>
    <row r="588" spans="3:30">
      <c r="C588" s="43" t="s">
        <v>1023</v>
      </c>
      <c r="D588" s="44" t="s">
        <v>1024</v>
      </c>
      <c r="E588" s="44"/>
      <c r="F588" s="45">
        <v>43245.275462962964</v>
      </c>
      <c r="G588" s="46">
        <v>4</v>
      </c>
      <c r="H588" s="47" t="s">
        <v>24</v>
      </c>
      <c r="I588" s="47" t="s">
        <v>24</v>
      </c>
      <c r="J588" s="46">
        <v>13310</v>
      </c>
      <c r="K588" s="46">
        <v>13310</v>
      </c>
      <c r="L588" s="46">
        <v>0</v>
      </c>
      <c r="M588" s="46">
        <f t="shared" si="202"/>
        <v>0</v>
      </c>
      <c r="N588" s="46">
        <v>5775809</v>
      </c>
      <c r="O588" s="48">
        <f t="shared" si="203"/>
        <v>1</v>
      </c>
      <c r="P588" s="46">
        <v>0</v>
      </c>
      <c r="Q588" s="46">
        <v>0</v>
      </c>
      <c r="R588" s="49">
        <f t="shared" si="204"/>
        <v>1</v>
      </c>
      <c r="S588" s="50">
        <f t="shared" si="205"/>
        <v>0.01</v>
      </c>
      <c r="T588" s="49">
        <f t="shared" si="206"/>
        <v>0</v>
      </c>
      <c r="U588" s="51">
        <f t="shared" si="207"/>
        <v>0</v>
      </c>
      <c r="V588" s="52">
        <f>IF(0&lt;0.8,0,IF(0&lt;1,Sheet3!L561,1))*IF(G588&lt;3,0.12 - O588,0.01) *U588</f>
        <v>0</v>
      </c>
      <c r="W588" s="52">
        <f t="shared" si="208"/>
        <v>0</v>
      </c>
      <c r="X588" s="53">
        <f t="shared" si="209"/>
        <v>0</v>
      </c>
      <c r="Y588" s="53">
        <f t="shared" si="210"/>
        <v>0</v>
      </c>
      <c r="Z588" s="54">
        <f>IF(R588=1,0,"")</f>
        <v>0</v>
      </c>
      <c r="AA588" s="54">
        <f t="shared" si="211"/>
        <v>0</v>
      </c>
      <c r="AB588" s="55">
        <f>IF(R588=0,"",0)</f>
        <v>0</v>
      </c>
      <c r="AC588" s="55">
        <f t="shared" si="212"/>
        <v>0</v>
      </c>
      <c r="AD588" s="56">
        <f t="shared" si="213"/>
        <v>0</v>
      </c>
    </row>
    <row r="589" spans="3:30">
      <c r="C589" s="43" t="s">
        <v>1025</v>
      </c>
      <c r="D589" s="44" t="s">
        <v>995</v>
      </c>
      <c r="E589" s="44"/>
      <c r="F589" s="45">
        <v>43316.369629629626</v>
      </c>
      <c r="G589" s="46">
        <v>1</v>
      </c>
      <c r="H589" s="47">
        <v>43404</v>
      </c>
      <c r="I589" s="47">
        <v>43430</v>
      </c>
      <c r="J589" s="46">
        <v>2594863</v>
      </c>
      <c r="K589" s="46">
        <v>0</v>
      </c>
      <c r="L589" s="46">
        <v>0</v>
      </c>
      <c r="M589" s="46">
        <f t="shared" si="202"/>
        <v>2594863</v>
      </c>
      <c r="N589" s="46">
        <v>2869255</v>
      </c>
      <c r="O589" s="48">
        <f t="shared" si="203"/>
        <v>9.5631792921855974E-2</v>
      </c>
      <c r="P589" s="46">
        <v>0</v>
      </c>
      <c r="Q589" s="46">
        <v>0</v>
      </c>
      <c r="R589" s="49">
        <f t="shared" si="204"/>
        <v>0</v>
      </c>
      <c r="S589" s="50">
        <f t="shared" si="205"/>
        <v>0</v>
      </c>
      <c r="T589" s="49">
        <f t="shared" si="206"/>
        <v>0</v>
      </c>
      <c r="U589" s="51">
        <f t="shared" si="207"/>
        <v>2594863</v>
      </c>
      <c r="V589" s="52">
        <f>IF(0&lt;0.8,0,IF(0&lt;1,Sheet3!L561,1))*IF(G589&lt;3,0.12 - O589,0.01) *U589</f>
        <v>0</v>
      </c>
      <c r="W589" s="52">
        <f t="shared" si="208"/>
        <v>0</v>
      </c>
      <c r="X589" s="53">
        <f t="shared" si="209"/>
        <v>0</v>
      </c>
      <c r="Y589" s="53">
        <f t="shared" si="210"/>
        <v>0</v>
      </c>
      <c r="Z589" s="54">
        <f t="shared" ref="Z589:Z652" si="216">IF(R589=1,0,0)</f>
        <v>0</v>
      </c>
      <c r="AA589" s="54">
        <f t="shared" si="211"/>
        <v>0</v>
      </c>
      <c r="AB589" s="55">
        <f t="shared" ref="AB589:AB638" si="217">IF(R589=0,0,0)</f>
        <v>0</v>
      </c>
      <c r="AC589" s="55">
        <f t="shared" si="212"/>
        <v>0</v>
      </c>
      <c r="AD589" s="56">
        <f t="shared" si="213"/>
        <v>0</v>
      </c>
    </row>
    <row r="590" spans="3:30">
      <c r="C590" s="43" t="s">
        <v>1026</v>
      </c>
      <c r="D590" s="44" t="s">
        <v>995</v>
      </c>
      <c r="E590" s="44"/>
      <c r="F590" s="45">
        <v>43316.383680555555</v>
      </c>
      <c r="G590" s="46">
        <v>1</v>
      </c>
      <c r="H590" s="47">
        <v>43404</v>
      </c>
      <c r="I590" s="47">
        <v>43430</v>
      </c>
      <c r="J590" s="46">
        <v>1049379</v>
      </c>
      <c r="K590" s="46">
        <v>0</v>
      </c>
      <c r="L590" s="46">
        <v>0</v>
      </c>
      <c r="M590" s="46">
        <f t="shared" si="202"/>
        <v>1049379</v>
      </c>
      <c r="N590" s="46">
        <v>996442</v>
      </c>
      <c r="O590" s="48">
        <f t="shared" si="203"/>
        <v>0</v>
      </c>
      <c r="P590" s="46">
        <v>0</v>
      </c>
      <c r="Q590" s="46">
        <v>0</v>
      </c>
      <c r="R590" s="49">
        <f t="shared" si="204"/>
        <v>0</v>
      </c>
      <c r="S590" s="50">
        <f t="shared" si="205"/>
        <v>0</v>
      </c>
      <c r="T590" s="49">
        <f t="shared" si="206"/>
        <v>0</v>
      </c>
      <c r="U590" s="51">
        <f t="shared" si="207"/>
        <v>1049379</v>
      </c>
      <c r="V590" s="52">
        <f>IF(0&lt;0.8,0,IF(0&lt;1,Sheet3!L561,1))*IF(G590&lt;3,0.12 - O590,0.01) *U590</f>
        <v>0</v>
      </c>
      <c r="W590" s="52">
        <f t="shared" si="208"/>
        <v>0</v>
      </c>
      <c r="X590" s="53">
        <f t="shared" si="209"/>
        <v>0</v>
      </c>
      <c r="Y590" s="53">
        <f t="shared" si="210"/>
        <v>0</v>
      </c>
      <c r="Z590" s="54">
        <f t="shared" si="216"/>
        <v>0</v>
      </c>
      <c r="AA590" s="54">
        <f t="shared" si="211"/>
        <v>0</v>
      </c>
      <c r="AB590" s="55">
        <f t="shared" si="217"/>
        <v>0</v>
      </c>
      <c r="AC590" s="55">
        <f t="shared" si="212"/>
        <v>0</v>
      </c>
      <c r="AD590" s="56">
        <f t="shared" si="213"/>
        <v>0</v>
      </c>
    </row>
    <row r="591" spans="3:30">
      <c r="C591" s="43" t="s">
        <v>1027</v>
      </c>
      <c r="D591" s="44" t="s">
        <v>1028</v>
      </c>
      <c r="E591" s="44"/>
      <c r="F591" s="45">
        <v>38960.633668981478</v>
      </c>
      <c r="G591" s="46">
        <v>145</v>
      </c>
      <c r="H591" s="47">
        <v>43372</v>
      </c>
      <c r="I591" s="47">
        <v>43416</v>
      </c>
      <c r="J591" s="46">
        <v>428000</v>
      </c>
      <c r="K591" s="46">
        <v>0</v>
      </c>
      <c r="L591" s="46">
        <v>0</v>
      </c>
      <c r="M591" s="46">
        <f t="shared" si="202"/>
        <v>428000</v>
      </c>
      <c r="N591" s="46">
        <v>416431</v>
      </c>
      <c r="O591" s="48">
        <f t="shared" si="203"/>
        <v>0</v>
      </c>
      <c r="P591" s="46">
        <v>0</v>
      </c>
      <c r="Q591" s="46">
        <v>428000</v>
      </c>
      <c r="R591" s="49">
        <f t="shared" si="204"/>
        <v>1</v>
      </c>
      <c r="S591" s="50">
        <f t="shared" si="205"/>
        <v>0.01</v>
      </c>
      <c r="T591" s="49">
        <f t="shared" si="206"/>
        <v>4280</v>
      </c>
      <c r="U591" s="51">
        <f t="shared" si="207"/>
        <v>0</v>
      </c>
      <c r="V591" s="52">
        <f>IF(0&lt;0.8,0,IF(0&lt;1,Sheet3!L561,1))*IF(G591&lt;3,0.12 - O591,0.01) *U591</f>
        <v>0</v>
      </c>
      <c r="W591" s="52">
        <f t="shared" si="208"/>
        <v>0</v>
      </c>
      <c r="X591" s="53">
        <f t="shared" si="209"/>
        <v>0</v>
      </c>
      <c r="Y591" s="53">
        <f t="shared" si="210"/>
        <v>0</v>
      </c>
      <c r="Z591" s="54">
        <f t="shared" si="216"/>
        <v>0</v>
      </c>
      <c r="AA591" s="54">
        <f t="shared" si="211"/>
        <v>0</v>
      </c>
      <c r="AB591" s="55">
        <f t="shared" si="217"/>
        <v>0</v>
      </c>
      <c r="AC591" s="55">
        <f t="shared" si="212"/>
        <v>0</v>
      </c>
      <c r="AD591" s="56">
        <f t="shared" si="213"/>
        <v>4280</v>
      </c>
    </row>
    <row r="592" spans="3:30">
      <c r="C592" s="43" t="s">
        <v>1029</v>
      </c>
      <c r="D592" s="44" t="s">
        <v>1030</v>
      </c>
      <c r="E592" s="44"/>
      <c r="F592" s="45">
        <v>38960.633680555555</v>
      </c>
      <c r="G592" s="46">
        <v>145</v>
      </c>
      <c r="H592" s="47">
        <v>43372</v>
      </c>
      <c r="I592" s="47">
        <v>43391</v>
      </c>
      <c r="J592" s="46">
        <v>454401</v>
      </c>
      <c r="K592" s="46">
        <v>0</v>
      </c>
      <c r="L592" s="46">
        <v>0</v>
      </c>
      <c r="M592" s="46">
        <f t="shared" si="202"/>
        <v>454401</v>
      </c>
      <c r="N592" s="46">
        <v>454401</v>
      </c>
      <c r="O592" s="48">
        <f t="shared" si="203"/>
        <v>0</v>
      </c>
      <c r="P592" s="46">
        <v>0</v>
      </c>
      <c r="Q592" s="46">
        <v>454401</v>
      </c>
      <c r="R592" s="49">
        <f t="shared" si="204"/>
        <v>1</v>
      </c>
      <c r="S592" s="50">
        <f t="shared" si="205"/>
        <v>0.01</v>
      </c>
      <c r="T592" s="49">
        <f t="shared" si="206"/>
        <v>4544.01</v>
      </c>
      <c r="U592" s="51">
        <f t="shared" si="207"/>
        <v>0</v>
      </c>
      <c r="V592" s="52">
        <f>IF(0&lt;0.8,0,IF(0&lt;1,Sheet3!L561,1))*IF(G592&lt;3,0.12 - O592,0.01) *U592</f>
        <v>0</v>
      </c>
      <c r="W592" s="52">
        <f t="shared" si="208"/>
        <v>0</v>
      </c>
      <c r="X592" s="53">
        <f t="shared" si="209"/>
        <v>0</v>
      </c>
      <c r="Y592" s="53">
        <f t="shared" si="210"/>
        <v>0</v>
      </c>
      <c r="Z592" s="54">
        <f t="shared" si="216"/>
        <v>0</v>
      </c>
      <c r="AA592" s="54">
        <f t="shared" si="211"/>
        <v>0</v>
      </c>
      <c r="AB592" s="55">
        <f t="shared" si="217"/>
        <v>0</v>
      </c>
      <c r="AC592" s="55">
        <f t="shared" si="212"/>
        <v>0</v>
      </c>
      <c r="AD592" s="56">
        <f t="shared" si="213"/>
        <v>4544.01</v>
      </c>
    </row>
    <row r="593" spans="3:30">
      <c r="C593" s="43" t="s">
        <v>1031</v>
      </c>
      <c r="D593" s="44" t="s">
        <v>1032</v>
      </c>
      <c r="E593" s="44"/>
      <c r="F593" s="45">
        <v>38960.633703703701</v>
      </c>
      <c r="G593" s="46">
        <v>145</v>
      </c>
      <c r="H593" s="47">
        <v>43372</v>
      </c>
      <c r="I593" s="47">
        <v>43397</v>
      </c>
      <c r="J593" s="46">
        <v>17132381</v>
      </c>
      <c r="K593" s="46">
        <v>0</v>
      </c>
      <c r="L593" s="46">
        <v>0</v>
      </c>
      <c r="M593" s="46">
        <f t="shared" si="202"/>
        <v>17132381</v>
      </c>
      <c r="N593" s="46">
        <v>17132435</v>
      </c>
      <c r="O593" s="48">
        <f t="shared" si="203"/>
        <v>3.1519162337900752E-6</v>
      </c>
      <c r="P593" s="46">
        <v>0</v>
      </c>
      <c r="Q593" s="46">
        <v>17132381</v>
      </c>
      <c r="R593" s="49">
        <f t="shared" si="204"/>
        <v>1</v>
      </c>
      <c r="S593" s="50">
        <f t="shared" si="205"/>
        <v>0.01</v>
      </c>
      <c r="T593" s="49">
        <f t="shared" si="206"/>
        <v>171323.81</v>
      </c>
      <c r="U593" s="51">
        <f t="shared" si="207"/>
        <v>0</v>
      </c>
      <c r="V593" s="52">
        <f>IF(0&lt;0.8,0,IF(0&lt;1,Sheet3!L561,1))*IF(G593&lt;3,0.12 - O593,0.01) *U593</f>
        <v>0</v>
      </c>
      <c r="W593" s="52">
        <f t="shared" si="208"/>
        <v>0</v>
      </c>
      <c r="X593" s="53">
        <f t="shared" si="209"/>
        <v>0</v>
      </c>
      <c r="Y593" s="53">
        <f t="shared" si="210"/>
        <v>0</v>
      </c>
      <c r="Z593" s="54">
        <f t="shared" si="216"/>
        <v>0</v>
      </c>
      <c r="AA593" s="54">
        <f t="shared" si="211"/>
        <v>0</v>
      </c>
      <c r="AB593" s="55">
        <f t="shared" si="217"/>
        <v>0</v>
      </c>
      <c r="AC593" s="55">
        <f t="shared" si="212"/>
        <v>0</v>
      </c>
      <c r="AD593" s="56">
        <f t="shared" si="213"/>
        <v>171323.81</v>
      </c>
    </row>
    <row r="594" spans="3:30">
      <c r="C594" s="43" t="s">
        <v>1033</v>
      </c>
      <c r="D594" s="44" t="s">
        <v>1034</v>
      </c>
      <c r="E594" s="44"/>
      <c r="F594" s="45">
        <v>39349.687048611107</v>
      </c>
      <c r="G594" s="46">
        <v>132</v>
      </c>
      <c r="H594" s="47">
        <v>43404</v>
      </c>
      <c r="I594" s="47">
        <v>43382</v>
      </c>
      <c r="J594" s="46">
        <v>2507533</v>
      </c>
      <c r="K594" s="46">
        <v>370864</v>
      </c>
      <c r="L594" s="46">
        <v>0</v>
      </c>
      <c r="M594" s="46">
        <f t="shared" si="202"/>
        <v>2136669</v>
      </c>
      <c r="N594" s="46">
        <v>3346703</v>
      </c>
      <c r="O594" s="48">
        <f t="shared" si="203"/>
        <v>0.36156001892011336</v>
      </c>
      <c r="P594" s="46">
        <v>0</v>
      </c>
      <c r="Q594" s="46">
        <v>2136888</v>
      </c>
      <c r="R594" s="49">
        <f t="shared" si="204"/>
        <v>1</v>
      </c>
      <c r="S594" s="50">
        <f t="shared" si="205"/>
        <v>0.01</v>
      </c>
      <c r="T594" s="49">
        <f t="shared" si="206"/>
        <v>21366.69</v>
      </c>
      <c r="U594" s="51">
        <f t="shared" si="207"/>
        <v>0</v>
      </c>
      <c r="V594" s="52">
        <f>IF(0&lt;0.8,0,IF(0&lt;1,Sheet3!L561,1))*IF(G594&lt;3,0.12 - O594,0.01) *U594</f>
        <v>0</v>
      </c>
      <c r="W594" s="52">
        <f t="shared" si="208"/>
        <v>0</v>
      </c>
      <c r="X594" s="53">
        <f t="shared" si="209"/>
        <v>0</v>
      </c>
      <c r="Y594" s="53">
        <f t="shared" si="210"/>
        <v>0</v>
      </c>
      <c r="Z594" s="54">
        <f t="shared" si="216"/>
        <v>0</v>
      </c>
      <c r="AA594" s="54">
        <f t="shared" si="211"/>
        <v>0</v>
      </c>
      <c r="AB594" s="55">
        <f t="shared" si="217"/>
        <v>0</v>
      </c>
      <c r="AC594" s="55">
        <f t="shared" si="212"/>
        <v>0</v>
      </c>
      <c r="AD594" s="56">
        <f t="shared" si="213"/>
        <v>21366.69</v>
      </c>
    </row>
    <row r="595" spans="3:30">
      <c r="C595" s="43" t="s">
        <v>1035</v>
      </c>
      <c r="D595" s="44" t="s">
        <v>1036</v>
      </c>
      <c r="E595" s="44"/>
      <c r="F595" s="45">
        <v>39422.65519675926</v>
      </c>
      <c r="G595" s="46">
        <v>129</v>
      </c>
      <c r="H595" s="47">
        <v>43372</v>
      </c>
      <c r="I595" s="47">
        <v>43404</v>
      </c>
      <c r="J595" s="46">
        <v>339608</v>
      </c>
      <c r="K595" s="46">
        <v>0</v>
      </c>
      <c r="L595" s="46">
        <v>0</v>
      </c>
      <c r="M595" s="46">
        <f t="shared" si="202"/>
        <v>339608</v>
      </c>
      <c r="N595" s="46">
        <v>339608</v>
      </c>
      <c r="O595" s="48">
        <f t="shared" si="203"/>
        <v>0</v>
      </c>
      <c r="P595" s="46">
        <v>0</v>
      </c>
      <c r="Q595" s="46">
        <v>339608</v>
      </c>
      <c r="R595" s="49">
        <f t="shared" si="204"/>
        <v>1</v>
      </c>
      <c r="S595" s="50">
        <f t="shared" si="205"/>
        <v>0.01</v>
      </c>
      <c r="T595" s="49">
        <f t="shared" si="206"/>
        <v>3396.08</v>
      </c>
      <c r="U595" s="51">
        <f t="shared" si="207"/>
        <v>0</v>
      </c>
      <c r="V595" s="52">
        <f>IF(0&lt;0.8,0,IF(0&lt;1,Sheet3!L561,1))*IF(G595&lt;3,0.12 - O595,0.01) *U595</f>
        <v>0</v>
      </c>
      <c r="W595" s="52">
        <f t="shared" si="208"/>
        <v>0</v>
      </c>
      <c r="X595" s="53">
        <f t="shared" si="209"/>
        <v>0</v>
      </c>
      <c r="Y595" s="53">
        <f t="shared" si="210"/>
        <v>0</v>
      </c>
      <c r="Z595" s="54">
        <f t="shared" si="216"/>
        <v>0</v>
      </c>
      <c r="AA595" s="54">
        <f t="shared" si="211"/>
        <v>0</v>
      </c>
      <c r="AB595" s="55">
        <f t="shared" si="217"/>
        <v>0</v>
      </c>
      <c r="AC595" s="55">
        <f t="shared" si="212"/>
        <v>0</v>
      </c>
      <c r="AD595" s="56">
        <f t="shared" si="213"/>
        <v>3396.08</v>
      </c>
    </row>
    <row r="596" spans="3:30">
      <c r="C596" s="43" t="s">
        <v>1037</v>
      </c>
      <c r="D596" s="44" t="s">
        <v>1038</v>
      </c>
      <c r="E596" s="44"/>
      <c r="F596" s="45">
        <v>39465.609942129631</v>
      </c>
      <c r="G596" s="46">
        <v>128</v>
      </c>
      <c r="H596" s="47">
        <v>43372</v>
      </c>
      <c r="I596" s="47">
        <v>43385</v>
      </c>
      <c r="J596" s="46">
        <v>305587</v>
      </c>
      <c r="K596" s="46">
        <v>0</v>
      </c>
      <c r="L596" s="46">
        <v>0</v>
      </c>
      <c r="M596" s="46">
        <f t="shared" si="202"/>
        <v>305587</v>
      </c>
      <c r="N596" s="46">
        <v>305587</v>
      </c>
      <c r="O596" s="48">
        <f t="shared" si="203"/>
        <v>0</v>
      </c>
      <c r="P596" s="46">
        <v>0</v>
      </c>
      <c r="Q596" s="46">
        <v>305587</v>
      </c>
      <c r="R596" s="49">
        <f t="shared" si="204"/>
        <v>1</v>
      </c>
      <c r="S596" s="50">
        <f t="shared" si="205"/>
        <v>0.01</v>
      </c>
      <c r="T596" s="49">
        <f t="shared" si="206"/>
        <v>3055.87</v>
      </c>
      <c r="U596" s="51">
        <f t="shared" si="207"/>
        <v>0</v>
      </c>
      <c r="V596" s="52">
        <f>IF(0&lt;0.8,0,IF(0&lt;1,Sheet3!L561,1))*IF(G596&lt;3,0.12 - O596,0.01) *U596</f>
        <v>0</v>
      </c>
      <c r="W596" s="52">
        <f t="shared" si="208"/>
        <v>0</v>
      </c>
      <c r="X596" s="53">
        <f t="shared" si="209"/>
        <v>0</v>
      </c>
      <c r="Y596" s="53">
        <f t="shared" si="210"/>
        <v>0</v>
      </c>
      <c r="Z596" s="54">
        <f t="shared" si="216"/>
        <v>0</v>
      </c>
      <c r="AA596" s="54">
        <f t="shared" si="211"/>
        <v>0</v>
      </c>
      <c r="AB596" s="55">
        <f t="shared" si="217"/>
        <v>0</v>
      </c>
      <c r="AC596" s="55">
        <f t="shared" si="212"/>
        <v>0</v>
      </c>
      <c r="AD596" s="56">
        <f t="shared" si="213"/>
        <v>3055.87</v>
      </c>
    </row>
    <row r="597" spans="3:30">
      <c r="C597" s="43" t="s">
        <v>1039</v>
      </c>
      <c r="D597" s="44" t="s">
        <v>1040</v>
      </c>
      <c r="E597" s="44"/>
      <c r="F597" s="45">
        <v>39476.439270833333</v>
      </c>
      <c r="G597" s="46">
        <v>128</v>
      </c>
      <c r="H597" s="47">
        <v>43372</v>
      </c>
      <c r="I597" s="47">
        <v>43385</v>
      </c>
      <c r="J597" s="46">
        <v>162216</v>
      </c>
      <c r="K597" s="46">
        <v>0</v>
      </c>
      <c r="L597" s="46">
        <v>0</v>
      </c>
      <c r="M597" s="46">
        <f t="shared" si="202"/>
        <v>162216</v>
      </c>
      <c r="N597" s="46">
        <v>162216</v>
      </c>
      <c r="O597" s="48">
        <f t="shared" si="203"/>
        <v>0</v>
      </c>
      <c r="P597" s="46">
        <v>0</v>
      </c>
      <c r="Q597" s="46">
        <v>162216</v>
      </c>
      <c r="R597" s="49">
        <f t="shared" si="204"/>
        <v>1</v>
      </c>
      <c r="S597" s="50">
        <f t="shared" si="205"/>
        <v>0.01</v>
      </c>
      <c r="T597" s="49">
        <f t="shared" si="206"/>
        <v>1622.16</v>
      </c>
      <c r="U597" s="51">
        <f t="shared" si="207"/>
        <v>0</v>
      </c>
      <c r="V597" s="52">
        <f>IF(0&lt;0.8,0,IF(0&lt;1,Sheet3!L561,1))*IF(G597&lt;3,0.12 - O597,0.01) *U597</f>
        <v>0</v>
      </c>
      <c r="W597" s="52">
        <f t="shared" si="208"/>
        <v>0</v>
      </c>
      <c r="X597" s="53">
        <f t="shared" si="209"/>
        <v>0</v>
      </c>
      <c r="Y597" s="53">
        <f t="shared" si="210"/>
        <v>0</v>
      </c>
      <c r="Z597" s="54">
        <f t="shared" si="216"/>
        <v>0</v>
      </c>
      <c r="AA597" s="54">
        <f t="shared" si="211"/>
        <v>0</v>
      </c>
      <c r="AB597" s="55">
        <f t="shared" si="217"/>
        <v>0</v>
      </c>
      <c r="AC597" s="55">
        <f t="shared" si="212"/>
        <v>0</v>
      </c>
      <c r="AD597" s="56">
        <f t="shared" si="213"/>
        <v>1622.16</v>
      </c>
    </row>
    <row r="598" spans="3:30">
      <c r="C598" s="43" t="s">
        <v>1041</v>
      </c>
      <c r="D598" s="44" t="s">
        <v>1042</v>
      </c>
      <c r="E598" s="44"/>
      <c r="F598" s="45">
        <v>39611.613483796296</v>
      </c>
      <c r="G598" s="46">
        <v>123</v>
      </c>
      <c r="H598" s="47">
        <v>43372</v>
      </c>
      <c r="I598" s="47">
        <v>43411</v>
      </c>
      <c r="J598" s="46">
        <v>17373083</v>
      </c>
      <c r="K598" s="46">
        <v>0</v>
      </c>
      <c r="L598" s="46">
        <v>0</v>
      </c>
      <c r="M598" s="46">
        <f t="shared" si="202"/>
        <v>17373083</v>
      </c>
      <c r="N598" s="46">
        <v>17385482</v>
      </c>
      <c r="O598" s="48">
        <f t="shared" si="203"/>
        <v>7.1318126238895108E-4</v>
      </c>
      <c r="P598" s="46">
        <v>0</v>
      </c>
      <c r="Q598" s="46">
        <v>17373083</v>
      </c>
      <c r="R598" s="49">
        <f t="shared" si="204"/>
        <v>1</v>
      </c>
      <c r="S598" s="50">
        <f t="shared" si="205"/>
        <v>0.01</v>
      </c>
      <c r="T598" s="49">
        <f t="shared" si="206"/>
        <v>173730.83000000002</v>
      </c>
      <c r="U598" s="51">
        <f t="shared" si="207"/>
        <v>0</v>
      </c>
      <c r="V598" s="52">
        <f>IF(0&lt;0.8,0,IF(0&lt;1,Sheet3!L561,1))*IF(G598&lt;3,0.12 - O598,0.01) *U598</f>
        <v>0</v>
      </c>
      <c r="W598" s="52">
        <f t="shared" si="208"/>
        <v>0</v>
      </c>
      <c r="X598" s="53">
        <f t="shared" si="209"/>
        <v>0</v>
      </c>
      <c r="Y598" s="53">
        <f t="shared" si="210"/>
        <v>0</v>
      </c>
      <c r="Z598" s="54">
        <f t="shared" si="216"/>
        <v>0</v>
      </c>
      <c r="AA598" s="54">
        <f t="shared" si="211"/>
        <v>0</v>
      </c>
      <c r="AB598" s="55">
        <f t="shared" si="217"/>
        <v>0</v>
      </c>
      <c r="AC598" s="55">
        <f t="shared" si="212"/>
        <v>0</v>
      </c>
      <c r="AD598" s="56">
        <f t="shared" si="213"/>
        <v>173730.83000000002</v>
      </c>
    </row>
    <row r="599" spans="3:30">
      <c r="C599" s="43" t="s">
        <v>1043</v>
      </c>
      <c r="D599" s="44" t="s">
        <v>1044</v>
      </c>
      <c r="E599" s="44"/>
      <c r="F599" s="45">
        <v>39611.61918981481</v>
      </c>
      <c r="G599" s="46">
        <v>123</v>
      </c>
      <c r="H599" s="47">
        <v>43372</v>
      </c>
      <c r="I599" s="47">
        <v>43398</v>
      </c>
      <c r="J599" s="46">
        <v>1731609</v>
      </c>
      <c r="K599" s="46">
        <v>0</v>
      </c>
      <c r="L599" s="46">
        <v>0</v>
      </c>
      <c r="M599" s="46">
        <f t="shared" si="202"/>
        <v>1731609</v>
      </c>
      <c r="N599" s="46">
        <v>1731616</v>
      </c>
      <c r="O599" s="48">
        <f t="shared" si="203"/>
        <v>4.0424666900573669E-6</v>
      </c>
      <c r="P599" s="46">
        <v>0</v>
      </c>
      <c r="Q599" s="46">
        <v>1731609</v>
      </c>
      <c r="R599" s="49">
        <f t="shared" si="204"/>
        <v>1</v>
      </c>
      <c r="S599" s="50">
        <f t="shared" si="205"/>
        <v>0.01</v>
      </c>
      <c r="T599" s="49">
        <f t="shared" si="206"/>
        <v>17316.09</v>
      </c>
      <c r="U599" s="51">
        <f t="shared" si="207"/>
        <v>0</v>
      </c>
      <c r="V599" s="52">
        <f>IF(0&lt;0.8,0,IF(0&lt;1,Sheet3!L561,1))*IF(G599&lt;3,0.12 - O599,0.01) *U599</f>
        <v>0</v>
      </c>
      <c r="W599" s="52">
        <f t="shared" si="208"/>
        <v>0</v>
      </c>
      <c r="X599" s="53">
        <f t="shared" si="209"/>
        <v>0</v>
      </c>
      <c r="Y599" s="53">
        <f t="shared" si="210"/>
        <v>0</v>
      </c>
      <c r="Z599" s="54">
        <f t="shared" si="216"/>
        <v>0</v>
      </c>
      <c r="AA599" s="54">
        <f t="shared" si="211"/>
        <v>0</v>
      </c>
      <c r="AB599" s="55">
        <f t="shared" si="217"/>
        <v>0</v>
      </c>
      <c r="AC599" s="55">
        <f t="shared" si="212"/>
        <v>0</v>
      </c>
      <c r="AD599" s="56">
        <f t="shared" si="213"/>
        <v>17316.09</v>
      </c>
    </row>
    <row r="600" spans="3:30">
      <c r="C600" s="43" t="s">
        <v>1045</v>
      </c>
      <c r="D600" s="44" t="s">
        <v>1046</v>
      </c>
      <c r="E600" s="44"/>
      <c r="F600" s="45">
        <v>39664.584988425922</v>
      </c>
      <c r="G600" s="46">
        <v>121</v>
      </c>
      <c r="H600" s="47">
        <v>43404</v>
      </c>
      <c r="I600" s="47">
        <v>43419</v>
      </c>
      <c r="J600" s="46">
        <v>43891</v>
      </c>
      <c r="K600" s="46">
        <v>0</v>
      </c>
      <c r="L600" s="46">
        <v>0</v>
      </c>
      <c r="M600" s="46">
        <f t="shared" si="202"/>
        <v>43891</v>
      </c>
      <c r="N600" s="46">
        <v>43891</v>
      </c>
      <c r="O600" s="48">
        <f t="shared" si="203"/>
        <v>0</v>
      </c>
      <c r="P600" s="46">
        <v>0</v>
      </c>
      <c r="Q600" s="46">
        <v>43891</v>
      </c>
      <c r="R600" s="49">
        <f t="shared" si="204"/>
        <v>1</v>
      </c>
      <c r="S600" s="50">
        <f t="shared" si="205"/>
        <v>0.01</v>
      </c>
      <c r="T600" s="49">
        <f t="shared" si="206"/>
        <v>438.91</v>
      </c>
      <c r="U600" s="51">
        <f t="shared" si="207"/>
        <v>0</v>
      </c>
      <c r="V600" s="52">
        <f>IF(0&lt;0.8,0,IF(0&lt;1,Sheet3!L561,1))*IF(G600&lt;3,0.12 - O600,0.01) *U600</f>
        <v>0</v>
      </c>
      <c r="W600" s="52">
        <f t="shared" si="208"/>
        <v>0</v>
      </c>
      <c r="X600" s="53">
        <f t="shared" si="209"/>
        <v>0</v>
      </c>
      <c r="Y600" s="53">
        <f t="shared" si="210"/>
        <v>0</v>
      </c>
      <c r="Z600" s="54">
        <f t="shared" si="216"/>
        <v>0</v>
      </c>
      <c r="AA600" s="54">
        <f t="shared" si="211"/>
        <v>0</v>
      </c>
      <c r="AB600" s="55">
        <f t="shared" si="217"/>
        <v>0</v>
      </c>
      <c r="AC600" s="55">
        <f t="shared" si="212"/>
        <v>0</v>
      </c>
      <c r="AD600" s="56">
        <f t="shared" si="213"/>
        <v>438.91</v>
      </c>
    </row>
    <row r="601" spans="3:30">
      <c r="C601" s="43" t="s">
        <v>1047</v>
      </c>
      <c r="D601" s="44" t="s">
        <v>1048</v>
      </c>
      <c r="E601" s="44"/>
      <c r="F601" s="45">
        <v>39864.461562500001</v>
      </c>
      <c r="G601" s="46">
        <v>115</v>
      </c>
      <c r="H601" s="47">
        <v>43372</v>
      </c>
      <c r="I601" s="47">
        <v>43404</v>
      </c>
      <c r="J601" s="46">
        <v>235449</v>
      </c>
      <c r="K601" s="46">
        <v>0</v>
      </c>
      <c r="L601" s="46">
        <v>0</v>
      </c>
      <c r="M601" s="46">
        <f t="shared" si="202"/>
        <v>235449</v>
      </c>
      <c r="N601" s="46">
        <v>235449</v>
      </c>
      <c r="O601" s="48">
        <f t="shared" si="203"/>
        <v>0</v>
      </c>
      <c r="P601" s="46">
        <v>0</v>
      </c>
      <c r="Q601" s="46">
        <v>235449</v>
      </c>
      <c r="R601" s="49">
        <f t="shared" si="204"/>
        <v>1</v>
      </c>
      <c r="S601" s="50">
        <f t="shared" si="205"/>
        <v>0.01</v>
      </c>
      <c r="T601" s="49">
        <f t="shared" si="206"/>
        <v>2354.4900000000002</v>
      </c>
      <c r="U601" s="51">
        <f t="shared" si="207"/>
        <v>0</v>
      </c>
      <c r="V601" s="52">
        <f>IF(0&lt;0.8,0,IF(0&lt;1,Sheet3!L561,1))*IF(G601&lt;3,0.12 - O601,0.01) *U601</f>
        <v>0</v>
      </c>
      <c r="W601" s="52">
        <f t="shared" si="208"/>
        <v>0</v>
      </c>
      <c r="X601" s="53">
        <f t="shared" si="209"/>
        <v>0</v>
      </c>
      <c r="Y601" s="53">
        <f t="shared" si="210"/>
        <v>0</v>
      </c>
      <c r="Z601" s="54">
        <f t="shared" si="216"/>
        <v>0</v>
      </c>
      <c r="AA601" s="54">
        <f t="shared" si="211"/>
        <v>0</v>
      </c>
      <c r="AB601" s="55">
        <f t="shared" si="217"/>
        <v>0</v>
      </c>
      <c r="AC601" s="55">
        <f t="shared" si="212"/>
        <v>0</v>
      </c>
      <c r="AD601" s="56">
        <f t="shared" si="213"/>
        <v>2354.4900000000002</v>
      </c>
    </row>
    <row r="602" spans="3:30">
      <c r="C602" s="43" t="s">
        <v>1049</v>
      </c>
      <c r="D602" s="44" t="s">
        <v>1050</v>
      </c>
      <c r="E602" s="44"/>
      <c r="F602" s="45">
        <v>40002.428541666668</v>
      </c>
      <c r="G602" s="46">
        <v>110</v>
      </c>
      <c r="H602" s="47">
        <v>43372</v>
      </c>
      <c r="I602" s="47">
        <v>43385</v>
      </c>
      <c r="J602" s="46">
        <v>127371</v>
      </c>
      <c r="K602" s="46">
        <v>0</v>
      </c>
      <c r="L602" s="46">
        <v>0</v>
      </c>
      <c r="M602" s="46">
        <f t="shared" si="202"/>
        <v>127371</v>
      </c>
      <c r="N602" s="46">
        <v>127371</v>
      </c>
      <c r="O602" s="48">
        <f t="shared" si="203"/>
        <v>0</v>
      </c>
      <c r="P602" s="46">
        <v>0</v>
      </c>
      <c r="Q602" s="46">
        <v>127371</v>
      </c>
      <c r="R602" s="49">
        <f t="shared" si="204"/>
        <v>1</v>
      </c>
      <c r="S602" s="50">
        <f t="shared" si="205"/>
        <v>0.01</v>
      </c>
      <c r="T602" s="49">
        <f t="shared" si="206"/>
        <v>1273.71</v>
      </c>
      <c r="U602" s="51">
        <f t="shared" si="207"/>
        <v>0</v>
      </c>
      <c r="V602" s="52">
        <f>IF(0&lt;0.8,0,IF(0&lt;1,Sheet3!L561,1))*IF(G602&lt;3,0.12 - O602,0.01) *U602</f>
        <v>0</v>
      </c>
      <c r="W602" s="52">
        <f t="shared" si="208"/>
        <v>0</v>
      </c>
      <c r="X602" s="53">
        <f t="shared" si="209"/>
        <v>0</v>
      </c>
      <c r="Y602" s="53">
        <f t="shared" si="210"/>
        <v>0</v>
      </c>
      <c r="Z602" s="54">
        <f t="shared" si="216"/>
        <v>0</v>
      </c>
      <c r="AA602" s="54">
        <f t="shared" si="211"/>
        <v>0</v>
      </c>
      <c r="AB602" s="55">
        <f t="shared" si="217"/>
        <v>0</v>
      </c>
      <c r="AC602" s="55">
        <f t="shared" si="212"/>
        <v>0</v>
      </c>
      <c r="AD602" s="56">
        <f t="shared" si="213"/>
        <v>1273.71</v>
      </c>
    </row>
    <row r="603" spans="3:30">
      <c r="C603" s="43" t="s">
        <v>1051</v>
      </c>
      <c r="D603" s="44" t="s">
        <v>1052</v>
      </c>
      <c r="E603" s="44"/>
      <c r="F603" s="45">
        <v>40196.458379629628</v>
      </c>
      <c r="G603" s="46">
        <v>104</v>
      </c>
      <c r="H603" s="47">
        <v>43372</v>
      </c>
      <c r="I603" s="47">
        <v>43397</v>
      </c>
      <c r="J603" s="46">
        <v>2524662</v>
      </c>
      <c r="K603" s="46">
        <v>0</v>
      </c>
      <c r="L603" s="46">
        <v>0</v>
      </c>
      <c r="M603" s="46">
        <f t="shared" si="202"/>
        <v>2524662</v>
      </c>
      <c r="N603" s="46">
        <v>2524655</v>
      </c>
      <c r="O603" s="48">
        <f t="shared" si="203"/>
        <v>0</v>
      </c>
      <c r="P603" s="46">
        <v>0</v>
      </c>
      <c r="Q603" s="46">
        <v>2524662</v>
      </c>
      <c r="R603" s="49">
        <f t="shared" si="204"/>
        <v>1</v>
      </c>
      <c r="S603" s="50">
        <f t="shared" si="205"/>
        <v>0.01</v>
      </c>
      <c r="T603" s="49">
        <f t="shared" si="206"/>
        <v>25246.62</v>
      </c>
      <c r="U603" s="51">
        <f t="shared" si="207"/>
        <v>0</v>
      </c>
      <c r="V603" s="52">
        <f>IF(0&lt;0.8,0,IF(0&lt;1,Sheet3!L561,1))*IF(G603&lt;3,0.12 - O603,0.01) *U603</f>
        <v>0</v>
      </c>
      <c r="W603" s="52">
        <f t="shared" si="208"/>
        <v>0</v>
      </c>
      <c r="X603" s="53">
        <f t="shared" si="209"/>
        <v>0</v>
      </c>
      <c r="Y603" s="53">
        <f t="shared" si="210"/>
        <v>0</v>
      </c>
      <c r="Z603" s="54">
        <f t="shared" si="216"/>
        <v>0</v>
      </c>
      <c r="AA603" s="54">
        <f t="shared" si="211"/>
        <v>0</v>
      </c>
      <c r="AB603" s="55">
        <f t="shared" si="217"/>
        <v>0</v>
      </c>
      <c r="AC603" s="55">
        <f t="shared" si="212"/>
        <v>0</v>
      </c>
      <c r="AD603" s="56">
        <f t="shared" si="213"/>
        <v>25246.62</v>
      </c>
    </row>
    <row r="604" spans="3:30">
      <c r="C604" s="43" t="s">
        <v>1053</v>
      </c>
      <c r="D604" s="44" t="s">
        <v>1054</v>
      </c>
      <c r="E604" s="44"/>
      <c r="F604" s="45">
        <v>40191.340150462958</v>
      </c>
      <c r="G604" s="46">
        <v>104</v>
      </c>
      <c r="H604" s="47">
        <v>43372</v>
      </c>
      <c r="I604" s="47">
        <v>43404</v>
      </c>
      <c r="J604" s="46">
        <v>320189</v>
      </c>
      <c r="K604" s="46">
        <v>0</v>
      </c>
      <c r="L604" s="46">
        <v>0</v>
      </c>
      <c r="M604" s="46">
        <f t="shared" si="202"/>
        <v>320189</v>
      </c>
      <c r="N604" s="46">
        <v>320189</v>
      </c>
      <c r="O604" s="48">
        <f t="shared" si="203"/>
        <v>0</v>
      </c>
      <c r="P604" s="46">
        <v>0</v>
      </c>
      <c r="Q604" s="46">
        <v>320189</v>
      </c>
      <c r="R604" s="49">
        <f t="shared" si="204"/>
        <v>1</v>
      </c>
      <c r="S604" s="50">
        <f t="shared" si="205"/>
        <v>0.01</v>
      </c>
      <c r="T604" s="49">
        <f t="shared" si="206"/>
        <v>3201.89</v>
      </c>
      <c r="U604" s="51">
        <f t="shared" si="207"/>
        <v>0</v>
      </c>
      <c r="V604" s="52">
        <f>IF(0&lt;0.8,0,IF(0&lt;1,Sheet3!L561,1))*IF(G604&lt;3,0.12 - O604,0.01) *U604</f>
        <v>0</v>
      </c>
      <c r="W604" s="52">
        <f t="shared" si="208"/>
        <v>0</v>
      </c>
      <c r="X604" s="53">
        <f t="shared" si="209"/>
        <v>0</v>
      </c>
      <c r="Y604" s="53">
        <f t="shared" si="210"/>
        <v>0</v>
      </c>
      <c r="Z604" s="54">
        <f t="shared" si="216"/>
        <v>0</v>
      </c>
      <c r="AA604" s="54">
        <f t="shared" si="211"/>
        <v>0</v>
      </c>
      <c r="AB604" s="55">
        <f t="shared" si="217"/>
        <v>0</v>
      </c>
      <c r="AC604" s="55">
        <f t="shared" si="212"/>
        <v>0</v>
      </c>
      <c r="AD604" s="56">
        <f t="shared" si="213"/>
        <v>3201.89</v>
      </c>
    </row>
    <row r="605" spans="3:30">
      <c r="C605" s="43" t="s">
        <v>1055</v>
      </c>
      <c r="D605" s="44" t="s">
        <v>1056</v>
      </c>
      <c r="E605" s="44"/>
      <c r="F605" s="45">
        <v>40210.414166666662</v>
      </c>
      <c r="G605" s="46">
        <v>103</v>
      </c>
      <c r="H605" s="47">
        <v>43372</v>
      </c>
      <c r="I605" s="47">
        <v>43404</v>
      </c>
      <c r="J605" s="46">
        <v>251634</v>
      </c>
      <c r="K605" s="46">
        <v>0</v>
      </c>
      <c r="L605" s="46">
        <v>0</v>
      </c>
      <c r="M605" s="46">
        <f t="shared" si="202"/>
        <v>251634</v>
      </c>
      <c r="N605" s="46">
        <v>255024</v>
      </c>
      <c r="O605" s="48">
        <f t="shared" si="203"/>
        <v>1.3292866553736071E-2</v>
      </c>
      <c r="P605" s="46">
        <v>0</v>
      </c>
      <c r="Q605" s="46">
        <v>251634</v>
      </c>
      <c r="R605" s="49">
        <f t="shared" si="204"/>
        <v>1</v>
      </c>
      <c r="S605" s="50">
        <f t="shared" si="205"/>
        <v>0.01</v>
      </c>
      <c r="T605" s="49">
        <f t="shared" si="206"/>
        <v>2516.34</v>
      </c>
      <c r="U605" s="51">
        <f t="shared" si="207"/>
        <v>0</v>
      </c>
      <c r="V605" s="52">
        <f>IF(0&lt;0.8,0,IF(0&lt;1,Sheet3!L561,1))*IF(G605&lt;3,0.12 - O605,0.01) *U605</f>
        <v>0</v>
      </c>
      <c r="W605" s="52">
        <f t="shared" si="208"/>
        <v>0</v>
      </c>
      <c r="X605" s="53">
        <f t="shared" si="209"/>
        <v>0</v>
      </c>
      <c r="Y605" s="53">
        <f t="shared" si="210"/>
        <v>0</v>
      </c>
      <c r="Z605" s="54">
        <f t="shared" si="216"/>
        <v>0</v>
      </c>
      <c r="AA605" s="54">
        <f t="shared" si="211"/>
        <v>0</v>
      </c>
      <c r="AB605" s="55">
        <f t="shared" si="217"/>
        <v>0</v>
      </c>
      <c r="AC605" s="55">
        <f t="shared" si="212"/>
        <v>0</v>
      </c>
      <c r="AD605" s="56">
        <f t="shared" si="213"/>
        <v>2516.34</v>
      </c>
    </row>
    <row r="606" spans="3:30">
      <c r="C606" s="43" t="s">
        <v>1057</v>
      </c>
      <c r="D606" s="44" t="s">
        <v>1058</v>
      </c>
      <c r="E606" s="44"/>
      <c r="F606" s="45">
        <v>40550.392106481479</v>
      </c>
      <c r="G606" s="46">
        <v>92</v>
      </c>
      <c r="H606" s="47">
        <v>43372</v>
      </c>
      <c r="I606" s="47">
        <v>43404</v>
      </c>
      <c r="J606" s="46">
        <v>140481</v>
      </c>
      <c r="K606" s="46">
        <v>0</v>
      </c>
      <c r="L606" s="46">
        <v>0</v>
      </c>
      <c r="M606" s="46">
        <f t="shared" si="202"/>
        <v>140481</v>
      </c>
      <c r="N606" s="46">
        <v>140481</v>
      </c>
      <c r="O606" s="48">
        <f t="shared" si="203"/>
        <v>0</v>
      </c>
      <c r="P606" s="46">
        <v>0</v>
      </c>
      <c r="Q606" s="46">
        <v>140481</v>
      </c>
      <c r="R606" s="49">
        <f t="shared" si="204"/>
        <v>1</v>
      </c>
      <c r="S606" s="50">
        <f t="shared" si="205"/>
        <v>0.01</v>
      </c>
      <c r="T606" s="49">
        <f t="shared" si="206"/>
        <v>1404.81</v>
      </c>
      <c r="U606" s="51">
        <f t="shared" si="207"/>
        <v>0</v>
      </c>
      <c r="V606" s="52">
        <f>IF(0&lt;0.8,0,IF(0&lt;1,Sheet3!L561,1))*IF(G606&lt;3,0.12 - O606,0.01) *U606</f>
        <v>0</v>
      </c>
      <c r="W606" s="52">
        <f t="shared" si="208"/>
        <v>0</v>
      </c>
      <c r="X606" s="53">
        <f t="shared" si="209"/>
        <v>0</v>
      </c>
      <c r="Y606" s="53">
        <f t="shared" si="210"/>
        <v>0</v>
      </c>
      <c r="Z606" s="54">
        <f t="shared" si="216"/>
        <v>0</v>
      </c>
      <c r="AA606" s="54">
        <f t="shared" si="211"/>
        <v>0</v>
      </c>
      <c r="AB606" s="55">
        <f t="shared" si="217"/>
        <v>0</v>
      </c>
      <c r="AC606" s="55">
        <f t="shared" si="212"/>
        <v>0</v>
      </c>
      <c r="AD606" s="56">
        <f t="shared" si="213"/>
        <v>1404.81</v>
      </c>
    </row>
    <row r="607" spans="3:30">
      <c r="C607" s="43" t="s">
        <v>1059</v>
      </c>
      <c r="D607" s="44" t="s">
        <v>1060</v>
      </c>
      <c r="E607" s="44"/>
      <c r="F607" s="45">
        <v>40563.666296296295</v>
      </c>
      <c r="G607" s="46">
        <v>92</v>
      </c>
      <c r="H607" s="47">
        <v>43372</v>
      </c>
      <c r="I607" s="47">
        <v>43404</v>
      </c>
      <c r="J607" s="46">
        <v>641164</v>
      </c>
      <c r="K607" s="46">
        <v>0</v>
      </c>
      <c r="L607" s="46">
        <v>0</v>
      </c>
      <c r="M607" s="46">
        <f t="shared" si="202"/>
        <v>641164</v>
      </c>
      <c r="N607" s="46">
        <v>641164</v>
      </c>
      <c r="O607" s="48">
        <f t="shared" si="203"/>
        <v>0</v>
      </c>
      <c r="P607" s="46">
        <v>0</v>
      </c>
      <c r="Q607" s="46">
        <v>641164</v>
      </c>
      <c r="R607" s="49">
        <f t="shared" si="204"/>
        <v>1</v>
      </c>
      <c r="S607" s="50">
        <f t="shared" si="205"/>
        <v>0.01</v>
      </c>
      <c r="T607" s="49">
        <f t="shared" si="206"/>
        <v>6411.64</v>
      </c>
      <c r="U607" s="51">
        <f t="shared" si="207"/>
        <v>0</v>
      </c>
      <c r="V607" s="52">
        <f>IF(0&lt;0.8,0,IF(0&lt;1,Sheet3!L561,1))*IF(G607&lt;3,0.12 - O607,0.01) *U607</f>
        <v>0</v>
      </c>
      <c r="W607" s="52">
        <f t="shared" si="208"/>
        <v>0</v>
      </c>
      <c r="X607" s="53">
        <f t="shared" si="209"/>
        <v>0</v>
      </c>
      <c r="Y607" s="53">
        <f t="shared" si="210"/>
        <v>0</v>
      </c>
      <c r="Z607" s="54">
        <f t="shared" si="216"/>
        <v>0</v>
      </c>
      <c r="AA607" s="54">
        <f t="shared" si="211"/>
        <v>0</v>
      </c>
      <c r="AB607" s="55">
        <f t="shared" si="217"/>
        <v>0</v>
      </c>
      <c r="AC607" s="55">
        <f t="shared" si="212"/>
        <v>0</v>
      </c>
      <c r="AD607" s="56">
        <f t="shared" si="213"/>
        <v>6411.64</v>
      </c>
    </row>
    <row r="608" spans="3:30">
      <c r="C608" s="43" t="s">
        <v>1061</v>
      </c>
      <c r="D608" s="44" t="s">
        <v>1062</v>
      </c>
      <c r="E608" s="44"/>
      <c r="F608" s="45">
        <v>40589.967013888891</v>
      </c>
      <c r="G608" s="46">
        <v>91</v>
      </c>
      <c r="H608" s="47">
        <v>43372</v>
      </c>
      <c r="I608" s="47">
        <v>43419</v>
      </c>
      <c r="J608" s="46">
        <v>102122</v>
      </c>
      <c r="K608" s="46">
        <v>0</v>
      </c>
      <c r="L608" s="46">
        <v>0</v>
      </c>
      <c r="M608" s="46">
        <f t="shared" si="202"/>
        <v>102122</v>
      </c>
      <c r="N608" s="46">
        <v>102122</v>
      </c>
      <c r="O608" s="48">
        <f t="shared" si="203"/>
        <v>0</v>
      </c>
      <c r="P608" s="46">
        <v>0</v>
      </c>
      <c r="Q608" s="46">
        <v>102122</v>
      </c>
      <c r="R608" s="49">
        <f t="shared" si="204"/>
        <v>1</v>
      </c>
      <c r="S608" s="50">
        <f t="shared" si="205"/>
        <v>0.01</v>
      </c>
      <c r="T608" s="49">
        <f t="shared" si="206"/>
        <v>1021.22</v>
      </c>
      <c r="U608" s="51">
        <f t="shared" si="207"/>
        <v>0</v>
      </c>
      <c r="V608" s="52">
        <f>IF(0&lt;0.8,0,IF(0&lt;1,Sheet3!L561,1))*IF(G608&lt;3,0.12 - O608,0.01) *U608</f>
        <v>0</v>
      </c>
      <c r="W608" s="52">
        <f t="shared" si="208"/>
        <v>0</v>
      </c>
      <c r="X608" s="53">
        <f t="shared" si="209"/>
        <v>0</v>
      </c>
      <c r="Y608" s="53">
        <f t="shared" si="210"/>
        <v>0</v>
      </c>
      <c r="Z608" s="54">
        <f t="shared" si="216"/>
        <v>0</v>
      </c>
      <c r="AA608" s="54">
        <f t="shared" si="211"/>
        <v>0</v>
      </c>
      <c r="AB608" s="55">
        <f t="shared" si="217"/>
        <v>0</v>
      </c>
      <c r="AC608" s="55">
        <f t="shared" si="212"/>
        <v>0</v>
      </c>
      <c r="AD608" s="56">
        <f t="shared" si="213"/>
        <v>1021.22</v>
      </c>
    </row>
    <row r="609" spans="3:30">
      <c r="C609" s="43" t="s">
        <v>1063</v>
      </c>
      <c r="D609" s="44" t="s">
        <v>1064</v>
      </c>
      <c r="E609" s="44"/>
      <c r="F609" s="45">
        <v>40746.386840277773</v>
      </c>
      <c r="G609" s="46">
        <v>86</v>
      </c>
      <c r="H609" s="47">
        <v>43404</v>
      </c>
      <c r="I609" s="47">
        <v>43413</v>
      </c>
      <c r="J609" s="46">
        <v>93955</v>
      </c>
      <c r="K609" s="46">
        <v>0</v>
      </c>
      <c r="L609" s="46">
        <v>0</v>
      </c>
      <c r="M609" s="46">
        <f t="shared" si="202"/>
        <v>93955</v>
      </c>
      <c r="N609" s="46">
        <v>93955</v>
      </c>
      <c r="O609" s="48">
        <f t="shared" si="203"/>
        <v>0</v>
      </c>
      <c r="P609" s="46">
        <v>0</v>
      </c>
      <c r="Q609" s="46">
        <v>93955</v>
      </c>
      <c r="R609" s="49">
        <f t="shared" si="204"/>
        <v>1</v>
      </c>
      <c r="S609" s="50">
        <f t="shared" si="205"/>
        <v>0.01</v>
      </c>
      <c r="T609" s="49">
        <f t="shared" si="206"/>
        <v>939.55000000000007</v>
      </c>
      <c r="U609" s="51">
        <f t="shared" si="207"/>
        <v>0</v>
      </c>
      <c r="V609" s="52">
        <f>IF(0&lt;0.8,0,IF(0&lt;1,Sheet3!L561,1))*IF(G609&lt;3,0.12 - O609,0.01) *U609</f>
        <v>0</v>
      </c>
      <c r="W609" s="52">
        <f t="shared" si="208"/>
        <v>0</v>
      </c>
      <c r="X609" s="53">
        <f t="shared" si="209"/>
        <v>0</v>
      </c>
      <c r="Y609" s="53">
        <f t="shared" si="210"/>
        <v>0</v>
      </c>
      <c r="Z609" s="54">
        <f t="shared" si="216"/>
        <v>0</v>
      </c>
      <c r="AA609" s="54">
        <f t="shared" si="211"/>
        <v>0</v>
      </c>
      <c r="AB609" s="55">
        <f t="shared" si="217"/>
        <v>0</v>
      </c>
      <c r="AC609" s="55">
        <f t="shared" si="212"/>
        <v>0</v>
      </c>
      <c r="AD609" s="56">
        <f t="shared" si="213"/>
        <v>939.55000000000007</v>
      </c>
    </row>
    <row r="610" spans="3:30">
      <c r="C610" s="43" t="s">
        <v>1065</v>
      </c>
      <c r="D610" s="44" t="s">
        <v>1066</v>
      </c>
      <c r="E610" s="44"/>
      <c r="F610" s="45">
        <v>40763.36986111111</v>
      </c>
      <c r="G610" s="46">
        <v>85</v>
      </c>
      <c r="H610" s="47">
        <v>43372</v>
      </c>
      <c r="I610" s="47">
        <v>43391</v>
      </c>
      <c r="J610" s="46">
        <v>505277</v>
      </c>
      <c r="K610" s="46">
        <v>0</v>
      </c>
      <c r="L610" s="46">
        <v>0</v>
      </c>
      <c r="M610" s="46">
        <f t="shared" si="202"/>
        <v>505277</v>
      </c>
      <c r="N610" s="46">
        <v>505277</v>
      </c>
      <c r="O610" s="48">
        <f t="shared" si="203"/>
        <v>0</v>
      </c>
      <c r="P610" s="46">
        <v>0</v>
      </c>
      <c r="Q610" s="46">
        <v>505277</v>
      </c>
      <c r="R610" s="49">
        <f t="shared" si="204"/>
        <v>1</v>
      </c>
      <c r="S610" s="50">
        <f t="shared" si="205"/>
        <v>0.01</v>
      </c>
      <c r="T610" s="49">
        <f t="shared" si="206"/>
        <v>5052.7700000000004</v>
      </c>
      <c r="U610" s="51">
        <f t="shared" si="207"/>
        <v>0</v>
      </c>
      <c r="V610" s="52">
        <f>IF(0&lt;0.8,0,IF(0&lt;1,Sheet3!L561,1))*IF(G610&lt;3,0.12 - O610,0.01) *U610</f>
        <v>0</v>
      </c>
      <c r="W610" s="52">
        <f t="shared" si="208"/>
        <v>0</v>
      </c>
      <c r="X610" s="53">
        <f t="shared" si="209"/>
        <v>0</v>
      </c>
      <c r="Y610" s="53">
        <f t="shared" si="210"/>
        <v>0</v>
      </c>
      <c r="Z610" s="54">
        <f t="shared" si="216"/>
        <v>0</v>
      </c>
      <c r="AA610" s="54">
        <f t="shared" si="211"/>
        <v>0</v>
      </c>
      <c r="AB610" s="55">
        <f t="shared" si="217"/>
        <v>0</v>
      </c>
      <c r="AC610" s="55">
        <f t="shared" si="212"/>
        <v>0</v>
      </c>
      <c r="AD610" s="56">
        <f t="shared" si="213"/>
        <v>5052.7700000000004</v>
      </c>
    </row>
    <row r="611" spans="3:30">
      <c r="C611" s="43" t="s">
        <v>1067</v>
      </c>
      <c r="D611" s="44" t="s">
        <v>1068</v>
      </c>
      <c r="E611" s="44"/>
      <c r="F611" s="45">
        <v>40824.348703703705</v>
      </c>
      <c r="G611" s="46">
        <v>83</v>
      </c>
      <c r="H611" s="47">
        <v>43372</v>
      </c>
      <c r="I611" s="47">
        <v>43404</v>
      </c>
      <c r="J611" s="46">
        <v>715372</v>
      </c>
      <c r="K611" s="46">
        <v>0</v>
      </c>
      <c r="L611" s="46">
        <v>0</v>
      </c>
      <c r="M611" s="46">
        <f t="shared" si="202"/>
        <v>715372</v>
      </c>
      <c r="N611" s="46">
        <v>715385</v>
      </c>
      <c r="O611" s="48">
        <f t="shared" si="203"/>
        <v>1.8172033240837493E-5</v>
      </c>
      <c r="P611" s="46">
        <v>0</v>
      </c>
      <c r="Q611" s="46">
        <v>715372</v>
      </c>
      <c r="R611" s="49">
        <f t="shared" si="204"/>
        <v>1</v>
      </c>
      <c r="S611" s="50">
        <f t="shared" si="205"/>
        <v>0.01</v>
      </c>
      <c r="T611" s="49">
        <f t="shared" si="206"/>
        <v>7153.72</v>
      </c>
      <c r="U611" s="51">
        <f t="shared" si="207"/>
        <v>0</v>
      </c>
      <c r="V611" s="52">
        <f>IF(0&lt;0.8,0,IF(0&lt;1,Sheet3!L561,1))*IF(G611&lt;3,0.12 - O611,0.01) *U611</f>
        <v>0</v>
      </c>
      <c r="W611" s="52">
        <f t="shared" si="208"/>
        <v>0</v>
      </c>
      <c r="X611" s="53">
        <f t="shared" si="209"/>
        <v>0</v>
      </c>
      <c r="Y611" s="53">
        <f t="shared" si="210"/>
        <v>0</v>
      </c>
      <c r="Z611" s="54">
        <f t="shared" si="216"/>
        <v>0</v>
      </c>
      <c r="AA611" s="54">
        <f t="shared" si="211"/>
        <v>0</v>
      </c>
      <c r="AB611" s="55">
        <f t="shared" si="217"/>
        <v>0</v>
      </c>
      <c r="AC611" s="55">
        <f t="shared" si="212"/>
        <v>0</v>
      </c>
      <c r="AD611" s="56">
        <f t="shared" si="213"/>
        <v>7153.72</v>
      </c>
    </row>
    <row r="612" spans="3:30">
      <c r="C612" s="43" t="s">
        <v>1069</v>
      </c>
      <c r="D612" s="44" t="s">
        <v>1070</v>
      </c>
      <c r="E612" s="44"/>
      <c r="F612" s="45">
        <v>41051.396909722222</v>
      </c>
      <c r="G612" s="46">
        <v>76</v>
      </c>
      <c r="H612" s="47">
        <v>43372</v>
      </c>
      <c r="I612" s="47">
        <v>43398</v>
      </c>
      <c r="J612" s="46">
        <v>862818</v>
      </c>
      <c r="K612" s="46">
        <v>0</v>
      </c>
      <c r="L612" s="46">
        <v>0</v>
      </c>
      <c r="M612" s="46">
        <f t="shared" si="202"/>
        <v>862818</v>
      </c>
      <c r="N612" s="46">
        <v>862818</v>
      </c>
      <c r="O612" s="48">
        <f t="shared" si="203"/>
        <v>0</v>
      </c>
      <c r="P612" s="46">
        <v>0</v>
      </c>
      <c r="Q612" s="46">
        <v>862818</v>
      </c>
      <c r="R612" s="49">
        <f t="shared" si="204"/>
        <v>1</v>
      </c>
      <c r="S612" s="50">
        <f t="shared" si="205"/>
        <v>0.01</v>
      </c>
      <c r="T612" s="49">
        <f t="shared" si="206"/>
        <v>8628.18</v>
      </c>
      <c r="U612" s="51">
        <f t="shared" si="207"/>
        <v>0</v>
      </c>
      <c r="V612" s="52">
        <f>IF(0&lt;0.8,0,IF(0&lt;1,Sheet3!L561,1))*IF(G612&lt;3,0.12 - O612,0.01) *U612</f>
        <v>0</v>
      </c>
      <c r="W612" s="52">
        <f t="shared" si="208"/>
        <v>0</v>
      </c>
      <c r="X612" s="53">
        <f t="shared" si="209"/>
        <v>0</v>
      </c>
      <c r="Y612" s="53">
        <f t="shared" si="210"/>
        <v>0</v>
      </c>
      <c r="Z612" s="54">
        <f t="shared" si="216"/>
        <v>0</v>
      </c>
      <c r="AA612" s="54">
        <f t="shared" si="211"/>
        <v>0</v>
      </c>
      <c r="AB612" s="55">
        <f t="shared" si="217"/>
        <v>0</v>
      </c>
      <c r="AC612" s="55">
        <f t="shared" si="212"/>
        <v>0</v>
      </c>
      <c r="AD612" s="56">
        <f t="shared" si="213"/>
        <v>8628.18</v>
      </c>
    </row>
    <row r="613" spans="3:30">
      <c r="C613" s="43" t="s">
        <v>1071</v>
      </c>
      <c r="D613" s="44" t="s">
        <v>1072</v>
      </c>
      <c r="E613" s="44"/>
      <c r="F613" s="45">
        <v>41051.41605324074</v>
      </c>
      <c r="G613" s="46">
        <v>76</v>
      </c>
      <c r="H613" s="47">
        <v>43395</v>
      </c>
      <c r="I613" s="47">
        <v>43412</v>
      </c>
      <c r="J613" s="46">
        <v>509740</v>
      </c>
      <c r="K613" s="46">
        <v>0</v>
      </c>
      <c r="L613" s="46">
        <v>0</v>
      </c>
      <c r="M613" s="46">
        <f t="shared" si="202"/>
        <v>509740</v>
      </c>
      <c r="N613" s="46">
        <v>793559</v>
      </c>
      <c r="O613" s="48">
        <f t="shared" si="203"/>
        <v>0.3576533061813929</v>
      </c>
      <c r="P613" s="46">
        <v>0</v>
      </c>
      <c r="Q613" s="46">
        <v>509740</v>
      </c>
      <c r="R613" s="49">
        <f t="shared" si="204"/>
        <v>1</v>
      </c>
      <c r="S613" s="50">
        <f t="shared" si="205"/>
        <v>0.01</v>
      </c>
      <c r="T613" s="49">
        <f t="shared" si="206"/>
        <v>5097.4000000000005</v>
      </c>
      <c r="U613" s="51">
        <f t="shared" si="207"/>
        <v>0</v>
      </c>
      <c r="V613" s="52">
        <f>IF(0&lt;0.8,0,IF(0&lt;1,Sheet3!L561,1))*IF(G613&lt;3,0.12 - O613,0.01) *U613</f>
        <v>0</v>
      </c>
      <c r="W613" s="52">
        <f t="shared" si="208"/>
        <v>0</v>
      </c>
      <c r="X613" s="53">
        <f t="shared" si="209"/>
        <v>0</v>
      </c>
      <c r="Y613" s="53">
        <f t="shared" si="210"/>
        <v>0</v>
      </c>
      <c r="Z613" s="54">
        <f t="shared" si="216"/>
        <v>0</v>
      </c>
      <c r="AA613" s="54">
        <f t="shared" si="211"/>
        <v>0</v>
      </c>
      <c r="AB613" s="55">
        <f t="shared" si="217"/>
        <v>0</v>
      </c>
      <c r="AC613" s="55">
        <f t="shared" si="212"/>
        <v>0</v>
      </c>
      <c r="AD613" s="56">
        <f t="shared" si="213"/>
        <v>5097.4000000000005</v>
      </c>
    </row>
    <row r="614" spans="3:30">
      <c r="C614" s="43" t="s">
        <v>1073</v>
      </c>
      <c r="D614" s="44" t="s">
        <v>1074</v>
      </c>
      <c r="E614" s="44"/>
      <c r="F614" s="45">
        <v>41060.379502314812</v>
      </c>
      <c r="G614" s="46">
        <v>76</v>
      </c>
      <c r="H614" s="47">
        <v>43372</v>
      </c>
      <c r="I614" s="47">
        <v>43404</v>
      </c>
      <c r="J614" s="46">
        <v>353677</v>
      </c>
      <c r="K614" s="46">
        <v>0</v>
      </c>
      <c r="L614" s="46">
        <v>0</v>
      </c>
      <c r="M614" s="46">
        <f t="shared" si="202"/>
        <v>353677</v>
      </c>
      <c r="N614" s="46">
        <v>353678</v>
      </c>
      <c r="O614" s="48">
        <f t="shared" si="203"/>
        <v>2.8274306007602945E-6</v>
      </c>
      <c r="P614" s="46">
        <v>0</v>
      </c>
      <c r="Q614" s="46">
        <v>353677</v>
      </c>
      <c r="R614" s="49">
        <f t="shared" si="204"/>
        <v>1</v>
      </c>
      <c r="S614" s="50">
        <f t="shared" si="205"/>
        <v>0.01</v>
      </c>
      <c r="T614" s="49">
        <f t="shared" si="206"/>
        <v>3536.77</v>
      </c>
      <c r="U614" s="51">
        <f t="shared" si="207"/>
        <v>0</v>
      </c>
      <c r="V614" s="52">
        <f>IF(0&lt;0.8,0,IF(0&lt;1,Sheet3!L561,1))*IF(G614&lt;3,0.12 - O614,0.01) *U614</f>
        <v>0</v>
      </c>
      <c r="W614" s="52">
        <f t="shared" si="208"/>
        <v>0</v>
      </c>
      <c r="X614" s="53">
        <f t="shared" si="209"/>
        <v>0</v>
      </c>
      <c r="Y614" s="53">
        <f t="shared" si="210"/>
        <v>0</v>
      </c>
      <c r="Z614" s="54">
        <f t="shared" si="216"/>
        <v>0</v>
      </c>
      <c r="AA614" s="54">
        <f t="shared" si="211"/>
        <v>0</v>
      </c>
      <c r="AB614" s="55">
        <f t="shared" si="217"/>
        <v>0</v>
      </c>
      <c r="AC614" s="55">
        <f t="shared" si="212"/>
        <v>0</v>
      </c>
      <c r="AD614" s="56">
        <f t="shared" si="213"/>
        <v>3536.77</v>
      </c>
    </row>
    <row r="615" spans="3:30">
      <c r="C615" s="43" t="s">
        <v>1075</v>
      </c>
      <c r="D615" s="44" t="s">
        <v>1076</v>
      </c>
      <c r="E615" s="44"/>
      <c r="F615" s="45">
        <v>41407.564351851848</v>
      </c>
      <c r="G615" s="46">
        <v>64</v>
      </c>
      <c r="H615" s="47">
        <v>43374</v>
      </c>
      <c r="I615" s="47">
        <v>43424</v>
      </c>
      <c r="J615" s="46">
        <v>4167561</v>
      </c>
      <c r="K615" s="46">
        <v>0</v>
      </c>
      <c r="L615" s="46">
        <v>0</v>
      </c>
      <c r="M615" s="46">
        <f t="shared" si="202"/>
        <v>4167561</v>
      </c>
      <c r="N615" s="46">
        <v>4167561</v>
      </c>
      <c r="O615" s="48">
        <f t="shared" si="203"/>
        <v>0</v>
      </c>
      <c r="P615" s="46">
        <v>0</v>
      </c>
      <c r="Q615" s="46">
        <v>4167561</v>
      </c>
      <c r="R615" s="49">
        <f t="shared" si="204"/>
        <v>1</v>
      </c>
      <c r="S615" s="50">
        <f t="shared" si="205"/>
        <v>0.01</v>
      </c>
      <c r="T615" s="49">
        <f t="shared" si="206"/>
        <v>41675.61</v>
      </c>
      <c r="U615" s="51">
        <f t="shared" si="207"/>
        <v>0</v>
      </c>
      <c r="V615" s="52">
        <f>IF(0&lt;0.8,0,IF(0&lt;1,Sheet3!L561,1))*IF(G615&lt;3,0.12 - O615,0.01) *U615</f>
        <v>0</v>
      </c>
      <c r="W615" s="52">
        <f t="shared" si="208"/>
        <v>0</v>
      </c>
      <c r="X615" s="53">
        <f t="shared" si="209"/>
        <v>0</v>
      </c>
      <c r="Y615" s="53">
        <f t="shared" si="210"/>
        <v>0</v>
      </c>
      <c r="Z615" s="54">
        <f t="shared" si="216"/>
        <v>0</v>
      </c>
      <c r="AA615" s="54">
        <f t="shared" si="211"/>
        <v>0</v>
      </c>
      <c r="AB615" s="55">
        <f t="shared" si="217"/>
        <v>0</v>
      </c>
      <c r="AC615" s="55">
        <f t="shared" si="212"/>
        <v>0</v>
      </c>
      <c r="AD615" s="56">
        <f t="shared" si="213"/>
        <v>41675.61</v>
      </c>
    </row>
    <row r="616" spans="3:30">
      <c r="C616" s="43" t="s">
        <v>1077</v>
      </c>
      <c r="D616" s="44" t="s">
        <v>1078</v>
      </c>
      <c r="E616" s="44"/>
      <c r="F616" s="45">
        <v>41593.416504629626</v>
      </c>
      <c r="G616" s="46">
        <v>58</v>
      </c>
      <c r="H616" s="47">
        <v>43374</v>
      </c>
      <c r="I616" s="47">
        <v>43447</v>
      </c>
      <c r="J616" s="46">
        <v>9913394</v>
      </c>
      <c r="K616" s="46">
        <v>0</v>
      </c>
      <c r="L616" s="46">
        <v>0</v>
      </c>
      <c r="M616" s="46">
        <f t="shared" si="202"/>
        <v>9913394</v>
      </c>
      <c r="N616" s="46">
        <v>11251204</v>
      </c>
      <c r="O616" s="48">
        <f t="shared" si="203"/>
        <v>0.11890371910419539</v>
      </c>
      <c r="P616" s="46">
        <v>0</v>
      </c>
      <c r="Q616" s="46">
        <v>9913394</v>
      </c>
      <c r="R616" s="49">
        <f t="shared" si="204"/>
        <v>1</v>
      </c>
      <c r="S616" s="50">
        <f t="shared" si="205"/>
        <v>0.01</v>
      </c>
      <c r="T616" s="49">
        <f t="shared" si="206"/>
        <v>99133.94</v>
      </c>
      <c r="U616" s="51">
        <f t="shared" si="207"/>
        <v>0</v>
      </c>
      <c r="V616" s="52">
        <f>IF(0&lt;0.8,0,IF(0&lt;1,Sheet3!L561,1))*IF(G616&lt;3,0.12 - O616,0.01) *U616</f>
        <v>0</v>
      </c>
      <c r="W616" s="52">
        <f t="shared" si="208"/>
        <v>0</v>
      </c>
      <c r="X616" s="53">
        <f t="shared" si="209"/>
        <v>0</v>
      </c>
      <c r="Y616" s="53">
        <f t="shared" si="210"/>
        <v>0</v>
      </c>
      <c r="Z616" s="54">
        <f t="shared" si="216"/>
        <v>0</v>
      </c>
      <c r="AA616" s="54">
        <f t="shared" si="211"/>
        <v>0</v>
      </c>
      <c r="AB616" s="55">
        <f t="shared" si="217"/>
        <v>0</v>
      </c>
      <c r="AC616" s="55">
        <f t="shared" si="212"/>
        <v>0</v>
      </c>
      <c r="AD616" s="56">
        <f t="shared" si="213"/>
        <v>99133.94</v>
      </c>
    </row>
    <row r="617" spans="3:30">
      <c r="C617" s="43" t="s">
        <v>1079</v>
      </c>
      <c r="D617" s="44" t="s">
        <v>1080</v>
      </c>
      <c r="E617" s="44"/>
      <c r="F617" s="45">
        <v>42900.114594907405</v>
      </c>
      <c r="G617" s="46">
        <v>15</v>
      </c>
      <c r="H617" s="47">
        <v>43404</v>
      </c>
      <c r="I617" s="47">
        <v>43419</v>
      </c>
      <c r="J617" s="46">
        <v>97995</v>
      </c>
      <c r="K617" s="46">
        <v>0</v>
      </c>
      <c r="L617" s="46">
        <v>0</v>
      </c>
      <c r="M617" s="46">
        <f t="shared" si="202"/>
        <v>97995</v>
      </c>
      <c r="N617" s="46">
        <v>97995</v>
      </c>
      <c r="O617" s="48">
        <f t="shared" si="203"/>
        <v>0</v>
      </c>
      <c r="P617" s="46">
        <v>0</v>
      </c>
      <c r="Q617" s="46">
        <v>97995</v>
      </c>
      <c r="R617" s="49">
        <f t="shared" si="204"/>
        <v>1</v>
      </c>
      <c r="S617" s="50">
        <f t="shared" si="205"/>
        <v>0.01</v>
      </c>
      <c r="T617" s="49">
        <f t="shared" si="206"/>
        <v>979.95</v>
      </c>
      <c r="U617" s="51">
        <f t="shared" si="207"/>
        <v>0</v>
      </c>
      <c r="V617" s="52">
        <f>IF(0&lt;0.8,0,IF(0&lt;1,Sheet3!L561,1))*IF(G617&lt;3,0.12 - O617,0.01) *U617</f>
        <v>0</v>
      </c>
      <c r="W617" s="52">
        <f t="shared" si="208"/>
        <v>0</v>
      </c>
      <c r="X617" s="53">
        <f t="shared" si="209"/>
        <v>0</v>
      </c>
      <c r="Y617" s="53">
        <f t="shared" si="210"/>
        <v>0</v>
      </c>
      <c r="Z617" s="54">
        <f t="shared" si="216"/>
        <v>0</v>
      </c>
      <c r="AA617" s="54">
        <f t="shared" si="211"/>
        <v>0</v>
      </c>
      <c r="AB617" s="55">
        <f t="shared" si="217"/>
        <v>0</v>
      </c>
      <c r="AC617" s="55">
        <f t="shared" si="212"/>
        <v>0</v>
      </c>
      <c r="AD617" s="56">
        <f t="shared" si="213"/>
        <v>979.95</v>
      </c>
    </row>
    <row r="618" spans="3:30">
      <c r="C618" s="43" t="s">
        <v>1081</v>
      </c>
      <c r="D618" s="44" t="s">
        <v>1082</v>
      </c>
      <c r="E618" s="44"/>
      <c r="F618" s="45">
        <v>41289.656608796293</v>
      </c>
      <c r="G618" s="46">
        <v>68</v>
      </c>
      <c r="H618" s="47">
        <v>43403</v>
      </c>
      <c r="I618" s="47">
        <v>43417</v>
      </c>
      <c r="J618" s="46">
        <v>7833736</v>
      </c>
      <c r="K618" s="46">
        <v>0</v>
      </c>
      <c r="L618" s="46">
        <v>0</v>
      </c>
      <c r="M618" s="46">
        <f t="shared" si="202"/>
        <v>7833736</v>
      </c>
      <c r="N618" s="46">
        <v>6761680</v>
      </c>
      <c r="O618" s="48">
        <f t="shared" si="203"/>
        <v>0</v>
      </c>
      <c r="P618" s="46">
        <v>0</v>
      </c>
      <c r="Q618" s="46">
        <v>7833736</v>
      </c>
      <c r="R618" s="49">
        <f t="shared" si="204"/>
        <v>1</v>
      </c>
      <c r="S618" s="50">
        <f t="shared" si="205"/>
        <v>0.01</v>
      </c>
      <c r="T618" s="49">
        <f t="shared" si="206"/>
        <v>78337.36</v>
      </c>
      <c r="U618" s="51">
        <f t="shared" si="207"/>
        <v>0</v>
      </c>
      <c r="V618" s="52">
        <f>IF(0&lt;0.8,0,IF(0&lt;1,Sheet3!L561,1))*IF(G618&lt;3,0.12 - O618,0.01) *U618</f>
        <v>0</v>
      </c>
      <c r="W618" s="52">
        <f t="shared" si="208"/>
        <v>0</v>
      </c>
      <c r="X618" s="53">
        <f t="shared" si="209"/>
        <v>0</v>
      </c>
      <c r="Y618" s="53">
        <f t="shared" si="210"/>
        <v>0</v>
      </c>
      <c r="Z618" s="54">
        <f t="shared" si="216"/>
        <v>0</v>
      </c>
      <c r="AA618" s="54">
        <f t="shared" si="211"/>
        <v>0</v>
      </c>
      <c r="AB618" s="55">
        <f t="shared" si="217"/>
        <v>0</v>
      </c>
      <c r="AC618" s="55">
        <f t="shared" si="212"/>
        <v>0</v>
      </c>
      <c r="AD618" s="56">
        <f t="shared" si="213"/>
        <v>78337.36</v>
      </c>
    </row>
    <row r="619" spans="3:30">
      <c r="C619" s="43" t="s">
        <v>1083</v>
      </c>
      <c r="D619" s="44" t="s">
        <v>1084</v>
      </c>
      <c r="E619" s="44"/>
      <c r="F619" s="45">
        <v>41362.61273148148</v>
      </c>
      <c r="G619" s="46">
        <v>66</v>
      </c>
      <c r="H619" s="47">
        <v>43372</v>
      </c>
      <c r="I619" s="47">
        <v>43391</v>
      </c>
      <c r="J619" s="46">
        <v>8181682</v>
      </c>
      <c r="K619" s="46">
        <v>0</v>
      </c>
      <c r="L619" s="46">
        <v>0</v>
      </c>
      <c r="M619" s="46">
        <f t="shared" si="202"/>
        <v>8181682</v>
      </c>
      <c r="N619" s="46">
        <v>8181682</v>
      </c>
      <c r="O619" s="48">
        <f t="shared" si="203"/>
        <v>0</v>
      </c>
      <c r="P619" s="46">
        <v>0</v>
      </c>
      <c r="Q619" s="46">
        <v>8181682</v>
      </c>
      <c r="R619" s="49">
        <f t="shared" si="204"/>
        <v>1</v>
      </c>
      <c r="S619" s="50">
        <f t="shared" si="205"/>
        <v>0.01</v>
      </c>
      <c r="T619" s="49">
        <f t="shared" si="206"/>
        <v>81816.820000000007</v>
      </c>
      <c r="U619" s="51">
        <f t="shared" si="207"/>
        <v>0</v>
      </c>
      <c r="V619" s="52">
        <f>IF(0&lt;0.8,0,IF(0&lt;1,Sheet3!L561,1))*IF(G619&lt;3,0.12 - O619,0.01) *U619</f>
        <v>0</v>
      </c>
      <c r="W619" s="52">
        <f t="shared" si="208"/>
        <v>0</v>
      </c>
      <c r="X619" s="53">
        <f t="shared" si="209"/>
        <v>0</v>
      </c>
      <c r="Y619" s="53">
        <f t="shared" si="210"/>
        <v>0</v>
      </c>
      <c r="Z619" s="54">
        <f t="shared" si="216"/>
        <v>0</v>
      </c>
      <c r="AA619" s="54">
        <f t="shared" si="211"/>
        <v>0</v>
      </c>
      <c r="AB619" s="55">
        <f t="shared" si="217"/>
        <v>0</v>
      </c>
      <c r="AC619" s="55">
        <f t="shared" si="212"/>
        <v>0</v>
      </c>
      <c r="AD619" s="56">
        <f t="shared" si="213"/>
        <v>81816.820000000007</v>
      </c>
    </row>
    <row r="620" spans="3:30">
      <c r="C620" s="43" t="s">
        <v>1085</v>
      </c>
      <c r="D620" s="44" t="s">
        <v>1086</v>
      </c>
      <c r="E620" s="44"/>
      <c r="F620" s="45">
        <v>41857.416828703703</v>
      </c>
      <c r="G620" s="46">
        <v>49</v>
      </c>
      <c r="H620" s="47">
        <v>43404</v>
      </c>
      <c r="I620" s="47">
        <v>43382</v>
      </c>
      <c r="J620" s="46">
        <v>17766</v>
      </c>
      <c r="K620" s="46">
        <v>0</v>
      </c>
      <c r="L620" s="46">
        <v>0</v>
      </c>
      <c r="M620" s="46">
        <f t="shared" si="202"/>
        <v>17766</v>
      </c>
      <c r="N620" s="46">
        <v>35138</v>
      </c>
      <c r="O620" s="48">
        <f t="shared" si="203"/>
        <v>0.49439353406568387</v>
      </c>
      <c r="P620" s="46">
        <v>0</v>
      </c>
      <c r="Q620" s="46">
        <v>17766</v>
      </c>
      <c r="R620" s="49">
        <f t="shared" si="204"/>
        <v>1</v>
      </c>
      <c r="S620" s="50">
        <f t="shared" si="205"/>
        <v>0.01</v>
      </c>
      <c r="T620" s="49">
        <f t="shared" si="206"/>
        <v>177.66</v>
      </c>
      <c r="U620" s="51">
        <f t="shared" si="207"/>
        <v>0</v>
      </c>
      <c r="V620" s="52">
        <f>IF(0&lt;0.8,0,IF(0&lt;1,Sheet3!L561,1))*IF(G620&lt;3,0.12 - O620,0.01) *U620</f>
        <v>0</v>
      </c>
      <c r="W620" s="52">
        <f t="shared" si="208"/>
        <v>0</v>
      </c>
      <c r="X620" s="53">
        <f t="shared" si="209"/>
        <v>0</v>
      </c>
      <c r="Y620" s="53">
        <f t="shared" si="210"/>
        <v>0</v>
      </c>
      <c r="Z620" s="54">
        <f t="shared" si="216"/>
        <v>0</v>
      </c>
      <c r="AA620" s="54">
        <f t="shared" si="211"/>
        <v>0</v>
      </c>
      <c r="AB620" s="55">
        <f t="shared" si="217"/>
        <v>0</v>
      </c>
      <c r="AC620" s="55">
        <f t="shared" si="212"/>
        <v>0</v>
      </c>
      <c r="AD620" s="56">
        <f t="shared" si="213"/>
        <v>177.66</v>
      </c>
    </row>
    <row r="621" spans="3:30">
      <c r="C621" s="43" t="s">
        <v>1087</v>
      </c>
      <c r="D621" s="44" t="s">
        <v>1088</v>
      </c>
      <c r="E621" s="44"/>
      <c r="F621" s="45">
        <v>41870.654062499998</v>
      </c>
      <c r="G621" s="46">
        <v>49</v>
      </c>
      <c r="H621" s="47">
        <v>43404</v>
      </c>
      <c r="I621" s="47">
        <v>43382</v>
      </c>
      <c r="J621" s="46">
        <v>1939439</v>
      </c>
      <c r="K621" s="46">
        <v>0</v>
      </c>
      <c r="L621" s="46">
        <v>0</v>
      </c>
      <c r="M621" s="46">
        <f t="shared" si="202"/>
        <v>1939439</v>
      </c>
      <c r="N621" s="46">
        <v>2337298</v>
      </c>
      <c r="O621" s="48">
        <f t="shared" si="203"/>
        <v>0.17022176889724805</v>
      </c>
      <c r="P621" s="46">
        <v>0</v>
      </c>
      <c r="Q621" s="46">
        <v>1939439</v>
      </c>
      <c r="R621" s="49">
        <f t="shared" si="204"/>
        <v>1</v>
      </c>
      <c r="S621" s="50">
        <f t="shared" si="205"/>
        <v>0.01</v>
      </c>
      <c r="T621" s="49">
        <f t="shared" si="206"/>
        <v>19394.39</v>
      </c>
      <c r="U621" s="51">
        <f t="shared" si="207"/>
        <v>0</v>
      </c>
      <c r="V621" s="52">
        <f>IF(0&lt;0.8,0,IF(0&lt;1,Sheet3!L561,1))*IF(G621&lt;3,0.12 - O621,0.01) *U621</f>
        <v>0</v>
      </c>
      <c r="W621" s="52">
        <f t="shared" si="208"/>
        <v>0</v>
      </c>
      <c r="X621" s="53">
        <f t="shared" si="209"/>
        <v>0</v>
      </c>
      <c r="Y621" s="53">
        <f t="shared" si="210"/>
        <v>0</v>
      </c>
      <c r="Z621" s="54">
        <f t="shared" si="216"/>
        <v>0</v>
      </c>
      <c r="AA621" s="54">
        <f t="shared" si="211"/>
        <v>0</v>
      </c>
      <c r="AB621" s="55">
        <f t="shared" si="217"/>
        <v>0</v>
      </c>
      <c r="AC621" s="55">
        <f t="shared" si="212"/>
        <v>0</v>
      </c>
      <c r="AD621" s="56">
        <f t="shared" si="213"/>
        <v>19394.39</v>
      </c>
    </row>
    <row r="622" spans="3:30">
      <c r="C622" s="43" t="s">
        <v>1089</v>
      </c>
      <c r="D622" s="44" t="s">
        <v>1090</v>
      </c>
      <c r="E622" s="44"/>
      <c r="F622" s="45">
        <v>42109.677569444444</v>
      </c>
      <c r="G622" s="46">
        <v>41</v>
      </c>
      <c r="H622" s="47">
        <v>43395</v>
      </c>
      <c r="I622" s="47">
        <v>43412</v>
      </c>
      <c r="J622" s="46">
        <v>136675</v>
      </c>
      <c r="K622" s="46">
        <v>0</v>
      </c>
      <c r="L622" s="46">
        <v>0</v>
      </c>
      <c r="M622" s="46">
        <f t="shared" si="202"/>
        <v>136675</v>
      </c>
      <c r="N622" s="46">
        <v>208927</v>
      </c>
      <c r="O622" s="48">
        <f t="shared" si="203"/>
        <v>0.34582413953198965</v>
      </c>
      <c r="P622" s="46">
        <v>0</v>
      </c>
      <c r="Q622" s="46">
        <v>136675</v>
      </c>
      <c r="R622" s="49">
        <f t="shared" si="204"/>
        <v>1</v>
      </c>
      <c r="S622" s="50">
        <f t="shared" si="205"/>
        <v>0.01</v>
      </c>
      <c r="T622" s="49">
        <f t="shared" si="206"/>
        <v>1366.75</v>
      </c>
      <c r="U622" s="51">
        <f t="shared" si="207"/>
        <v>0</v>
      </c>
      <c r="V622" s="52">
        <f>IF(0&lt;0.8,0,IF(0&lt;1,Sheet3!L561,1))*IF(G622&lt;3,0.12 - O622,0.01) *U622</f>
        <v>0</v>
      </c>
      <c r="W622" s="52">
        <f t="shared" si="208"/>
        <v>0</v>
      </c>
      <c r="X622" s="53">
        <f t="shared" si="209"/>
        <v>0</v>
      </c>
      <c r="Y622" s="53">
        <f t="shared" si="210"/>
        <v>0</v>
      </c>
      <c r="Z622" s="54">
        <f t="shared" si="216"/>
        <v>0</v>
      </c>
      <c r="AA622" s="54">
        <f t="shared" si="211"/>
        <v>0</v>
      </c>
      <c r="AB622" s="55">
        <f t="shared" si="217"/>
        <v>0</v>
      </c>
      <c r="AC622" s="55">
        <f t="shared" si="212"/>
        <v>0</v>
      </c>
      <c r="AD622" s="56">
        <f t="shared" si="213"/>
        <v>1366.75</v>
      </c>
    </row>
    <row r="623" spans="3:30">
      <c r="C623" s="43" t="s">
        <v>1091</v>
      </c>
      <c r="D623" s="44" t="s">
        <v>1092</v>
      </c>
      <c r="E623" s="44"/>
      <c r="F623" s="45">
        <v>42234.633298611108</v>
      </c>
      <c r="G623" s="46">
        <v>37</v>
      </c>
      <c r="H623" s="47">
        <v>43372</v>
      </c>
      <c r="I623" s="47">
        <v>43405</v>
      </c>
      <c r="J623" s="46">
        <v>536160</v>
      </c>
      <c r="K623" s="46">
        <v>0</v>
      </c>
      <c r="L623" s="46">
        <v>0</v>
      </c>
      <c r="M623" s="46">
        <f t="shared" si="202"/>
        <v>536160</v>
      </c>
      <c r="N623" s="46">
        <v>536165</v>
      </c>
      <c r="O623" s="48">
        <f t="shared" si="203"/>
        <v>9.3254874898862639E-6</v>
      </c>
      <c r="P623" s="46">
        <v>0</v>
      </c>
      <c r="Q623" s="46">
        <v>536160</v>
      </c>
      <c r="R623" s="49">
        <f t="shared" si="204"/>
        <v>1</v>
      </c>
      <c r="S623" s="50">
        <f t="shared" si="205"/>
        <v>0.01</v>
      </c>
      <c r="T623" s="49">
        <f t="shared" si="206"/>
        <v>5361.6</v>
      </c>
      <c r="U623" s="51">
        <f t="shared" si="207"/>
        <v>0</v>
      </c>
      <c r="V623" s="52">
        <f>IF(0&lt;0.8,0,IF(0&lt;1,Sheet3!L561,1))*IF(G623&lt;3,0.12 - O623,0.01) *U623</f>
        <v>0</v>
      </c>
      <c r="W623" s="52">
        <f t="shared" si="208"/>
        <v>0</v>
      </c>
      <c r="X623" s="53">
        <f t="shared" si="209"/>
        <v>0</v>
      </c>
      <c r="Y623" s="53">
        <f t="shared" si="210"/>
        <v>0</v>
      </c>
      <c r="Z623" s="54">
        <f t="shared" si="216"/>
        <v>0</v>
      </c>
      <c r="AA623" s="54">
        <f t="shared" si="211"/>
        <v>0</v>
      </c>
      <c r="AB623" s="55">
        <f t="shared" si="217"/>
        <v>0</v>
      </c>
      <c r="AC623" s="55">
        <f t="shared" si="212"/>
        <v>0</v>
      </c>
      <c r="AD623" s="56">
        <f t="shared" si="213"/>
        <v>5361.6</v>
      </c>
    </row>
    <row r="624" spans="3:30">
      <c r="C624" s="43" t="s">
        <v>1093</v>
      </c>
      <c r="D624" s="44" t="s">
        <v>1094</v>
      </c>
      <c r="E624" s="44"/>
      <c r="F624" s="45">
        <v>42293.574247685181</v>
      </c>
      <c r="G624" s="46">
        <v>35</v>
      </c>
      <c r="H624" s="47">
        <v>43372</v>
      </c>
      <c r="I624" s="47">
        <v>43404</v>
      </c>
      <c r="J624" s="46">
        <v>464455</v>
      </c>
      <c r="K624" s="46">
        <v>0</v>
      </c>
      <c r="L624" s="46">
        <v>0</v>
      </c>
      <c r="M624" s="46">
        <f t="shared" si="202"/>
        <v>464455</v>
      </c>
      <c r="N624" s="46">
        <v>464455</v>
      </c>
      <c r="O624" s="48">
        <f t="shared" si="203"/>
        <v>0</v>
      </c>
      <c r="P624" s="46">
        <v>0</v>
      </c>
      <c r="Q624" s="46">
        <v>464455</v>
      </c>
      <c r="R624" s="49">
        <f t="shared" si="204"/>
        <v>1</v>
      </c>
      <c r="S624" s="50">
        <f t="shared" si="205"/>
        <v>0.01</v>
      </c>
      <c r="T624" s="49">
        <f t="shared" si="206"/>
        <v>4644.55</v>
      </c>
      <c r="U624" s="51">
        <f t="shared" si="207"/>
        <v>0</v>
      </c>
      <c r="V624" s="52">
        <f>IF(0&lt;0.8,0,IF(0&lt;1,Sheet3!L561,1))*IF(G624&lt;3,0.12 - O624,0.01) *U624</f>
        <v>0</v>
      </c>
      <c r="W624" s="52">
        <f t="shared" si="208"/>
        <v>0</v>
      </c>
      <c r="X624" s="53">
        <f t="shared" si="209"/>
        <v>0</v>
      </c>
      <c r="Y624" s="53">
        <f t="shared" si="210"/>
        <v>0</v>
      </c>
      <c r="Z624" s="54">
        <f t="shared" si="216"/>
        <v>0</v>
      </c>
      <c r="AA624" s="54">
        <f t="shared" si="211"/>
        <v>0</v>
      </c>
      <c r="AB624" s="55">
        <f t="shared" si="217"/>
        <v>0</v>
      </c>
      <c r="AC624" s="55">
        <f t="shared" si="212"/>
        <v>0</v>
      </c>
      <c r="AD624" s="56">
        <f t="shared" si="213"/>
        <v>4644.55</v>
      </c>
    </row>
    <row r="625" spans="3:30">
      <c r="C625" s="43" t="s">
        <v>1095</v>
      </c>
      <c r="D625" s="44" t="s">
        <v>1096</v>
      </c>
      <c r="E625" s="44"/>
      <c r="F625" s="45">
        <v>42314.623784722222</v>
      </c>
      <c r="G625" s="46">
        <v>34</v>
      </c>
      <c r="H625" s="47">
        <v>43404</v>
      </c>
      <c r="I625" s="47">
        <v>43382</v>
      </c>
      <c r="J625" s="46">
        <v>59565</v>
      </c>
      <c r="K625" s="46">
        <v>0</v>
      </c>
      <c r="L625" s="46">
        <v>0</v>
      </c>
      <c r="M625" s="46">
        <f t="shared" si="202"/>
        <v>59565</v>
      </c>
      <c r="N625" s="46">
        <v>85062</v>
      </c>
      <c r="O625" s="48">
        <f t="shared" si="203"/>
        <v>0.29974606757423994</v>
      </c>
      <c r="P625" s="46">
        <v>0</v>
      </c>
      <c r="Q625" s="46">
        <v>59565</v>
      </c>
      <c r="R625" s="49">
        <f t="shared" si="204"/>
        <v>1</v>
      </c>
      <c r="S625" s="50">
        <f t="shared" si="205"/>
        <v>0.01</v>
      </c>
      <c r="T625" s="49">
        <f t="shared" si="206"/>
        <v>595.65</v>
      </c>
      <c r="U625" s="51">
        <f t="shared" si="207"/>
        <v>0</v>
      </c>
      <c r="V625" s="52">
        <f>IF(0&lt;0.8,0,IF(0&lt;1,Sheet3!L561,1))*IF(G625&lt;3,0.12 - O625,0.01) *U625</f>
        <v>0</v>
      </c>
      <c r="W625" s="52">
        <f t="shared" si="208"/>
        <v>0</v>
      </c>
      <c r="X625" s="53">
        <f t="shared" si="209"/>
        <v>0</v>
      </c>
      <c r="Y625" s="53">
        <f t="shared" si="210"/>
        <v>0</v>
      </c>
      <c r="Z625" s="54">
        <f t="shared" si="216"/>
        <v>0</v>
      </c>
      <c r="AA625" s="54">
        <f t="shared" si="211"/>
        <v>0</v>
      </c>
      <c r="AB625" s="55">
        <f t="shared" si="217"/>
        <v>0</v>
      </c>
      <c r="AC625" s="55">
        <f t="shared" si="212"/>
        <v>0</v>
      </c>
      <c r="AD625" s="56">
        <f t="shared" si="213"/>
        <v>595.65</v>
      </c>
    </row>
    <row r="626" spans="3:30">
      <c r="C626" s="43" t="s">
        <v>1097</v>
      </c>
      <c r="D626" s="44" t="s">
        <v>1098</v>
      </c>
      <c r="E626" s="44"/>
      <c r="F626" s="45">
        <v>42322.419895833329</v>
      </c>
      <c r="G626" s="46">
        <v>34</v>
      </c>
      <c r="H626" s="47">
        <v>43372</v>
      </c>
      <c r="I626" s="47">
        <v>43384</v>
      </c>
      <c r="J626" s="46">
        <v>1097534</v>
      </c>
      <c r="K626" s="46">
        <v>0</v>
      </c>
      <c r="L626" s="46">
        <v>0</v>
      </c>
      <c r="M626" s="46">
        <f t="shared" si="202"/>
        <v>1097534</v>
      </c>
      <c r="N626" s="46">
        <v>1097534</v>
      </c>
      <c r="O626" s="48">
        <f t="shared" si="203"/>
        <v>0</v>
      </c>
      <c r="P626" s="46">
        <v>0</v>
      </c>
      <c r="Q626" s="46">
        <v>1097534</v>
      </c>
      <c r="R626" s="49">
        <f t="shared" si="204"/>
        <v>1</v>
      </c>
      <c r="S626" s="50">
        <f t="shared" si="205"/>
        <v>0.01</v>
      </c>
      <c r="T626" s="49">
        <f t="shared" si="206"/>
        <v>10975.34</v>
      </c>
      <c r="U626" s="51">
        <f t="shared" si="207"/>
        <v>0</v>
      </c>
      <c r="V626" s="52">
        <f>IF(0&lt;0.8,0,IF(0&lt;1,Sheet3!L561,1))*IF(G626&lt;3,0.12 - O626,0.01) *U626</f>
        <v>0</v>
      </c>
      <c r="W626" s="52">
        <f t="shared" si="208"/>
        <v>0</v>
      </c>
      <c r="X626" s="53">
        <f t="shared" si="209"/>
        <v>0</v>
      </c>
      <c r="Y626" s="53">
        <f t="shared" si="210"/>
        <v>0</v>
      </c>
      <c r="Z626" s="54">
        <f t="shared" si="216"/>
        <v>0</v>
      </c>
      <c r="AA626" s="54">
        <f t="shared" si="211"/>
        <v>0</v>
      </c>
      <c r="AB626" s="55">
        <f t="shared" si="217"/>
        <v>0</v>
      </c>
      <c r="AC626" s="55">
        <f t="shared" si="212"/>
        <v>0</v>
      </c>
      <c r="AD626" s="56">
        <f t="shared" si="213"/>
        <v>10975.34</v>
      </c>
    </row>
    <row r="627" spans="3:30">
      <c r="C627" s="43" t="s">
        <v>1099</v>
      </c>
      <c r="D627" s="44" t="s">
        <v>1100</v>
      </c>
      <c r="E627" s="44"/>
      <c r="F627" s="45">
        <v>42355.567210648143</v>
      </c>
      <c r="G627" s="46">
        <v>33</v>
      </c>
      <c r="H627" s="47">
        <v>43372</v>
      </c>
      <c r="I627" s="47">
        <v>43404</v>
      </c>
      <c r="J627" s="46">
        <v>628883</v>
      </c>
      <c r="K627" s="46">
        <v>0</v>
      </c>
      <c r="L627" s="46">
        <v>0</v>
      </c>
      <c r="M627" s="46">
        <f t="shared" ref="M627:M690" si="218">IFERROR(J627-K627-L627,0)</f>
        <v>628883</v>
      </c>
      <c r="N627" s="46">
        <v>628883</v>
      </c>
      <c r="O627" s="48">
        <f t="shared" ref="O627:O690" si="219">IFERROR(IF(1 - M627/N627&lt;0,0,1-M627/N627),0)</f>
        <v>0</v>
      </c>
      <c r="P627" s="46">
        <v>0</v>
      </c>
      <c r="Q627" s="46">
        <v>628883</v>
      </c>
      <c r="R627" s="49">
        <f t="shared" ref="R627:R690" si="220">IF(F627&lt;DATEVALUE("2018-07-01"),1,0)</f>
        <v>1</v>
      </c>
      <c r="S627" s="50">
        <f t="shared" ref="S627:S690" si="221">IF(R627=1,1%,0)</f>
        <v>0.01</v>
      </c>
      <c r="T627" s="49">
        <f t="shared" ref="T627:T690" si="222">IFERROR(S627*M627,0)</f>
        <v>6288.83</v>
      </c>
      <c r="U627" s="51">
        <f t="shared" ref="U627:U690" si="223">IF(O627&lt;=0.12,1,0)*(1-R627)*M627</f>
        <v>0</v>
      </c>
      <c r="V627" s="52">
        <f>IF(0&lt;0.8,0,IF(0&lt;1,Sheet3!L561,1))*IF(G627&lt;3,0.12 - O627,0.01) *U627</f>
        <v>0</v>
      </c>
      <c r="W627" s="52">
        <f t="shared" ref="W627:W690" si="224">IF(0&gt;1,IF(0&lt;=1.1,1,IF(0&lt;=1.2,2,IF(0&lt;=1.5,3,5))),0) * 1000000</f>
        <v>0</v>
      </c>
      <c r="X627" s="53">
        <f t="shared" ref="X627:X690" si="225">IF(AND(P627&gt;=150000000,P627&lt;300000000),5000000,IF(AND(P627&gt;=300000000,P627&lt;500000000),10000000,IF(AND(P627&gt;=300000000,P627&lt;500000000),15000000,IF(AND(P627&gt;=500000000,P627&lt;3000000000),20000000,IF(P627&gt;=30000000000,35000000,0))))) * (1-R627)</f>
        <v>0</v>
      </c>
      <c r="Y627" s="53">
        <f t="shared" ref="Y627:Y690" si="226">IFERROR(Q627 * (1-R627),0)</f>
        <v>0</v>
      </c>
      <c r="Z627" s="54">
        <f t="shared" si="216"/>
        <v>0</v>
      </c>
      <c r="AA627" s="54">
        <f t="shared" ref="AA627:AA690" si="227">IFERROR((1-R627) * Z627 * 2%,0)</f>
        <v>0</v>
      </c>
      <c r="AB627" s="55">
        <f t="shared" si="217"/>
        <v>0</v>
      </c>
      <c r="AC627" s="55">
        <f t="shared" ref="AC627:AC690" si="228">IFERROR(AB627 * (1-R627) * 2%,0)</f>
        <v>0</v>
      </c>
      <c r="AD627" s="56">
        <f t="shared" ref="AD627:AD690" si="229">T627+V627+W627+X627+AA627+AC627</f>
        <v>6288.83</v>
      </c>
    </row>
    <row r="628" spans="3:30">
      <c r="C628" s="43" t="s">
        <v>1101</v>
      </c>
      <c r="D628" s="44" t="s">
        <v>1102</v>
      </c>
      <c r="E628" s="44"/>
      <c r="F628" s="45">
        <v>42355.565729166665</v>
      </c>
      <c r="G628" s="46">
        <v>33</v>
      </c>
      <c r="H628" s="47">
        <v>43372</v>
      </c>
      <c r="I628" s="47">
        <v>43404</v>
      </c>
      <c r="J628" s="46">
        <v>134565</v>
      </c>
      <c r="K628" s="46">
        <v>0</v>
      </c>
      <c r="L628" s="46">
        <v>0</v>
      </c>
      <c r="M628" s="46">
        <f t="shared" si="218"/>
        <v>134565</v>
      </c>
      <c r="N628" s="46">
        <v>134565</v>
      </c>
      <c r="O628" s="48">
        <f t="shared" si="219"/>
        <v>0</v>
      </c>
      <c r="P628" s="46">
        <v>0</v>
      </c>
      <c r="Q628" s="46">
        <v>134565</v>
      </c>
      <c r="R628" s="49">
        <f t="shared" si="220"/>
        <v>1</v>
      </c>
      <c r="S628" s="50">
        <f t="shared" si="221"/>
        <v>0.01</v>
      </c>
      <c r="T628" s="49">
        <f t="shared" si="222"/>
        <v>1345.65</v>
      </c>
      <c r="U628" s="51">
        <f t="shared" si="223"/>
        <v>0</v>
      </c>
      <c r="V628" s="52">
        <f>IF(0&lt;0.8,0,IF(0&lt;1,Sheet3!L561,1))*IF(G628&lt;3,0.12 - O628,0.01) *U628</f>
        <v>0</v>
      </c>
      <c r="W628" s="52">
        <f t="shared" si="224"/>
        <v>0</v>
      </c>
      <c r="X628" s="53">
        <f t="shared" si="225"/>
        <v>0</v>
      </c>
      <c r="Y628" s="53">
        <f t="shared" si="226"/>
        <v>0</v>
      </c>
      <c r="Z628" s="54">
        <f t="shared" si="216"/>
        <v>0</v>
      </c>
      <c r="AA628" s="54">
        <f t="shared" si="227"/>
        <v>0</v>
      </c>
      <c r="AB628" s="55">
        <f t="shared" si="217"/>
        <v>0</v>
      </c>
      <c r="AC628" s="55">
        <f t="shared" si="228"/>
        <v>0</v>
      </c>
      <c r="AD628" s="56">
        <f t="shared" si="229"/>
        <v>1345.65</v>
      </c>
    </row>
    <row r="629" spans="3:30">
      <c r="C629" s="43" t="s">
        <v>1103</v>
      </c>
      <c r="D629" s="44" t="s">
        <v>1104</v>
      </c>
      <c r="E629" s="44"/>
      <c r="F629" s="45">
        <v>42363.569374999999</v>
      </c>
      <c r="G629" s="46">
        <v>33</v>
      </c>
      <c r="H629" s="47">
        <v>43404</v>
      </c>
      <c r="I629" s="47">
        <v>43382</v>
      </c>
      <c r="J629" s="46">
        <v>251515</v>
      </c>
      <c r="K629" s="46">
        <v>0</v>
      </c>
      <c r="L629" s="46">
        <v>0</v>
      </c>
      <c r="M629" s="46">
        <f t="shared" si="218"/>
        <v>251515</v>
      </c>
      <c r="N629" s="46">
        <v>310154</v>
      </c>
      <c r="O629" s="48">
        <f t="shared" si="219"/>
        <v>0.18906414232929447</v>
      </c>
      <c r="P629" s="46">
        <v>0</v>
      </c>
      <c r="Q629" s="46">
        <v>251515</v>
      </c>
      <c r="R629" s="49">
        <f t="shared" si="220"/>
        <v>1</v>
      </c>
      <c r="S629" s="50">
        <f t="shared" si="221"/>
        <v>0.01</v>
      </c>
      <c r="T629" s="49">
        <f t="shared" si="222"/>
        <v>2515.15</v>
      </c>
      <c r="U629" s="51">
        <f t="shared" si="223"/>
        <v>0</v>
      </c>
      <c r="V629" s="52">
        <f>IF(0&lt;0.8,0,IF(0&lt;1,Sheet3!L561,1))*IF(G629&lt;3,0.12 - O629,0.01) *U629</f>
        <v>0</v>
      </c>
      <c r="W629" s="52">
        <f t="shared" si="224"/>
        <v>0</v>
      </c>
      <c r="X629" s="53">
        <f t="shared" si="225"/>
        <v>0</v>
      </c>
      <c r="Y629" s="53">
        <f t="shared" si="226"/>
        <v>0</v>
      </c>
      <c r="Z629" s="54">
        <f t="shared" si="216"/>
        <v>0</v>
      </c>
      <c r="AA629" s="54">
        <f t="shared" si="227"/>
        <v>0</v>
      </c>
      <c r="AB629" s="55">
        <f t="shared" si="217"/>
        <v>0</v>
      </c>
      <c r="AC629" s="55">
        <f t="shared" si="228"/>
        <v>0</v>
      </c>
      <c r="AD629" s="56">
        <f t="shared" si="229"/>
        <v>2515.15</v>
      </c>
    </row>
    <row r="630" spans="3:30">
      <c r="C630" s="43" t="s">
        <v>1105</v>
      </c>
      <c r="D630" s="44" t="s">
        <v>1106</v>
      </c>
      <c r="E630" s="44"/>
      <c r="F630" s="45">
        <v>42378.390057870369</v>
      </c>
      <c r="G630" s="46">
        <v>32</v>
      </c>
      <c r="H630" s="47">
        <v>43372</v>
      </c>
      <c r="I630" s="47">
        <v>43385</v>
      </c>
      <c r="J630" s="46">
        <v>405821</v>
      </c>
      <c r="K630" s="46">
        <v>0</v>
      </c>
      <c r="L630" s="46">
        <v>0</v>
      </c>
      <c r="M630" s="46">
        <f t="shared" si="218"/>
        <v>405821</v>
      </c>
      <c r="N630" s="46">
        <v>567289</v>
      </c>
      <c r="O630" s="48">
        <f t="shared" si="219"/>
        <v>0.28463093767021752</v>
      </c>
      <c r="P630" s="46">
        <v>0</v>
      </c>
      <c r="Q630" s="46">
        <v>405821</v>
      </c>
      <c r="R630" s="49">
        <f t="shared" si="220"/>
        <v>1</v>
      </c>
      <c r="S630" s="50">
        <f t="shared" si="221"/>
        <v>0.01</v>
      </c>
      <c r="T630" s="49">
        <f t="shared" si="222"/>
        <v>4058.21</v>
      </c>
      <c r="U630" s="51">
        <f t="shared" si="223"/>
        <v>0</v>
      </c>
      <c r="V630" s="52">
        <f>IF(0&lt;0.8,0,IF(0&lt;1,Sheet3!L561,1))*IF(G630&lt;3,0.12 - O630,0.01) *U630</f>
        <v>0</v>
      </c>
      <c r="W630" s="52">
        <f t="shared" si="224"/>
        <v>0</v>
      </c>
      <c r="X630" s="53">
        <f t="shared" si="225"/>
        <v>0</v>
      </c>
      <c r="Y630" s="53">
        <f t="shared" si="226"/>
        <v>0</v>
      </c>
      <c r="Z630" s="54">
        <f t="shared" si="216"/>
        <v>0</v>
      </c>
      <c r="AA630" s="54">
        <f t="shared" si="227"/>
        <v>0</v>
      </c>
      <c r="AB630" s="55">
        <f t="shared" si="217"/>
        <v>0</v>
      </c>
      <c r="AC630" s="55">
        <f t="shared" si="228"/>
        <v>0</v>
      </c>
      <c r="AD630" s="56">
        <f t="shared" si="229"/>
        <v>4058.21</v>
      </c>
    </row>
    <row r="631" spans="3:30">
      <c r="C631" s="43" t="s">
        <v>1107</v>
      </c>
      <c r="D631" s="44" t="s">
        <v>1108</v>
      </c>
      <c r="E631" s="44"/>
      <c r="F631" s="45">
        <v>42401.566550925927</v>
      </c>
      <c r="G631" s="46">
        <v>31</v>
      </c>
      <c r="H631" s="47">
        <v>43372</v>
      </c>
      <c r="I631" s="47">
        <v>43388</v>
      </c>
      <c r="J631" s="46">
        <v>616102</v>
      </c>
      <c r="K631" s="46">
        <v>0</v>
      </c>
      <c r="L631" s="46">
        <v>0</v>
      </c>
      <c r="M631" s="46">
        <f t="shared" si="218"/>
        <v>616102</v>
      </c>
      <c r="N631" s="46">
        <v>822557</v>
      </c>
      <c r="O631" s="48">
        <f t="shared" si="219"/>
        <v>0.25099172458565178</v>
      </c>
      <c r="P631" s="46">
        <v>0</v>
      </c>
      <c r="Q631" s="46">
        <v>616102</v>
      </c>
      <c r="R631" s="49">
        <f t="shared" si="220"/>
        <v>1</v>
      </c>
      <c r="S631" s="50">
        <f t="shared" si="221"/>
        <v>0.01</v>
      </c>
      <c r="T631" s="49">
        <f t="shared" si="222"/>
        <v>6161.02</v>
      </c>
      <c r="U631" s="51">
        <f t="shared" si="223"/>
        <v>0</v>
      </c>
      <c r="V631" s="52">
        <f>IF(0&lt;0.8,0,IF(0&lt;1,Sheet3!L561,1))*IF(G631&lt;3,0.12 - O631,0.01) *U631</f>
        <v>0</v>
      </c>
      <c r="W631" s="52">
        <f t="shared" si="224"/>
        <v>0</v>
      </c>
      <c r="X631" s="53">
        <f t="shared" si="225"/>
        <v>0</v>
      </c>
      <c r="Y631" s="53">
        <f t="shared" si="226"/>
        <v>0</v>
      </c>
      <c r="Z631" s="54">
        <f t="shared" si="216"/>
        <v>0</v>
      </c>
      <c r="AA631" s="54">
        <f t="shared" si="227"/>
        <v>0</v>
      </c>
      <c r="AB631" s="55">
        <f t="shared" si="217"/>
        <v>0</v>
      </c>
      <c r="AC631" s="55">
        <f t="shared" si="228"/>
        <v>0</v>
      </c>
      <c r="AD631" s="56">
        <f t="shared" si="229"/>
        <v>6161.02</v>
      </c>
    </row>
    <row r="632" spans="3:30">
      <c r="C632" s="43" t="s">
        <v>1109</v>
      </c>
      <c r="D632" s="44" t="s">
        <v>1110</v>
      </c>
      <c r="E632" s="44"/>
      <c r="F632" s="45">
        <v>42464.493159722224</v>
      </c>
      <c r="G632" s="46">
        <v>29</v>
      </c>
      <c r="H632" s="47">
        <v>43404</v>
      </c>
      <c r="I632" s="47">
        <v>43382</v>
      </c>
      <c r="J632" s="46">
        <v>154880</v>
      </c>
      <c r="K632" s="46">
        <v>0</v>
      </c>
      <c r="L632" s="46">
        <v>0</v>
      </c>
      <c r="M632" s="46">
        <f t="shared" si="218"/>
        <v>154880</v>
      </c>
      <c r="N632" s="46">
        <v>218248</v>
      </c>
      <c r="O632" s="48">
        <f t="shared" si="219"/>
        <v>0.29034859425974124</v>
      </c>
      <c r="P632" s="46">
        <v>0</v>
      </c>
      <c r="Q632" s="46">
        <v>154880</v>
      </c>
      <c r="R632" s="49">
        <f t="shared" si="220"/>
        <v>1</v>
      </c>
      <c r="S632" s="50">
        <f t="shared" si="221"/>
        <v>0.01</v>
      </c>
      <c r="T632" s="49">
        <f t="shared" si="222"/>
        <v>1548.8</v>
      </c>
      <c r="U632" s="51">
        <f t="shared" si="223"/>
        <v>0</v>
      </c>
      <c r="V632" s="52">
        <f>IF(0&lt;0.8,0,IF(0&lt;1,Sheet3!L561,1))*IF(G632&lt;3,0.12 - O632,0.01) *U632</f>
        <v>0</v>
      </c>
      <c r="W632" s="52">
        <f t="shared" si="224"/>
        <v>0</v>
      </c>
      <c r="X632" s="53">
        <f t="shared" si="225"/>
        <v>0</v>
      </c>
      <c r="Y632" s="53">
        <f t="shared" si="226"/>
        <v>0</v>
      </c>
      <c r="Z632" s="54">
        <f t="shared" si="216"/>
        <v>0</v>
      </c>
      <c r="AA632" s="54">
        <f t="shared" si="227"/>
        <v>0</v>
      </c>
      <c r="AB632" s="55">
        <f t="shared" si="217"/>
        <v>0</v>
      </c>
      <c r="AC632" s="55">
        <f t="shared" si="228"/>
        <v>0</v>
      </c>
      <c r="AD632" s="56">
        <f t="shared" si="229"/>
        <v>1548.8</v>
      </c>
    </row>
    <row r="633" spans="3:30">
      <c r="C633" s="43" t="s">
        <v>1111</v>
      </c>
      <c r="D633" s="44" t="s">
        <v>1112</v>
      </c>
      <c r="E633" s="44"/>
      <c r="F633" s="45">
        <v>42483.408483796295</v>
      </c>
      <c r="G633" s="46">
        <v>29</v>
      </c>
      <c r="H633" s="47">
        <v>43372</v>
      </c>
      <c r="I633" s="47">
        <v>43409</v>
      </c>
      <c r="J633" s="46">
        <v>9995807</v>
      </c>
      <c r="K633" s="46">
        <v>0</v>
      </c>
      <c r="L633" s="46">
        <v>0</v>
      </c>
      <c r="M633" s="46">
        <f t="shared" si="218"/>
        <v>9995807</v>
      </c>
      <c r="N633" s="46">
        <v>9995807</v>
      </c>
      <c r="O633" s="48">
        <f t="shared" si="219"/>
        <v>0</v>
      </c>
      <c r="P633" s="46">
        <v>0</v>
      </c>
      <c r="Q633" s="46">
        <v>9995807</v>
      </c>
      <c r="R633" s="49">
        <f t="shared" si="220"/>
        <v>1</v>
      </c>
      <c r="S633" s="50">
        <f t="shared" si="221"/>
        <v>0.01</v>
      </c>
      <c r="T633" s="49">
        <f t="shared" si="222"/>
        <v>99958.07</v>
      </c>
      <c r="U633" s="51">
        <f t="shared" si="223"/>
        <v>0</v>
      </c>
      <c r="V633" s="52">
        <f>IF(0&lt;0.8,0,IF(0&lt;1,Sheet3!L561,1))*IF(G633&lt;3,0.12 - O633,0.01) *U633</f>
        <v>0</v>
      </c>
      <c r="W633" s="52">
        <f t="shared" si="224"/>
        <v>0</v>
      </c>
      <c r="X633" s="53">
        <f t="shared" si="225"/>
        <v>0</v>
      </c>
      <c r="Y633" s="53">
        <f t="shared" si="226"/>
        <v>0</v>
      </c>
      <c r="Z633" s="54">
        <f t="shared" si="216"/>
        <v>0</v>
      </c>
      <c r="AA633" s="54">
        <f t="shared" si="227"/>
        <v>0</v>
      </c>
      <c r="AB633" s="55">
        <f t="shared" si="217"/>
        <v>0</v>
      </c>
      <c r="AC633" s="55">
        <f t="shared" si="228"/>
        <v>0</v>
      </c>
      <c r="AD633" s="56">
        <f t="shared" si="229"/>
        <v>99958.07</v>
      </c>
    </row>
    <row r="634" spans="3:30">
      <c r="C634" s="43" t="s">
        <v>1113</v>
      </c>
      <c r="D634" s="44" t="s">
        <v>1114</v>
      </c>
      <c r="E634" s="44"/>
      <c r="F634" s="45">
        <v>42543.28769675926</v>
      </c>
      <c r="G634" s="46">
        <v>27</v>
      </c>
      <c r="H634" s="47">
        <v>43372</v>
      </c>
      <c r="I634" s="47">
        <v>43391</v>
      </c>
      <c r="J634" s="46">
        <v>510208</v>
      </c>
      <c r="K634" s="46">
        <v>0</v>
      </c>
      <c r="L634" s="46">
        <v>0</v>
      </c>
      <c r="M634" s="46">
        <f t="shared" si="218"/>
        <v>510208</v>
      </c>
      <c r="N634" s="46">
        <v>510208</v>
      </c>
      <c r="O634" s="48">
        <f t="shared" si="219"/>
        <v>0</v>
      </c>
      <c r="P634" s="46">
        <v>0</v>
      </c>
      <c r="Q634" s="46">
        <v>510208</v>
      </c>
      <c r="R634" s="49">
        <f t="shared" si="220"/>
        <v>1</v>
      </c>
      <c r="S634" s="50">
        <f t="shared" si="221"/>
        <v>0.01</v>
      </c>
      <c r="T634" s="49">
        <f t="shared" si="222"/>
        <v>5102.08</v>
      </c>
      <c r="U634" s="51">
        <f t="shared" si="223"/>
        <v>0</v>
      </c>
      <c r="V634" s="52">
        <f>IF(0&lt;0.8,0,IF(0&lt;1,Sheet3!L561,1))*IF(G634&lt;3,0.12 - O634,0.01) *U634</f>
        <v>0</v>
      </c>
      <c r="W634" s="52">
        <f t="shared" si="224"/>
        <v>0</v>
      </c>
      <c r="X634" s="53">
        <f t="shared" si="225"/>
        <v>0</v>
      </c>
      <c r="Y634" s="53">
        <f t="shared" si="226"/>
        <v>0</v>
      </c>
      <c r="Z634" s="54">
        <f t="shared" si="216"/>
        <v>0</v>
      </c>
      <c r="AA634" s="54">
        <f t="shared" si="227"/>
        <v>0</v>
      </c>
      <c r="AB634" s="55">
        <f t="shared" si="217"/>
        <v>0</v>
      </c>
      <c r="AC634" s="55">
        <f t="shared" si="228"/>
        <v>0</v>
      </c>
      <c r="AD634" s="56">
        <f t="shared" si="229"/>
        <v>5102.08</v>
      </c>
    </row>
    <row r="635" spans="3:30">
      <c r="C635" s="43" t="s">
        <v>1115</v>
      </c>
      <c r="D635" s="44" t="s">
        <v>1116</v>
      </c>
      <c r="E635" s="44"/>
      <c r="F635" s="45">
        <v>42550.182870370372</v>
      </c>
      <c r="G635" s="46">
        <v>27</v>
      </c>
      <c r="H635" s="47">
        <v>43404</v>
      </c>
      <c r="I635" s="47">
        <v>43382</v>
      </c>
      <c r="J635" s="46">
        <v>333355</v>
      </c>
      <c r="K635" s="46">
        <v>0</v>
      </c>
      <c r="L635" s="46">
        <v>0</v>
      </c>
      <c r="M635" s="46">
        <f t="shared" si="218"/>
        <v>333355</v>
      </c>
      <c r="N635" s="46">
        <v>479463</v>
      </c>
      <c r="O635" s="48">
        <f t="shared" si="219"/>
        <v>0.30473258624753108</v>
      </c>
      <c r="P635" s="46">
        <v>0</v>
      </c>
      <c r="Q635" s="46">
        <v>333355</v>
      </c>
      <c r="R635" s="49">
        <f t="shared" si="220"/>
        <v>1</v>
      </c>
      <c r="S635" s="50">
        <f t="shared" si="221"/>
        <v>0.01</v>
      </c>
      <c r="T635" s="49">
        <f t="shared" si="222"/>
        <v>3333.55</v>
      </c>
      <c r="U635" s="51">
        <f t="shared" si="223"/>
        <v>0</v>
      </c>
      <c r="V635" s="52">
        <f>IF(0&lt;0.8,0,IF(0&lt;1,Sheet3!L561,1))*IF(G635&lt;3,0.12 - O635,0.01) *U635</f>
        <v>0</v>
      </c>
      <c r="W635" s="52">
        <f t="shared" si="224"/>
        <v>0</v>
      </c>
      <c r="X635" s="53">
        <f t="shared" si="225"/>
        <v>0</v>
      </c>
      <c r="Y635" s="53">
        <f t="shared" si="226"/>
        <v>0</v>
      </c>
      <c r="Z635" s="54">
        <f t="shared" si="216"/>
        <v>0</v>
      </c>
      <c r="AA635" s="54">
        <f t="shared" si="227"/>
        <v>0</v>
      </c>
      <c r="AB635" s="55">
        <f t="shared" si="217"/>
        <v>0</v>
      </c>
      <c r="AC635" s="55">
        <f t="shared" si="228"/>
        <v>0</v>
      </c>
      <c r="AD635" s="56">
        <f t="shared" si="229"/>
        <v>3333.55</v>
      </c>
    </row>
    <row r="636" spans="3:30">
      <c r="C636" s="43" t="s">
        <v>1117</v>
      </c>
      <c r="D636" s="44" t="s">
        <v>1118</v>
      </c>
      <c r="E636" s="44"/>
      <c r="F636" s="45">
        <v>42587.39293981481</v>
      </c>
      <c r="G636" s="46">
        <v>25</v>
      </c>
      <c r="H636" s="47">
        <v>43404</v>
      </c>
      <c r="I636" s="47">
        <v>43431</v>
      </c>
      <c r="J636" s="46">
        <v>2214524</v>
      </c>
      <c r="K636" s="46">
        <v>0</v>
      </c>
      <c r="L636" s="46">
        <v>0</v>
      </c>
      <c r="M636" s="46">
        <f t="shared" si="218"/>
        <v>2214524</v>
      </c>
      <c r="N636" s="46">
        <v>2143358</v>
      </c>
      <c r="O636" s="48">
        <f t="shared" si="219"/>
        <v>0</v>
      </c>
      <c r="P636" s="46">
        <v>0</v>
      </c>
      <c r="Q636" s="46">
        <v>2214524</v>
      </c>
      <c r="R636" s="49">
        <f t="shared" si="220"/>
        <v>1</v>
      </c>
      <c r="S636" s="50">
        <f t="shared" si="221"/>
        <v>0.01</v>
      </c>
      <c r="T636" s="49">
        <f t="shared" si="222"/>
        <v>22145.24</v>
      </c>
      <c r="U636" s="51">
        <f t="shared" si="223"/>
        <v>0</v>
      </c>
      <c r="V636" s="52">
        <f>IF(0&lt;0.8,0,IF(0&lt;1,Sheet3!L561,1))*IF(G636&lt;3,0.12 - O636,0.01) *U636</f>
        <v>0</v>
      </c>
      <c r="W636" s="52">
        <f t="shared" si="224"/>
        <v>0</v>
      </c>
      <c r="X636" s="53">
        <f t="shared" si="225"/>
        <v>0</v>
      </c>
      <c r="Y636" s="53">
        <f t="shared" si="226"/>
        <v>0</v>
      </c>
      <c r="Z636" s="54">
        <f t="shared" si="216"/>
        <v>0</v>
      </c>
      <c r="AA636" s="54">
        <f t="shared" si="227"/>
        <v>0</v>
      </c>
      <c r="AB636" s="55">
        <f t="shared" si="217"/>
        <v>0</v>
      </c>
      <c r="AC636" s="55">
        <f t="shared" si="228"/>
        <v>0</v>
      </c>
      <c r="AD636" s="56">
        <f t="shared" si="229"/>
        <v>22145.24</v>
      </c>
    </row>
    <row r="637" spans="3:30">
      <c r="C637" s="43" t="s">
        <v>1119</v>
      </c>
      <c r="D637" s="44" t="s">
        <v>1120</v>
      </c>
      <c r="E637" s="44"/>
      <c r="F637" s="45">
        <v>42648.296307870369</v>
      </c>
      <c r="G637" s="46">
        <v>23</v>
      </c>
      <c r="H637" s="47">
        <v>43372</v>
      </c>
      <c r="I637" s="47">
        <v>43385</v>
      </c>
      <c r="J637" s="46">
        <v>132702</v>
      </c>
      <c r="K637" s="46">
        <v>0</v>
      </c>
      <c r="L637" s="46">
        <v>0</v>
      </c>
      <c r="M637" s="46">
        <f t="shared" si="218"/>
        <v>132702</v>
      </c>
      <c r="N637" s="46">
        <v>132702</v>
      </c>
      <c r="O637" s="48">
        <f t="shared" si="219"/>
        <v>0</v>
      </c>
      <c r="P637" s="46">
        <v>0</v>
      </c>
      <c r="Q637" s="46">
        <v>132702</v>
      </c>
      <c r="R637" s="49">
        <f t="shared" si="220"/>
        <v>1</v>
      </c>
      <c r="S637" s="50">
        <f t="shared" si="221"/>
        <v>0.01</v>
      </c>
      <c r="T637" s="49">
        <f t="shared" si="222"/>
        <v>1327.02</v>
      </c>
      <c r="U637" s="51">
        <f t="shared" si="223"/>
        <v>0</v>
      </c>
      <c r="V637" s="52">
        <f>IF(0&lt;0.8,0,IF(0&lt;1,Sheet3!L561,1))*IF(G637&lt;3,0.12 - O637,0.01) *U637</f>
        <v>0</v>
      </c>
      <c r="W637" s="52">
        <f t="shared" si="224"/>
        <v>0</v>
      </c>
      <c r="X637" s="53">
        <f t="shared" si="225"/>
        <v>0</v>
      </c>
      <c r="Y637" s="53">
        <f t="shared" si="226"/>
        <v>0</v>
      </c>
      <c r="Z637" s="54">
        <f t="shared" si="216"/>
        <v>0</v>
      </c>
      <c r="AA637" s="54">
        <f t="shared" si="227"/>
        <v>0</v>
      </c>
      <c r="AB637" s="55">
        <f t="shared" si="217"/>
        <v>0</v>
      </c>
      <c r="AC637" s="55">
        <f t="shared" si="228"/>
        <v>0</v>
      </c>
      <c r="AD637" s="56">
        <f t="shared" si="229"/>
        <v>1327.02</v>
      </c>
    </row>
    <row r="638" spans="3:30">
      <c r="C638" s="43" t="s">
        <v>1121</v>
      </c>
      <c r="D638" s="44" t="s">
        <v>1122</v>
      </c>
      <c r="E638" s="44"/>
      <c r="F638" s="45">
        <v>42650.051701388889</v>
      </c>
      <c r="G638" s="46">
        <v>23</v>
      </c>
      <c r="H638" s="47">
        <v>43372</v>
      </c>
      <c r="I638" s="47">
        <v>43392</v>
      </c>
      <c r="J638" s="46">
        <v>774139</v>
      </c>
      <c r="K638" s="46">
        <v>0</v>
      </c>
      <c r="L638" s="46">
        <v>0</v>
      </c>
      <c r="M638" s="46">
        <f t="shared" si="218"/>
        <v>774139</v>
      </c>
      <c r="N638" s="46">
        <v>774139</v>
      </c>
      <c r="O638" s="48">
        <f t="shared" si="219"/>
        <v>0</v>
      </c>
      <c r="P638" s="46">
        <v>0</v>
      </c>
      <c r="Q638" s="46">
        <v>774139</v>
      </c>
      <c r="R638" s="49">
        <f t="shared" si="220"/>
        <v>1</v>
      </c>
      <c r="S638" s="50">
        <f t="shared" si="221"/>
        <v>0.01</v>
      </c>
      <c r="T638" s="49">
        <f t="shared" si="222"/>
        <v>7741.39</v>
      </c>
      <c r="U638" s="51">
        <f t="shared" si="223"/>
        <v>0</v>
      </c>
      <c r="V638" s="52">
        <f>IF(0&lt;0.8,0,IF(0&lt;1,Sheet3!L561,1))*IF(G638&lt;3,0.12 - O638,0.01) *U638</f>
        <v>0</v>
      </c>
      <c r="W638" s="52">
        <f t="shared" si="224"/>
        <v>0</v>
      </c>
      <c r="X638" s="53">
        <f t="shared" si="225"/>
        <v>0</v>
      </c>
      <c r="Y638" s="53">
        <f t="shared" si="226"/>
        <v>0</v>
      </c>
      <c r="Z638" s="54">
        <f t="shared" si="216"/>
        <v>0</v>
      </c>
      <c r="AA638" s="54">
        <f t="shared" si="227"/>
        <v>0</v>
      </c>
      <c r="AB638" s="55">
        <f t="shared" si="217"/>
        <v>0</v>
      </c>
      <c r="AC638" s="55">
        <f t="shared" si="228"/>
        <v>0</v>
      </c>
      <c r="AD638" s="56">
        <f t="shared" si="229"/>
        <v>7741.39</v>
      </c>
    </row>
    <row r="639" spans="3:30">
      <c r="C639" s="43" t="s">
        <v>1123</v>
      </c>
      <c r="D639" s="44" t="s">
        <v>1124</v>
      </c>
      <c r="E639" s="44"/>
      <c r="F639" s="45">
        <v>42667.195625</v>
      </c>
      <c r="G639" s="46">
        <v>23</v>
      </c>
      <c r="H639" s="47">
        <v>43400</v>
      </c>
      <c r="I639" s="47">
        <v>43451</v>
      </c>
      <c r="J639" s="46">
        <v>21627262</v>
      </c>
      <c r="K639" s="46">
        <v>0</v>
      </c>
      <c r="L639" s="46">
        <v>0</v>
      </c>
      <c r="M639" s="46">
        <f t="shared" si="218"/>
        <v>21627262</v>
      </c>
      <c r="N639" s="46">
        <v>9483643</v>
      </c>
      <c r="O639" s="48">
        <f t="shared" si="219"/>
        <v>0</v>
      </c>
      <c r="P639" s="46">
        <v>0</v>
      </c>
      <c r="Q639" s="46">
        <v>21627262</v>
      </c>
      <c r="R639" s="49">
        <f t="shared" si="220"/>
        <v>1</v>
      </c>
      <c r="S639" s="50">
        <f t="shared" si="221"/>
        <v>0.01</v>
      </c>
      <c r="T639" s="49">
        <f t="shared" si="222"/>
        <v>216272.62</v>
      </c>
      <c r="U639" s="51">
        <f t="shared" si="223"/>
        <v>0</v>
      </c>
      <c r="V639" s="52">
        <f>IF(0&lt;0.8,0,IF(0&lt;1,Sheet3!L561,1))*IF(G639&lt;3,0.12 - O639,0.01) *U639</f>
        <v>0</v>
      </c>
      <c r="W639" s="52">
        <f t="shared" si="224"/>
        <v>0</v>
      </c>
      <c r="X639" s="53">
        <f t="shared" si="225"/>
        <v>0</v>
      </c>
      <c r="Y639" s="53">
        <f t="shared" si="226"/>
        <v>0</v>
      </c>
      <c r="Z639" s="54">
        <f t="shared" si="216"/>
        <v>0</v>
      </c>
      <c r="AA639" s="54">
        <f t="shared" si="227"/>
        <v>0</v>
      </c>
      <c r="AB639" s="55">
        <f>IF(R639=0,12143618,0)</f>
        <v>0</v>
      </c>
      <c r="AC639" s="55">
        <f t="shared" si="228"/>
        <v>0</v>
      </c>
      <c r="AD639" s="56">
        <f t="shared" si="229"/>
        <v>216272.62</v>
      </c>
    </row>
    <row r="640" spans="3:30">
      <c r="C640" s="43" t="s">
        <v>1125</v>
      </c>
      <c r="D640" s="44" t="s">
        <v>1126</v>
      </c>
      <c r="E640" s="44"/>
      <c r="F640" s="45">
        <v>42686.115219907406</v>
      </c>
      <c r="G640" s="46">
        <v>22</v>
      </c>
      <c r="H640" s="47" t="s">
        <v>24</v>
      </c>
      <c r="I640" s="47" t="s">
        <v>24</v>
      </c>
      <c r="J640" s="46">
        <v>1972179</v>
      </c>
      <c r="K640" s="46">
        <v>0</v>
      </c>
      <c r="L640" s="46">
        <v>0</v>
      </c>
      <c r="M640" s="46">
        <f t="shared" si="218"/>
        <v>1972179</v>
      </c>
      <c r="N640" s="46">
        <v>2611137</v>
      </c>
      <c r="O640" s="48">
        <f t="shared" si="219"/>
        <v>0.24470489292595521</v>
      </c>
      <c r="P640" s="46">
        <v>0</v>
      </c>
      <c r="Q640" s="46">
        <v>1972179</v>
      </c>
      <c r="R640" s="49">
        <f t="shared" si="220"/>
        <v>1</v>
      </c>
      <c r="S640" s="50">
        <f t="shared" si="221"/>
        <v>0.01</v>
      </c>
      <c r="T640" s="49">
        <f t="shared" si="222"/>
        <v>19721.79</v>
      </c>
      <c r="U640" s="51">
        <f t="shared" si="223"/>
        <v>0</v>
      </c>
      <c r="V640" s="52">
        <f>IF(0&lt;0.8,0,IF(0&lt;1,Sheet3!L561,1))*IF(G640&lt;3,0.12 - O640,0.01) *U640</f>
        <v>0</v>
      </c>
      <c r="W640" s="52">
        <f t="shared" si="224"/>
        <v>0</v>
      </c>
      <c r="X640" s="53">
        <f t="shared" si="225"/>
        <v>0</v>
      </c>
      <c r="Y640" s="53">
        <f t="shared" si="226"/>
        <v>0</v>
      </c>
      <c r="Z640" s="54">
        <f t="shared" si="216"/>
        <v>0</v>
      </c>
      <c r="AA640" s="54">
        <f t="shared" si="227"/>
        <v>0</v>
      </c>
      <c r="AB640" s="55">
        <f t="shared" ref="AB640:AB655" si="230">IF(R640=0,0,0)</f>
        <v>0</v>
      </c>
      <c r="AC640" s="55">
        <f t="shared" si="228"/>
        <v>0</v>
      </c>
      <c r="AD640" s="56">
        <f t="shared" si="229"/>
        <v>19721.79</v>
      </c>
    </row>
    <row r="641" spans="3:30">
      <c r="C641" s="43" t="s">
        <v>1127</v>
      </c>
      <c r="D641" s="44" t="s">
        <v>1128</v>
      </c>
      <c r="E641" s="44"/>
      <c r="F641" s="45">
        <v>42712.409872685181</v>
      </c>
      <c r="G641" s="46">
        <v>21</v>
      </c>
      <c r="H641" s="47">
        <v>43372</v>
      </c>
      <c r="I641" s="47">
        <v>43391</v>
      </c>
      <c r="J641" s="46">
        <v>537364</v>
      </c>
      <c r="K641" s="46">
        <v>0</v>
      </c>
      <c r="L641" s="46">
        <v>0</v>
      </c>
      <c r="M641" s="46">
        <f t="shared" si="218"/>
        <v>537364</v>
      </c>
      <c r="N641" s="46">
        <v>537364</v>
      </c>
      <c r="O641" s="48">
        <f t="shared" si="219"/>
        <v>0</v>
      </c>
      <c r="P641" s="46">
        <v>0</v>
      </c>
      <c r="Q641" s="46">
        <v>537364</v>
      </c>
      <c r="R641" s="49">
        <f t="shared" si="220"/>
        <v>1</v>
      </c>
      <c r="S641" s="50">
        <f t="shared" si="221"/>
        <v>0.01</v>
      </c>
      <c r="T641" s="49">
        <f t="shared" si="222"/>
        <v>5373.64</v>
      </c>
      <c r="U641" s="51">
        <f t="shared" si="223"/>
        <v>0</v>
      </c>
      <c r="V641" s="52">
        <f>IF(0&lt;0.8,0,IF(0&lt;1,Sheet3!L561,1))*IF(G641&lt;3,0.12 - O641,0.01) *U641</f>
        <v>0</v>
      </c>
      <c r="W641" s="52">
        <f t="shared" si="224"/>
        <v>0</v>
      </c>
      <c r="X641" s="53">
        <f t="shared" si="225"/>
        <v>0</v>
      </c>
      <c r="Y641" s="53">
        <f t="shared" si="226"/>
        <v>0</v>
      </c>
      <c r="Z641" s="54">
        <f t="shared" si="216"/>
        <v>0</v>
      </c>
      <c r="AA641" s="54">
        <f t="shared" si="227"/>
        <v>0</v>
      </c>
      <c r="AB641" s="55">
        <f t="shared" si="230"/>
        <v>0</v>
      </c>
      <c r="AC641" s="55">
        <f t="shared" si="228"/>
        <v>0</v>
      </c>
      <c r="AD641" s="56">
        <f t="shared" si="229"/>
        <v>5373.64</v>
      </c>
    </row>
    <row r="642" spans="3:30">
      <c r="C642" s="43" t="s">
        <v>1129</v>
      </c>
      <c r="D642" s="44" t="s">
        <v>1096</v>
      </c>
      <c r="E642" s="44"/>
      <c r="F642" s="45">
        <v>42821.314050925925</v>
      </c>
      <c r="G642" s="46">
        <v>18</v>
      </c>
      <c r="H642" s="47">
        <v>43404</v>
      </c>
      <c r="I642" s="47">
        <v>43382</v>
      </c>
      <c r="J642" s="46">
        <v>72105</v>
      </c>
      <c r="K642" s="46">
        <v>0</v>
      </c>
      <c r="L642" s="46">
        <v>0</v>
      </c>
      <c r="M642" s="46">
        <f t="shared" si="218"/>
        <v>72105</v>
      </c>
      <c r="N642" s="46">
        <v>114466</v>
      </c>
      <c r="O642" s="48">
        <f t="shared" si="219"/>
        <v>0.37007495675571789</v>
      </c>
      <c r="P642" s="46">
        <v>0</v>
      </c>
      <c r="Q642" s="46">
        <v>72105</v>
      </c>
      <c r="R642" s="49">
        <f t="shared" si="220"/>
        <v>1</v>
      </c>
      <c r="S642" s="50">
        <f t="shared" si="221"/>
        <v>0.01</v>
      </c>
      <c r="T642" s="49">
        <f t="shared" si="222"/>
        <v>721.05000000000007</v>
      </c>
      <c r="U642" s="51">
        <f t="shared" si="223"/>
        <v>0</v>
      </c>
      <c r="V642" s="52">
        <f>IF(0&lt;0.8,0,IF(0&lt;1,Sheet3!L561,1))*IF(G642&lt;3,0.12 - O642,0.01) *U642</f>
        <v>0</v>
      </c>
      <c r="W642" s="52">
        <f t="shared" si="224"/>
        <v>0</v>
      </c>
      <c r="X642" s="53">
        <f t="shared" si="225"/>
        <v>0</v>
      </c>
      <c r="Y642" s="53">
        <f t="shared" si="226"/>
        <v>0</v>
      </c>
      <c r="Z642" s="54">
        <f t="shared" si="216"/>
        <v>0</v>
      </c>
      <c r="AA642" s="54">
        <f t="shared" si="227"/>
        <v>0</v>
      </c>
      <c r="AB642" s="55">
        <f t="shared" si="230"/>
        <v>0</v>
      </c>
      <c r="AC642" s="55">
        <f t="shared" si="228"/>
        <v>0</v>
      </c>
      <c r="AD642" s="56">
        <f t="shared" si="229"/>
        <v>721.05000000000007</v>
      </c>
    </row>
    <row r="643" spans="3:30">
      <c r="C643" s="43" t="s">
        <v>1130</v>
      </c>
      <c r="D643" s="44" t="s">
        <v>1131</v>
      </c>
      <c r="E643" s="44"/>
      <c r="F643" s="45">
        <v>42825.065312499995</v>
      </c>
      <c r="G643" s="46">
        <v>18</v>
      </c>
      <c r="H643" s="47">
        <v>43430</v>
      </c>
      <c r="I643" s="47">
        <v>43447</v>
      </c>
      <c r="J643" s="46">
        <v>1447966</v>
      </c>
      <c r="K643" s="46">
        <v>86878</v>
      </c>
      <c r="L643" s="46">
        <v>0</v>
      </c>
      <c r="M643" s="46">
        <f t="shared" si="218"/>
        <v>1361088</v>
      </c>
      <c r="N643" s="46">
        <v>1847715</v>
      </c>
      <c r="O643" s="48">
        <f t="shared" si="219"/>
        <v>0.26336691535220524</v>
      </c>
      <c r="P643" s="46">
        <v>0</v>
      </c>
      <c r="Q643" s="46">
        <v>2729632</v>
      </c>
      <c r="R643" s="49">
        <f t="shared" si="220"/>
        <v>1</v>
      </c>
      <c r="S643" s="50">
        <f t="shared" si="221"/>
        <v>0.01</v>
      </c>
      <c r="T643" s="49">
        <f t="shared" si="222"/>
        <v>13610.880000000001</v>
      </c>
      <c r="U643" s="51">
        <f t="shared" si="223"/>
        <v>0</v>
      </c>
      <c r="V643" s="52">
        <f>IF(0&lt;0.8,0,IF(0&lt;1,Sheet3!L561,1))*IF(G643&lt;3,0.12 - O643,0.01) *U643</f>
        <v>0</v>
      </c>
      <c r="W643" s="52">
        <f t="shared" si="224"/>
        <v>0</v>
      </c>
      <c r="X643" s="53">
        <f t="shared" si="225"/>
        <v>0</v>
      </c>
      <c r="Y643" s="53">
        <f t="shared" si="226"/>
        <v>0</v>
      </c>
      <c r="Z643" s="54">
        <f t="shared" si="216"/>
        <v>0</v>
      </c>
      <c r="AA643" s="54">
        <f t="shared" si="227"/>
        <v>0</v>
      </c>
      <c r="AB643" s="55">
        <f t="shared" si="230"/>
        <v>0</v>
      </c>
      <c r="AC643" s="55">
        <f t="shared" si="228"/>
        <v>0</v>
      </c>
      <c r="AD643" s="56">
        <f t="shared" si="229"/>
        <v>13610.880000000001</v>
      </c>
    </row>
    <row r="644" spans="3:30">
      <c r="C644" s="43" t="s">
        <v>1132</v>
      </c>
      <c r="D644" s="44" t="s">
        <v>1133</v>
      </c>
      <c r="E644" s="44"/>
      <c r="F644" s="45">
        <v>42837.097326388888</v>
      </c>
      <c r="G644" s="46">
        <v>17</v>
      </c>
      <c r="H644" s="47">
        <v>43372</v>
      </c>
      <c r="I644" s="47">
        <v>43398</v>
      </c>
      <c r="J644" s="46">
        <v>609862</v>
      </c>
      <c r="K644" s="46">
        <v>0</v>
      </c>
      <c r="L644" s="46">
        <v>0</v>
      </c>
      <c r="M644" s="46">
        <f t="shared" si="218"/>
        <v>609862</v>
      </c>
      <c r="N644" s="46">
        <v>609866</v>
      </c>
      <c r="O644" s="48">
        <f t="shared" si="219"/>
        <v>6.5588178386200013E-6</v>
      </c>
      <c r="P644" s="46">
        <v>0</v>
      </c>
      <c r="Q644" s="46">
        <v>609862</v>
      </c>
      <c r="R644" s="49">
        <f t="shared" si="220"/>
        <v>1</v>
      </c>
      <c r="S644" s="50">
        <f t="shared" si="221"/>
        <v>0.01</v>
      </c>
      <c r="T644" s="49">
        <f t="shared" si="222"/>
        <v>6098.62</v>
      </c>
      <c r="U644" s="51">
        <f t="shared" si="223"/>
        <v>0</v>
      </c>
      <c r="V644" s="52">
        <f>IF(0&lt;0.8,0,IF(0&lt;1,Sheet3!L561,1))*IF(G644&lt;3,0.12 - O644,0.01) *U644</f>
        <v>0</v>
      </c>
      <c r="W644" s="52">
        <f t="shared" si="224"/>
        <v>0</v>
      </c>
      <c r="X644" s="53">
        <f t="shared" si="225"/>
        <v>0</v>
      </c>
      <c r="Y644" s="53">
        <f t="shared" si="226"/>
        <v>0</v>
      </c>
      <c r="Z644" s="54">
        <f t="shared" si="216"/>
        <v>0</v>
      </c>
      <c r="AA644" s="54">
        <f t="shared" si="227"/>
        <v>0</v>
      </c>
      <c r="AB644" s="55">
        <f t="shared" si="230"/>
        <v>0</v>
      </c>
      <c r="AC644" s="55">
        <f t="shared" si="228"/>
        <v>0</v>
      </c>
      <c r="AD644" s="56">
        <f t="shared" si="229"/>
        <v>6098.62</v>
      </c>
    </row>
    <row r="645" spans="3:30">
      <c r="C645" s="43" t="s">
        <v>1134</v>
      </c>
      <c r="D645" s="44" t="s">
        <v>1135</v>
      </c>
      <c r="E645" s="44"/>
      <c r="F645" s="45">
        <v>42864.277071759258</v>
      </c>
      <c r="G645" s="46">
        <v>16</v>
      </c>
      <c r="H645" s="47">
        <v>43372</v>
      </c>
      <c r="I645" s="47">
        <v>43396</v>
      </c>
      <c r="J645" s="46">
        <v>1729629</v>
      </c>
      <c r="K645" s="46">
        <v>0</v>
      </c>
      <c r="L645" s="46">
        <v>0</v>
      </c>
      <c r="M645" s="46">
        <f t="shared" si="218"/>
        <v>1729629</v>
      </c>
      <c r="N645" s="46">
        <v>1729629</v>
      </c>
      <c r="O645" s="48">
        <f t="shared" si="219"/>
        <v>0</v>
      </c>
      <c r="P645" s="46">
        <v>0</v>
      </c>
      <c r="Q645" s="46">
        <v>1729629</v>
      </c>
      <c r="R645" s="49">
        <f t="shared" si="220"/>
        <v>1</v>
      </c>
      <c r="S645" s="50">
        <f t="shared" si="221"/>
        <v>0.01</v>
      </c>
      <c r="T645" s="49">
        <f t="shared" si="222"/>
        <v>17296.29</v>
      </c>
      <c r="U645" s="51">
        <f t="shared" si="223"/>
        <v>0</v>
      </c>
      <c r="V645" s="52">
        <f>IF(0&lt;0.8,0,IF(0&lt;1,Sheet3!L561,1))*IF(G645&lt;3,0.12 - O645,0.01) *U645</f>
        <v>0</v>
      </c>
      <c r="W645" s="52">
        <f t="shared" si="224"/>
        <v>0</v>
      </c>
      <c r="X645" s="53">
        <f t="shared" si="225"/>
        <v>0</v>
      </c>
      <c r="Y645" s="53">
        <f t="shared" si="226"/>
        <v>0</v>
      </c>
      <c r="Z645" s="54">
        <f t="shared" si="216"/>
        <v>0</v>
      </c>
      <c r="AA645" s="54">
        <f t="shared" si="227"/>
        <v>0</v>
      </c>
      <c r="AB645" s="55">
        <f t="shared" si="230"/>
        <v>0</v>
      </c>
      <c r="AC645" s="55">
        <f t="shared" si="228"/>
        <v>0</v>
      </c>
      <c r="AD645" s="56">
        <f t="shared" si="229"/>
        <v>17296.29</v>
      </c>
    </row>
    <row r="646" spans="3:30">
      <c r="C646" s="43" t="s">
        <v>1136</v>
      </c>
      <c r="D646" s="44" t="s">
        <v>1137</v>
      </c>
      <c r="E646" s="44"/>
      <c r="F646" s="45">
        <v>42954.39503472222</v>
      </c>
      <c r="G646" s="46">
        <v>13</v>
      </c>
      <c r="H646" s="47">
        <v>43372</v>
      </c>
      <c r="I646" s="47">
        <v>43385</v>
      </c>
      <c r="J646" s="46">
        <v>3942340</v>
      </c>
      <c r="K646" s="46">
        <v>0</v>
      </c>
      <c r="L646" s="46">
        <v>0</v>
      </c>
      <c r="M646" s="46">
        <f t="shared" si="218"/>
        <v>3942340</v>
      </c>
      <c r="N646" s="46">
        <v>3942340</v>
      </c>
      <c r="O646" s="48">
        <f t="shared" si="219"/>
        <v>0</v>
      </c>
      <c r="P646" s="46">
        <v>0</v>
      </c>
      <c r="Q646" s="46">
        <v>3942340</v>
      </c>
      <c r="R646" s="49">
        <f t="shared" si="220"/>
        <v>1</v>
      </c>
      <c r="S646" s="50">
        <f t="shared" si="221"/>
        <v>0.01</v>
      </c>
      <c r="T646" s="49">
        <f t="shared" si="222"/>
        <v>39423.4</v>
      </c>
      <c r="U646" s="51">
        <f t="shared" si="223"/>
        <v>0</v>
      </c>
      <c r="V646" s="52">
        <f>IF(0&lt;0.8,0,IF(0&lt;1,Sheet3!L561,1))*IF(G646&lt;3,0.12 - O646,0.01) *U646</f>
        <v>0</v>
      </c>
      <c r="W646" s="52">
        <f t="shared" si="224"/>
        <v>0</v>
      </c>
      <c r="X646" s="53">
        <f t="shared" si="225"/>
        <v>0</v>
      </c>
      <c r="Y646" s="53">
        <f t="shared" si="226"/>
        <v>0</v>
      </c>
      <c r="Z646" s="54">
        <f t="shared" si="216"/>
        <v>0</v>
      </c>
      <c r="AA646" s="54">
        <f t="shared" si="227"/>
        <v>0</v>
      </c>
      <c r="AB646" s="55">
        <f t="shared" si="230"/>
        <v>0</v>
      </c>
      <c r="AC646" s="55">
        <f t="shared" si="228"/>
        <v>0</v>
      </c>
      <c r="AD646" s="56">
        <f t="shared" si="229"/>
        <v>39423.4</v>
      </c>
    </row>
    <row r="647" spans="3:30">
      <c r="C647" s="43" t="s">
        <v>1138</v>
      </c>
      <c r="D647" s="44" t="s">
        <v>1139</v>
      </c>
      <c r="E647" s="44"/>
      <c r="F647" s="45">
        <v>42959.129351851851</v>
      </c>
      <c r="G647" s="46">
        <v>13</v>
      </c>
      <c r="H647" s="47">
        <v>43372</v>
      </c>
      <c r="I647" s="47">
        <v>43404</v>
      </c>
      <c r="J647" s="46">
        <v>296816</v>
      </c>
      <c r="K647" s="46">
        <v>0</v>
      </c>
      <c r="L647" s="46">
        <v>0</v>
      </c>
      <c r="M647" s="46">
        <f t="shared" si="218"/>
        <v>296816</v>
      </c>
      <c r="N647" s="46">
        <v>296816</v>
      </c>
      <c r="O647" s="48">
        <f t="shared" si="219"/>
        <v>0</v>
      </c>
      <c r="P647" s="46">
        <v>0</v>
      </c>
      <c r="Q647" s="46">
        <v>296816</v>
      </c>
      <c r="R647" s="49">
        <f t="shared" si="220"/>
        <v>1</v>
      </c>
      <c r="S647" s="50">
        <f t="shared" si="221"/>
        <v>0.01</v>
      </c>
      <c r="T647" s="49">
        <f t="shared" si="222"/>
        <v>2968.16</v>
      </c>
      <c r="U647" s="51">
        <f t="shared" si="223"/>
        <v>0</v>
      </c>
      <c r="V647" s="52">
        <f>IF(0&lt;0.8,0,IF(0&lt;1,Sheet3!L561,1))*IF(G647&lt;3,0.12 - O647,0.01) *U647</f>
        <v>0</v>
      </c>
      <c r="W647" s="52">
        <f t="shared" si="224"/>
        <v>0</v>
      </c>
      <c r="X647" s="53">
        <f t="shared" si="225"/>
        <v>0</v>
      </c>
      <c r="Y647" s="53">
        <f t="shared" si="226"/>
        <v>0</v>
      </c>
      <c r="Z647" s="54">
        <f t="shared" si="216"/>
        <v>0</v>
      </c>
      <c r="AA647" s="54">
        <f t="shared" si="227"/>
        <v>0</v>
      </c>
      <c r="AB647" s="55">
        <f t="shared" si="230"/>
        <v>0</v>
      </c>
      <c r="AC647" s="55">
        <f t="shared" si="228"/>
        <v>0</v>
      </c>
      <c r="AD647" s="56">
        <f t="shared" si="229"/>
        <v>2968.16</v>
      </c>
    </row>
    <row r="648" spans="3:30">
      <c r="C648" s="43" t="s">
        <v>1140</v>
      </c>
      <c r="D648" s="44" t="s">
        <v>1141</v>
      </c>
      <c r="E648" s="44"/>
      <c r="F648" s="45">
        <v>43003.087997685187</v>
      </c>
      <c r="G648" s="46">
        <v>12</v>
      </c>
      <c r="H648" s="47">
        <v>43420</v>
      </c>
      <c r="I648" s="47">
        <v>43430</v>
      </c>
      <c r="J648" s="46">
        <v>372700</v>
      </c>
      <c r="K648" s="46">
        <v>0</v>
      </c>
      <c r="L648" s="46">
        <v>0</v>
      </c>
      <c r="M648" s="46">
        <f t="shared" si="218"/>
        <v>372700</v>
      </c>
      <c r="N648" s="46">
        <v>545310</v>
      </c>
      <c r="O648" s="48">
        <f t="shared" si="219"/>
        <v>0.31653554858704225</v>
      </c>
      <c r="P648" s="46">
        <v>0</v>
      </c>
      <c r="Q648" s="46">
        <v>372700</v>
      </c>
      <c r="R648" s="49">
        <f t="shared" si="220"/>
        <v>1</v>
      </c>
      <c r="S648" s="50">
        <f t="shared" si="221"/>
        <v>0.01</v>
      </c>
      <c r="T648" s="49">
        <f t="shared" si="222"/>
        <v>3727</v>
      </c>
      <c r="U648" s="51">
        <f t="shared" si="223"/>
        <v>0</v>
      </c>
      <c r="V648" s="52">
        <f>IF(0&lt;0.8,0,IF(0&lt;1,Sheet3!L561,1))*IF(G648&lt;3,0.12 - O648,0.01) *U648</f>
        <v>0</v>
      </c>
      <c r="W648" s="52">
        <f t="shared" si="224"/>
        <v>0</v>
      </c>
      <c r="X648" s="53">
        <f t="shared" si="225"/>
        <v>0</v>
      </c>
      <c r="Y648" s="53">
        <f t="shared" si="226"/>
        <v>0</v>
      </c>
      <c r="Z648" s="54">
        <f t="shared" si="216"/>
        <v>0</v>
      </c>
      <c r="AA648" s="54">
        <f t="shared" si="227"/>
        <v>0</v>
      </c>
      <c r="AB648" s="55">
        <f t="shared" si="230"/>
        <v>0</v>
      </c>
      <c r="AC648" s="55">
        <f t="shared" si="228"/>
        <v>0</v>
      </c>
      <c r="AD648" s="56">
        <f t="shared" si="229"/>
        <v>3727</v>
      </c>
    </row>
    <row r="649" spans="3:30">
      <c r="C649" s="43" t="s">
        <v>1142</v>
      </c>
      <c r="D649" s="44" t="s">
        <v>1141</v>
      </c>
      <c r="E649" s="44"/>
      <c r="F649" s="45">
        <v>43003.116087962961</v>
      </c>
      <c r="G649" s="46">
        <v>12</v>
      </c>
      <c r="H649" s="47">
        <v>43420</v>
      </c>
      <c r="I649" s="47">
        <v>43430</v>
      </c>
      <c r="J649" s="46">
        <v>478125</v>
      </c>
      <c r="K649" s="46">
        <v>0</v>
      </c>
      <c r="L649" s="46">
        <v>0</v>
      </c>
      <c r="M649" s="46">
        <f t="shared" si="218"/>
        <v>478125</v>
      </c>
      <c r="N649" s="46">
        <v>657801</v>
      </c>
      <c r="O649" s="48">
        <f t="shared" si="219"/>
        <v>0.27314643790447268</v>
      </c>
      <c r="P649" s="46">
        <v>0</v>
      </c>
      <c r="Q649" s="46">
        <v>478125</v>
      </c>
      <c r="R649" s="49">
        <f t="shared" si="220"/>
        <v>1</v>
      </c>
      <c r="S649" s="50">
        <f t="shared" si="221"/>
        <v>0.01</v>
      </c>
      <c r="T649" s="49">
        <f t="shared" si="222"/>
        <v>4781.25</v>
      </c>
      <c r="U649" s="51">
        <f t="shared" si="223"/>
        <v>0</v>
      </c>
      <c r="V649" s="52">
        <f>IF(0&lt;0.8,0,IF(0&lt;1,Sheet3!L561,1))*IF(G649&lt;3,0.12 - O649,0.01) *U649</f>
        <v>0</v>
      </c>
      <c r="W649" s="52">
        <f t="shared" si="224"/>
        <v>0</v>
      </c>
      <c r="X649" s="53">
        <f t="shared" si="225"/>
        <v>0</v>
      </c>
      <c r="Y649" s="53">
        <f t="shared" si="226"/>
        <v>0</v>
      </c>
      <c r="Z649" s="54">
        <f t="shared" si="216"/>
        <v>0</v>
      </c>
      <c r="AA649" s="54">
        <f t="shared" si="227"/>
        <v>0</v>
      </c>
      <c r="AB649" s="55">
        <f t="shared" si="230"/>
        <v>0</v>
      </c>
      <c r="AC649" s="55">
        <f t="shared" si="228"/>
        <v>0</v>
      </c>
      <c r="AD649" s="56">
        <f t="shared" si="229"/>
        <v>4781.25</v>
      </c>
    </row>
    <row r="650" spans="3:30">
      <c r="C650" s="43" t="s">
        <v>1143</v>
      </c>
      <c r="D650" s="44" t="s">
        <v>1144</v>
      </c>
      <c r="E650" s="44"/>
      <c r="F650" s="45">
        <v>43040.321099537032</v>
      </c>
      <c r="G650" s="46">
        <v>10</v>
      </c>
      <c r="H650" s="47">
        <v>43372</v>
      </c>
      <c r="I650" s="47">
        <v>43391</v>
      </c>
      <c r="J650" s="46">
        <v>312389</v>
      </c>
      <c r="K650" s="46">
        <v>0</v>
      </c>
      <c r="L650" s="46">
        <v>0</v>
      </c>
      <c r="M650" s="46">
        <f t="shared" si="218"/>
        <v>312389</v>
      </c>
      <c r="N650" s="46">
        <v>312389</v>
      </c>
      <c r="O650" s="48">
        <f t="shared" si="219"/>
        <v>0</v>
      </c>
      <c r="P650" s="46">
        <v>0</v>
      </c>
      <c r="Q650" s="46">
        <v>312389</v>
      </c>
      <c r="R650" s="49">
        <f t="shared" si="220"/>
        <v>1</v>
      </c>
      <c r="S650" s="50">
        <f t="shared" si="221"/>
        <v>0.01</v>
      </c>
      <c r="T650" s="49">
        <f t="shared" si="222"/>
        <v>3123.89</v>
      </c>
      <c r="U650" s="51">
        <f t="shared" si="223"/>
        <v>0</v>
      </c>
      <c r="V650" s="52">
        <f>IF(0&lt;0.8,0,IF(0&lt;1,Sheet3!L561,1))*IF(G650&lt;3,0.12 - O650,0.01) *U650</f>
        <v>0</v>
      </c>
      <c r="W650" s="52">
        <f t="shared" si="224"/>
        <v>0</v>
      </c>
      <c r="X650" s="53">
        <f t="shared" si="225"/>
        <v>0</v>
      </c>
      <c r="Y650" s="53">
        <f t="shared" si="226"/>
        <v>0</v>
      </c>
      <c r="Z650" s="54">
        <f t="shared" si="216"/>
        <v>0</v>
      </c>
      <c r="AA650" s="54">
        <f t="shared" si="227"/>
        <v>0</v>
      </c>
      <c r="AB650" s="55">
        <f t="shared" si="230"/>
        <v>0</v>
      </c>
      <c r="AC650" s="55">
        <f t="shared" si="228"/>
        <v>0</v>
      </c>
      <c r="AD650" s="56">
        <f t="shared" si="229"/>
        <v>3123.89</v>
      </c>
    </row>
    <row r="651" spans="3:30">
      <c r="C651" s="43" t="s">
        <v>1145</v>
      </c>
      <c r="D651" s="44" t="s">
        <v>1096</v>
      </c>
      <c r="E651" s="44"/>
      <c r="F651" s="45">
        <v>43206.138379629629</v>
      </c>
      <c r="G651" s="46">
        <v>5</v>
      </c>
      <c r="H651" s="47">
        <v>43404</v>
      </c>
      <c r="I651" s="47">
        <v>43382</v>
      </c>
      <c r="J651" s="46">
        <v>61490</v>
      </c>
      <c r="K651" s="46">
        <v>0</v>
      </c>
      <c r="L651" s="46">
        <v>0</v>
      </c>
      <c r="M651" s="46">
        <f t="shared" si="218"/>
        <v>61490</v>
      </c>
      <c r="N651" s="46">
        <v>77455</v>
      </c>
      <c r="O651" s="48">
        <f t="shared" si="219"/>
        <v>0.20611968239623002</v>
      </c>
      <c r="P651" s="46">
        <v>0</v>
      </c>
      <c r="Q651" s="46">
        <v>61490</v>
      </c>
      <c r="R651" s="49">
        <f t="shared" si="220"/>
        <v>1</v>
      </c>
      <c r="S651" s="50">
        <f t="shared" si="221"/>
        <v>0.01</v>
      </c>
      <c r="T651" s="49">
        <f t="shared" si="222"/>
        <v>614.9</v>
      </c>
      <c r="U651" s="51">
        <f t="shared" si="223"/>
        <v>0</v>
      </c>
      <c r="V651" s="52">
        <f>IF(0&lt;0.8,0,IF(0&lt;1,Sheet3!L561,1))*IF(G651&lt;3,0.12 - O651,0.01) *U651</f>
        <v>0</v>
      </c>
      <c r="W651" s="52">
        <f t="shared" si="224"/>
        <v>0</v>
      </c>
      <c r="X651" s="53">
        <f t="shared" si="225"/>
        <v>0</v>
      </c>
      <c r="Y651" s="53">
        <f t="shared" si="226"/>
        <v>0</v>
      </c>
      <c r="Z651" s="54">
        <f t="shared" si="216"/>
        <v>0</v>
      </c>
      <c r="AA651" s="54">
        <f t="shared" si="227"/>
        <v>0</v>
      </c>
      <c r="AB651" s="55">
        <f t="shared" si="230"/>
        <v>0</v>
      </c>
      <c r="AC651" s="55">
        <f t="shared" si="228"/>
        <v>0</v>
      </c>
      <c r="AD651" s="56">
        <f t="shared" si="229"/>
        <v>614.9</v>
      </c>
    </row>
    <row r="652" spans="3:30">
      <c r="C652" s="43" t="s">
        <v>1146</v>
      </c>
      <c r="D652" s="44" t="s">
        <v>1147</v>
      </c>
      <c r="E652" s="44"/>
      <c r="F652" s="45">
        <v>43228.084456018514</v>
      </c>
      <c r="G652" s="46">
        <v>4</v>
      </c>
      <c r="H652" s="47">
        <v>43372</v>
      </c>
      <c r="I652" s="47">
        <v>43391</v>
      </c>
      <c r="J652" s="46">
        <v>616524</v>
      </c>
      <c r="K652" s="46">
        <v>0</v>
      </c>
      <c r="L652" s="46">
        <v>0</v>
      </c>
      <c r="M652" s="46">
        <f t="shared" si="218"/>
        <v>616524</v>
      </c>
      <c r="N652" s="46">
        <v>616524</v>
      </c>
      <c r="O652" s="48">
        <f t="shared" si="219"/>
        <v>0</v>
      </c>
      <c r="P652" s="46">
        <v>0</v>
      </c>
      <c r="Q652" s="46">
        <v>616524</v>
      </c>
      <c r="R652" s="49">
        <f t="shared" si="220"/>
        <v>1</v>
      </c>
      <c r="S652" s="50">
        <f t="shared" si="221"/>
        <v>0.01</v>
      </c>
      <c r="T652" s="49">
        <f t="shared" si="222"/>
        <v>6165.24</v>
      </c>
      <c r="U652" s="51">
        <f t="shared" si="223"/>
        <v>0</v>
      </c>
      <c r="V652" s="52">
        <f>IF(0&lt;0.8,0,IF(0&lt;1,Sheet3!L561,1))*IF(G652&lt;3,0.12 - O652,0.01) *U652</f>
        <v>0</v>
      </c>
      <c r="W652" s="52">
        <f t="shared" si="224"/>
        <v>0</v>
      </c>
      <c r="X652" s="53">
        <f t="shared" si="225"/>
        <v>0</v>
      </c>
      <c r="Y652" s="53">
        <f t="shared" si="226"/>
        <v>0</v>
      </c>
      <c r="Z652" s="54">
        <f t="shared" si="216"/>
        <v>0</v>
      </c>
      <c r="AA652" s="54">
        <f t="shared" si="227"/>
        <v>0</v>
      </c>
      <c r="AB652" s="55">
        <f t="shared" si="230"/>
        <v>0</v>
      </c>
      <c r="AC652" s="55">
        <f t="shared" si="228"/>
        <v>0</v>
      </c>
      <c r="AD652" s="56">
        <f t="shared" si="229"/>
        <v>6165.24</v>
      </c>
    </row>
    <row r="653" spans="3:30">
      <c r="C653" s="43" t="s">
        <v>1148</v>
      </c>
      <c r="D653" s="44" t="s">
        <v>1149</v>
      </c>
      <c r="E653" s="44"/>
      <c r="F653" s="45">
        <v>43293.066064814811</v>
      </c>
      <c r="G653" s="46">
        <v>2</v>
      </c>
      <c r="H653" s="47">
        <v>43372</v>
      </c>
      <c r="I653" s="47">
        <v>43397</v>
      </c>
      <c r="J653" s="46">
        <v>4686501</v>
      </c>
      <c r="K653" s="46">
        <v>0</v>
      </c>
      <c r="L653" s="46">
        <v>0</v>
      </c>
      <c r="M653" s="46">
        <f t="shared" si="218"/>
        <v>4686501</v>
      </c>
      <c r="N653" s="46">
        <v>4686463</v>
      </c>
      <c r="O653" s="48">
        <f t="shared" si="219"/>
        <v>0</v>
      </c>
      <c r="P653" s="46">
        <v>4686501</v>
      </c>
      <c r="Q653" s="46">
        <v>0</v>
      </c>
      <c r="R653" s="49">
        <f t="shared" si="220"/>
        <v>0</v>
      </c>
      <c r="S653" s="50">
        <f t="shared" si="221"/>
        <v>0</v>
      </c>
      <c r="T653" s="49">
        <f t="shared" si="222"/>
        <v>0</v>
      </c>
      <c r="U653" s="51">
        <f t="shared" si="223"/>
        <v>4686501</v>
      </c>
      <c r="V653" s="52">
        <f>IF(0&lt;0.8,0,IF(0&lt;1,Sheet3!L561,1))*IF(G653&lt;3,0.12 - O653,0.01) *U653</f>
        <v>0</v>
      </c>
      <c r="W653" s="52">
        <f t="shared" si="224"/>
        <v>0</v>
      </c>
      <c r="X653" s="53">
        <f t="shared" si="225"/>
        <v>0</v>
      </c>
      <c r="Y653" s="53">
        <f t="shared" si="226"/>
        <v>0</v>
      </c>
      <c r="Z653" s="54">
        <f t="shared" ref="Z653:Z687" si="231">IF(R653=1,0,0)</f>
        <v>0</v>
      </c>
      <c r="AA653" s="54">
        <f t="shared" si="227"/>
        <v>0</v>
      </c>
      <c r="AB653" s="55">
        <f t="shared" si="230"/>
        <v>0</v>
      </c>
      <c r="AC653" s="55">
        <f t="shared" si="228"/>
        <v>0</v>
      </c>
      <c r="AD653" s="56">
        <f t="shared" si="229"/>
        <v>0</v>
      </c>
    </row>
    <row r="654" spans="3:30">
      <c r="C654" s="43" t="s">
        <v>1150</v>
      </c>
      <c r="D654" s="44" t="s">
        <v>1151</v>
      </c>
      <c r="E654" s="44"/>
      <c r="F654" s="45">
        <v>43313.181122685186</v>
      </c>
      <c r="G654" s="46">
        <v>1</v>
      </c>
      <c r="H654" s="47">
        <v>43372</v>
      </c>
      <c r="I654" s="47">
        <v>43434</v>
      </c>
      <c r="J654" s="46">
        <v>1361992</v>
      </c>
      <c r="K654" s="46">
        <v>0</v>
      </c>
      <c r="L654" s="46">
        <v>0</v>
      </c>
      <c r="M654" s="46">
        <f t="shared" si="218"/>
        <v>1361992</v>
      </c>
      <c r="N654" s="46">
        <v>1361992</v>
      </c>
      <c r="O654" s="48">
        <f t="shared" si="219"/>
        <v>0</v>
      </c>
      <c r="P654" s="46">
        <v>0</v>
      </c>
      <c r="Q654" s="46">
        <v>0</v>
      </c>
      <c r="R654" s="49">
        <f t="shared" si="220"/>
        <v>0</v>
      </c>
      <c r="S654" s="50">
        <f t="shared" si="221"/>
        <v>0</v>
      </c>
      <c r="T654" s="49">
        <f t="shared" si="222"/>
        <v>0</v>
      </c>
      <c r="U654" s="51">
        <f t="shared" si="223"/>
        <v>1361992</v>
      </c>
      <c r="V654" s="52">
        <f>IF(0&lt;0.8,0,IF(0&lt;1,Sheet3!L561,1))*IF(G654&lt;3,0.12 - O654,0.01) *U654</f>
        <v>0</v>
      </c>
      <c r="W654" s="52">
        <f t="shared" si="224"/>
        <v>0</v>
      </c>
      <c r="X654" s="53">
        <f t="shared" si="225"/>
        <v>0</v>
      </c>
      <c r="Y654" s="53">
        <f t="shared" si="226"/>
        <v>0</v>
      </c>
      <c r="Z654" s="54">
        <f t="shared" si="231"/>
        <v>0</v>
      </c>
      <c r="AA654" s="54">
        <f t="shared" si="227"/>
        <v>0</v>
      </c>
      <c r="AB654" s="55">
        <f t="shared" si="230"/>
        <v>0</v>
      </c>
      <c r="AC654" s="55">
        <f t="shared" si="228"/>
        <v>0</v>
      </c>
      <c r="AD654" s="56">
        <f t="shared" si="229"/>
        <v>0</v>
      </c>
    </row>
    <row r="655" spans="3:30">
      <c r="C655" s="43" t="s">
        <v>1152</v>
      </c>
      <c r="D655" s="44" t="s">
        <v>1153</v>
      </c>
      <c r="E655" s="44"/>
      <c r="F655" s="45">
        <v>43355.273518518516</v>
      </c>
      <c r="G655" s="46">
        <v>0</v>
      </c>
      <c r="H655" s="47">
        <v>43404</v>
      </c>
      <c r="I655" s="47">
        <v>43426</v>
      </c>
      <c r="J655" s="46">
        <v>55736</v>
      </c>
      <c r="K655" s="46">
        <v>0</v>
      </c>
      <c r="L655" s="46">
        <v>0</v>
      </c>
      <c r="M655" s="46">
        <f t="shared" si="218"/>
        <v>55736</v>
      </c>
      <c r="N655" s="46">
        <v>55736</v>
      </c>
      <c r="O655" s="48">
        <f t="shared" si="219"/>
        <v>0</v>
      </c>
      <c r="P655" s="46">
        <v>0</v>
      </c>
      <c r="Q655" s="46">
        <v>0</v>
      </c>
      <c r="R655" s="49">
        <f t="shared" si="220"/>
        <v>0</v>
      </c>
      <c r="S655" s="50">
        <f t="shared" si="221"/>
        <v>0</v>
      </c>
      <c r="T655" s="49">
        <f t="shared" si="222"/>
        <v>0</v>
      </c>
      <c r="U655" s="51">
        <f t="shared" si="223"/>
        <v>55736</v>
      </c>
      <c r="V655" s="52">
        <f>IF(0&lt;0.8,0,IF(0&lt;1,Sheet3!L561,1))*IF(G655&lt;3,0.12 - O655,0.01) *U655</f>
        <v>0</v>
      </c>
      <c r="W655" s="52">
        <f t="shared" si="224"/>
        <v>0</v>
      </c>
      <c r="X655" s="53">
        <f t="shared" si="225"/>
        <v>0</v>
      </c>
      <c r="Y655" s="53">
        <f t="shared" si="226"/>
        <v>0</v>
      </c>
      <c r="Z655" s="54">
        <f t="shared" si="231"/>
        <v>0</v>
      </c>
      <c r="AA655" s="54">
        <f t="shared" si="227"/>
        <v>0</v>
      </c>
      <c r="AB655" s="55">
        <f t="shared" si="230"/>
        <v>0</v>
      </c>
      <c r="AC655" s="55">
        <f t="shared" si="228"/>
        <v>0</v>
      </c>
      <c r="AD655" s="56">
        <f t="shared" si="229"/>
        <v>0</v>
      </c>
    </row>
    <row r="656" spans="3:30">
      <c r="C656" s="43" t="s">
        <v>1154</v>
      </c>
      <c r="D656" s="44" t="s">
        <v>1155</v>
      </c>
      <c r="E656" s="44"/>
      <c r="F656" s="45">
        <v>42521.415405092594</v>
      </c>
      <c r="G656" s="46">
        <v>28</v>
      </c>
      <c r="H656" s="47" t="s">
        <v>24</v>
      </c>
      <c r="I656" s="47" t="s">
        <v>24</v>
      </c>
      <c r="J656" s="46">
        <v>0</v>
      </c>
      <c r="K656" s="46">
        <v>0</v>
      </c>
      <c r="L656" s="46">
        <v>0</v>
      </c>
      <c r="M656" s="46">
        <f t="shared" si="218"/>
        <v>0</v>
      </c>
      <c r="N656" s="46">
        <v>2897950</v>
      </c>
      <c r="O656" s="48">
        <f t="shared" si="219"/>
        <v>1</v>
      </c>
      <c r="P656" s="46">
        <v>0</v>
      </c>
      <c r="Q656" s="46">
        <v>0</v>
      </c>
      <c r="R656" s="49">
        <f t="shared" si="220"/>
        <v>1</v>
      </c>
      <c r="S656" s="50">
        <f t="shared" si="221"/>
        <v>0.01</v>
      </c>
      <c r="T656" s="49">
        <f t="shared" si="222"/>
        <v>0</v>
      </c>
      <c r="U656" s="51">
        <f t="shared" si="223"/>
        <v>0</v>
      </c>
      <c r="V656" s="52">
        <f>IF(0&lt;0.8,0,IF(0&lt;1,Sheet3!L561,1))*IF(G656&lt;3,0.12 - O656,0.01) *U656</f>
        <v>0</v>
      </c>
      <c r="W656" s="52">
        <f t="shared" si="224"/>
        <v>0</v>
      </c>
      <c r="X656" s="53">
        <f t="shared" si="225"/>
        <v>0</v>
      </c>
      <c r="Y656" s="53">
        <f t="shared" si="226"/>
        <v>0</v>
      </c>
      <c r="Z656" s="54">
        <f>IF(R656=1,0,"")</f>
        <v>0</v>
      </c>
      <c r="AA656" s="54">
        <f t="shared" si="227"/>
        <v>0</v>
      </c>
      <c r="AB656" s="55">
        <f>IF(R656=0,"",0)</f>
        <v>0</v>
      </c>
      <c r="AC656" s="55">
        <f t="shared" si="228"/>
        <v>0</v>
      </c>
      <c r="AD656" s="56">
        <f t="shared" si="229"/>
        <v>0</v>
      </c>
    </row>
    <row r="657" spans="3:30">
      <c r="C657" s="43" t="s">
        <v>1156</v>
      </c>
      <c r="D657" s="44" t="s">
        <v>995</v>
      </c>
      <c r="E657" s="44"/>
      <c r="F657" s="45">
        <v>43316.361388888887</v>
      </c>
      <c r="G657" s="46">
        <v>1</v>
      </c>
      <c r="H657" s="47">
        <v>43404</v>
      </c>
      <c r="I657" s="47">
        <v>43430</v>
      </c>
      <c r="J657" s="46">
        <v>775366</v>
      </c>
      <c r="K657" s="46">
        <v>0</v>
      </c>
      <c r="L657" s="46">
        <v>0</v>
      </c>
      <c r="M657" s="46">
        <f t="shared" si="218"/>
        <v>775366</v>
      </c>
      <c r="N657" s="46">
        <v>863723</v>
      </c>
      <c r="O657" s="48">
        <f t="shared" si="219"/>
        <v>0.10229784317425838</v>
      </c>
      <c r="P657" s="46">
        <v>0</v>
      </c>
      <c r="Q657" s="46">
        <v>0</v>
      </c>
      <c r="R657" s="49">
        <f t="shared" si="220"/>
        <v>0</v>
      </c>
      <c r="S657" s="50">
        <f t="shared" si="221"/>
        <v>0</v>
      </c>
      <c r="T657" s="49">
        <f t="shared" si="222"/>
        <v>0</v>
      </c>
      <c r="U657" s="51">
        <f t="shared" si="223"/>
        <v>775366</v>
      </c>
      <c r="V657" s="52">
        <f>IF(0&lt;0.8,0,IF(0&lt;1,Sheet3!L561,1))*IF(G657&lt;3,0.12 - O657,0.01) *U657</f>
        <v>0</v>
      </c>
      <c r="W657" s="52">
        <f t="shared" si="224"/>
        <v>0</v>
      </c>
      <c r="X657" s="53">
        <f t="shared" si="225"/>
        <v>0</v>
      </c>
      <c r="Y657" s="53">
        <f t="shared" si="226"/>
        <v>0</v>
      </c>
      <c r="Z657" s="54">
        <f>IF(R657=1,0,0)</f>
        <v>0</v>
      </c>
      <c r="AA657" s="54">
        <f t="shared" si="227"/>
        <v>0</v>
      </c>
      <c r="AB657" s="55">
        <f>IF(R657=0,0,0)</f>
        <v>0</v>
      </c>
      <c r="AC657" s="55">
        <f t="shared" si="228"/>
        <v>0</v>
      </c>
      <c r="AD657" s="56">
        <f t="shared" si="229"/>
        <v>0</v>
      </c>
    </row>
    <row r="658" spans="3:30">
      <c r="C658" s="43" t="s">
        <v>1157</v>
      </c>
      <c r="D658" s="44" t="s">
        <v>995</v>
      </c>
      <c r="E658" s="44"/>
      <c r="F658" s="45">
        <v>43316.385868055557</v>
      </c>
      <c r="G658" s="46">
        <v>1</v>
      </c>
      <c r="H658" s="47">
        <v>43404</v>
      </c>
      <c r="I658" s="47">
        <v>43430</v>
      </c>
      <c r="J658" s="46">
        <v>1801322</v>
      </c>
      <c r="K658" s="46">
        <v>0</v>
      </c>
      <c r="L658" s="46">
        <v>0</v>
      </c>
      <c r="M658" s="46">
        <f t="shared" si="218"/>
        <v>1801322</v>
      </c>
      <c r="N658" s="46">
        <v>1579801</v>
      </c>
      <c r="O658" s="48">
        <f t="shared" si="219"/>
        <v>0</v>
      </c>
      <c r="P658" s="46">
        <v>0</v>
      </c>
      <c r="Q658" s="46">
        <v>0</v>
      </c>
      <c r="R658" s="49">
        <f t="shared" si="220"/>
        <v>0</v>
      </c>
      <c r="S658" s="50">
        <f t="shared" si="221"/>
        <v>0</v>
      </c>
      <c r="T658" s="49">
        <f t="shared" si="222"/>
        <v>0</v>
      </c>
      <c r="U658" s="51">
        <f t="shared" si="223"/>
        <v>1801322</v>
      </c>
      <c r="V658" s="52">
        <f>IF(0&lt;0.8,0,IF(0&lt;1,Sheet3!L561,1))*IF(G658&lt;3,0.12 - O658,0.01) *U658</f>
        <v>0</v>
      </c>
      <c r="W658" s="52">
        <f t="shared" si="224"/>
        <v>0</v>
      </c>
      <c r="X658" s="53">
        <f t="shared" si="225"/>
        <v>0</v>
      </c>
      <c r="Y658" s="53">
        <f t="shared" si="226"/>
        <v>0</v>
      </c>
      <c r="Z658" s="54">
        <f>IF(R658=1,0,0)</f>
        <v>0</v>
      </c>
      <c r="AA658" s="54">
        <f t="shared" si="227"/>
        <v>0</v>
      </c>
      <c r="AB658" s="55">
        <f>IF(R658=0,0,0)</f>
        <v>0</v>
      </c>
      <c r="AC658" s="55">
        <f t="shared" si="228"/>
        <v>0</v>
      </c>
      <c r="AD658" s="56">
        <f t="shared" si="229"/>
        <v>0</v>
      </c>
    </row>
    <row r="659" spans="3:30">
      <c r="C659" s="43" t="s">
        <v>1158</v>
      </c>
      <c r="D659" s="44" t="s">
        <v>995</v>
      </c>
      <c r="E659" s="44"/>
      <c r="F659" s="45">
        <v>43316.386412037034</v>
      </c>
      <c r="G659" s="46">
        <v>1</v>
      </c>
      <c r="H659" s="47">
        <v>43404</v>
      </c>
      <c r="I659" s="47">
        <v>43430</v>
      </c>
      <c r="J659" s="46">
        <v>2244121</v>
      </c>
      <c r="K659" s="46">
        <v>0</v>
      </c>
      <c r="L659" s="46">
        <v>0</v>
      </c>
      <c r="M659" s="46">
        <f t="shared" si="218"/>
        <v>2244121</v>
      </c>
      <c r="N659" s="46">
        <v>2222415</v>
      </c>
      <c r="O659" s="48">
        <f t="shared" si="219"/>
        <v>0</v>
      </c>
      <c r="P659" s="46">
        <v>0</v>
      </c>
      <c r="Q659" s="46">
        <v>0</v>
      </c>
      <c r="R659" s="49">
        <f t="shared" si="220"/>
        <v>0</v>
      </c>
      <c r="S659" s="50">
        <f t="shared" si="221"/>
        <v>0</v>
      </c>
      <c r="T659" s="49">
        <f t="shared" si="222"/>
        <v>0</v>
      </c>
      <c r="U659" s="51">
        <f t="shared" si="223"/>
        <v>2244121</v>
      </c>
      <c r="V659" s="52">
        <f>IF(0&lt;0.8,0,IF(0&lt;1,Sheet3!L561,1))*IF(G659&lt;3,0.12 - O659,0.01) *U659</f>
        <v>0</v>
      </c>
      <c r="W659" s="52">
        <f t="shared" si="224"/>
        <v>0</v>
      </c>
      <c r="X659" s="53">
        <f t="shared" si="225"/>
        <v>0</v>
      </c>
      <c r="Y659" s="53">
        <f t="shared" si="226"/>
        <v>0</v>
      </c>
      <c r="Z659" s="54">
        <f>IF(R659=1,0,0)</f>
        <v>0</v>
      </c>
      <c r="AA659" s="54">
        <f t="shared" si="227"/>
        <v>0</v>
      </c>
      <c r="AB659" s="55">
        <f>IF(R659=0,0,0)</f>
        <v>0</v>
      </c>
      <c r="AC659" s="55">
        <f t="shared" si="228"/>
        <v>0</v>
      </c>
      <c r="AD659" s="56">
        <f t="shared" si="229"/>
        <v>0</v>
      </c>
    </row>
    <row r="660" spans="3:30">
      <c r="C660" s="43" t="s">
        <v>1159</v>
      </c>
      <c r="D660" s="44" t="s">
        <v>1160</v>
      </c>
      <c r="E660" s="44"/>
      <c r="F660" s="45">
        <v>42237.548368055555</v>
      </c>
      <c r="G660" s="46">
        <v>37</v>
      </c>
      <c r="H660" s="47">
        <v>43452</v>
      </c>
      <c r="I660" s="47">
        <v>43469</v>
      </c>
      <c r="J660" s="46">
        <v>585796</v>
      </c>
      <c r="K660" s="46">
        <v>0</v>
      </c>
      <c r="L660" s="46">
        <v>0</v>
      </c>
      <c r="M660" s="46">
        <f t="shared" si="218"/>
        <v>585796</v>
      </c>
      <c r="N660" s="46">
        <v>585796</v>
      </c>
      <c r="O660" s="48">
        <f t="shared" si="219"/>
        <v>0</v>
      </c>
      <c r="P660" s="46">
        <v>0</v>
      </c>
      <c r="Q660" s="46">
        <v>671028</v>
      </c>
      <c r="R660" s="49">
        <f t="shared" si="220"/>
        <v>1</v>
      </c>
      <c r="S660" s="50">
        <f t="shared" si="221"/>
        <v>0.01</v>
      </c>
      <c r="T660" s="49">
        <f t="shared" si="222"/>
        <v>5857.96</v>
      </c>
      <c r="U660" s="51">
        <f t="shared" si="223"/>
        <v>0</v>
      </c>
      <c r="V660" s="52">
        <f>IF(0&lt;0.8,0,IF(0&lt;1,Sheet3!L561,1))*IF(G660&lt;3,0.12 - O660,0.01) *U660</f>
        <v>0</v>
      </c>
      <c r="W660" s="52">
        <f t="shared" si="224"/>
        <v>0</v>
      </c>
      <c r="X660" s="53">
        <f t="shared" si="225"/>
        <v>0</v>
      </c>
      <c r="Y660" s="53">
        <f t="shared" si="226"/>
        <v>0</v>
      </c>
      <c r="Z660" s="54">
        <f>IF(R660=1,0,0)</f>
        <v>0</v>
      </c>
      <c r="AA660" s="54">
        <f t="shared" si="227"/>
        <v>0</v>
      </c>
      <c r="AB660" s="55">
        <f>IF(R660=0,0,0)</f>
        <v>0</v>
      </c>
      <c r="AC660" s="55">
        <f t="shared" si="228"/>
        <v>0</v>
      </c>
      <c r="AD660" s="56">
        <f t="shared" si="229"/>
        <v>5857.96</v>
      </c>
    </row>
    <row r="661" spans="3:30">
      <c r="C661" s="43" t="s">
        <v>1161</v>
      </c>
      <c r="D661" s="44" t="s">
        <v>1162</v>
      </c>
      <c r="E661" s="44"/>
      <c r="F661" s="45">
        <v>42464.493946759256</v>
      </c>
      <c r="G661" s="46">
        <v>29</v>
      </c>
      <c r="H661" s="47">
        <v>43395</v>
      </c>
      <c r="I661" s="47">
        <v>43412</v>
      </c>
      <c r="J661" s="46">
        <v>1501453</v>
      </c>
      <c r="K661" s="46">
        <v>0</v>
      </c>
      <c r="L661" s="46">
        <v>0</v>
      </c>
      <c r="M661" s="46">
        <f t="shared" si="218"/>
        <v>1501453</v>
      </c>
      <c r="N661" s="46">
        <v>2079154</v>
      </c>
      <c r="O661" s="48">
        <f t="shared" si="219"/>
        <v>0.27785387710578435</v>
      </c>
      <c r="P661" s="46">
        <v>0</v>
      </c>
      <c r="Q661" s="46">
        <v>1501453</v>
      </c>
      <c r="R661" s="49">
        <f t="shared" si="220"/>
        <v>1</v>
      </c>
      <c r="S661" s="50">
        <f t="shared" si="221"/>
        <v>0.01</v>
      </c>
      <c r="T661" s="49">
        <f t="shared" si="222"/>
        <v>15014.53</v>
      </c>
      <c r="U661" s="51">
        <f t="shared" si="223"/>
        <v>0</v>
      </c>
      <c r="V661" s="52">
        <f>IF(0&lt;0.8,0,IF(0&lt;1,Sheet3!L561,1))*IF(G661&lt;3,0.12 - O661,0.01) *U661</f>
        <v>0</v>
      </c>
      <c r="W661" s="52">
        <f t="shared" si="224"/>
        <v>0</v>
      </c>
      <c r="X661" s="53">
        <f t="shared" si="225"/>
        <v>0</v>
      </c>
      <c r="Y661" s="53">
        <f t="shared" si="226"/>
        <v>0</v>
      </c>
      <c r="Z661" s="54">
        <f>IF(R661=1,0,0)</f>
        <v>0</v>
      </c>
      <c r="AA661" s="54">
        <f t="shared" si="227"/>
        <v>0</v>
      </c>
      <c r="AB661" s="55">
        <f>IF(R661=0,0,0)</f>
        <v>0</v>
      </c>
      <c r="AC661" s="55">
        <f t="shared" si="228"/>
        <v>0</v>
      </c>
      <c r="AD661" s="56">
        <f t="shared" si="229"/>
        <v>15014.53</v>
      </c>
    </row>
    <row r="662" spans="3:30">
      <c r="C662" s="43" t="s">
        <v>1163</v>
      </c>
      <c r="D662" s="44" t="s">
        <v>24</v>
      </c>
      <c r="E662" s="44"/>
      <c r="F662" s="45" t="s">
        <v>24</v>
      </c>
      <c r="G662" s="46" t="s">
        <v>24</v>
      </c>
      <c r="H662" s="47" t="s">
        <v>24</v>
      </c>
      <c r="I662" s="47" t="s">
        <v>24</v>
      </c>
      <c r="J662" s="46">
        <v>860794</v>
      </c>
      <c r="K662" s="46">
        <v>0</v>
      </c>
      <c r="L662" s="46">
        <v>0</v>
      </c>
      <c r="M662" s="46">
        <f t="shared" si="218"/>
        <v>860794</v>
      </c>
      <c r="N662" s="46" t="s">
        <v>24</v>
      </c>
      <c r="O662" s="48">
        <f t="shared" si="219"/>
        <v>0</v>
      </c>
      <c r="P662" s="46">
        <v>0</v>
      </c>
      <c r="Q662" s="46">
        <v>0</v>
      </c>
      <c r="R662" s="49">
        <f t="shared" si="220"/>
        <v>0</v>
      </c>
      <c r="S662" s="50">
        <f t="shared" si="221"/>
        <v>0</v>
      </c>
      <c r="T662" s="49">
        <f t="shared" si="222"/>
        <v>0</v>
      </c>
      <c r="U662" s="51">
        <f t="shared" si="223"/>
        <v>860794</v>
      </c>
      <c r="V662" s="52">
        <f>IF(0&lt;0.8,0,IF(0&lt;1,Sheet3!L561,1))*IF(G662&lt;3,0.12 - O662,0.01) *U662</f>
        <v>0</v>
      </c>
      <c r="W662" s="52">
        <f t="shared" si="224"/>
        <v>0</v>
      </c>
      <c r="X662" s="53">
        <f t="shared" si="225"/>
        <v>0</v>
      </c>
      <c r="Y662" s="53">
        <f t="shared" si="226"/>
        <v>0</v>
      </c>
      <c r="Z662" s="54" t="str">
        <f>IF(R662=1,0,"")</f>
        <v/>
      </c>
      <c r="AA662" s="54">
        <f t="shared" si="227"/>
        <v>0</v>
      </c>
      <c r="AB662" s="55" t="str">
        <f>IF(R662=0,"",0)</f>
        <v/>
      </c>
      <c r="AC662" s="55">
        <f t="shared" si="228"/>
        <v>0</v>
      </c>
      <c r="AD662" s="56">
        <f t="shared" si="229"/>
        <v>0</v>
      </c>
    </row>
    <row r="663" spans="3:30">
      <c r="C663" s="43" t="s">
        <v>1164</v>
      </c>
      <c r="D663" s="44" t="s">
        <v>1165</v>
      </c>
      <c r="E663" s="44"/>
      <c r="F663" s="45">
        <v>42714.0628125</v>
      </c>
      <c r="G663" s="46">
        <v>21</v>
      </c>
      <c r="H663" s="47">
        <v>43395</v>
      </c>
      <c r="I663" s="47">
        <v>43412</v>
      </c>
      <c r="J663" s="46">
        <v>811477</v>
      </c>
      <c r="K663" s="46">
        <v>0</v>
      </c>
      <c r="L663" s="46">
        <v>0</v>
      </c>
      <c r="M663" s="46">
        <f t="shared" si="218"/>
        <v>811477</v>
      </c>
      <c r="N663" s="46">
        <v>1121735</v>
      </c>
      <c r="O663" s="48">
        <f t="shared" si="219"/>
        <v>0.27658760759002798</v>
      </c>
      <c r="P663" s="46">
        <v>0</v>
      </c>
      <c r="Q663" s="46">
        <v>811477</v>
      </c>
      <c r="R663" s="49">
        <f t="shared" si="220"/>
        <v>1</v>
      </c>
      <c r="S663" s="50">
        <f t="shared" si="221"/>
        <v>0.01</v>
      </c>
      <c r="T663" s="49">
        <f t="shared" si="222"/>
        <v>8114.77</v>
      </c>
      <c r="U663" s="51">
        <f t="shared" si="223"/>
        <v>0</v>
      </c>
      <c r="V663" s="52">
        <f>IF(0&lt;0.8,0,IF(0&lt;1,Sheet3!L561,1))*IF(G663&lt;3,0.12 - O663,0.01) *U663</f>
        <v>0</v>
      </c>
      <c r="W663" s="52">
        <f t="shared" si="224"/>
        <v>0</v>
      </c>
      <c r="X663" s="53">
        <f t="shared" si="225"/>
        <v>0</v>
      </c>
      <c r="Y663" s="53">
        <f t="shared" si="226"/>
        <v>0</v>
      </c>
      <c r="Z663" s="54">
        <f>IF(R663=1,0,0)</f>
        <v>0</v>
      </c>
      <c r="AA663" s="54">
        <f t="shared" si="227"/>
        <v>0</v>
      </c>
      <c r="AB663" s="55">
        <f>IF(R663=0,0,0)</f>
        <v>0</v>
      </c>
      <c r="AC663" s="55">
        <f t="shared" si="228"/>
        <v>0</v>
      </c>
      <c r="AD663" s="56">
        <f t="shared" si="229"/>
        <v>8114.77</v>
      </c>
    </row>
    <row r="664" spans="3:30">
      <c r="C664" s="43" t="s">
        <v>1166</v>
      </c>
      <c r="D664" s="44" t="s">
        <v>1162</v>
      </c>
      <c r="E664" s="44"/>
      <c r="F664" s="45">
        <v>42920.058634259258</v>
      </c>
      <c r="G664" s="46">
        <v>14</v>
      </c>
      <c r="H664" s="47">
        <v>43395</v>
      </c>
      <c r="I664" s="47">
        <v>43412</v>
      </c>
      <c r="J664" s="46">
        <v>795328</v>
      </c>
      <c r="K664" s="46">
        <v>0</v>
      </c>
      <c r="L664" s="46">
        <v>0</v>
      </c>
      <c r="M664" s="46">
        <f t="shared" si="218"/>
        <v>795328</v>
      </c>
      <c r="N664" s="46">
        <v>1112568</v>
      </c>
      <c r="O664" s="48">
        <f t="shared" si="219"/>
        <v>0.28514212165009245</v>
      </c>
      <c r="P664" s="46">
        <v>0</v>
      </c>
      <c r="Q664" s="46">
        <v>795328</v>
      </c>
      <c r="R664" s="49">
        <f t="shared" si="220"/>
        <v>1</v>
      </c>
      <c r="S664" s="50">
        <f t="shared" si="221"/>
        <v>0.01</v>
      </c>
      <c r="T664" s="49">
        <f t="shared" si="222"/>
        <v>7953.28</v>
      </c>
      <c r="U664" s="51">
        <f t="shared" si="223"/>
        <v>0</v>
      </c>
      <c r="V664" s="52">
        <f>IF(0&lt;0.8,0,IF(0&lt;1,Sheet3!L561,1))*IF(G664&lt;3,0.12 - O664,0.01) *U664</f>
        <v>0</v>
      </c>
      <c r="W664" s="52">
        <f t="shared" si="224"/>
        <v>0</v>
      </c>
      <c r="X664" s="53">
        <f t="shared" si="225"/>
        <v>0</v>
      </c>
      <c r="Y664" s="53">
        <f t="shared" si="226"/>
        <v>0</v>
      </c>
      <c r="Z664" s="54">
        <f>IF(R664=1,0,0)</f>
        <v>0</v>
      </c>
      <c r="AA664" s="54">
        <f t="shared" si="227"/>
        <v>0</v>
      </c>
      <c r="AB664" s="55">
        <f>IF(R664=0,0,0)</f>
        <v>0</v>
      </c>
      <c r="AC664" s="55">
        <f t="shared" si="228"/>
        <v>0</v>
      </c>
      <c r="AD664" s="56">
        <f t="shared" si="229"/>
        <v>7953.28</v>
      </c>
    </row>
    <row r="665" spans="3:30">
      <c r="C665" s="43" t="s">
        <v>1167</v>
      </c>
      <c r="D665" s="44" t="s">
        <v>1168</v>
      </c>
      <c r="E665" s="44"/>
      <c r="F665" s="45">
        <v>43003.124039351853</v>
      </c>
      <c r="G665" s="46">
        <v>12</v>
      </c>
      <c r="H665" s="47">
        <v>43420</v>
      </c>
      <c r="I665" s="47">
        <v>43430</v>
      </c>
      <c r="J665" s="46">
        <v>218350</v>
      </c>
      <c r="K665" s="46">
        <v>0</v>
      </c>
      <c r="L665" s="46">
        <v>0</v>
      </c>
      <c r="M665" s="46">
        <f t="shared" si="218"/>
        <v>218350</v>
      </c>
      <c r="N665" s="46">
        <v>223709</v>
      </c>
      <c r="O665" s="48">
        <f t="shared" si="219"/>
        <v>2.3955227550076175E-2</v>
      </c>
      <c r="P665" s="46">
        <v>0</v>
      </c>
      <c r="Q665" s="46">
        <v>218350</v>
      </c>
      <c r="R665" s="49">
        <f t="shared" si="220"/>
        <v>1</v>
      </c>
      <c r="S665" s="50">
        <f t="shared" si="221"/>
        <v>0.01</v>
      </c>
      <c r="T665" s="49">
        <f t="shared" si="222"/>
        <v>2183.5</v>
      </c>
      <c r="U665" s="51">
        <f t="shared" si="223"/>
        <v>0</v>
      </c>
      <c r="V665" s="52">
        <f>IF(0&lt;0.8,0,IF(0&lt;1,Sheet3!L561,1))*IF(G665&lt;3,0.12 - O665,0.01) *U665</f>
        <v>0</v>
      </c>
      <c r="W665" s="52">
        <f t="shared" si="224"/>
        <v>0</v>
      </c>
      <c r="X665" s="53">
        <f t="shared" si="225"/>
        <v>0</v>
      </c>
      <c r="Y665" s="53">
        <f t="shared" si="226"/>
        <v>0</v>
      </c>
      <c r="Z665" s="54">
        <f>IF(R665=1,0,0)</f>
        <v>0</v>
      </c>
      <c r="AA665" s="54">
        <f t="shared" si="227"/>
        <v>0</v>
      </c>
      <c r="AB665" s="55">
        <f>IF(R665=0,0,0)</f>
        <v>0</v>
      </c>
      <c r="AC665" s="55">
        <f t="shared" si="228"/>
        <v>0</v>
      </c>
      <c r="AD665" s="56">
        <f t="shared" si="229"/>
        <v>2183.5</v>
      </c>
    </row>
    <row r="666" spans="3:30">
      <c r="C666" s="43" t="s">
        <v>1169</v>
      </c>
      <c r="D666" s="44" t="s">
        <v>1170</v>
      </c>
      <c r="E666" s="44"/>
      <c r="F666" s="45">
        <v>43322.29137731481</v>
      </c>
      <c r="G666" s="46">
        <v>1</v>
      </c>
      <c r="H666" s="47">
        <v>43395</v>
      </c>
      <c r="I666" s="47">
        <v>43412</v>
      </c>
      <c r="J666" s="46">
        <v>207955</v>
      </c>
      <c r="K666" s="46">
        <v>0</v>
      </c>
      <c r="L666" s="46">
        <v>0</v>
      </c>
      <c r="M666" s="46">
        <f t="shared" si="218"/>
        <v>207955</v>
      </c>
      <c r="N666" s="46">
        <v>320707</v>
      </c>
      <c r="O666" s="48">
        <f t="shared" si="219"/>
        <v>0.35157324286654168</v>
      </c>
      <c r="P666" s="46">
        <v>0</v>
      </c>
      <c r="Q666" s="46">
        <v>0</v>
      </c>
      <c r="R666" s="49">
        <f t="shared" si="220"/>
        <v>0</v>
      </c>
      <c r="S666" s="50">
        <f t="shared" si="221"/>
        <v>0</v>
      </c>
      <c r="T666" s="49">
        <f t="shared" si="222"/>
        <v>0</v>
      </c>
      <c r="U666" s="51">
        <f t="shared" si="223"/>
        <v>0</v>
      </c>
      <c r="V666" s="52">
        <f>IF(0&lt;0.8,0,IF(0&lt;1,Sheet3!L561,1))*IF(G666&lt;3,0.12 - O666,0.01) *U666</f>
        <v>0</v>
      </c>
      <c r="W666" s="52">
        <f t="shared" si="224"/>
        <v>0</v>
      </c>
      <c r="X666" s="53">
        <f t="shared" si="225"/>
        <v>0</v>
      </c>
      <c r="Y666" s="53">
        <f t="shared" si="226"/>
        <v>0</v>
      </c>
      <c r="Z666" s="54">
        <f>IF(R666=1,0,0)</f>
        <v>0</v>
      </c>
      <c r="AA666" s="54">
        <f t="shared" si="227"/>
        <v>0</v>
      </c>
      <c r="AB666" s="55">
        <f>IF(R666=0,0,0)</f>
        <v>0</v>
      </c>
      <c r="AC666" s="55">
        <f t="shared" si="228"/>
        <v>0</v>
      </c>
      <c r="AD666" s="56">
        <f t="shared" si="229"/>
        <v>0</v>
      </c>
    </row>
    <row r="667" spans="3:30">
      <c r="C667" s="43" t="s">
        <v>1171</v>
      </c>
      <c r="D667" s="44" t="s">
        <v>1172</v>
      </c>
      <c r="E667" s="44"/>
      <c r="F667" s="45">
        <v>43245.276180555556</v>
      </c>
      <c r="G667" s="46">
        <v>4</v>
      </c>
      <c r="H667" s="47" t="s">
        <v>24</v>
      </c>
      <c r="I667" s="47" t="s">
        <v>24</v>
      </c>
      <c r="J667" s="46">
        <v>0</v>
      </c>
      <c r="K667" s="46">
        <v>0</v>
      </c>
      <c r="L667" s="46">
        <v>0</v>
      </c>
      <c r="M667" s="46">
        <f t="shared" si="218"/>
        <v>0</v>
      </c>
      <c r="N667" s="46">
        <v>1720399</v>
      </c>
      <c r="O667" s="48">
        <f t="shared" si="219"/>
        <v>1</v>
      </c>
      <c r="P667" s="46">
        <v>0</v>
      </c>
      <c r="Q667" s="46">
        <v>0</v>
      </c>
      <c r="R667" s="49">
        <f t="shared" si="220"/>
        <v>1</v>
      </c>
      <c r="S667" s="50">
        <f t="shared" si="221"/>
        <v>0.01</v>
      </c>
      <c r="T667" s="49">
        <f t="shared" si="222"/>
        <v>0</v>
      </c>
      <c r="U667" s="51">
        <f t="shared" si="223"/>
        <v>0</v>
      </c>
      <c r="V667" s="52">
        <f>IF(0&lt;0.8,0,IF(0&lt;1,Sheet3!L561,1))*IF(G667&lt;3,0.12 - O667,0.01) *U667</f>
        <v>0</v>
      </c>
      <c r="W667" s="52">
        <f t="shared" si="224"/>
        <v>0</v>
      </c>
      <c r="X667" s="53">
        <f t="shared" si="225"/>
        <v>0</v>
      </c>
      <c r="Y667" s="53">
        <f t="shared" si="226"/>
        <v>0</v>
      </c>
      <c r="Z667" s="54">
        <f>IF(R667=1,0,"")</f>
        <v>0</v>
      </c>
      <c r="AA667" s="54">
        <f t="shared" si="227"/>
        <v>0</v>
      </c>
      <c r="AB667" s="55">
        <f>IF(R667=0,"",0)</f>
        <v>0</v>
      </c>
      <c r="AC667" s="55">
        <f t="shared" si="228"/>
        <v>0</v>
      </c>
      <c r="AD667" s="56">
        <f t="shared" si="229"/>
        <v>0</v>
      </c>
    </row>
    <row r="668" spans="3:30">
      <c r="C668" s="43" t="s">
        <v>1173</v>
      </c>
      <c r="D668" s="44" t="s">
        <v>995</v>
      </c>
      <c r="E668" s="44"/>
      <c r="F668" s="45">
        <v>43316.370868055557</v>
      </c>
      <c r="G668" s="46">
        <v>1</v>
      </c>
      <c r="H668" s="47">
        <v>43404</v>
      </c>
      <c r="I668" s="47">
        <v>43430</v>
      </c>
      <c r="J668" s="46">
        <v>1019216</v>
      </c>
      <c r="K668" s="46">
        <v>0</v>
      </c>
      <c r="L668" s="46">
        <v>0</v>
      </c>
      <c r="M668" s="46">
        <f t="shared" si="218"/>
        <v>1019216</v>
      </c>
      <c r="N668" s="46">
        <v>1115404</v>
      </c>
      <c r="O668" s="48">
        <f t="shared" si="219"/>
        <v>8.6236018518850543E-2</v>
      </c>
      <c r="P668" s="46">
        <v>0</v>
      </c>
      <c r="Q668" s="46">
        <v>0</v>
      </c>
      <c r="R668" s="49">
        <f t="shared" si="220"/>
        <v>0</v>
      </c>
      <c r="S668" s="50">
        <f t="shared" si="221"/>
        <v>0</v>
      </c>
      <c r="T668" s="49">
        <f t="shared" si="222"/>
        <v>0</v>
      </c>
      <c r="U668" s="51">
        <f t="shared" si="223"/>
        <v>1019216</v>
      </c>
      <c r="V668" s="52">
        <f>IF(0&lt;0.8,0,IF(0&lt;1,Sheet3!L561,1))*IF(G668&lt;3,0.12 - O668,0.01) *U668</f>
        <v>0</v>
      </c>
      <c r="W668" s="52">
        <f t="shared" si="224"/>
        <v>0</v>
      </c>
      <c r="X668" s="53">
        <f t="shared" si="225"/>
        <v>0</v>
      </c>
      <c r="Y668" s="53">
        <f t="shared" si="226"/>
        <v>0</v>
      </c>
      <c r="Z668" s="54">
        <f t="shared" ref="Z668:Z681" si="232">IF(R668=1,0,0)</f>
        <v>0</v>
      </c>
      <c r="AA668" s="54">
        <f t="shared" si="227"/>
        <v>0</v>
      </c>
      <c r="AB668" s="55">
        <f t="shared" ref="AB668:AB681" si="233">IF(R668=0,0,0)</f>
        <v>0</v>
      </c>
      <c r="AC668" s="55">
        <f t="shared" si="228"/>
        <v>0</v>
      </c>
      <c r="AD668" s="56">
        <f t="shared" si="229"/>
        <v>0</v>
      </c>
    </row>
    <row r="669" spans="3:30">
      <c r="C669" s="43" t="s">
        <v>1174</v>
      </c>
      <c r="D669" s="44" t="s">
        <v>995</v>
      </c>
      <c r="E669" s="44"/>
      <c r="F669" s="45">
        <v>43316.38690972222</v>
      </c>
      <c r="G669" s="46">
        <v>1</v>
      </c>
      <c r="H669" s="47">
        <v>43404</v>
      </c>
      <c r="I669" s="47">
        <v>43430</v>
      </c>
      <c r="J669" s="46">
        <v>1042182</v>
      </c>
      <c r="K669" s="46">
        <v>0</v>
      </c>
      <c r="L669" s="46">
        <v>0</v>
      </c>
      <c r="M669" s="46">
        <f t="shared" si="218"/>
        <v>1042182</v>
      </c>
      <c r="N669" s="46">
        <v>1052434</v>
      </c>
      <c r="O669" s="48">
        <f t="shared" si="219"/>
        <v>9.7412284285760542E-3</v>
      </c>
      <c r="P669" s="46">
        <v>0</v>
      </c>
      <c r="Q669" s="46">
        <v>0</v>
      </c>
      <c r="R669" s="49">
        <f t="shared" si="220"/>
        <v>0</v>
      </c>
      <c r="S669" s="50">
        <f t="shared" si="221"/>
        <v>0</v>
      </c>
      <c r="T669" s="49">
        <f t="shared" si="222"/>
        <v>0</v>
      </c>
      <c r="U669" s="51">
        <f t="shared" si="223"/>
        <v>1042182</v>
      </c>
      <c r="V669" s="52">
        <f>IF(0&lt;0.8,0,IF(0&lt;1,Sheet3!L561,1))*IF(G669&lt;3,0.12 - O669,0.01) *U669</f>
        <v>0</v>
      </c>
      <c r="W669" s="52">
        <f t="shared" si="224"/>
        <v>0</v>
      </c>
      <c r="X669" s="53">
        <f t="shared" si="225"/>
        <v>0</v>
      </c>
      <c r="Y669" s="53">
        <f t="shared" si="226"/>
        <v>0</v>
      </c>
      <c r="Z669" s="54">
        <f t="shared" si="232"/>
        <v>0</v>
      </c>
      <c r="AA669" s="54">
        <f t="shared" si="227"/>
        <v>0</v>
      </c>
      <c r="AB669" s="55">
        <f t="shared" si="233"/>
        <v>0</v>
      </c>
      <c r="AC669" s="55">
        <f t="shared" si="228"/>
        <v>0</v>
      </c>
      <c r="AD669" s="56">
        <f t="shared" si="229"/>
        <v>0</v>
      </c>
    </row>
    <row r="670" spans="3:30">
      <c r="C670" s="43" t="s">
        <v>1175</v>
      </c>
      <c r="D670" s="44" t="s">
        <v>1176</v>
      </c>
      <c r="E670" s="44"/>
      <c r="F670" s="45">
        <v>40358.427916666667</v>
      </c>
      <c r="G670" s="46">
        <v>99</v>
      </c>
      <c r="H670" s="47">
        <v>43372</v>
      </c>
      <c r="I670" s="47">
        <v>43439</v>
      </c>
      <c r="J670" s="46">
        <v>867145</v>
      </c>
      <c r="K670" s="46">
        <v>0</v>
      </c>
      <c r="L670" s="46">
        <v>0</v>
      </c>
      <c r="M670" s="46">
        <f t="shared" si="218"/>
        <v>867145</v>
      </c>
      <c r="N670" s="46">
        <v>865193</v>
      </c>
      <c r="O670" s="48">
        <f t="shared" si="219"/>
        <v>0</v>
      </c>
      <c r="P670" s="46">
        <v>0</v>
      </c>
      <c r="Q670" s="46">
        <v>867145</v>
      </c>
      <c r="R670" s="49">
        <f t="shared" si="220"/>
        <v>1</v>
      </c>
      <c r="S670" s="50">
        <f t="shared" si="221"/>
        <v>0.01</v>
      </c>
      <c r="T670" s="49">
        <f t="shared" si="222"/>
        <v>8671.4500000000007</v>
      </c>
      <c r="U670" s="51">
        <f t="shared" si="223"/>
        <v>0</v>
      </c>
      <c r="V670" s="52">
        <f>IF(0&lt;0.8,0,IF(0&lt;1,Sheet3!L561,1))*IF(G670&lt;3,0.12 - O670,0.01) *U670</f>
        <v>0</v>
      </c>
      <c r="W670" s="52">
        <f t="shared" si="224"/>
        <v>0</v>
      </c>
      <c r="X670" s="53">
        <f t="shared" si="225"/>
        <v>0</v>
      </c>
      <c r="Y670" s="53">
        <f t="shared" si="226"/>
        <v>0</v>
      </c>
      <c r="Z670" s="54">
        <f t="shared" si="232"/>
        <v>0</v>
      </c>
      <c r="AA670" s="54">
        <f t="shared" si="227"/>
        <v>0</v>
      </c>
      <c r="AB670" s="55">
        <f t="shared" si="233"/>
        <v>0</v>
      </c>
      <c r="AC670" s="55">
        <f t="shared" si="228"/>
        <v>0</v>
      </c>
      <c r="AD670" s="56">
        <f t="shared" si="229"/>
        <v>8671.4500000000007</v>
      </c>
    </row>
    <row r="671" spans="3:30">
      <c r="C671" s="43" t="s">
        <v>1177</v>
      </c>
      <c r="D671" s="44" t="s">
        <v>1178</v>
      </c>
      <c r="E671" s="44"/>
      <c r="F671" s="45">
        <v>40358.437546296293</v>
      </c>
      <c r="G671" s="46">
        <v>99</v>
      </c>
      <c r="H671" s="47" t="s">
        <v>24</v>
      </c>
      <c r="I671" s="47" t="s">
        <v>24</v>
      </c>
      <c r="J671" s="46">
        <v>587368</v>
      </c>
      <c r="K671" s="46">
        <v>0</v>
      </c>
      <c r="L671" s="46">
        <v>0</v>
      </c>
      <c r="M671" s="46">
        <f t="shared" si="218"/>
        <v>587368</v>
      </c>
      <c r="N671" s="46">
        <v>587037</v>
      </c>
      <c r="O671" s="48">
        <f t="shared" si="219"/>
        <v>0</v>
      </c>
      <c r="P671" s="46">
        <v>0</v>
      </c>
      <c r="Q671" s="46">
        <v>587368</v>
      </c>
      <c r="R671" s="49">
        <f t="shared" si="220"/>
        <v>1</v>
      </c>
      <c r="S671" s="50">
        <f t="shared" si="221"/>
        <v>0.01</v>
      </c>
      <c r="T671" s="49">
        <f t="shared" si="222"/>
        <v>5873.68</v>
      </c>
      <c r="U671" s="51">
        <f t="shared" si="223"/>
        <v>0</v>
      </c>
      <c r="V671" s="52">
        <f>IF(0&lt;0.8,0,IF(0&lt;1,Sheet3!L561,1))*IF(G671&lt;3,0.12 - O671,0.01) *U671</f>
        <v>0</v>
      </c>
      <c r="W671" s="52">
        <f t="shared" si="224"/>
        <v>0</v>
      </c>
      <c r="X671" s="53">
        <f t="shared" si="225"/>
        <v>0</v>
      </c>
      <c r="Y671" s="53">
        <f t="shared" si="226"/>
        <v>0</v>
      </c>
      <c r="Z671" s="54">
        <f t="shared" si="232"/>
        <v>0</v>
      </c>
      <c r="AA671" s="54">
        <f t="shared" si="227"/>
        <v>0</v>
      </c>
      <c r="AB671" s="55">
        <f t="shared" si="233"/>
        <v>0</v>
      </c>
      <c r="AC671" s="55">
        <f t="shared" si="228"/>
        <v>0</v>
      </c>
      <c r="AD671" s="56">
        <f t="shared" si="229"/>
        <v>5873.68</v>
      </c>
    </row>
    <row r="672" spans="3:30">
      <c r="C672" s="43" t="s">
        <v>1179</v>
      </c>
      <c r="D672" s="44" t="s">
        <v>1180</v>
      </c>
      <c r="E672" s="44"/>
      <c r="F672" s="45">
        <v>40358.45207175926</v>
      </c>
      <c r="G672" s="46">
        <v>99</v>
      </c>
      <c r="H672" s="47">
        <v>43404</v>
      </c>
      <c r="I672" s="47">
        <v>43420</v>
      </c>
      <c r="J672" s="46">
        <v>22892235</v>
      </c>
      <c r="K672" s="46">
        <v>0</v>
      </c>
      <c r="L672" s="46">
        <v>0</v>
      </c>
      <c r="M672" s="46">
        <f t="shared" si="218"/>
        <v>22892235</v>
      </c>
      <c r="N672" s="46">
        <v>22687911</v>
      </c>
      <c r="O672" s="48">
        <f t="shared" si="219"/>
        <v>0</v>
      </c>
      <c r="P672" s="46">
        <v>0</v>
      </c>
      <c r="Q672" s="46">
        <v>22892235</v>
      </c>
      <c r="R672" s="49">
        <f t="shared" si="220"/>
        <v>1</v>
      </c>
      <c r="S672" s="50">
        <f t="shared" si="221"/>
        <v>0.01</v>
      </c>
      <c r="T672" s="49">
        <f t="shared" si="222"/>
        <v>228922.35</v>
      </c>
      <c r="U672" s="51">
        <f t="shared" si="223"/>
        <v>0</v>
      </c>
      <c r="V672" s="52">
        <f>IF(0&lt;0.8,0,IF(0&lt;1,Sheet3!L561,1))*IF(G672&lt;3,0.12 - O672,0.01) *U672</f>
        <v>0</v>
      </c>
      <c r="W672" s="52">
        <f t="shared" si="224"/>
        <v>0</v>
      </c>
      <c r="X672" s="53">
        <f t="shared" si="225"/>
        <v>0</v>
      </c>
      <c r="Y672" s="53">
        <f t="shared" si="226"/>
        <v>0</v>
      </c>
      <c r="Z672" s="54">
        <f t="shared" si="232"/>
        <v>0</v>
      </c>
      <c r="AA672" s="54">
        <f t="shared" si="227"/>
        <v>0</v>
      </c>
      <c r="AB672" s="55">
        <f t="shared" si="233"/>
        <v>0</v>
      </c>
      <c r="AC672" s="55">
        <f t="shared" si="228"/>
        <v>0</v>
      </c>
      <c r="AD672" s="56">
        <f t="shared" si="229"/>
        <v>228922.35</v>
      </c>
    </row>
    <row r="673" spans="3:30">
      <c r="C673" s="43" t="s">
        <v>1181</v>
      </c>
      <c r="D673" s="44" t="s">
        <v>1182</v>
      </c>
      <c r="E673" s="44"/>
      <c r="F673" s="45">
        <v>41648.422164351847</v>
      </c>
      <c r="G673" s="46">
        <v>56</v>
      </c>
      <c r="H673" s="47">
        <v>43395</v>
      </c>
      <c r="I673" s="47">
        <v>43412</v>
      </c>
      <c r="J673" s="46">
        <v>827283</v>
      </c>
      <c r="K673" s="46">
        <v>0</v>
      </c>
      <c r="L673" s="46">
        <v>0</v>
      </c>
      <c r="M673" s="46">
        <f t="shared" si="218"/>
        <v>827283</v>
      </c>
      <c r="N673" s="46">
        <v>1071207</v>
      </c>
      <c r="O673" s="48">
        <f t="shared" si="219"/>
        <v>0.22770949032259868</v>
      </c>
      <c r="P673" s="46">
        <v>0</v>
      </c>
      <c r="Q673" s="46">
        <v>827283</v>
      </c>
      <c r="R673" s="49">
        <f t="shared" si="220"/>
        <v>1</v>
      </c>
      <c r="S673" s="50">
        <f t="shared" si="221"/>
        <v>0.01</v>
      </c>
      <c r="T673" s="49">
        <f t="shared" si="222"/>
        <v>8272.83</v>
      </c>
      <c r="U673" s="51">
        <f t="shared" si="223"/>
        <v>0</v>
      </c>
      <c r="V673" s="52">
        <f>IF(0&lt;0.8,0,IF(0&lt;1,Sheet3!L561,1))*IF(G673&lt;3,0.12 - O673,0.01) *U673</f>
        <v>0</v>
      </c>
      <c r="W673" s="52">
        <f t="shared" si="224"/>
        <v>0</v>
      </c>
      <c r="X673" s="53">
        <f t="shared" si="225"/>
        <v>0</v>
      </c>
      <c r="Y673" s="53">
        <f t="shared" si="226"/>
        <v>0</v>
      </c>
      <c r="Z673" s="54">
        <f t="shared" si="232"/>
        <v>0</v>
      </c>
      <c r="AA673" s="54">
        <f t="shared" si="227"/>
        <v>0</v>
      </c>
      <c r="AB673" s="55">
        <f t="shared" si="233"/>
        <v>0</v>
      </c>
      <c r="AC673" s="55">
        <f t="shared" si="228"/>
        <v>0</v>
      </c>
      <c r="AD673" s="56">
        <f t="shared" si="229"/>
        <v>8272.83</v>
      </c>
    </row>
    <row r="674" spans="3:30">
      <c r="C674" s="43" t="s">
        <v>1183</v>
      </c>
      <c r="D674" s="44" t="s">
        <v>1184</v>
      </c>
      <c r="E674" s="44"/>
      <c r="F674" s="45">
        <v>41572.620520833334</v>
      </c>
      <c r="G674" s="46">
        <v>59</v>
      </c>
      <c r="H674" s="47">
        <v>43384</v>
      </c>
      <c r="I674" s="47">
        <v>43430</v>
      </c>
      <c r="J674" s="46">
        <v>89016439</v>
      </c>
      <c r="K674" s="46">
        <v>0</v>
      </c>
      <c r="L674" s="46">
        <v>0</v>
      </c>
      <c r="M674" s="46">
        <f t="shared" si="218"/>
        <v>89016439</v>
      </c>
      <c r="N674" s="46">
        <v>90831310</v>
      </c>
      <c r="O674" s="48">
        <f t="shared" si="219"/>
        <v>1.9980676266807107E-2</v>
      </c>
      <c r="P674" s="46">
        <v>0</v>
      </c>
      <c r="Q674" s="46">
        <v>89016439</v>
      </c>
      <c r="R674" s="49">
        <f t="shared" si="220"/>
        <v>1</v>
      </c>
      <c r="S674" s="50">
        <f t="shared" si="221"/>
        <v>0.01</v>
      </c>
      <c r="T674" s="49">
        <f t="shared" si="222"/>
        <v>890164.39</v>
      </c>
      <c r="U674" s="51">
        <f t="shared" si="223"/>
        <v>0</v>
      </c>
      <c r="V674" s="52">
        <f>IF(0&lt;0.8,0,IF(0&lt;1,Sheet3!L561,1))*IF(G674&lt;3,0.12 - O674,0.01) *U674</f>
        <v>0</v>
      </c>
      <c r="W674" s="52">
        <f t="shared" si="224"/>
        <v>0</v>
      </c>
      <c r="X674" s="53">
        <f t="shared" si="225"/>
        <v>0</v>
      </c>
      <c r="Y674" s="53">
        <f t="shared" si="226"/>
        <v>0</v>
      </c>
      <c r="Z674" s="54">
        <f t="shared" si="232"/>
        <v>0</v>
      </c>
      <c r="AA674" s="54">
        <f t="shared" si="227"/>
        <v>0</v>
      </c>
      <c r="AB674" s="55">
        <f t="shared" si="233"/>
        <v>0</v>
      </c>
      <c r="AC674" s="55">
        <f t="shared" si="228"/>
        <v>0</v>
      </c>
      <c r="AD674" s="56">
        <f t="shared" si="229"/>
        <v>890164.39</v>
      </c>
    </row>
    <row r="675" spans="3:30">
      <c r="C675" s="43" t="s">
        <v>1185</v>
      </c>
      <c r="D675" s="44" t="s">
        <v>1186</v>
      </c>
      <c r="E675" s="44"/>
      <c r="F675" s="45">
        <v>41690.608576388884</v>
      </c>
      <c r="G675" s="46">
        <v>55</v>
      </c>
      <c r="H675" s="47">
        <v>43372</v>
      </c>
      <c r="I675" s="47">
        <v>43413</v>
      </c>
      <c r="J675" s="46">
        <v>22053086</v>
      </c>
      <c r="K675" s="46">
        <v>0</v>
      </c>
      <c r="L675" s="46">
        <v>0</v>
      </c>
      <c r="M675" s="46">
        <f t="shared" si="218"/>
        <v>22053086</v>
      </c>
      <c r="N675" s="46">
        <v>74338757</v>
      </c>
      <c r="O675" s="48">
        <f t="shared" si="219"/>
        <v>0.70334335829693795</v>
      </c>
      <c r="P675" s="46">
        <v>0</v>
      </c>
      <c r="Q675" s="46">
        <v>22053086</v>
      </c>
      <c r="R675" s="49">
        <f t="shared" si="220"/>
        <v>1</v>
      </c>
      <c r="S675" s="50">
        <f t="shared" si="221"/>
        <v>0.01</v>
      </c>
      <c r="T675" s="49">
        <f t="shared" si="222"/>
        <v>220530.86000000002</v>
      </c>
      <c r="U675" s="51">
        <f t="shared" si="223"/>
        <v>0</v>
      </c>
      <c r="V675" s="52">
        <f>IF(0&lt;0.8,0,IF(0&lt;1,Sheet3!L561,1))*IF(G675&lt;3,0.12 - O675,0.01) *U675</f>
        <v>0</v>
      </c>
      <c r="W675" s="52">
        <f t="shared" si="224"/>
        <v>0</v>
      </c>
      <c r="X675" s="53">
        <f t="shared" si="225"/>
        <v>0</v>
      </c>
      <c r="Y675" s="53">
        <f t="shared" si="226"/>
        <v>0</v>
      </c>
      <c r="Z675" s="54">
        <f t="shared" si="232"/>
        <v>0</v>
      </c>
      <c r="AA675" s="54">
        <f t="shared" si="227"/>
        <v>0</v>
      </c>
      <c r="AB675" s="55">
        <f t="shared" si="233"/>
        <v>0</v>
      </c>
      <c r="AC675" s="55">
        <f t="shared" si="228"/>
        <v>0</v>
      </c>
      <c r="AD675" s="56">
        <f t="shared" si="229"/>
        <v>220530.86000000002</v>
      </c>
    </row>
    <row r="676" spans="3:30">
      <c r="C676" s="43" t="s">
        <v>1187</v>
      </c>
      <c r="D676" s="44" t="s">
        <v>1188</v>
      </c>
      <c r="E676" s="44"/>
      <c r="F676" s="45">
        <v>42355.439525462964</v>
      </c>
      <c r="G676" s="46">
        <v>33</v>
      </c>
      <c r="H676" s="47">
        <v>43395</v>
      </c>
      <c r="I676" s="47">
        <v>43412</v>
      </c>
      <c r="J676" s="46">
        <v>231083</v>
      </c>
      <c r="K676" s="46">
        <v>0</v>
      </c>
      <c r="L676" s="46">
        <v>0</v>
      </c>
      <c r="M676" s="46">
        <f t="shared" si="218"/>
        <v>231083</v>
      </c>
      <c r="N676" s="46">
        <v>315272</v>
      </c>
      <c r="O676" s="48">
        <f t="shared" si="219"/>
        <v>0.26703608312821947</v>
      </c>
      <c r="P676" s="46">
        <v>0</v>
      </c>
      <c r="Q676" s="46">
        <v>231083</v>
      </c>
      <c r="R676" s="49">
        <f t="shared" si="220"/>
        <v>1</v>
      </c>
      <c r="S676" s="50">
        <f t="shared" si="221"/>
        <v>0.01</v>
      </c>
      <c r="T676" s="49">
        <f t="shared" si="222"/>
        <v>2310.83</v>
      </c>
      <c r="U676" s="51">
        <f t="shared" si="223"/>
        <v>0</v>
      </c>
      <c r="V676" s="52">
        <f>IF(0&lt;0.8,0,IF(0&lt;1,Sheet3!L561,1))*IF(G676&lt;3,0.12 - O676,0.01) *U676</f>
        <v>0</v>
      </c>
      <c r="W676" s="52">
        <f t="shared" si="224"/>
        <v>0</v>
      </c>
      <c r="X676" s="53">
        <f t="shared" si="225"/>
        <v>0</v>
      </c>
      <c r="Y676" s="53">
        <f t="shared" si="226"/>
        <v>0</v>
      </c>
      <c r="Z676" s="54">
        <f t="shared" si="232"/>
        <v>0</v>
      </c>
      <c r="AA676" s="54">
        <f t="shared" si="227"/>
        <v>0</v>
      </c>
      <c r="AB676" s="55">
        <f t="shared" si="233"/>
        <v>0</v>
      </c>
      <c r="AC676" s="55">
        <f t="shared" si="228"/>
        <v>0</v>
      </c>
      <c r="AD676" s="56">
        <f t="shared" si="229"/>
        <v>2310.83</v>
      </c>
    </row>
    <row r="677" spans="3:30">
      <c r="C677" s="43" t="s">
        <v>1189</v>
      </c>
      <c r="D677" s="44" t="s">
        <v>1190</v>
      </c>
      <c r="E677" s="44"/>
      <c r="F677" s="45">
        <v>42664.398032407407</v>
      </c>
      <c r="G677" s="46">
        <v>23</v>
      </c>
      <c r="H677" s="47">
        <v>43372</v>
      </c>
      <c r="I677" s="47">
        <v>43392</v>
      </c>
      <c r="J677" s="46">
        <v>9059107</v>
      </c>
      <c r="K677" s="46">
        <v>761429</v>
      </c>
      <c r="L677" s="46">
        <v>0</v>
      </c>
      <c r="M677" s="46">
        <f t="shared" si="218"/>
        <v>8297678</v>
      </c>
      <c r="N677" s="46">
        <v>9517797</v>
      </c>
      <c r="O677" s="48">
        <f t="shared" si="219"/>
        <v>0.12819342543237688</v>
      </c>
      <c r="P677" s="46">
        <v>0</v>
      </c>
      <c r="Q677" s="46">
        <v>9059107</v>
      </c>
      <c r="R677" s="49">
        <f t="shared" si="220"/>
        <v>1</v>
      </c>
      <c r="S677" s="50">
        <f t="shared" si="221"/>
        <v>0.01</v>
      </c>
      <c r="T677" s="49">
        <f t="shared" si="222"/>
        <v>82976.78</v>
      </c>
      <c r="U677" s="51">
        <f t="shared" si="223"/>
        <v>0</v>
      </c>
      <c r="V677" s="52">
        <f>IF(0&lt;0.8,0,IF(0&lt;1,Sheet3!L561,1))*IF(G677&lt;3,0.12 - O677,0.01) *U677</f>
        <v>0</v>
      </c>
      <c r="W677" s="52">
        <f t="shared" si="224"/>
        <v>0</v>
      </c>
      <c r="X677" s="53">
        <f t="shared" si="225"/>
        <v>0</v>
      </c>
      <c r="Y677" s="53">
        <f t="shared" si="226"/>
        <v>0</v>
      </c>
      <c r="Z677" s="54">
        <f t="shared" si="232"/>
        <v>0</v>
      </c>
      <c r="AA677" s="54">
        <f t="shared" si="227"/>
        <v>0</v>
      </c>
      <c r="AB677" s="55">
        <f t="shared" si="233"/>
        <v>0</v>
      </c>
      <c r="AC677" s="55">
        <f t="shared" si="228"/>
        <v>0</v>
      </c>
      <c r="AD677" s="56">
        <f t="shared" si="229"/>
        <v>82976.78</v>
      </c>
    </row>
    <row r="678" spans="3:30">
      <c r="C678" s="43" t="s">
        <v>1191</v>
      </c>
      <c r="D678" s="44" t="s">
        <v>1182</v>
      </c>
      <c r="E678" s="44"/>
      <c r="F678" s="45">
        <v>42755.19326388889</v>
      </c>
      <c r="G678" s="46">
        <v>20</v>
      </c>
      <c r="H678" s="47">
        <v>43395</v>
      </c>
      <c r="I678" s="47">
        <v>43412</v>
      </c>
      <c r="J678" s="46">
        <v>493790</v>
      </c>
      <c r="K678" s="46">
        <v>0</v>
      </c>
      <c r="L678" s="46">
        <v>0</v>
      </c>
      <c r="M678" s="46">
        <f t="shared" si="218"/>
        <v>493790</v>
      </c>
      <c r="N678" s="46">
        <v>647727</v>
      </c>
      <c r="O678" s="48">
        <f t="shared" si="219"/>
        <v>0.23765722287321667</v>
      </c>
      <c r="P678" s="46">
        <v>0</v>
      </c>
      <c r="Q678" s="46">
        <v>493790</v>
      </c>
      <c r="R678" s="49">
        <f t="shared" si="220"/>
        <v>1</v>
      </c>
      <c r="S678" s="50">
        <f t="shared" si="221"/>
        <v>0.01</v>
      </c>
      <c r="T678" s="49">
        <f t="shared" si="222"/>
        <v>4937.9000000000005</v>
      </c>
      <c r="U678" s="51">
        <f t="shared" si="223"/>
        <v>0</v>
      </c>
      <c r="V678" s="52">
        <f>IF(0&lt;0.8,0,IF(0&lt;1,Sheet3!L561,1))*IF(G678&lt;3,0.12 - O678,0.01) *U678</f>
        <v>0</v>
      </c>
      <c r="W678" s="52">
        <f t="shared" si="224"/>
        <v>0</v>
      </c>
      <c r="X678" s="53">
        <f t="shared" si="225"/>
        <v>0</v>
      </c>
      <c r="Y678" s="53">
        <f t="shared" si="226"/>
        <v>0</v>
      </c>
      <c r="Z678" s="54">
        <f t="shared" si="232"/>
        <v>0</v>
      </c>
      <c r="AA678" s="54">
        <f t="shared" si="227"/>
        <v>0</v>
      </c>
      <c r="AB678" s="55">
        <f t="shared" si="233"/>
        <v>0</v>
      </c>
      <c r="AC678" s="55">
        <f t="shared" si="228"/>
        <v>0</v>
      </c>
      <c r="AD678" s="56">
        <f t="shared" si="229"/>
        <v>4937.9000000000005</v>
      </c>
    </row>
    <row r="679" spans="3:30">
      <c r="C679" s="43" t="s">
        <v>1192</v>
      </c>
      <c r="D679" s="44" t="s">
        <v>1182</v>
      </c>
      <c r="E679" s="44"/>
      <c r="F679" s="45">
        <v>42815.271655092591</v>
      </c>
      <c r="G679" s="46">
        <v>18</v>
      </c>
      <c r="H679" s="47">
        <v>43395</v>
      </c>
      <c r="I679" s="47">
        <v>43412</v>
      </c>
      <c r="J679" s="46">
        <v>49638</v>
      </c>
      <c r="K679" s="46">
        <v>0</v>
      </c>
      <c r="L679" s="46">
        <v>0</v>
      </c>
      <c r="M679" s="46">
        <f t="shared" si="218"/>
        <v>49638</v>
      </c>
      <c r="N679" s="46">
        <v>65139</v>
      </c>
      <c r="O679" s="48">
        <f t="shared" si="219"/>
        <v>0.23796803758117258</v>
      </c>
      <c r="P679" s="46">
        <v>0</v>
      </c>
      <c r="Q679" s="46">
        <v>49638</v>
      </c>
      <c r="R679" s="49">
        <f t="shared" si="220"/>
        <v>1</v>
      </c>
      <c r="S679" s="50">
        <f t="shared" si="221"/>
        <v>0.01</v>
      </c>
      <c r="T679" s="49">
        <f t="shared" si="222"/>
        <v>496.38</v>
      </c>
      <c r="U679" s="51">
        <f t="shared" si="223"/>
        <v>0</v>
      </c>
      <c r="V679" s="52">
        <f>IF(0&lt;0.8,0,IF(0&lt;1,Sheet3!L561,1))*IF(G679&lt;3,0.12 - O679,0.01) *U679</f>
        <v>0</v>
      </c>
      <c r="W679" s="52">
        <f t="shared" si="224"/>
        <v>0</v>
      </c>
      <c r="X679" s="53">
        <f t="shared" si="225"/>
        <v>0</v>
      </c>
      <c r="Y679" s="53">
        <f t="shared" si="226"/>
        <v>0</v>
      </c>
      <c r="Z679" s="54">
        <f t="shared" si="232"/>
        <v>0</v>
      </c>
      <c r="AA679" s="54">
        <f t="shared" si="227"/>
        <v>0</v>
      </c>
      <c r="AB679" s="55">
        <f t="shared" si="233"/>
        <v>0</v>
      </c>
      <c r="AC679" s="55">
        <f t="shared" si="228"/>
        <v>0</v>
      </c>
      <c r="AD679" s="56">
        <f t="shared" si="229"/>
        <v>496.38</v>
      </c>
    </row>
    <row r="680" spans="3:30">
      <c r="C680" s="43" t="s">
        <v>1193</v>
      </c>
      <c r="D680" s="44" t="s">
        <v>1182</v>
      </c>
      <c r="E680" s="44"/>
      <c r="F680" s="45">
        <v>42843.329467592594</v>
      </c>
      <c r="G680" s="46">
        <v>17</v>
      </c>
      <c r="H680" s="47">
        <v>43395</v>
      </c>
      <c r="I680" s="47">
        <v>43412</v>
      </c>
      <c r="J680" s="46">
        <v>164175</v>
      </c>
      <c r="K680" s="46">
        <v>0</v>
      </c>
      <c r="L680" s="46">
        <v>0</v>
      </c>
      <c r="M680" s="46">
        <f t="shared" si="218"/>
        <v>164175</v>
      </c>
      <c r="N680" s="46">
        <v>226875</v>
      </c>
      <c r="O680" s="48">
        <f t="shared" si="219"/>
        <v>0.27636363636363637</v>
      </c>
      <c r="P680" s="46">
        <v>0</v>
      </c>
      <c r="Q680" s="46">
        <v>164175</v>
      </c>
      <c r="R680" s="49">
        <f t="shared" si="220"/>
        <v>1</v>
      </c>
      <c r="S680" s="50">
        <f t="shared" si="221"/>
        <v>0.01</v>
      </c>
      <c r="T680" s="49">
        <f t="shared" si="222"/>
        <v>1641.75</v>
      </c>
      <c r="U680" s="51">
        <f t="shared" si="223"/>
        <v>0</v>
      </c>
      <c r="V680" s="52">
        <f>IF(0&lt;0.8,0,IF(0&lt;1,Sheet3!L561,1))*IF(G680&lt;3,0.12 - O680,0.01) *U680</f>
        <v>0</v>
      </c>
      <c r="W680" s="52">
        <f t="shared" si="224"/>
        <v>0</v>
      </c>
      <c r="X680" s="53">
        <f t="shared" si="225"/>
        <v>0</v>
      </c>
      <c r="Y680" s="53">
        <f t="shared" si="226"/>
        <v>0</v>
      </c>
      <c r="Z680" s="54">
        <f t="shared" si="232"/>
        <v>0</v>
      </c>
      <c r="AA680" s="54">
        <f t="shared" si="227"/>
        <v>0</v>
      </c>
      <c r="AB680" s="55">
        <f t="shared" si="233"/>
        <v>0</v>
      </c>
      <c r="AC680" s="55">
        <f t="shared" si="228"/>
        <v>0</v>
      </c>
      <c r="AD680" s="56">
        <f t="shared" si="229"/>
        <v>1641.75</v>
      </c>
    </row>
    <row r="681" spans="3:30">
      <c r="C681" s="43" t="s">
        <v>1194</v>
      </c>
      <c r="D681" s="44" t="s">
        <v>1195</v>
      </c>
      <c r="E681" s="44"/>
      <c r="F681" s="45">
        <v>43081.349189814813</v>
      </c>
      <c r="G681" s="46">
        <v>9</v>
      </c>
      <c r="H681" s="47">
        <v>43404</v>
      </c>
      <c r="I681" s="47">
        <v>43391</v>
      </c>
      <c r="J681" s="46">
        <v>3285000</v>
      </c>
      <c r="K681" s="46">
        <v>0</v>
      </c>
      <c r="L681" s="46">
        <v>0</v>
      </c>
      <c r="M681" s="46">
        <f t="shared" si="218"/>
        <v>3285000</v>
      </c>
      <c r="N681" s="46">
        <v>3862441</v>
      </c>
      <c r="O681" s="48">
        <f t="shared" si="219"/>
        <v>0.14950157167449285</v>
      </c>
      <c r="P681" s="46">
        <v>0</v>
      </c>
      <c r="Q681" s="46">
        <v>3285000</v>
      </c>
      <c r="R681" s="49">
        <f t="shared" si="220"/>
        <v>1</v>
      </c>
      <c r="S681" s="50">
        <f t="shared" si="221"/>
        <v>0.01</v>
      </c>
      <c r="T681" s="49">
        <f t="shared" si="222"/>
        <v>32850</v>
      </c>
      <c r="U681" s="51">
        <f t="shared" si="223"/>
        <v>0</v>
      </c>
      <c r="V681" s="52">
        <f>IF(0&lt;0.8,0,IF(0&lt;1,Sheet3!L561,1))*IF(G681&lt;3,0.12 - O681,0.01) *U681</f>
        <v>0</v>
      </c>
      <c r="W681" s="52">
        <f t="shared" si="224"/>
        <v>0</v>
      </c>
      <c r="X681" s="53">
        <f t="shared" si="225"/>
        <v>0</v>
      </c>
      <c r="Y681" s="53">
        <f t="shared" si="226"/>
        <v>0</v>
      </c>
      <c r="Z681" s="54">
        <f t="shared" si="232"/>
        <v>0</v>
      </c>
      <c r="AA681" s="54">
        <f t="shared" si="227"/>
        <v>0</v>
      </c>
      <c r="AB681" s="55">
        <f t="shared" si="233"/>
        <v>0</v>
      </c>
      <c r="AC681" s="55">
        <f t="shared" si="228"/>
        <v>0</v>
      </c>
      <c r="AD681" s="56">
        <f t="shared" si="229"/>
        <v>32850</v>
      </c>
    </row>
    <row r="682" spans="3:30">
      <c r="C682" s="43" t="s">
        <v>1196</v>
      </c>
      <c r="D682" s="44" t="s">
        <v>1197</v>
      </c>
      <c r="E682" s="44"/>
      <c r="F682" s="45">
        <v>43245.276666666665</v>
      </c>
      <c r="G682" s="46">
        <v>4</v>
      </c>
      <c r="H682" s="47" t="s">
        <v>24</v>
      </c>
      <c r="I682" s="47" t="s">
        <v>24</v>
      </c>
      <c r="J682" s="46">
        <v>0</v>
      </c>
      <c r="K682" s="46">
        <v>0</v>
      </c>
      <c r="L682" s="46">
        <v>0</v>
      </c>
      <c r="M682" s="46">
        <f t="shared" si="218"/>
        <v>0</v>
      </c>
      <c r="N682" s="46">
        <v>1471946</v>
      </c>
      <c r="O682" s="48">
        <f t="shared" si="219"/>
        <v>1</v>
      </c>
      <c r="P682" s="46">
        <v>0</v>
      </c>
      <c r="Q682" s="46">
        <v>0</v>
      </c>
      <c r="R682" s="49">
        <f t="shared" si="220"/>
        <v>1</v>
      </c>
      <c r="S682" s="50">
        <f t="shared" si="221"/>
        <v>0.01</v>
      </c>
      <c r="T682" s="49">
        <f t="shared" si="222"/>
        <v>0</v>
      </c>
      <c r="U682" s="51">
        <f t="shared" si="223"/>
        <v>0</v>
      </c>
      <c r="V682" s="52">
        <f>IF(0&lt;0.8,0,IF(0&lt;1,Sheet3!L561,1))*IF(G682&lt;3,0.12 - O682,0.01) *U682</f>
        <v>0</v>
      </c>
      <c r="W682" s="52">
        <f t="shared" si="224"/>
        <v>0</v>
      </c>
      <c r="X682" s="53">
        <f t="shared" si="225"/>
        <v>0</v>
      </c>
      <c r="Y682" s="53">
        <f t="shared" si="226"/>
        <v>0</v>
      </c>
      <c r="Z682" s="54">
        <f>IF(R682=1,0,"")</f>
        <v>0</v>
      </c>
      <c r="AA682" s="54">
        <f t="shared" si="227"/>
        <v>0</v>
      </c>
      <c r="AB682" s="55">
        <f>IF(R682=0,"",0)</f>
        <v>0</v>
      </c>
      <c r="AC682" s="55">
        <f t="shared" si="228"/>
        <v>0</v>
      </c>
      <c r="AD682" s="56">
        <f t="shared" si="229"/>
        <v>0</v>
      </c>
    </row>
    <row r="683" spans="3:30">
      <c r="C683" s="43" t="s">
        <v>1198</v>
      </c>
      <c r="D683" s="44" t="s">
        <v>1199</v>
      </c>
      <c r="E683" s="44"/>
      <c r="F683" s="45">
        <v>42276.596921296295</v>
      </c>
      <c r="G683" s="46">
        <v>36</v>
      </c>
      <c r="H683" s="47">
        <v>43396</v>
      </c>
      <c r="I683" s="47">
        <v>43412</v>
      </c>
      <c r="J683" s="46">
        <v>482181</v>
      </c>
      <c r="K683" s="46">
        <v>0</v>
      </c>
      <c r="L683" s="46">
        <v>0</v>
      </c>
      <c r="M683" s="46">
        <f t="shared" si="218"/>
        <v>482181</v>
      </c>
      <c r="N683" s="46">
        <v>604464</v>
      </c>
      <c r="O683" s="48">
        <f t="shared" si="219"/>
        <v>0.20229988882712613</v>
      </c>
      <c r="P683" s="46">
        <v>0</v>
      </c>
      <c r="Q683" s="46">
        <v>482181</v>
      </c>
      <c r="R683" s="49">
        <f t="shared" si="220"/>
        <v>1</v>
      </c>
      <c r="S683" s="50">
        <f t="shared" si="221"/>
        <v>0.01</v>
      </c>
      <c r="T683" s="49">
        <f t="shared" si="222"/>
        <v>4821.8100000000004</v>
      </c>
      <c r="U683" s="51">
        <f t="shared" si="223"/>
        <v>0</v>
      </c>
      <c r="V683" s="52">
        <f>IF(0&lt;0.8,0,IF(0&lt;1,Sheet3!L561,1))*IF(G683&lt;3,0.12 - O683,0.01) *U683</f>
        <v>0</v>
      </c>
      <c r="W683" s="52">
        <f t="shared" si="224"/>
        <v>0</v>
      </c>
      <c r="X683" s="53">
        <f t="shared" si="225"/>
        <v>0</v>
      </c>
      <c r="Y683" s="53">
        <f t="shared" si="226"/>
        <v>0</v>
      </c>
      <c r="Z683" s="54">
        <f>IF(R683=1,0,0)</f>
        <v>0</v>
      </c>
      <c r="AA683" s="54">
        <f t="shared" si="227"/>
        <v>0</v>
      </c>
      <c r="AB683" s="55">
        <f>IF(R683=0,0,0)</f>
        <v>0</v>
      </c>
      <c r="AC683" s="55">
        <f t="shared" si="228"/>
        <v>0</v>
      </c>
      <c r="AD683" s="56">
        <f t="shared" si="229"/>
        <v>4821.8100000000004</v>
      </c>
    </row>
    <row r="684" spans="3:30">
      <c r="C684" s="43" t="s">
        <v>1200</v>
      </c>
      <c r="D684" s="44" t="s">
        <v>1199</v>
      </c>
      <c r="E684" s="44"/>
      <c r="F684" s="45">
        <v>42314.625717592593</v>
      </c>
      <c r="G684" s="46">
        <v>34</v>
      </c>
      <c r="H684" s="47">
        <v>43396</v>
      </c>
      <c r="I684" s="47">
        <v>43412</v>
      </c>
      <c r="J684" s="46">
        <v>286660</v>
      </c>
      <c r="K684" s="46">
        <v>0</v>
      </c>
      <c r="L684" s="46">
        <v>0</v>
      </c>
      <c r="M684" s="46">
        <f t="shared" si="218"/>
        <v>286660</v>
      </c>
      <c r="N684" s="46">
        <v>370115</v>
      </c>
      <c r="O684" s="48">
        <f t="shared" si="219"/>
        <v>0.22548397119814112</v>
      </c>
      <c r="P684" s="46">
        <v>0</v>
      </c>
      <c r="Q684" s="46">
        <v>286660</v>
      </c>
      <c r="R684" s="49">
        <f t="shared" si="220"/>
        <v>1</v>
      </c>
      <c r="S684" s="50">
        <f t="shared" si="221"/>
        <v>0.01</v>
      </c>
      <c r="T684" s="49">
        <f t="shared" si="222"/>
        <v>2866.6</v>
      </c>
      <c r="U684" s="51">
        <f t="shared" si="223"/>
        <v>0</v>
      </c>
      <c r="V684" s="52">
        <f>IF(0&lt;0.8,0,IF(0&lt;1,Sheet3!L561,1))*IF(G684&lt;3,0.12 - O684,0.01) *U684</f>
        <v>0</v>
      </c>
      <c r="W684" s="52">
        <f t="shared" si="224"/>
        <v>0</v>
      </c>
      <c r="X684" s="53">
        <f t="shared" si="225"/>
        <v>0</v>
      </c>
      <c r="Y684" s="53">
        <f t="shared" si="226"/>
        <v>0</v>
      </c>
      <c r="Z684" s="54">
        <f>IF(R684=1,0,0)</f>
        <v>0</v>
      </c>
      <c r="AA684" s="54">
        <f t="shared" si="227"/>
        <v>0</v>
      </c>
      <c r="AB684" s="55">
        <f>IF(R684=0,0,0)</f>
        <v>0</v>
      </c>
      <c r="AC684" s="55">
        <f t="shared" si="228"/>
        <v>0</v>
      </c>
      <c r="AD684" s="56">
        <f t="shared" si="229"/>
        <v>2866.6</v>
      </c>
    </row>
    <row r="685" spans="3:30">
      <c r="C685" s="43" t="s">
        <v>1201</v>
      </c>
      <c r="D685" s="44" t="s">
        <v>1199</v>
      </c>
      <c r="E685" s="44"/>
      <c r="F685" s="45">
        <v>42340.483518518515</v>
      </c>
      <c r="G685" s="46">
        <v>33</v>
      </c>
      <c r="H685" s="47">
        <v>43396</v>
      </c>
      <c r="I685" s="47">
        <v>43412</v>
      </c>
      <c r="J685" s="46">
        <v>419595</v>
      </c>
      <c r="K685" s="46">
        <v>0</v>
      </c>
      <c r="L685" s="46">
        <v>0</v>
      </c>
      <c r="M685" s="46">
        <f t="shared" si="218"/>
        <v>419595</v>
      </c>
      <c r="N685" s="46">
        <v>508827</v>
      </c>
      <c r="O685" s="48">
        <f t="shared" si="219"/>
        <v>0.17536805240287956</v>
      </c>
      <c r="P685" s="46">
        <v>0</v>
      </c>
      <c r="Q685" s="46">
        <v>419595</v>
      </c>
      <c r="R685" s="49">
        <f t="shared" si="220"/>
        <v>1</v>
      </c>
      <c r="S685" s="50">
        <f t="shared" si="221"/>
        <v>0.01</v>
      </c>
      <c r="T685" s="49">
        <f t="shared" si="222"/>
        <v>4195.95</v>
      </c>
      <c r="U685" s="51">
        <f t="shared" si="223"/>
        <v>0</v>
      </c>
      <c r="V685" s="52">
        <f>IF(0&lt;0.8,0,IF(0&lt;1,Sheet3!L561,1))*IF(G685&lt;3,0.12 - O685,0.01) *U685</f>
        <v>0</v>
      </c>
      <c r="W685" s="52">
        <f t="shared" si="224"/>
        <v>0</v>
      </c>
      <c r="X685" s="53">
        <f t="shared" si="225"/>
        <v>0</v>
      </c>
      <c r="Y685" s="53">
        <f t="shared" si="226"/>
        <v>0</v>
      </c>
      <c r="Z685" s="54">
        <f>IF(R685=1,0,0)</f>
        <v>0</v>
      </c>
      <c r="AA685" s="54">
        <f t="shared" si="227"/>
        <v>0</v>
      </c>
      <c r="AB685" s="55">
        <f>IF(R685=0,0,0)</f>
        <v>0</v>
      </c>
      <c r="AC685" s="55">
        <f t="shared" si="228"/>
        <v>0</v>
      </c>
      <c r="AD685" s="56">
        <f t="shared" si="229"/>
        <v>4195.95</v>
      </c>
    </row>
    <row r="686" spans="3:30">
      <c r="C686" s="43" t="s">
        <v>1202</v>
      </c>
      <c r="D686" s="44" t="s">
        <v>24</v>
      </c>
      <c r="E686" s="44"/>
      <c r="F686" s="45" t="s">
        <v>24</v>
      </c>
      <c r="G686" s="46" t="s">
        <v>24</v>
      </c>
      <c r="H686" s="47" t="s">
        <v>24</v>
      </c>
      <c r="I686" s="47" t="s">
        <v>24</v>
      </c>
      <c r="J686" s="46">
        <v>1207147</v>
      </c>
      <c r="K686" s="46">
        <v>0</v>
      </c>
      <c r="L686" s="46">
        <v>0</v>
      </c>
      <c r="M686" s="46">
        <f t="shared" si="218"/>
        <v>1207147</v>
      </c>
      <c r="N686" s="46" t="s">
        <v>24</v>
      </c>
      <c r="O686" s="48">
        <f t="shared" si="219"/>
        <v>0</v>
      </c>
      <c r="P686" s="46">
        <v>0</v>
      </c>
      <c r="Q686" s="46">
        <v>0</v>
      </c>
      <c r="R686" s="49">
        <f t="shared" si="220"/>
        <v>0</v>
      </c>
      <c r="S686" s="50">
        <f t="shared" si="221"/>
        <v>0</v>
      </c>
      <c r="T686" s="49">
        <f t="shared" si="222"/>
        <v>0</v>
      </c>
      <c r="U686" s="51">
        <f t="shared" si="223"/>
        <v>1207147</v>
      </c>
      <c r="V686" s="52">
        <f>IF(0&lt;0.8,0,IF(0&lt;1,Sheet3!L561,1))*IF(G686&lt;3,0.12 - O686,0.01) *U686</f>
        <v>0</v>
      </c>
      <c r="W686" s="52">
        <f t="shared" si="224"/>
        <v>0</v>
      </c>
      <c r="X686" s="53">
        <f t="shared" si="225"/>
        <v>0</v>
      </c>
      <c r="Y686" s="53">
        <f t="shared" si="226"/>
        <v>0</v>
      </c>
      <c r="Z686" s="54" t="str">
        <f>IF(R686=1,0,"")</f>
        <v/>
      </c>
      <c r="AA686" s="54">
        <f t="shared" si="227"/>
        <v>0</v>
      </c>
      <c r="AB686" s="55" t="str">
        <f>IF(R686=0,"",0)</f>
        <v/>
      </c>
      <c r="AC686" s="55">
        <f t="shared" si="228"/>
        <v>0</v>
      </c>
      <c r="AD686" s="56">
        <f t="shared" si="229"/>
        <v>0</v>
      </c>
    </row>
    <row r="687" spans="3:30">
      <c r="C687" s="43" t="s">
        <v>1203</v>
      </c>
      <c r="D687" s="44" t="s">
        <v>1204</v>
      </c>
      <c r="E687" s="44"/>
      <c r="F687" s="45">
        <v>42867.270729166667</v>
      </c>
      <c r="G687" s="46">
        <v>16</v>
      </c>
      <c r="H687" s="47">
        <v>43396</v>
      </c>
      <c r="I687" s="47">
        <v>43412</v>
      </c>
      <c r="J687" s="46">
        <v>2803655</v>
      </c>
      <c r="K687" s="46">
        <v>0</v>
      </c>
      <c r="L687" s="46">
        <v>0</v>
      </c>
      <c r="M687" s="46">
        <f t="shared" si="218"/>
        <v>2803655</v>
      </c>
      <c r="N687" s="46">
        <v>3227041</v>
      </c>
      <c r="O687" s="48">
        <f t="shared" si="219"/>
        <v>0.13119944865900368</v>
      </c>
      <c r="P687" s="46">
        <v>0</v>
      </c>
      <c r="Q687" s="46">
        <v>2803655</v>
      </c>
      <c r="R687" s="49">
        <f t="shared" si="220"/>
        <v>1</v>
      </c>
      <c r="S687" s="50">
        <f t="shared" si="221"/>
        <v>0.01</v>
      </c>
      <c r="T687" s="49">
        <f t="shared" si="222"/>
        <v>28036.55</v>
      </c>
      <c r="U687" s="51">
        <f t="shared" si="223"/>
        <v>0</v>
      </c>
      <c r="V687" s="52">
        <f>IF(0&lt;0.8,0,IF(0&lt;1,Sheet3!L561,1))*IF(G687&lt;3,0.12 - O687,0.01) *U687</f>
        <v>0</v>
      </c>
      <c r="W687" s="52">
        <f t="shared" si="224"/>
        <v>0</v>
      </c>
      <c r="X687" s="53">
        <f t="shared" si="225"/>
        <v>0</v>
      </c>
      <c r="Y687" s="53">
        <f t="shared" si="226"/>
        <v>0</v>
      </c>
      <c r="Z687" s="54">
        <f>IF(R687=1,0,0)</f>
        <v>0</v>
      </c>
      <c r="AA687" s="54">
        <f t="shared" si="227"/>
        <v>0</v>
      </c>
      <c r="AB687" s="55">
        <f>IF(R687=0,0,0)</f>
        <v>0</v>
      </c>
      <c r="AC687" s="55">
        <f t="shared" si="228"/>
        <v>0</v>
      </c>
      <c r="AD687" s="56">
        <f t="shared" si="229"/>
        <v>28036.55</v>
      </c>
    </row>
    <row r="688" spans="3:30">
      <c r="C688" s="43" t="s">
        <v>1205</v>
      </c>
      <c r="D688" s="44" t="s">
        <v>1199</v>
      </c>
      <c r="E688" s="44"/>
      <c r="F688" s="45">
        <v>42889.150706018518</v>
      </c>
      <c r="G688" s="46">
        <v>15</v>
      </c>
      <c r="H688" s="47">
        <v>43396</v>
      </c>
      <c r="I688" s="47">
        <v>43412</v>
      </c>
      <c r="J688" s="46">
        <v>926746</v>
      </c>
      <c r="K688" s="46">
        <v>0</v>
      </c>
      <c r="L688" s="46">
        <v>0</v>
      </c>
      <c r="M688" s="46">
        <f t="shared" si="218"/>
        <v>926746</v>
      </c>
      <c r="N688" s="46">
        <v>1211104</v>
      </c>
      <c r="O688" s="48">
        <f t="shared" si="219"/>
        <v>0.2347923877718181</v>
      </c>
      <c r="P688" s="46">
        <v>0</v>
      </c>
      <c r="Q688" s="46">
        <v>926746</v>
      </c>
      <c r="R688" s="49">
        <f t="shared" si="220"/>
        <v>1</v>
      </c>
      <c r="S688" s="50">
        <f t="shared" si="221"/>
        <v>0.01</v>
      </c>
      <c r="T688" s="49">
        <f t="shared" si="222"/>
        <v>9267.4600000000009</v>
      </c>
      <c r="U688" s="51">
        <f t="shared" si="223"/>
        <v>0</v>
      </c>
      <c r="V688" s="52">
        <f>IF(0&lt;0.8,0,IF(0&lt;1,Sheet3!L561,1))*IF(G688&lt;3,0.12 - O688,0.01) *U688</f>
        <v>0</v>
      </c>
      <c r="W688" s="52">
        <f t="shared" si="224"/>
        <v>0</v>
      </c>
      <c r="X688" s="53">
        <f t="shared" si="225"/>
        <v>0</v>
      </c>
      <c r="Y688" s="53">
        <f t="shared" si="226"/>
        <v>0</v>
      </c>
      <c r="Z688" s="54">
        <f>IF(R688=1,0,0)</f>
        <v>0</v>
      </c>
      <c r="AA688" s="54">
        <f t="shared" si="227"/>
        <v>0</v>
      </c>
      <c r="AB688" s="55">
        <f>IF(R688=0,0,0)</f>
        <v>0</v>
      </c>
      <c r="AC688" s="55">
        <f t="shared" si="228"/>
        <v>0</v>
      </c>
      <c r="AD688" s="56">
        <f t="shared" si="229"/>
        <v>9267.4600000000009</v>
      </c>
    </row>
    <row r="689" spans="3:30">
      <c r="C689" s="43" t="s">
        <v>1206</v>
      </c>
      <c r="D689" s="44" t="s">
        <v>1207</v>
      </c>
      <c r="E689" s="44"/>
      <c r="F689" s="45">
        <v>43117.095474537033</v>
      </c>
      <c r="G689" s="46">
        <v>8</v>
      </c>
      <c r="H689" s="47">
        <v>43419</v>
      </c>
      <c r="I689" s="47">
        <v>43473</v>
      </c>
      <c r="J689" s="46">
        <v>22839544</v>
      </c>
      <c r="K689" s="46">
        <v>0</v>
      </c>
      <c r="L689" s="46">
        <v>0</v>
      </c>
      <c r="M689" s="46">
        <f t="shared" si="218"/>
        <v>22839544</v>
      </c>
      <c r="N689" s="46">
        <v>22839544</v>
      </c>
      <c r="O689" s="48">
        <f t="shared" si="219"/>
        <v>0</v>
      </c>
      <c r="P689" s="46">
        <v>0</v>
      </c>
      <c r="Q689" s="46">
        <v>26021602</v>
      </c>
      <c r="R689" s="49">
        <f t="shared" si="220"/>
        <v>1</v>
      </c>
      <c r="S689" s="50">
        <f t="shared" si="221"/>
        <v>0.01</v>
      </c>
      <c r="T689" s="49">
        <f t="shared" si="222"/>
        <v>228395.44</v>
      </c>
      <c r="U689" s="51">
        <f t="shared" si="223"/>
        <v>0</v>
      </c>
      <c r="V689" s="52">
        <f>IF(0&lt;0.8,0,IF(0&lt;1,Sheet3!L561,1))*IF(G689&lt;3,0.12 - O689,0.01) *U689</f>
        <v>0</v>
      </c>
      <c r="W689" s="52">
        <f t="shared" si="224"/>
        <v>0</v>
      </c>
      <c r="X689" s="53">
        <f t="shared" si="225"/>
        <v>0</v>
      </c>
      <c r="Y689" s="53">
        <f t="shared" si="226"/>
        <v>0</v>
      </c>
      <c r="Z689" s="54">
        <f>IF(R689=1,0,0)</f>
        <v>0</v>
      </c>
      <c r="AA689" s="54">
        <f t="shared" si="227"/>
        <v>0</v>
      </c>
      <c r="AB689" s="55">
        <f>IF(R689=0,0,0)</f>
        <v>0</v>
      </c>
      <c r="AC689" s="55">
        <f t="shared" si="228"/>
        <v>0</v>
      </c>
      <c r="AD689" s="56">
        <f t="shared" si="229"/>
        <v>228395.44</v>
      </c>
    </row>
    <row r="690" spans="3:30">
      <c r="C690" s="43" t="s">
        <v>1208</v>
      </c>
      <c r="D690" s="44" t="s">
        <v>1209</v>
      </c>
      <c r="E690" s="44"/>
      <c r="F690" s="45">
        <v>43245.277175925927</v>
      </c>
      <c r="G690" s="46">
        <v>4</v>
      </c>
      <c r="H690" s="47" t="s">
        <v>24</v>
      </c>
      <c r="I690" s="47" t="s">
        <v>24</v>
      </c>
      <c r="J690" s="46">
        <v>0</v>
      </c>
      <c r="K690" s="46">
        <v>0</v>
      </c>
      <c r="L690" s="46">
        <v>0</v>
      </c>
      <c r="M690" s="46">
        <f t="shared" si="218"/>
        <v>0</v>
      </c>
      <c r="N690" s="46">
        <v>1770774</v>
      </c>
      <c r="O690" s="48">
        <f t="shared" si="219"/>
        <v>1</v>
      </c>
      <c r="P690" s="46">
        <v>0</v>
      </c>
      <c r="Q690" s="46">
        <v>0</v>
      </c>
      <c r="R690" s="49">
        <f t="shared" si="220"/>
        <v>1</v>
      </c>
      <c r="S690" s="50">
        <f t="shared" si="221"/>
        <v>0.01</v>
      </c>
      <c r="T690" s="49">
        <f t="shared" si="222"/>
        <v>0</v>
      </c>
      <c r="U690" s="51">
        <f t="shared" si="223"/>
        <v>0</v>
      </c>
      <c r="V690" s="52">
        <f>IF(0&lt;0.8,0,IF(0&lt;1,Sheet3!L561,1))*IF(G690&lt;3,0.12 - O690,0.01) *U690</f>
        <v>0</v>
      </c>
      <c r="W690" s="52">
        <f t="shared" si="224"/>
        <v>0</v>
      </c>
      <c r="X690" s="53">
        <f t="shared" si="225"/>
        <v>0</v>
      </c>
      <c r="Y690" s="53">
        <f t="shared" si="226"/>
        <v>0</v>
      </c>
      <c r="Z690" s="54">
        <f>IF(R690=1,0,"")</f>
        <v>0</v>
      </c>
      <c r="AA690" s="54">
        <f t="shared" si="227"/>
        <v>0</v>
      </c>
      <c r="AB690" s="55">
        <f>IF(R690=0,"",0)</f>
        <v>0</v>
      </c>
      <c r="AC690" s="55">
        <f t="shared" si="228"/>
        <v>0</v>
      </c>
      <c r="AD690" s="56">
        <f t="shared" si="229"/>
        <v>0</v>
      </c>
    </row>
    <row r="691" spans="3:30">
      <c r="C691" s="43" t="s">
        <v>1210</v>
      </c>
      <c r="D691" s="44" t="s">
        <v>995</v>
      </c>
      <c r="E691" s="44"/>
      <c r="F691" s="45">
        <v>43316.36887731481</v>
      </c>
      <c r="G691" s="46">
        <v>1</v>
      </c>
      <c r="H691" s="47">
        <v>43404</v>
      </c>
      <c r="I691" s="47">
        <v>43430</v>
      </c>
      <c r="J691" s="46">
        <v>565502</v>
      </c>
      <c r="K691" s="46">
        <v>0</v>
      </c>
      <c r="L691" s="46">
        <v>0</v>
      </c>
      <c r="M691" s="46">
        <f t="shared" ref="M691:M754" si="234">IFERROR(J691-K691-L691,0)</f>
        <v>565502</v>
      </c>
      <c r="N691" s="46">
        <v>814478</v>
      </c>
      <c r="O691" s="48">
        <f t="shared" ref="O691:O754" si="235">IFERROR(IF(1 - M691/N691&lt;0,0,1-M691/N691),0)</f>
        <v>0.30568781477216078</v>
      </c>
      <c r="P691" s="46">
        <v>0</v>
      </c>
      <c r="Q691" s="46">
        <v>0</v>
      </c>
      <c r="R691" s="49">
        <f t="shared" ref="R691:R754" si="236">IF(F691&lt;DATEVALUE("2018-07-01"),1,0)</f>
        <v>0</v>
      </c>
      <c r="S691" s="50">
        <f t="shared" ref="S691:S754" si="237">IF(R691=1,1%,0)</f>
        <v>0</v>
      </c>
      <c r="T691" s="49">
        <f t="shared" ref="T691:T754" si="238">IFERROR(S691*M691,0)</f>
        <v>0</v>
      </c>
      <c r="U691" s="51">
        <f t="shared" ref="U691:U754" si="239">IF(O691&lt;=0.12,1,0)*(1-R691)*M691</f>
        <v>0</v>
      </c>
      <c r="V691" s="52">
        <f>IF(0&lt;0.8,0,IF(0&lt;1,Sheet3!L561,1))*IF(G691&lt;3,0.12 - O691,0.01) *U691</f>
        <v>0</v>
      </c>
      <c r="W691" s="52">
        <f t="shared" ref="W691:W754" si="240">IF(0&gt;1,IF(0&lt;=1.1,1,IF(0&lt;=1.2,2,IF(0&lt;=1.5,3,5))),0) * 1000000</f>
        <v>0</v>
      </c>
      <c r="X691" s="53">
        <f t="shared" ref="X691:X754" si="241">IF(AND(P691&gt;=150000000,P691&lt;300000000),5000000,IF(AND(P691&gt;=300000000,P691&lt;500000000),10000000,IF(AND(P691&gt;=300000000,P691&lt;500000000),15000000,IF(AND(P691&gt;=500000000,P691&lt;3000000000),20000000,IF(P691&gt;=30000000000,35000000,0))))) * (1-R691)</f>
        <v>0</v>
      </c>
      <c r="Y691" s="53">
        <f t="shared" ref="Y691:Y754" si="242">IFERROR(Q691 * (1-R691),0)</f>
        <v>0</v>
      </c>
      <c r="Z691" s="54">
        <f t="shared" ref="Z691:Z697" si="243">IF(R691=1,0,0)</f>
        <v>0</v>
      </c>
      <c r="AA691" s="54">
        <f t="shared" ref="AA691:AA754" si="244">IFERROR((1-R691) * Z691 * 2%,0)</f>
        <v>0</v>
      </c>
      <c r="AB691" s="55">
        <f t="shared" ref="AB691:AB697" si="245">IF(R691=0,0,0)</f>
        <v>0</v>
      </c>
      <c r="AC691" s="55">
        <f t="shared" ref="AC691:AC754" si="246">IFERROR(AB691 * (1-R691) * 2%,0)</f>
        <v>0</v>
      </c>
      <c r="AD691" s="56">
        <f t="shared" ref="AD691:AD754" si="247">T691+V691+W691+X691+AA691+AC691</f>
        <v>0</v>
      </c>
    </row>
    <row r="692" spans="3:30">
      <c r="C692" s="43" t="s">
        <v>1211</v>
      </c>
      <c r="D692" s="44" t="s">
        <v>995</v>
      </c>
      <c r="E692" s="44"/>
      <c r="F692" s="45">
        <v>43316.378564814811</v>
      </c>
      <c r="G692" s="46">
        <v>1</v>
      </c>
      <c r="H692" s="47">
        <v>43404</v>
      </c>
      <c r="I692" s="47">
        <v>43430</v>
      </c>
      <c r="J692" s="46">
        <v>1601778</v>
      </c>
      <c r="K692" s="46">
        <v>0</v>
      </c>
      <c r="L692" s="46">
        <v>0</v>
      </c>
      <c r="M692" s="46">
        <f t="shared" si="234"/>
        <v>1601778</v>
      </c>
      <c r="N692" s="46">
        <v>1644343</v>
      </c>
      <c r="O692" s="48">
        <f t="shared" si="235"/>
        <v>2.5885718490606835E-2</v>
      </c>
      <c r="P692" s="46">
        <v>0</v>
      </c>
      <c r="Q692" s="46">
        <v>0</v>
      </c>
      <c r="R692" s="49">
        <f t="shared" si="236"/>
        <v>0</v>
      </c>
      <c r="S692" s="50">
        <f t="shared" si="237"/>
        <v>0</v>
      </c>
      <c r="T692" s="49">
        <f t="shared" si="238"/>
        <v>0</v>
      </c>
      <c r="U692" s="51">
        <f t="shared" si="239"/>
        <v>1601778</v>
      </c>
      <c r="V692" s="52">
        <f>IF(0&lt;0.8,0,IF(0&lt;1,Sheet3!L561,1))*IF(G692&lt;3,0.12 - O692,0.01) *U692</f>
        <v>0</v>
      </c>
      <c r="W692" s="52">
        <f t="shared" si="240"/>
        <v>0</v>
      </c>
      <c r="X692" s="53">
        <f t="shared" si="241"/>
        <v>0</v>
      </c>
      <c r="Y692" s="53">
        <f t="shared" si="242"/>
        <v>0</v>
      </c>
      <c r="Z692" s="54">
        <f t="shared" si="243"/>
        <v>0</v>
      </c>
      <c r="AA692" s="54">
        <f t="shared" si="244"/>
        <v>0</v>
      </c>
      <c r="AB692" s="55">
        <f t="shared" si="245"/>
        <v>0</v>
      </c>
      <c r="AC692" s="55">
        <f t="shared" si="246"/>
        <v>0</v>
      </c>
      <c r="AD692" s="56">
        <f t="shared" si="247"/>
        <v>0</v>
      </c>
    </row>
    <row r="693" spans="3:30">
      <c r="C693" s="43" t="s">
        <v>1212</v>
      </c>
      <c r="D693" s="44" t="s">
        <v>995</v>
      </c>
      <c r="E693" s="44"/>
      <c r="F693" s="45">
        <v>43316.379120370366</v>
      </c>
      <c r="G693" s="46">
        <v>1</v>
      </c>
      <c r="H693" s="47">
        <v>43404</v>
      </c>
      <c r="I693" s="47">
        <v>43430</v>
      </c>
      <c r="J693" s="46">
        <v>3631027</v>
      </c>
      <c r="K693" s="46">
        <v>0</v>
      </c>
      <c r="L693" s="46">
        <v>0</v>
      </c>
      <c r="M693" s="46">
        <f t="shared" si="234"/>
        <v>3631027</v>
      </c>
      <c r="N693" s="46">
        <v>3732257</v>
      </c>
      <c r="O693" s="48">
        <f t="shared" si="235"/>
        <v>2.7122998228685802E-2</v>
      </c>
      <c r="P693" s="46">
        <v>0</v>
      </c>
      <c r="Q693" s="46">
        <v>0</v>
      </c>
      <c r="R693" s="49">
        <f t="shared" si="236"/>
        <v>0</v>
      </c>
      <c r="S693" s="50">
        <f t="shared" si="237"/>
        <v>0</v>
      </c>
      <c r="T693" s="49">
        <f t="shared" si="238"/>
        <v>0</v>
      </c>
      <c r="U693" s="51">
        <f t="shared" si="239"/>
        <v>3631027</v>
      </c>
      <c r="V693" s="52">
        <f>IF(0&lt;0.8,0,IF(0&lt;1,Sheet3!L561,1))*IF(G693&lt;3,0.12 - O693,0.01) *U693</f>
        <v>0</v>
      </c>
      <c r="W693" s="52">
        <f t="shared" si="240"/>
        <v>0</v>
      </c>
      <c r="X693" s="53">
        <f t="shared" si="241"/>
        <v>0</v>
      </c>
      <c r="Y693" s="53">
        <f t="shared" si="242"/>
        <v>0</v>
      </c>
      <c r="Z693" s="54">
        <f t="shared" si="243"/>
        <v>0</v>
      </c>
      <c r="AA693" s="54">
        <f t="shared" si="244"/>
        <v>0</v>
      </c>
      <c r="AB693" s="55">
        <f t="shared" si="245"/>
        <v>0</v>
      </c>
      <c r="AC693" s="55">
        <f t="shared" si="246"/>
        <v>0</v>
      </c>
      <c r="AD693" s="56">
        <f t="shared" si="247"/>
        <v>0</v>
      </c>
    </row>
    <row r="694" spans="3:30">
      <c r="C694" s="43" t="s">
        <v>1213</v>
      </c>
      <c r="D694" s="44" t="s">
        <v>995</v>
      </c>
      <c r="E694" s="44"/>
      <c r="F694" s="45">
        <v>43316.385300925926</v>
      </c>
      <c r="G694" s="46">
        <v>1</v>
      </c>
      <c r="H694" s="47">
        <v>43404</v>
      </c>
      <c r="I694" s="47">
        <v>43430</v>
      </c>
      <c r="J694" s="46">
        <v>1942767</v>
      </c>
      <c r="K694" s="46">
        <v>0</v>
      </c>
      <c r="L694" s="46">
        <v>0</v>
      </c>
      <c r="M694" s="46">
        <f t="shared" si="234"/>
        <v>1942767</v>
      </c>
      <c r="N694" s="46">
        <v>1944575</v>
      </c>
      <c r="O694" s="48">
        <f t="shared" si="235"/>
        <v>9.2976614427320303E-4</v>
      </c>
      <c r="P694" s="46">
        <v>0</v>
      </c>
      <c r="Q694" s="46">
        <v>0</v>
      </c>
      <c r="R694" s="49">
        <f t="shared" si="236"/>
        <v>0</v>
      </c>
      <c r="S694" s="50">
        <f t="shared" si="237"/>
        <v>0</v>
      </c>
      <c r="T694" s="49">
        <f t="shared" si="238"/>
        <v>0</v>
      </c>
      <c r="U694" s="51">
        <f t="shared" si="239"/>
        <v>1942767</v>
      </c>
      <c r="V694" s="52">
        <f>IF(0&lt;0.8,0,IF(0&lt;1,Sheet3!L561,1))*IF(G694&lt;3,0.12 - O694,0.01) *U694</f>
        <v>0</v>
      </c>
      <c r="W694" s="52">
        <f t="shared" si="240"/>
        <v>0</v>
      </c>
      <c r="X694" s="53">
        <f t="shared" si="241"/>
        <v>0</v>
      </c>
      <c r="Y694" s="53">
        <f t="shared" si="242"/>
        <v>0</v>
      </c>
      <c r="Z694" s="54">
        <f t="shared" si="243"/>
        <v>0</v>
      </c>
      <c r="AA694" s="54">
        <f t="shared" si="244"/>
        <v>0</v>
      </c>
      <c r="AB694" s="55">
        <f t="shared" si="245"/>
        <v>0</v>
      </c>
      <c r="AC694" s="55">
        <f t="shared" si="246"/>
        <v>0</v>
      </c>
      <c r="AD694" s="56">
        <f t="shared" si="247"/>
        <v>0</v>
      </c>
    </row>
    <row r="695" spans="3:30">
      <c r="C695" s="43" t="s">
        <v>1214</v>
      </c>
      <c r="D695" s="44" t="s">
        <v>1215</v>
      </c>
      <c r="E695" s="44"/>
      <c r="F695" s="45">
        <v>42025.592499999999</v>
      </c>
      <c r="G695" s="46">
        <v>44</v>
      </c>
      <c r="H695" s="47">
        <v>43397</v>
      </c>
      <c r="I695" s="47">
        <v>43412</v>
      </c>
      <c r="J695" s="46">
        <v>503800</v>
      </c>
      <c r="K695" s="46">
        <v>0</v>
      </c>
      <c r="L695" s="46">
        <v>0</v>
      </c>
      <c r="M695" s="46">
        <f t="shared" si="234"/>
        <v>503800</v>
      </c>
      <c r="N695" s="46">
        <v>683669</v>
      </c>
      <c r="O695" s="48">
        <f t="shared" si="235"/>
        <v>0.26309369007516792</v>
      </c>
      <c r="P695" s="46">
        <v>0</v>
      </c>
      <c r="Q695" s="46">
        <v>503800</v>
      </c>
      <c r="R695" s="49">
        <f t="shared" si="236"/>
        <v>1</v>
      </c>
      <c r="S695" s="50">
        <f t="shared" si="237"/>
        <v>0.01</v>
      </c>
      <c r="T695" s="49">
        <f t="shared" si="238"/>
        <v>5038</v>
      </c>
      <c r="U695" s="51">
        <f t="shared" si="239"/>
        <v>0</v>
      </c>
      <c r="V695" s="52">
        <f>IF(0&lt;0.8,0,IF(0&lt;1,Sheet3!L561,1))*IF(G695&lt;3,0.12 - O695,0.01) *U695</f>
        <v>0</v>
      </c>
      <c r="W695" s="52">
        <f t="shared" si="240"/>
        <v>0</v>
      </c>
      <c r="X695" s="53">
        <f t="shared" si="241"/>
        <v>0</v>
      </c>
      <c r="Y695" s="53">
        <f t="shared" si="242"/>
        <v>0</v>
      </c>
      <c r="Z695" s="54">
        <f t="shared" si="243"/>
        <v>0</v>
      </c>
      <c r="AA695" s="54">
        <f t="shared" si="244"/>
        <v>0</v>
      </c>
      <c r="AB695" s="55">
        <f t="shared" si="245"/>
        <v>0</v>
      </c>
      <c r="AC695" s="55">
        <f t="shared" si="246"/>
        <v>0</v>
      </c>
      <c r="AD695" s="56">
        <f t="shared" si="247"/>
        <v>5038</v>
      </c>
    </row>
    <row r="696" spans="3:30">
      <c r="C696" s="43" t="s">
        <v>1216</v>
      </c>
      <c r="D696" s="44" t="s">
        <v>1217</v>
      </c>
      <c r="E696" s="44"/>
      <c r="F696" s="45">
        <v>42195.469560185185</v>
      </c>
      <c r="G696" s="46">
        <v>38</v>
      </c>
      <c r="H696" s="47">
        <v>43397</v>
      </c>
      <c r="I696" s="47">
        <v>43412</v>
      </c>
      <c r="J696" s="46">
        <v>957332</v>
      </c>
      <c r="K696" s="46">
        <v>0</v>
      </c>
      <c r="L696" s="46">
        <v>0</v>
      </c>
      <c r="M696" s="46">
        <f t="shared" si="234"/>
        <v>957332</v>
      </c>
      <c r="N696" s="46">
        <v>1243012</v>
      </c>
      <c r="O696" s="48">
        <f t="shared" si="235"/>
        <v>0.22982883511985408</v>
      </c>
      <c r="P696" s="46">
        <v>0</v>
      </c>
      <c r="Q696" s="46">
        <v>957332</v>
      </c>
      <c r="R696" s="49">
        <f t="shared" si="236"/>
        <v>1</v>
      </c>
      <c r="S696" s="50">
        <f t="shared" si="237"/>
        <v>0.01</v>
      </c>
      <c r="T696" s="49">
        <f t="shared" si="238"/>
        <v>9573.32</v>
      </c>
      <c r="U696" s="51">
        <f t="shared" si="239"/>
        <v>0</v>
      </c>
      <c r="V696" s="52">
        <f>IF(0&lt;0.8,0,IF(0&lt;1,Sheet3!L561,1))*IF(G696&lt;3,0.12 - O696,0.01) *U696</f>
        <v>0</v>
      </c>
      <c r="W696" s="52">
        <f t="shared" si="240"/>
        <v>0</v>
      </c>
      <c r="X696" s="53">
        <f t="shared" si="241"/>
        <v>0</v>
      </c>
      <c r="Y696" s="53">
        <f t="shared" si="242"/>
        <v>0</v>
      </c>
      <c r="Z696" s="54">
        <f t="shared" si="243"/>
        <v>0</v>
      </c>
      <c r="AA696" s="54">
        <f t="shared" si="244"/>
        <v>0</v>
      </c>
      <c r="AB696" s="55">
        <f t="shared" si="245"/>
        <v>0</v>
      </c>
      <c r="AC696" s="55">
        <f t="shared" si="246"/>
        <v>0</v>
      </c>
      <c r="AD696" s="56">
        <f t="shared" si="247"/>
        <v>9573.32</v>
      </c>
    </row>
    <row r="697" spans="3:30">
      <c r="C697" s="43" t="s">
        <v>1218</v>
      </c>
      <c r="D697" s="44" t="s">
        <v>1219</v>
      </c>
      <c r="E697" s="44"/>
      <c r="F697" s="45">
        <v>43003.127488425926</v>
      </c>
      <c r="G697" s="46">
        <v>12</v>
      </c>
      <c r="H697" s="47">
        <v>43420</v>
      </c>
      <c r="I697" s="47">
        <v>43430</v>
      </c>
      <c r="J697" s="46">
        <v>145970</v>
      </c>
      <c r="K697" s="46">
        <v>0</v>
      </c>
      <c r="L697" s="46">
        <v>0</v>
      </c>
      <c r="M697" s="46">
        <f t="shared" si="234"/>
        <v>145970</v>
      </c>
      <c r="N697" s="46">
        <v>157359</v>
      </c>
      <c r="O697" s="48">
        <f t="shared" si="235"/>
        <v>7.2375904778245959E-2</v>
      </c>
      <c r="P697" s="46">
        <v>0</v>
      </c>
      <c r="Q697" s="46">
        <v>145970</v>
      </c>
      <c r="R697" s="49">
        <f t="shared" si="236"/>
        <v>1</v>
      </c>
      <c r="S697" s="50">
        <f t="shared" si="237"/>
        <v>0.01</v>
      </c>
      <c r="T697" s="49">
        <f t="shared" si="238"/>
        <v>1459.7</v>
      </c>
      <c r="U697" s="51">
        <f t="shared" si="239"/>
        <v>0</v>
      </c>
      <c r="V697" s="52">
        <f>IF(0&lt;0.8,0,IF(0&lt;1,Sheet3!L561,1))*IF(G697&lt;3,0.12 - O697,0.01) *U697</f>
        <v>0</v>
      </c>
      <c r="W697" s="52">
        <f t="shared" si="240"/>
        <v>0</v>
      </c>
      <c r="X697" s="53">
        <f t="shared" si="241"/>
        <v>0</v>
      </c>
      <c r="Y697" s="53">
        <f t="shared" si="242"/>
        <v>0</v>
      </c>
      <c r="Z697" s="54">
        <f t="shared" si="243"/>
        <v>0</v>
      </c>
      <c r="AA697" s="54">
        <f t="shared" si="244"/>
        <v>0</v>
      </c>
      <c r="AB697" s="55">
        <f t="shared" si="245"/>
        <v>0</v>
      </c>
      <c r="AC697" s="55">
        <f t="shared" si="246"/>
        <v>0</v>
      </c>
      <c r="AD697" s="56">
        <f t="shared" si="247"/>
        <v>1459.7</v>
      </c>
    </row>
    <row r="698" spans="3:30">
      <c r="C698" s="43" t="s">
        <v>1220</v>
      </c>
      <c r="D698" s="44" t="s">
        <v>24</v>
      </c>
      <c r="E698" s="44"/>
      <c r="F698" s="45" t="s">
        <v>24</v>
      </c>
      <c r="G698" s="46" t="s">
        <v>24</v>
      </c>
      <c r="H698" s="47" t="s">
        <v>24</v>
      </c>
      <c r="I698" s="47" t="s">
        <v>24</v>
      </c>
      <c r="J698" s="46">
        <v>327063</v>
      </c>
      <c r="K698" s="46">
        <v>0</v>
      </c>
      <c r="L698" s="46">
        <v>0</v>
      </c>
      <c r="M698" s="46">
        <f t="shared" si="234"/>
        <v>327063</v>
      </c>
      <c r="N698" s="46" t="s">
        <v>24</v>
      </c>
      <c r="O698" s="48">
        <f t="shared" si="235"/>
        <v>0</v>
      </c>
      <c r="P698" s="46">
        <v>0</v>
      </c>
      <c r="Q698" s="46">
        <v>0</v>
      </c>
      <c r="R698" s="49">
        <f t="shared" si="236"/>
        <v>0</v>
      </c>
      <c r="S698" s="50">
        <f t="shared" si="237"/>
        <v>0</v>
      </c>
      <c r="T698" s="49">
        <f t="shared" si="238"/>
        <v>0</v>
      </c>
      <c r="U698" s="51">
        <f t="shared" si="239"/>
        <v>327063</v>
      </c>
      <c r="V698" s="52">
        <f>IF(0&lt;0.8,0,IF(0&lt;1,Sheet3!L561,1))*IF(G698&lt;3,0.12 - O698,0.01) *U698</f>
        <v>0</v>
      </c>
      <c r="W698" s="52">
        <f t="shared" si="240"/>
        <v>0</v>
      </c>
      <c r="X698" s="53">
        <f t="shared" si="241"/>
        <v>0</v>
      </c>
      <c r="Y698" s="53">
        <f t="shared" si="242"/>
        <v>0</v>
      </c>
      <c r="Z698" s="54" t="str">
        <f>IF(R698=1,0,"")</f>
        <v/>
      </c>
      <c r="AA698" s="54">
        <f t="shared" si="244"/>
        <v>0</v>
      </c>
      <c r="AB698" s="55" t="str">
        <f>IF(R698=0,"",0)</f>
        <v/>
      </c>
      <c r="AC698" s="55">
        <f t="shared" si="246"/>
        <v>0</v>
      </c>
      <c r="AD698" s="56">
        <f t="shared" si="247"/>
        <v>0</v>
      </c>
    </row>
    <row r="699" spans="3:30">
      <c r="C699" s="43" t="s">
        <v>1221</v>
      </c>
      <c r="D699" s="44" t="s">
        <v>1222</v>
      </c>
      <c r="E699" s="44"/>
      <c r="F699" s="45">
        <v>43245.277812499997</v>
      </c>
      <c r="G699" s="46">
        <v>4</v>
      </c>
      <c r="H699" s="47" t="s">
        <v>24</v>
      </c>
      <c r="I699" s="47" t="s">
        <v>24</v>
      </c>
      <c r="J699" s="46">
        <v>0</v>
      </c>
      <c r="K699" s="46">
        <v>0</v>
      </c>
      <c r="L699" s="46">
        <v>0</v>
      </c>
      <c r="M699" s="46">
        <f t="shared" si="234"/>
        <v>0</v>
      </c>
      <c r="N699" s="46">
        <v>696625</v>
      </c>
      <c r="O699" s="48">
        <f t="shared" si="235"/>
        <v>1</v>
      </c>
      <c r="P699" s="46">
        <v>0</v>
      </c>
      <c r="Q699" s="46">
        <v>0</v>
      </c>
      <c r="R699" s="49">
        <f t="shared" si="236"/>
        <v>1</v>
      </c>
      <c r="S699" s="50">
        <f t="shared" si="237"/>
        <v>0.01</v>
      </c>
      <c r="T699" s="49">
        <f t="shared" si="238"/>
        <v>0</v>
      </c>
      <c r="U699" s="51">
        <f t="shared" si="239"/>
        <v>0</v>
      </c>
      <c r="V699" s="52">
        <f>IF(0&lt;0.8,0,IF(0&lt;1,Sheet3!L561,1))*IF(G699&lt;3,0.12 - O699,0.01) *U699</f>
        <v>0</v>
      </c>
      <c r="W699" s="52">
        <f t="shared" si="240"/>
        <v>0</v>
      </c>
      <c r="X699" s="53">
        <f t="shared" si="241"/>
        <v>0</v>
      </c>
      <c r="Y699" s="53">
        <f t="shared" si="242"/>
        <v>0</v>
      </c>
      <c r="Z699" s="54">
        <f>IF(R699=1,0,"")</f>
        <v>0</v>
      </c>
      <c r="AA699" s="54">
        <f t="shared" si="244"/>
        <v>0</v>
      </c>
      <c r="AB699" s="55">
        <f>IF(R699=0,"",0)</f>
        <v>0</v>
      </c>
      <c r="AC699" s="55">
        <f t="shared" si="246"/>
        <v>0</v>
      </c>
      <c r="AD699" s="56">
        <f t="shared" si="247"/>
        <v>0</v>
      </c>
    </row>
    <row r="700" spans="3:30">
      <c r="C700" s="43" t="s">
        <v>1223</v>
      </c>
      <c r="D700" s="44" t="s">
        <v>995</v>
      </c>
      <c r="E700" s="44"/>
      <c r="F700" s="45">
        <v>43316.371504629627</v>
      </c>
      <c r="G700" s="46">
        <v>1</v>
      </c>
      <c r="H700" s="47">
        <v>43404</v>
      </c>
      <c r="I700" s="47">
        <v>43430</v>
      </c>
      <c r="J700" s="46">
        <v>1405862</v>
      </c>
      <c r="K700" s="46">
        <v>0</v>
      </c>
      <c r="L700" s="46">
        <v>0</v>
      </c>
      <c r="M700" s="46">
        <f t="shared" si="234"/>
        <v>1405862</v>
      </c>
      <c r="N700" s="46">
        <v>1450627</v>
      </c>
      <c r="O700" s="48">
        <f t="shared" si="235"/>
        <v>3.0859069905633918E-2</v>
      </c>
      <c r="P700" s="46">
        <v>0</v>
      </c>
      <c r="Q700" s="46">
        <v>0</v>
      </c>
      <c r="R700" s="49">
        <f t="shared" si="236"/>
        <v>0</v>
      </c>
      <c r="S700" s="50">
        <f t="shared" si="237"/>
        <v>0</v>
      </c>
      <c r="T700" s="49">
        <f t="shared" si="238"/>
        <v>0</v>
      </c>
      <c r="U700" s="51">
        <f t="shared" si="239"/>
        <v>1405862</v>
      </c>
      <c r="V700" s="52">
        <f>IF(0&lt;0.8,0,IF(0&lt;1,Sheet3!L561,1))*IF(G700&lt;3,0.12 - O700,0.01) *U700</f>
        <v>0</v>
      </c>
      <c r="W700" s="52">
        <f t="shared" si="240"/>
        <v>0</v>
      </c>
      <c r="X700" s="53">
        <f t="shared" si="241"/>
        <v>0</v>
      </c>
      <c r="Y700" s="53">
        <f t="shared" si="242"/>
        <v>0</v>
      </c>
      <c r="Z700" s="54">
        <f>IF(R700=1,0,0)</f>
        <v>0</v>
      </c>
      <c r="AA700" s="54">
        <f t="shared" si="244"/>
        <v>0</v>
      </c>
      <c r="AB700" s="55">
        <f>IF(R700=0,0,0)</f>
        <v>0</v>
      </c>
      <c r="AC700" s="55">
        <f t="shared" si="246"/>
        <v>0</v>
      </c>
      <c r="AD700" s="56">
        <f t="shared" si="247"/>
        <v>0</v>
      </c>
    </row>
    <row r="701" spans="3:30">
      <c r="C701" s="43" t="s">
        <v>1224</v>
      </c>
      <c r="D701" s="44" t="s">
        <v>995</v>
      </c>
      <c r="E701" s="44"/>
      <c r="F701" s="45">
        <v>43316.372754629629</v>
      </c>
      <c r="G701" s="46">
        <v>1</v>
      </c>
      <c r="H701" s="47">
        <v>43404</v>
      </c>
      <c r="I701" s="47">
        <v>43430</v>
      </c>
      <c r="J701" s="46">
        <v>1207951</v>
      </c>
      <c r="K701" s="46">
        <v>0</v>
      </c>
      <c r="L701" s="46">
        <v>0</v>
      </c>
      <c r="M701" s="46">
        <f t="shared" si="234"/>
        <v>1207951</v>
      </c>
      <c r="N701" s="46">
        <v>1336160</v>
      </c>
      <c r="O701" s="48">
        <f t="shared" si="235"/>
        <v>9.5953328942641636E-2</v>
      </c>
      <c r="P701" s="46">
        <v>0</v>
      </c>
      <c r="Q701" s="46">
        <v>0</v>
      </c>
      <c r="R701" s="49">
        <f t="shared" si="236"/>
        <v>0</v>
      </c>
      <c r="S701" s="50">
        <f t="shared" si="237"/>
        <v>0</v>
      </c>
      <c r="T701" s="49">
        <f t="shared" si="238"/>
        <v>0</v>
      </c>
      <c r="U701" s="51">
        <f t="shared" si="239"/>
        <v>1207951</v>
      </c>
      <c r="V701" s="52">
        <f>IF(0&lt;0.8,0,IF(0&lt;1,Sheet3!L561,1))*IF(G701&lt;3,0.12 - O701,0.01) *U701</f>
        <v>0</v>
      </c>
      <c r="W701" s="52">
        <f t="shared" si="240"/>
        <v>0</v>
      </c>
      <c r="X701" s="53">
        <f t="shared" si="241"/>
        <v>0</v>
      </c>
      <c r="Y701" s="53">
        <f t="shared" si="242"/>
        <v>0</v>
      </c>
      <c r="Z701" s="54">
        <f>IF(R701=1,0,0)</f>
        <v>0</v>
      </c>
      <c r="AA701" s="54">
        <f t="shared" si="244"/>
        <v>0</v>
      </c>
      <c r="AB701" s="55">
        <f>IF(R701=0,0,0)</f>
        <v>0</v>
      </c>
      <c r="AC701" s="55">
        <f t="shared" si="246"/>
        <v>0</v>
      </c>
      <c r="AD701" s="56">
        <f t="shared" si="247"/>
        <v>0</v>
      </c>
    </row>
    <row r="702" spans="3:30">
      <c r="C702" s="43" t="s">
        <v>1225</v>
      </c>
      <c r="D702" s="44" t="s">
        <v>1226</v>
      </c>
      <c r="E702" s="44"/>
      <c r="F702" s="45">
        <v>41432.695173611108</v>
      </c>
      <c r="G702" s="46">
        <v>63</v>
      </c>
      <c r="H702" s="47" t="s">
        <v>24</v>
      </c>
      <c r="I702" s="47" t="s">
        <v>24</v>
      </c>
      <c r="J702" s="46">
        <v>529199</v>
      </c>
      <c r="K702" s="46">
        <v>529199</v>
      </c>
      <c r="L702" s="46">
        <v>0</v>
      </c>
      <c r="M702" s="46">
        <f t="shared" si="234"/>
        <v>0</v>
      </c>
      <c r="N702" s="46">
        <v>721962</v>
      </c>
      <c r="O702" s="48">
        <f t="shared" si="235"/>
        <v>1</v>
      </c>
      <c r="P702" s="46">
        <v>0</v>
      </c>
      <c r="Q702" s="46">
        <v>0</v>
      </c>
      <c r="R702" s="49">
        <f t="shared" si="236"/>
        <v>1</v>
      </c>
      <c r="S702" s="50">
        <f t="shared" si="237"/>
        <v>0.01</v>
      </c>
      <c r="T702" s="49">
        <f t="shared" si="238"/>
        <v>0</v>
      </c>
      <c r="U702" s="51">
        <f t="shared" si="239"/>
        <v>0</v>
      </c>
      <c r="V702" s="52">
        <f>IF(0&lt;0.8,0,IF(0&lt;1,Sheet3!L561,1))*IF(G702&lt;3,0.12 - O702,0.01) *U702</f>
        <v>0</v>
      </c>
      <c r="W702" s="52">
        <f t="shared" si="240"/>
        <v>0</v>
      </c>
      <c r="X702" s="53">
        <f t="shared" si="241"/>
        <v>0</v>
      </c>
      <c r="Y702" s="53">
        <f t="shared" si="242"/>
        <v>0</v>
      </c>
      <c r="Z702" s="54">
        <f>IF(R702=1,0,"")</f>
        <v>0</v>
      </c>
      <c r="AA702" s="54">
        <f t="shared" si="244"/>
        <v>0</v>
      </c>
      <c r="AB702" s="55">
        <f>IF(R702=0,"",0)</f>
        <v>0</v>
      </c>
      <c r="AC702" s="55">
        <f t="shared" si="246"/>
        <v>0</v>
      </c>
      <c r="AD702" s="56">
        <f t="shared" si="247"/>
        <v>0</v>
      </c>
    </row>
    <row r="703" spans="3:30">
      <c r="C703" s="43" t="s">
        <v>1227</v>
      </c>
      <c r="D703" s="44" t="s">
        <v>1228</v>
      </c>
      <c r="E703" s="44"/>
      <c r="F703" s="45">
        <v>42373.496412037035</v>
      </c>
      <c r="G703" s="46">
        <v>32</v>
      </c>
      <c r="H703" s="47" t="s">
        <v>24</v>
      </c>
      <c r="I703" s="47" t="s">
        <v>24</v>
      </c>
      <c r="J703" s="46">
        <v>428450</v>
      </c>
      <c r="K703" s="46">
        <v>428450</v>
      </c>
      <c r="L703" s="46">
        <v>0</v>
      </c>
      <c r="M703" s="46">
        <f t="shared" si="234"/>
        <v>0</v>
      </c>
      <c r="N703" s="46">
        <v>561191</v>
      </c>
      <c r="O703" s="48">
        <f t="shared" si="235"/>
        <v>1</v>
      </c>
      <c r="P703" s="46">
        <v>0</v>
      </c>
      <c r="Q703" s="46">
        <v>0</v>
      </c>
      <c r="R703" s="49">
        <f t="shared" si="236"/>
        <v>1</v>
      </c>
      <c r="S703" s="50">
        <f t="shared" si="237"/>
        <v>0.01</v>
      </c>
      <c r="T703" s="49">
        <f t="shared" si="238"/>
        <v>0</v>
      </c>
      <c r="U703" s="51">
        <f t="shared" si="239"/>
        <v>0</v>
      </c>
      <c r="V703" s="52">
        <f>IF(0&lt;0.8,0,IF(0&lt;1,Sheet3!L561,1))*IF(G703&lt;3,0.12 - O703,0.01) *U703</f>
        <v>0</v>
      </c>
      <c r="W703" s="52">
        <f t="shared" si="240"/>
        <v>0</v>
      </c>
      <c r="X703" s="53">
        <f t="shared" si="241"/>
        <v>0</v>
      </c>
      <c r="Y703" s="53">
        <f t="shared" si="242"/>
        <v>0</v>
      </c>
      <c r="Z703" s="54">
        <f>IF(R703=1,0,"")</f>
        <v>0</v>
      </c>
      <c r="AA703" s="54">
        <f t="shared" si="244"/>
        <v>0</v>
      </c>
      <c r="AB703" s="55">
        <f>IF(R703=0,"",0)</f>
        <v>0</v>
      </c>
      <c r="AC703" s="55">
        <f t="shared" si="246"/>
        <v>0</v>
      </c>
      <c r="AD703" s="56">
        <f t="shared" si="247"/>
        <v>0</v>
      </c>
    </row>
    <row r="704" spans="3:30">
      <c r="C704" s="43" t="s">
        <v>1229</v>
      </c>
      <c r="D704" s="44" t="s">
        <v>24</v>
      </c>
      <c r="E704" s="44"/>
      <c r="F704" s="45" t="s">
        <v>24</v>
      </c>
      <c r="G704" s="46" t="s">
        <v>24</v>
      </c>
      <c r="H704" s="47" t="s">
        <v>24</v>
      </c>
      <c r="I704" s="47" t="s">
        <v>24</v>
      </c>
      <c r="J704" s="46">
        <v>608194</v>
      </c>
      <c r="K704" s="46">
        <v>0</v>
      </c>
      <c r="L704" s="46">
        <v>0</v>
      </c>
      <c r="M704" s="46">
        <f t="shared" si="234"/>
        <v>608194</v>
      </c>
      <c r="N704" s="46" t="s">
        <v>24</v>
      </c>
      <c r="O704" s="48">
        <f t="shared" si="235"/>
        <v>0</v>
      </c>
      <c r="P704" s="46">
        <v>0</v>
      </c>
      <c r="Q704" s="46">
        <v>0</v>
      </c>
      <c r="R704" s="49">
        <f t="shared" si="236"/>
        <v>0</v>
      </c>
      <c r="S704" s="50">
        <f t="shared" si="237"/>
        <v>0</v>
      </c>
      <c r="T704" s="49">
        <f t="shared" si="238"/>
        <v>0</v>
      </c>
      <c r="U704" s="51">
        <f t="shared" si="239"/>
        <v>608194</v>
      </c>
      <c r="V704" s="52">
        <f>IF(0&lt;0.8,0,IF(0&lt;1,Sheet3!L561,1))*IF(G704&lt;3,0.12 - O704,0.01) *U704</f>
        <v>0</v>
      </c>
      <c r="W704" s="52">
        <f t="shared" si="240"/>
        <v>0</v>
      </c>
      <c r="X704" s="53">
        <f t="shared" si="241"/>
        <v>0</v>
      </c>
      <c r="Y704" s="53">
        <f t="shared" si="242"/>
        <v>0</v>
      </c>
      <c r="Z704" s="54" t="str">
        <f>IF(R704=1,0,"")</f>
        <v/>
      </c>
      <c r="AA704" s="54">
        <f t="shared" si="244"/>
        <v>0</v>
      </c>
      <c r="AB704" s="55" t="str">
        <f>IF(R704=0,"",0)</f>
        <v/>
      </c>
      <c r="AC704" s="55">
        <f t="shared" si="246"/>
        <v>0</v>
      </c>
      <c r="AD704" s="56">
        <f t="shared" si="247"/>
        <v>0</v>
      </c>
    </row>
    <row r="705" spans="3:30">
      <c r="C705" s="43" t="s">
        <v>1230</v>
      </c>
      <c r="D705" s="44" t="s">
        <v>1228</v>
      </c>
      <c r="E705" s="44"/>
      <c r="F705" s="45">
        <v>43322.282361111109</v>
      </c>
      <c r="G705" s="46">
        <v>1</v>
      </c>
      <c r="H705" s="47">
        <v>43427</v>
      </c>
      <c r="I705" s="47">
        <v>43447</v>
      </c>
      <c r="J705" s="46">
        <v>282150</v>
      </c>
      <c r="K705" s="46">
        <v>3025</v>
      </c>
      <c r="L705" s="46">
        <v>0</v>
      </c>
      <c r="M705" s="46">
        <f t="shared" si="234"/>
        <v>279125</v>
      </c>
      <c r="N705" s="46">
        <v>402494</v>
      </c>
      <c r="O705" s="48">
        <f t="shared" si="235"/>
        <v>0.30651140141219502</v>
      </c>
      <c r="P705" s="46">
        <v>0</v>
      </c>
      <c r="Q705" s="46">
        <v>0</v>
      </c>
      <c r="R705" s="49">
        <f t="shared" si="236"/>
        <v>0</v>
      </c>
      <c r="S705" s="50">
        <f t="shared" si="237"/>
        <v>0</v>
      </c>
      <c r="T705" s="49">
        <f t="shared" si="238"/>
        <v>0</v>
      </c>
      <c r="U705" s="51">
        <f t="shared" si="239"/>
        <v>0</v>
      </c>
      <c r="V705" s="52">
        <f>IF(0&lt;0.8,0,IF(0&lt;1,Sheet3!L561,1))*IF(G705&lt;3,0.12 - O705,0.01) *U705</f>
        <v>0</v>
      </c>
      <c r="W705" s="52">
        <f t="shared" si="240"/>
        <v>0</v>
      </c>
      <c r="X705" s="53">
        <f t="shared" si="241"/>
        <v>0</v>
      </c>
      <c r="Y705" s="53">
        <f t="shared" si="242"/>
        <v>0</v>
      </c>
      <c r="Z705" s="54">
        <f>IF(R705=1,0,0)</f>
        <v>0</v>
      </c>
      <c r="AA705" s="54">
        <f t="shared" si="244"/>
        <v>0</v>
      </c>
      <c r="AB705" s="55">
        <f>IF(R705=0,0,0)</f>
        <v>0</v>
      </c>
      <c r="AC705" s="55">
        <f t="shared" si="246"/>
        <v>0</v>
      </c>
      <c r="AD705" s="56">
        <f t="shared" si="247"/>
        <v>0</v>
      </c>
    </row>
    <row r="706" spans="3:30">
      <c r="C706" s="43" t="s">
        <v>1231</v>
      </c>
      <c r="D706" s="44" t="s">
        <v>1232</v>
      </c>
      <c r="E706" s="44"/>
      <c r="F706" s="45">
        <v>43245.278275462959</v>
      </c>
      <c r="G706" s="46">
        <v>4</v>
      </c>
      <c r="H706" s="47" t="s">
        <v>24</v>
      </c>
      <c r="I706" s="47" t="s">
        <v>24</v>
      </c>
      <c r="J706" s="46">
        <v>0</v>
      </c>
      <c r="K706" s="46">
        <v>0</v>
      </c>
      <c r="L706" s="46">
        <v>0</v>
      </c>
      <c r="M706" s="46">
        <f t="shared" si="234"/>
        <v>0</v>
      </c>
      <c r="N706" s="46">
        <v>1686050</v>
      </c>
      <c r="O706" s="48">
        <f t="shared" si="235"/>
        <v>1</v>
      </c>
      <c r="P706" s="46">
        <v>0</v>
      </c>
      <c r="Q706" s="46">
        <v>0</v>
      </c>
      <c r="R706" s="49">
        <f t="shared" si="236"/>
        <v>1</v>
      </c>
      <c r="S706" s="50">
        <f t="shared" si="237"/>
        <v>0.01</v>
      </c>
      <c r="T706" s="49">
        <f t="shared" si="238"/>
        <v>0</v>
      </c>
      <c r="U706" s="51">
        <f t="shared" si="239"/>
        <v>0</v>
      </c>
      <c r="V706" s="52">
        <f>IF(0&lt;0.8,0,IF(0&lt;1,Sheet3!L561,1))*IF(G706&lt;3,0.12 - O706,0.01) *U706</f>
        <v>0</v>
      </c>
      <c r="W706" s="52">
        <f t="shared" si="240"/>
        <v>0</v>
      </c>
      <c r="X706" s="53">
        <f t="shared" si="241"/>
        <v>0</v>
      </c>
      <c r="Y706" s="53">
        <f t="shared" si="242"/>
        <v>0</v>
      </c>
      <c r="Z706" s="54">
        <f>IF(R706=1,0,"")</f>
        <v>0</v>
      </c>
      <c r="AA706" s="54">
        <f t="shared" si="244"/>
        <v>0</v>
      </c>
      <c r="AB706" s="55">
        <f>IF(R706=0,"",0)</f>
        <v>0</v>
      </c>
      <c r="AC706" s="55">
        <f t="shared" si="246"/>
        <v>0</v>
      </c>
      <c r="AD706" s="56">
        <f t="shared" si="247"/>
        <v>0</v>
      </c>
    </row>
    <row r="707" spans="3:30">
      <c r="C707" s="43" t="s">
        <v>1233</v>
      </c>
      <c r="D707" s="44" t="s">
        <v>995</v>
      </c>
      <c r="E707" s="44"/>
      <c r="F707" s="45">
        <v>43316.384791666664</v>
      </c>
      <c r="G707" s="46">
        <v>1</v>
      </c>
      <c r="H707" s="47">
        <v>43404</v>
      </c>
      <c r="I707" s="47">
        <v>43430</v>
      </c>
      <c r="J707" s="46">
        <v>2096834</v>
      </c>
      <c r="K707" s="46">
        <v>0</v>
      </c>
      <c r="L707" s="46">
        <v>0</v>
      </c>
      <c r="M707" s="46">
        <f t="shared" si="234"/>
        <v>2096834</v>
      </c>
      <c r="N707" s="46">
        <v>2192524</v>
      </c>
      <c r="O707" s="48">
        <f t="shared" si="235"/>
        <v>4.3643763990724893E-2</v>
      </c>
      <c r="P707" s="46">
        <v>0</v>
      </c>
      <c r="Q707" s="46">
        <v>0</v>
      </c>
      <c r="R707" s="49">
        <f t="shared" si="236"/>
        <v>0</v>
      </c>
      <c r="S707" s="50">
        <f t="shared" si="237"/>
        <v>0</v>
      </c>
      <c r="T707" s="49">
        <f t="shared" si="238"/>
        <v>0</v>
      </c>
      <c r="U707" s="51">
        <f t="shared" si="239"/>
        <v>2096834</v>
      </c>
      <c r="V707" s="52">
        <f>IF(0&lt;0.8,0,IF(0&lt;1,Sheet3!L561,1))*IF(G707&lt;3,0.12 - O707,0.01) *U707</f>
        <v>0</v>
      </c>
      <c r="W707" s="52">
        <f t="shared" si="240"/>
        <v>0</v>
      </c>
      <c r="X707" s="53">
        <f t="shared" si="241"/>
        <v>0</v>
      </c>
      <c r="Y707" s="53">
        <f t="shared" si="242"/>
        <v>0</v>
      </c>
      <c r="Z707" s="54">
        <f>IF(R707=1,0,0)</f>
        <v>0</v>
      </c>
      <c r="AA707" s="54">
        <f t="shared" si="244"/>
        <v>0</v>
      </c>
      <c r="AB707" s="55">
        <f>IF(R707=0,0,0)</f>
        <v>0</v>
      </c>
      <c r="AC707" s="55">
        <f t="shared" si="246"/>
        <v>0</v>
      </c>
      <c r="AD707" s="56">
        <f t="shared" si="247"/>
        <v>0</v>
      </c>
    </row>
    <row r="708" spans="3:30">
      <c r="C708" s="43" t="s">
        <v>1234</v>
      </c>
      <c r="D708" s="44" t="s">
        <v>1235</v>
      </c>
      <c r="E708" s="44"/>
      <c r="F708" s="45">
        <v>41807.66982638889</v>
      </c>
      <c r="G708" s="46">
        <v>51</v>
      </c>
      <c r="H708" s="47">
        <v>43396</v>
      </c>
      <c r="I708" s="47">
        <v>43412</v>
      </c>
      <c r="J708" s="46">
        <v>1819153</v>
      </c>
      <c r="K708" s="46">
        <v>0</v>
      </c>
      <c r="L708" s="46">
        <v>0</v>
      </c>
      <c r="M708" s="46">
        <f t="shared" si="234"/>
        <v>1819153</v>
      </c>
      <c r="N708" s="46">
        <v>2322508</v>
      </c>
      <c r="O708" s="48">
        <f t="shared" si="235"/>
        <v>0.21672907047037082</v>
      </c>
      <c r="P708" s="46">
        <v>0</v>
      </c>
      <c r="Q708" s="46">
        <v>1819153</v>
      </c>
      <c r="R708" s="49">
        <f t="shared" si="236"/>
        <v>1</v>
      </c>
      <c r="S708" s="50">
        <f t="shared" si="237"/>
        <v>0.01</v>
      </c>
      <c r="T708" s="49">
        <f t="shared" si="238"/>
        <v>18191.53</v>
      </c>
      <c r="U708" s="51">
        <f t="shared" si="239"/>
        <v>0</v>
      </c>
      <c r="V708" s="52">
        <f>IF(0&lt;0.8,0,IF(0&lt;1,Sheet3!L561,1))*IF(G708&lt;3,0.12 - O708,0.01) *U708</f>
        <v>0</v>
      </c>
      <c r="W708" s="52">
        <f t="shared" si="240"/>
        <v>0</v>
      </c>
      <c r="X708" s="53">
        <f t="shared" si="241"/>
        <v>0</v>
      </c>
      <c r="Y708" s="53">
        <f t="shared" si="242"/>
        <v>0</v>
      </c>
      <c r="Z708" s="54">
        <f>IF(R708=1,0,0)</f>
        <v>0</v>
      </c>
      <c r="AA708" s="54">
        <f t="shared" si="244"/>
        <v>0</v>
      </c>
      <c r="AB708" s="55">
        <f>IF(R708=0,0,0)</f>
        <v>0</v>
      </c>
      <c r="AC708" s="55">
        <f t="shared" si="246"/>
        <v>0</v>
      </c>
      <c r="AD708" s="56">
        <f t="shared" si="247"/>
        <v>18191.53</v>
      </c>
    </row>
    <row r="709" spans="3:30">
      <c r="C709" s="43" t="s">
        <v>1236</v>
      </c>
      <c r="D709" s="44" t="s">
        <v>1237</v>
      </c>
      <c r="E709" s="44"/>
      <c r="F709" s="45">
        <v>42508.27921296296</v>
      </c>
      <c r="G709" s="46">
        <v>28</v>
      </c>
      <c r="H709" s="47">
        <v>43396</v>
      </c>
      <c r="I709" s="47">
        <v>43412</v>
      </c>
      <c r="J709" s="46">
        <v>765985</v>
      </c>
      <c r="K709" s="46">
        <v>0</v>
      </c>
      <c r="L709" s="46">
        <v>0</v>
      </c>
      <c r="M709" s="46">
        <f t="shared" si="234"/>
        <v>765985</v>
      </c>
      <c r="N709" s="46">
        <v>1116822</v>
      </c>
      <c r="O709" s="48">
        <f t="shared" si="235"/>
        <v>0.31413868996133676</v>
      </c>
      <c r="P709" s="46">
        <v>0</v>
      </c>
      <c r="Q709" s="46">
        <v>765985</v>
      </c>
      <c r="R709" s="49">
        <f t="shared" si="236"/>
        <v>1</v>
      </c>
      <c r="S709" s="50">
        <f t="shared" si="237"/>
        <v>0.01</v>
      </c>
      <c r="T709" s="49">
        <f t="shared" si="238"/>
        <v>7659.85</v>
      </c>
      <c r="U709" s="51">
        <f t="shared" si="239"/>
        <v>0</v>
      </c>
      <c r="V709" s="52">
        <f>IF(0&lt;0.8,0,IF(0&lt;1,Sheet3!L561,1))*IF(G709&lt;3,0.12 - O709,0.01) *U709</f>
        <v>0</v>
      </c>
      <c r="W709" s="52">
        <f t="shared" si="240"/>
        <v>0</v>
      </c>
      <c r="X709" s="53">
        <f t="shared" si="241"/>
        <v>0</v>
      </c>
      <c r="Y709" s="53">
        <f t="shared" si="242"/>
        <v>0</v>
      </c>
      <c r="Z709" s="54">
        <f>IF(R709=1,0,0)</f>
        <v>0</v>
      </c>
      <c r="AA709" s="54">
        <f t="shared" si="244"/>
        <v>0</v>
      </c>
      <c r="AB709" s="55">
        <f>IF(R709=0,0,0)</f>
        <v>0</v>
      </c>
      <c r="AC709" s="55">
        <f t="shared" si="246"/>
        <v>0</v>
      </c>
      <c r="AD709" s="56">
        <f t="shared" si="247"/>
        <v>7659.85</v>
      </c>
    </row>
    <row r="710" spans="3:30">
      <c r="C710" s="43" t="s">
        <v>1238</v>
      </c>
      <c r="D710" s="44" t="s">
        <v>24</v>
      </c>
      <c r="E710" s="44"/>
      <c r="F710" s="45" t="s">
        <v>24</v>
      </c>
      <c r="G710" s="46" t="s">
        <v>24</v>
      </c>
      <c r="H710" s="47" t="s">
        <v>24</v>
      </c>
      <c r="I710" s="47" t="s">
        <v>24</v>
      </c>
      <c r="J710" s="46">
        <v>1323708</v>
      </c>
      <c r="K710" s="46">
        <v>0</v>
      </c>
      <c r="L710" s="46">
        <v>0</v>
      </c>
      <c r="M710" s="46">
        <f t="shared" si="234"/>
        <v>1323708</v>
      </c>
      <c r="N710" s="46" t="s">
        <v>24</v>
      </c>
      <c r="O710" s="48">
        <f t="shared" si="235"/>
        <v>0</v>
      </c>
      <c r="P710" s="46">
        <v>0</v>
      </c>
      <c r="Q710" s="46">
        <v>0</v>
      </c>
      <c r="R710" s="49">
        <f t="shared" si="236"/>
        <v>0</v>
      </c>
      <c r="S710" s="50">
        <f t="shared" si="237"/>
        <v>0</v>
      </c>
      <c r="T710" s="49">
        <f t="shared" si="238"/>
        <v>0</v>
      </c>
      <c r="U710" s="51">
        <f t="shared" si="239"/>
        <v>1323708</v>
      </c>
      <c r="V710" s="52">
        <f>IF(0&lt;0.8,0,IF(0&lt;1,Sheet3!L561,1))*IF(G710&lt;3,0.12 - O710,0.01) *U710</f>
        <v>0</v>
      </c>
      <c r="W710" s="52">
        <f t="shared" si="240"/>
        <v>0</v>
      </c>
      <c r="X710" s="53">
        <f t="shared" si="241"/>
        <v>0</v>
      </c>
      <c r="Y710" s="53">
        <f t="shared" si="242"/>
        <v>0</v>
      </c>
      <c r="Z710" s="54" t="str">
        <f>IF(R710=1,0,"")</f>
        <v/>
      </c>
      <c r="AA710" s="54">
        <f t="shared" si="244"/>
        <v>0</v>
      </c>
      <c r="AB710" s="55" t="str">
        <f>IF(R710=0,"",0)</f>
        <v/>
      </c>
      <c r="AC710" s="55">
        <f t="shared" si="246"/>
        <v>0</v>
      </c>
      <c r="AD710" s="56">
        <f t="shared" si="247"/>
        <v>0</v>
      </c>
    </row>
    <row r="711" spans="3:30">
      <c r="C711" s="43" t="s">
        <v>1239</v>
      </c>
      <c r="D711" s="44" t="s">
        <v>1240</v>
      </c>
      <c r="E711" s="44"/>
      <c r="F711" s="45">
        <v>43245.278877314813</v>
      </c>
      <c r="G711" s="46">
        <v>4</v>
      </c>
      <c r="H711" s="47" t="s">
        <v>24</v>
      </c>
      <c r="I711" s="47" t="s">
        <v>24</v>
      </c>
      <c r="J711" s="46">
        <v>0</v>
      </c>
      <c r="K711" s="46">
        <v>0</v>
      </c>
      <c r="L711" s="46">
        <v>0</v>
      </c>
      <c r="M711" s="46">
        <f t="shared" si="234"/>
        <v>0</v>
      </c>
      <c r="N711" s="46">
        <v>746481</v>
      </c>
      <c r="O711" s="48">
        <f t="shared" si="235"/>
        <v>1</v>
      </c>
      <c r="P711" s="46">
        <v>0</v>
      </c>
      <c r="Q711" s="46">
        <v>0</v>
      </c>
      <c r="R711" s="49">
        <f t="shared" si="236"/>
        <v>1</v>
      </c>
      <c r="S711" s="50">
        <f t="shared" si="237"/>
        <v>0.01</v>
      </c>
      <c r="T711" s="49">
        <f t="shared" si="238"/>
        <v>0</v>
      </c>
      <c r="U711" s="51">
        <f t="shared" si="239"/>
        <v>0</v>
      </c>
      <c r="V711" s="52">
        <f>IF(0&lt;0.8,0,IF(0&lt;1,Sheet3!L561,1))*IF(G711&lt;3,0.12 - O711,0.01) *U711</f>
        <v>0</v>
      </c>
      <c r="W711" s="52">
        <f t="shared" si="240"/>
        <v>0</v>
      </c>
      <c r="X711" s="53">
        <f t="shared" si="241"/>
        <v>0</v>
      </c>
      <c r="Y711" s="53">
        <f t="shared" si="242"/>
        <v>0</v>
      </c>
      <c r="Z711" s="54">
        <f>IF(R711=1,0,"")</f>
        <v>0</v>
      </c>
      <c r="AA711" s="54">
        <f t="shared" si="244"/>
        <v>0</v>
      </c>
      <c r="AB711" s="55">
        <f>IF(R711=0,"",0)</f>
        <v>0</v>
      </c>
      <c r="AC711" s="55">
        <f t="shared" si="246"/>
        <v>0</v>
      </c>
      <c r="AD711" s="56">
        <f t="shared" si="247"/>
        <v>0</v>
      </c>
    </row>
    <row r="712" spans="3:30">
      <c r="C712" s="43" t="s">
        <v>1241</v>
      </c>
      <c r="D712" s="44" t="s">
        <v>995</v>
      </c>
      <c r="E712" s="44"/>
      <c r="F712" s="45">
        <v>43316.377870370372</v>
      </c>
      <c r="G712" s="46">
        <v>1</v>
      </c>
      <c r="H712" s="47">
        <v>43404</v>
      </c>
      <c r="I712" s="47">
        <v>43430</v>
      </c>
      <c r="J712" s="46">
        <v>2172242</v>
      </c>
      <c r="K712" s="46">
        <v>0</v>
      </c>
      <c r="L712" s="46">
        <v>0</v>
      </c>
      <c r="M712" s="46">
        <f t="shared" si="234"/>
        <v>2172242</v>
      </c>
      <c r="N712" s="46">
        <v>3388878</v>
      </c>
      <c r="O712" s="48">
        <f t="shared" si="235"/>
        <v>0.3590084977977962</v>
      </c>
      <c r="P712" s="46">
        <v>0</v>
      </c>
      <c r="Q712" s="46">
        <v>0</v>
      </c>
      <c r="R712" s="49">
        <f t="shared" si="236"/>
        <v>0</v>
      </c>
      <c r="S712" s="50">
        <f t="shared" si="237"/>
        <v>0</v>
      </c>
      <c r="T712" s="49">
        <f t="shared" si="238"/>
        <v>0</v>
      </c>
      <c r="U712" s="51">
        <f t="shared" si="239"/>
        <v>0</v>
      </c>
      <c r="V712" s="52">
        <f>IF(0&lt;0.8,0,IF(0&lt;1,Sheet3!L561,1))*IF(G712&lt;3,0.12 - O712,0.01) *U712</f>
        <v>0</v>
      </c>
      <c r="W712" s="52">
        <f t="shared" si="240"/>
        <v>0</v>
      </c>
      <c r="X712" s="53">
        <f t="shared" si="241"/>
        <v>0</v>
      </c>
      <c r="Y712" s="53">
        <f t="shared" si="242"/>
        <v>0</v>
      </c>
      <c r="Z712" s="54">
        <f>IF(R712=1,0,0)</f>
        <v>0</v>
      </c>
      <c r="AA712" s="54">
        <f t="shared" si="244"/>
        <v>0</v>
      </c>
      <c r="AB712" s="55">
        <f>IF(R712=0,0,0)</f>
        <v>0</v>
      </c>
      <c r="AC712" s="55">
        <f t="shared" si="246"/>
        <v>0</v>
      </c>
      <c r="AD712" s="56">
        <f t="shared" si="247"/>
        <v>0</v>
      </c>
    </row>
    <row r="713" spans="3:30">
      <c r="C713" s="43" t="s">
        <v>1242</v>
      </c>
      <c r="D713" s="44" t="s">
        <v>1243</v>
      </c>
      <c r="E713" s="44"/>
      <c r="F713" s="45">
        <v>41807.671631944446</v>
      </c>
      <c r="G713" s="46">
        <v>51</v>
      </c>
      <c r="H713" s="47">
        <v>43396</v>
      </c>
      <c r="I713" s="47">
        <v>43412</v>
      </c>
      <c r="J713" s="46">
        <v>1161366</v>
      </c>
      <c r="K713" s="46">
        <v>0</v>
      </c>
      <c r="L713" s="46">
        <v>0</v>
      </c>
      <c r="M713" s="46">
        <f t="shared" si="234"/>
        <v>1161366</v>
      </c>
      <c r="N713" s="46">
        <v>1422256</v>
      </c>
      <c r="O713" s="48">
        <f t="shared" si="235"/>
        <v>0.18343392469428854</v>
      </c>
      <c r="P713" s="46">
        <v>0</v>
      </c>
      <c r="Q713" s="46">
        <v>1161366</v>
      </c>
      <c r="R713" s="49">
        <f t="shared" si="236"/>
        <v>1</v>
      </c>
      <c r="S713" s="50">
        <f t="shared" si="237"/>
        <v>0.01</v>
      </c>
      <c r="T713" s="49">
        <f t="shared" si="238"/>
        <v>11613.66</v>
      </c>
      <c r="U713" s="51">
        <f t="shared" si="239"/>
        <v>0</v>
      </c>
      <c r="V713" s="52">
        <f>IF(0&lt;0.8,0,IF(0&lt;1,Sheet3!L561,1))*IF(G713&lt;3,0.12 - O713,0.01) *U713</f>
        <v>0</v>
      </c>
      <c r="W713" s="52">
        <f t="shared" si="240"/>
        <v>0</v>
      </c>
      <c r="X713" s="53">
        <f t="shared" si="241"/>
        <v>0</v>
      </c>
      <c r="Y713" s="53">
        <f t="shared" si="242"/>
        <v>0</v>
      </c>
      <c r="Z713" s="54">
        <f>IF(R713=1,0,0)</f>
        <v>0</v>
      </c>
      <c r="AA713" s="54">
        <f t="shared" si="244"/>
        <v>0</v>
      </c>
      <c r="AB713" s="55">
        <f>IF(R713=0,0,0)</f>
        <v>0</v>
      </c>
      <c r="AC713" s="55">
        <f t="shared" si="246"/>
        <v>0</v>
      </c>
      <c r="AD713" s="56">
        <f t="shared" si="247"/>
        <v>11613.66</v>
      </c>
    </row>
    <row r="714" spans="3:30">
      <c r="C714" s="43" t="s">
        <v>1244</v>
      </c>
      <c r="D714" s="44" t="s">
        <v>1245</v>
      </c>
      <c r="E714" s="44"/>
      <c r="F714" s="45">
        <v>42601.281354166662</v>
      </c>
      <c r="G714" s="46">
        <v>25</v>
      </c>
      <c r="H714" s="47">
        <v>43396</v>
      </c>
      <c r="I714" s="47">
        <v>43412</v>
      </c>
      <c r="J714" s="46">
        <v>1882821</v>
      </c>
      <c r="K714" s="46">
        <v>0</v>
      </c>
      <c r="L714" s="46">
        <v>0</v>
      </c>
      <c r="M714" s="46">
        <f t="shared" si="234"/>
        <v>1882821</v>
      </c>
      <c r="N714" s="46">
        <v>2098056</v>
      </c>
      <c r="O714" s="48">
        <f t="shared" si="235"/>
        <v>0.10258782415721979</v>
      </c>
      <c r="P714" s="46">
        <v>0</v>
      </c>
      <c r="Q714" s="46">
        <v>1882821</v>
      </c>
      <c r="R714" s="49">
        <f t="shared" si="236"/>
        <v>1</v>
      </c>
      <c r="S714" s="50">
        <f t="shared" si="237"/>
        <v>0.01</v>
      </c>
      <c r="T714" s="49">
        <f t="shared" si="238"/>
        <v>18828.21</v>
      </c>
      <c r="U714" s="51">
        <f t="shared" si="239"/>
        <v>0</v>
      </c>
      <c r="V714" s="52">
        <f>IF(0&lt;0.8,0,IF(0&lt;1,Sheet3!L561,1))*IF(G714&lt;3,0.12 - O714,0.01) *U714</f>
        <v>0</v>
      </c>
      <c r="W714" s="52">
        <f t="shared" si="240"/>
        <v>0</v>
      </c>
      <c r="X714" s="53">
        <f t="shared" si="241"/>
        <v>0</v>
      </c>
      <c r="Y714" s="53">
        <f t="shared" si="242"/>
        <v>0</v>
      </c>
      <c r="Z714" s="54">
        <f>IF(R714=1,0,0)</f>
        <v>0</v>
      </c>
      <c r="AA714" s="54">
        <f t="shared" si="244"/>
        <v>0</v>
      </c>
      <c r="AB714" s="55">
        <f>IF(R714=0,0,0)</f>
        <v>0</v>
      </c>
      <c r="AC714" s="55">
        <f t="shared" si="246"/>
        <v>0</v>
      </c>
      <c r="AD714" s="56">
        <f t="shared" si="247"/>
        <v>18828.21</v>
      </c>
    </row>
    <row r="715" spans="3:30">
      <c r="C715" s="43" t="s">
        <v>1246</v>
      </c>
      <c r="D715" s="44" t="s">
        <v>1247</v>
      </c>
      <c r="E715" s="44"/>
      <c r="F715" s="45">
        <v>43245.279328703698</v>
      </c>
      <c r="G715" s="46">
        <v>4</v>
      </c>
      <c r="H715" s="47" t="s">
        <v>24</v>
      </c>
      <c r="I715" s="47" t="s">
        <v>24</v>
      </c>
      <c r="J715" s="46">
        <v>14142</v>
      </c>
      <c r="K715" s="46">
        <v>14142</v>
      </c>
      <c r="L715" s="46">
        <v>0</v>
      </c>
      <c r="M715" s="46">
        <f t="shared" si="234"/>
        <v>0</v>
      </c>
      <c r="N715" s="46">
        <v>1140214</v>
      </c>
      <c r="O715" s="48">
        <f t="shared" si="235"/>
        <v>1</v>
      </c>
      <c r="P715" s="46">
        <v>0</v>
      </c>
      <c r="Q715" s="46">
        <v>0</v>
      </c>
      <c r="R715" s="49">
        <f t="shared" si="236"/>
        <v>1</v>
      </c>
      <c r="S715" s="50">
        <f t="shared" si="237"/>
        <v>0.01</v>
      </c>
      <c r="T715" s="49">
        <f t="shared" si="238"/>
        <v>0</v>
      </c>
      <c r="U715" s="51">
        <f t="shared" si="239"/>
        <v>0</v>
      </c>
      <c r="V715" s="52">
        <f>IF(0&lt;0.8,0,IF(0&lt;1,Sheet3!L561,1))*IF(G715&lt;3,0.12 - O715,0.01) *U715</f>
        <v>0</v>
      </c>
      <c r="W715" s="52">
        <f t="shared" si="240"/>
        <v>0</v>
      </c>
      <c r="X715" s="53">
        <f t="shared" si="241"/>
        <v>0</v>
      </c>
      <c r="Y715" s="53">
        <f t="shared" si="242"/>
        <v>0</v>
      </c>
      <c r="Z715" s="54">
        <f>IF(R715=1,0,"")</f>
        <v>0</v>
      </c>
      <c r="AA715" s="54">
        <f t="shared" si="244"/>
        <v>0</v>
      </c>
      <c r="AB715" s="55">
        <f>IF(R715=0,"",0)</f>
        <v>0</v>
      </c>
      <c r="AC715" s="55">
        <f t="shared" si="246"/>
        <v>0</v>
      </c>
      <c r="AD715" s="56">
        <f t="shared" si="247"/>
        <v>0</v>
      </c>
    </row>
    <row r="716" spans="3:30">
      <c r="C716" s="43" t="s">
        <v>1248</v>
      </c>
      <c r="D716" s="44" t="s">
        <v>995</v>
      </c>
      <c r="E716" s="44"/>
      <c r="F716" s="45">
        <v>43316.354537037034</v>
      </c>
      <c r="G716" s="46">
        <v>1</v>
      </c>
      <c r="H716" s="47">
        <v>43404</v>
      </c>
      <c r="I716" s="47">
        <v>43430</v>
      </c>
      <c r="J716" s="46">
        <v>955087</v>
      </c>
      <c r="K716" s="46">
        <v>0</v>
      </c>
      <c r="L716" s="46">
        <v>0</v>
      </c>
      <c r="M716" s="46">
        <f t="shared" si="234"/>
        <v>955087</v>
      </c>
      <c r="N716" s="46">
        <v>1098272</v>
      </c>
      <c r="O716" s="48">
        <f t="shared" si="235"/>
        <v>0.13037298592698343</v>
      </c>
      <c r="P716" s="46">
        <v>0</v>
      </c>
      <c r="Q716" s="46">
        <v>0</v>
      </c>
      <c r="R716" s="49">
        <f t="shared" si="236"/>
        <v>0</v>
      </c>
      <c r="S716" s="50">
        <f t="shared" si="237"/>
        <v>0</v>
      </c>
      <c r="T716" s="49">
        <f t="shared" si="238"/>
        <v>0</v>
      </c>
      <c r="U716" s="51">
        <f t="shared" si="239"/>
        <v>0</v>
      </c>
      <c r="V716" s="52">
        <f>IF(0&lt;0.8,0,IF(0&lt;1,Sheet3!L561,1))*IF(G716&lt;3,0.12 - O716,0.01) *U716</f>
        <v>0</v>
      </c>
      <c r="W716" s="52">
        <f t="shared" si="240"/>
        <v>0</v>
      </c>
      <c r="X716" s="53">
        <f t="shared" si="241"/>
        <v>0</v>
      </c>
      <c r="Y716" s="53">
        <f t="shared" si="242"/>
        <v>0</v>
      </c>
      <c r="Z716" s="54">
        <f t="shared" ref="Z716:Z723" si="248">IF(R716=1,0,0)</f>
        <v>0</v>
      </c>
      <c r="AA716" s="54">
        <f t="shared" si="244"/>
        <v>0</v>
      </c>
      <c r="AB716" s="55">
        <f t="shared" ref="AB716:AB723" si="249">IF(R716=0,0,0)</f>
        <v>0</v>
      </c>
      <c r="AC716" s="55">
        <f t="shared" si="246"/>
        <v>0</v>
      </c>
      <c r="AD716" s="56">
        <f t="shared" si="247"/>
        <v>0</v>
      </c>
    </row>
    <row r="717" spans="3:30">
      <c r="C717" s="43" t="s">
        <v>1249</v>
      </c>
      <c r="D717" s="44" t="s">
        <v>995</v>
      </c>
      <c r="E717" s="44"/>
      <c r="F717" s="45">
        <v>43316.356053240735</v>
      </c>
      <c r="G717" s="46">
        <v>1</v>
      </c>
      <c r="H717" s="47">
        <v>43404</v>
      </c>
      <c r="I717" s="47">
        <v>43430</v>
      </c>
      <c r="J717" s="46">
        <v>1476175</v>
      </c>
      <c r="K717" s="46">
        <v>0</v>
      </c>
      <c r="L717" s="46">
        <v>0</v>
      </c>
      <c r="M717" s="46">
        <f t="shared" si="234"/>
        <v>1476175</v>
      </c>
      <c r="N717" s="46">
        <v>1571930</v>
      </c>
      <c r="O717" s="48">
        <f t="shared" si="235"/>
        <v>6.0915562397816703E-2</v>
      </c>
      <c r="P717" s="46">
        <v>0</v>
      </c>
      <c r="Q717" s="46">
        <v>0</v>
      </c>
      <c r="R717" s="49">
        <f t="shared" si="236"/>
        <v>0</v>
      </c>
      <c r="S717" s="50">
        <f t="shared" si="237"/>
        <v>0</v>
      </c>
      <c r="T717" s="49">
        <f t="shared" si="238"/>
        <v>0</v>
      </c>
      <c r="U717" s="51">
        <f t="shared" si="239"/>
        <v>1476175</v>
      </c>
      <c r="V717" s="52">
        <f>IF(0&lt;0.8,0,IF(0&lt;1,Sheet3!L561,1))*IF(G717&lt;3,0.12 - O717,0.01) *U717</f>
        <v>0</v>
      </c>
      <c r="W717" s="52">
        <f t="shared" si="240"/>
        <v>0</v>
      </c>
      <c r="X717" s="53">
        <f t="shared" si="241"/>
        <v>0</v>
      </c>
      <c r="Y717" s="53">
        <f t="shared" si="242"/>
        <v>0</v>
      </c>
      <c r="Z717" s="54">
        <f t="shared" si="248"/>
        <v>0</v>
      </c>
      <c r="AA717" s="54">
        <f t="shared" si="244"/>
        <v>0</v>
      </c>
      <c r="AB717" s="55">
        <f t="shared" si="249"/>
        <v>0</v>
      </c>
      <c r="AC717" s="55">
        <f t="shared" si="246"/>
        <v>0</v>
      </c>
      <c r="AD717" s="56">
        <f t="shared" si="247"/>
        <v>0</v>
      </c>
    </row>
    <row r="718" spans="3:30">
      <c r="C718" s="43" t="s">
        <v>1250</v>
      </c>
      <c r="D718" s="44" t="s">
        <v>1251</v>
      </c>
      <c r="E718" s="44"/>
      <c r="F718" s="45">
        <v>41307.594768518517</v>
      </c>
      <c r="G718" s="46">
        <v>67</v>
      </c>
      <c r="H718" s="47">
        <v>43396</v>
      </c>
      <c r="I718" s="47">
        <v>43412</v>
      </c>
      <c r="J718" s="46">
        <v>2412333</v>
      </c>
      <c r="K718" s="46">
        <v>0</v>
      </c>
      <c r="L718" s="46">
        <v>0</v>
      </c>
      <c r="M718" s="46">
        <f t="shared" si="234"/>
        <v>2412333</v>
      </c>
      <c r="N718" s="46">
        <v>3229657</v>
      </c>
      <c r="O718" s="48">
        <f t="shared" si="235"/>
        <v>0.25306835989084908</v>
      </c>
      <c r="P718" s="46">
        <v>0</v>
      </c>
      <c r="Q718" s="46">
        <v>2412333</v>
      </c>
      <c r="R718" s="49">
        <f t="shared" si="236"/>
        <v>1</v>
      </c>
      <c r="S718" s="50">
        <f t="shared" si="237"/>
        <v>0.01</v>
      </c>
      <c r="T718" s="49">
        <f t="shared" si="238"/>
        <v>24123.33</v>
      </c>
      <c r="U718" s="51">
        <f t="shared" si="239"/>
        <v>0</v>
      </c>
      <c r="V718" s="52">
        <f>IF(0&lt;0.8,0,IF(0&lt;1,Sheet3!L561,1))*IF(G718&lt;3,0.12 - O718,0.01) *U718</f>
        <v>0</v>
      </c>
      <c r="W718" s="52">
        <f t="shared" si="240"/>
        <v>0</v>
      </c>
      <c r="X718" s="53">
        <f t="shared" si="241"/>
        <v>0</v>
      </c>
      <c r="Y718" s="53">
        <f t="shared" si="242"/>
        <v>0</v>
      </c>
      <c r="Z718" s="54">
        <f t="shared" si="248"/>
        <v>0</v>
      </c>
      <c r="AA718" s="54">
        <f t="shared" si="244"/>
        <v>0</v>
      </c>
      <c r="AB718" s="55">
        <f t="shared" si="249"/>
        <v>0</v>
      </c>
      <c r="AC718" s="55">
        <f t="shared" si="246"/>
        <v>0</v>
      </c>
      <c r="AD718" s="56">
        <f t="shared" si="247"/>
        <v>24123.33</v>
      </c>
    </row>
    <row r="719" spans="3:30">
      <c r="C719" s="43" t="s">
        <v>1252</v>
      </c>
      <c r="D719" s="44" t="s">
        <v>1253</v>
      </c>
      <c r="E719" s="44"/>
      <c r="F719" s="45">
        <v>42320.590671296297</v>
      </c>
      <c r="G719" s="46">
        <v>34</v>
      </c>
      <c r="H719" s="47">
        <v>43379</v>
      </c>
      <c r="I719" s="47">
        <v>43398</v>
      </c>
      <c r="J719" s="46">
        <v>2302416</v>
      </c>
      <c r="K719" s="46">
        <v>0</v>
      </c>
      <c r="L719" s="46">
        <v>0</v>
      </c>
      <c r="M719" s="46">
        <f t="shared" si="234"/>
        <v>2302416</v>
      </c>
      <c r="N719" s="46">
        <v>2155695</v>
      </c>
      <c r="O719" s="48">
        <f t="shared" si="235"/>
        <v>0</v>
      </c>
      <c r="P719" s="46">
        <v>0</v>
      </c>
      <c r="Q719" s="46">
        <v>2302416</v>
      </c>
      <c r="R719" s="49">
        <f t="shared" si="236"/>
        <v>1</v>
      </c>
      <c r="S719" s="50">
        <f t="shared" si="237"/>
        <v>0.01</v>
      </c>
      <c r="T719" s="49">
        <f t="shared" si="238"/>
        <v>23024.16</v>
      </c>
      <c r="U719" s="51">
        <f t="shared" si="239"/>
        <v>0</v>
      </c>
      <c r="V719" s="52">
        <f>IF(0&lt;0.8,0,IF(0&lt;1,Sheet3!L561,1))*IF(G719&lt;3,0.12 - O719,0.01) *U719</f>
        <v>0</v>
      </c>
      <c r="W719" s="52">
        <f t="shared" si="240"/>
        <v>0</v>
      </c>
      <c r="X719" s="53">
        <f t="shared" si="241"/>
        <v>0</v>
      </c>
      <c r="Y719" s="53">
        <f t="shared" si="242"/>
        <v>0</v>
      </c>
      <c r="Z719" s="54">
        <f t="shared" si="248"/>
        <v>0</v>
      </c>
      <c r="AA719" s="54">
        <f t="shared" si="244"/>
        <v>0</v>
      </c>
      <c r="AB719" s="55">
        <f t="shared" si="249"/>
        <v>0</v>
      </c>
      <c r="AC719" s="55">
        <f t="shared" si="246"/>
        <v>0</v>
      </c>
      <c r="AD719" s="56">
        <f t="shared" si="247"/>
        <v>23024.16</v>
      </c>
    </row>
    <row r="720" spans="3:30">
      <c r="C720" s="43" t="s">
        <v>1254</v>
      </c>
      <c r="D720" s="44" t="s">
        <v>1255</v>
      </c>
      <c r="E720" s="44"/>
      <c r="F720" s="45">
        <v>42335.60497685185</v>
      </c>
      <c r="G720" s="46">
        <v>34</v>
      </c>
      <c r="H720" s="47">
        <v>43396</v>
      </c>
      <c r="I720" s="47">
        <v>43412</v>
      </c>
      <c r="J720" s="46">
        <v>310365</v>
      </c>
      <c r="K720" s="46">
        <v>0</v>
      </c>
      <c r="L720" s="46">
        <v>0</v>
      </c>
      <c r="M720" s="46">
        <f t="shared" si="234"/>
        <v>310365</v>
      </c>
      <c r="N720" s="46">
        <v>568787</v>
      </c>
      <c r="O720" s="48">
        <f t="shared" si="235"/>
        <v>0.45433879466302851</v>
      </c>
      <c r="P720" s="46">
        <v>0</v>
      </c>
      <c r="Q720" s="46">
        <v>310365</v>
      </c>
      <c r="R720" s="49">
        <f t="shared" si="236"/>
        <v>1</v>
      </c>
      <c r="S720" s="50">
        <f t="shared" si="237"/>
        <v>0.01</v>
      </c>
      <c r="T720" s="49">
        <f t="shared" si="238"/>
        <v>3103.65</v>
      </c>
      <c r="U720" s="51">
        <f t="shared" si="239"/>
        <v>0</v>
      </c>
      <c r="V720" s="52">
        <f>IF(0&lt;0.8,0,IF(0&lt;1,Sheet3!L561,1))*IF(G720&lt;3,0.12 - O720,0.01) *U720</f>
        <v>0</v>
      </c>
      <c r="W720" s="52">
        <f t="shared" si="240"/>
        <v>0</v>
      </c>
      <c r="X720" s="53">
        <f t="shared" si="241"/>
        <v>0</v>
      </c>
      <c r="Y720" s="53">
        <f t="shared" si="242"/>
        <v>0</v>
      </c>
      <c r="Z720" s="54">
        <f t="shared" si="248"/>
        <v>0</v>
      </c>
      <c r="AA720" s="54">
        <f t="shared" si="244"/>
        <v>0</v>
      </c>
      <c r="AB720" s="55">
        <f t="shared" si="249"/>
        <v>0</v>
      </c>
      <c r="AC720" s="55">
        <f t="shared" si="246"/>
        <v>0</v>
      </c>
      <c r="AD720" s="56">
        <f t="shared" si="247"/>
        <v>3103.65</v>
      </c>
    </row>
    <row r="721" spans="3:30">
      <c r="C721" s="43" t="s">
        <v>1256</v>
      </c>
      <c r="D721" s="44" t="s">
        <v>1257</v>
      </c>
      <c r="E721" s="44"/>
      <c r="F721" s="45">
        <v>42462.598553240736</v>
      </c>
      <c r="G721" s="46">
        <v>29</v>
      </c>
      <c r="H721" s="47">
        <v>43396</v>
      </c>
      <c r="I721" s="47">
        <v>43412</v>
      </c>
      <c r="J721" s="46">
        <v>461890</v>
      </c>
      <c r="K721" s="46">
        <v>0</v>
      </c>
      <c r="L721" s="46">
        <v>0</v>
      </c>
      <c r="M721" s="46">
        <f t="shared" si="234"/>
        <v>461890</v>
      </c>
      <c r="N721" s="46">
        <v>576371</v>
      </c>
      <c r="O721" s="48">
        <f t="shared" si="235"/>
        <v>0.19862380307128569</v>
      </c>
      <c r="P721" s="46">
        <v>0</v>
      </c>
      <c r="Q721" s="46">
        <v>461890</v>
      </c>
      <c r="R721" s="49">
        <f t="shared" si="236"/>
        <v>1</v>
      </c>
      <c r="S721" s="50">
        <f t="shared" si="237"/>
        <v>0.01</v>
      </c>
      <c r="T721" s="49">
        <f t="shared" si="238"/>
        <v>4618.9000000000005</v>
      </c>
      <c r="U721" s="51">
        <f t="shared" si="239"/>
        <v>0</v>
      </c>
      <c r="V721" s="52">
        <f>IF(0&lt;0.8,0,IF(0&lt;1,Sheet3!L561,1))*IF(G721&lt;3,0.12 - O721,0.01) *U721</f>
        <v>0</v>
      </c>
      <c r="W721" s="52">
        <f t="shared" si="240"/>
        <v>0</v>
      </c>
      <c r="X721" s="53">
        <f t="shared" si="241"/>
        <v>0</v>
      </c>
      <c r="Y721" s="53">
        <f t="shared" si="242"/>
        <v>0</v>
      </c>
      <c r="Z721" s="54">
        <f t="shared" si="248"/>
        <v>0</v>
      </c>
      <c r="AA721" s="54">
        <f t="shared" si="244"/>
        <v>0</v>
      </c>
      <c r="AB721" s="55">
        <f t="shared" si="249"/>
        <v>0</v>
      </c>
      <c r="AC721" s="55">
        <f t="shared" si="246"/>
        <v>0</v>
      </c>
      <c r="AD721" s="56">
        <f t="shared" si="247"/>
        <v>4618.9000000000005</v>
      </c>
    </row>
    <row r="722" spans="3:30">
      <c r="C722" s="43" t="s">
        <v>1258</v>
      </c>
      <c r="D722" s="44" t="s">
        <v>1255</v>
      </c>
      <c r="E722" s="44"/>
      <c r="F722" s="45">
        <v>43279.06659722222</v>
      </c>
      <c r="G722" s="46">
        <v>3</v>
      </c>
      <c r="H722" s="47">
        <v>43396</v>
      </c>
      <c r="I722" s="47">
        <v>43412</v>
      </c>
      <c r="J722" s="46">
        <v>308699</v>
      </c>
      <c r="K722" s="46">
        <v>0</v>
      </c>
      <c r="L722" s="46">
        <v>0</v>
      </c>
      <c r="M722" s="46">
        <f t="shared" si="234"/>
        <v>308699</v>
      </c>
      <c r="N722" s="46">
        <v>410581</v>
      </c>
      <c r="O722" s="48">
        <f t="shared" si="235"/>
        <v>0.24814104890387034</v>
      </c>
      <c r="P722" s="46">
        <v>0</v>
      </c>
      <c r="Q722" s="46">
        <v>0</v>
      </c>
      <c r="R722" s="49">
        <f t="shared" si="236"/>
        <v>1</v>
      </c>
      <c r="S722" s="50">
        <f t="shared" si="237"/>
        <v>0.01</v>
      </c>
      <c r="T722" s="49">
        <f t="shared" si="238"/>
        <v>3086.9900000000002</v>
      </c>
      <c r="U722" s="51">
        <f t="shared" si="239"/>
        <v>0</v>
      </c>
      <c r="V722" s="52">
        <f>IF(0&lt;0.8,0,IF(0&lt;1,Sheet3!L561,1))*IF(G722&lt;3,0.12 - O722,0.01) *U722</f>
        <v>0</v>
      </c>
      <c r="W722" s="52">
        <f t="shared" si="240"/>
        <v>0</v>
      </c>
      <c r="X722" s="53">
        <f t="shared" si="241"/>
        <v>0</v>
      </c>
      <c r="Y722" s="53">
        <f t="shared" si="242"/>
        <v>0</v>
      </c>
      <c r="Z722" s="54">
        <f t="shared" si="248"/>
        <v>0</v>
      </c>
      <c r="AA722" s="54">
        <f t="shared" si="244"/>
        <v>0</v>
      </c>
      <c r="AB722" s="55">
        <f t="shared" si="249"/>
        <v>0</v>
      </c>
      <c r="AC722" s="55">
        <f t="shared" si="246"/>
        <v>0</v>
      </c>
      <c r="AD722" s="56">
        <f t="shared" si="247"/>
        <v>3086.9900000000002</v>
      </c>
    </row>
    <row r="723" spans="3:30">
      <c r="C723" s="43" t="s">
        <v>1259</v>
      </c>
      <c r="D723" s="44" t="s">
        <v>1255</v>
      </c>
      <c r="E723" s="44"/>
      <c r="F723" s="45">
        <v>43361.301782407405</v>
      </c>
      <c r="G723" s="46">
        <v>0</v>
      </c>
      <c r="H723" s="47">
        <v>43396</v>
      </c>
      <c r="I723" s="47">
        <v>43412</v>
      </c>
      <c r="J723" s="46">
        <v>1162784</v>
      </c>
      <c r="K723" s="46">
        <v>0</v>
      </c>
      <c r="L723" s="46">
        <v>0</v>
      </c>
      <c r="M723" s="46">
        <f t="shared" si="234"/>
        <v>1162784</v>
      </c>
      <c r="N723" s="46">
        <v>1528443</v>
      </c>
      <c r="O723" s="48">
        <f t="shared" si="235"/>
        <v>0.23923626854256264</v>
      </c>
      <c r="P723" s="46">
        <v>0</v>
      </c>
      <c r="Q723" s="46">
        <v>0</v>
      </c>
      <c r="R723" s="49">
        <f t="shared" si="236"/>
        <v>0</v>
      </c>
      <c r="S723" s="50">
        <f t="shared" si="237"/>
        <v>0</v>
      </c>
      <c r="T723" s="49">
        <f t="shared" si="238"/>
        <v>0</v>
      </c>
      <c r="U723" s="51">
        <f t="shared" si="239"/>
        <v>0</v>
      </c>
      <c r="V723" s="52">
        <f>IF(0&lt;0.8,0,IF(0&lt;1,Sheet3!L561,1))*IF(G723&lt;3,0.12 - O723,0.01) *U723</f>
        <v>0</v>
      </c>
      <c r="W723" s="52">
        <f t="shared" si="240"/>
        <v>0</v>
      </c>
      <c r="X723" s="53">
        <f t="shared" si="241"/>
        <v>0</v>
      </c>
      <c r="Y723" s="53">
        <f t="shared" si="242"/>
        <v>0</v>
      </c>
      <c r="Z723" s="54">
        <f t="shared" si="248"/>
        <v>0</v>
      </c>
      <c r="AA723" s="54">
        <f t="shared" si="244"/>
        <v>0</v>
      </c>
      <c r="AB723" s="55">
        <f t="shared" si="249"/>
        <v>0</v>
      </c>
      <c r="AC723" s="55">
        <f t="shared" si="246"/>
        <v>0</v>
      </c>
      <c r="AD723" s="56">
        <f t="shared" si="247"/>
        <v>0</v>
      </c>
    </row>
    <row r="724" spans="3:30">
      <c r="C724" s="43" t="s">
        <v>1260</v>
      </c>
      <c r="D724" s="44" t="s">
        <v>1261</v>
      </c>
      <c r="E724" s="44"/>
      <c r="F724" s="45">
        <v>43245.279942129629</v>
      </c>
      <c r="G724" s="46">
        <v>4</v>
      </c>
      <c r="H724" s="47" t="s">
        <v>24</v>
      </c>
      <c r="I724" s="47" t="s">
        <v>24</v>
      </c>
      <c r="J724" s="46">
        <v>0</v>
      </c>
      <c r="K724" s="46">
        <v>0</v>
      </c>
      <c r="L724" s="46">
        <v>0</v>
      </c>
      <c r="M724" s="46">
        <f t="shared" si="234"/>
        <v>0</v>
      </c>
      <c r="N724" s="46">
        <v>1216945</v>
      </c>
      <c r="O724" s="48">
        <f t="shared" si="235"/>
        <v>1</v>
      </c>
      <c r="P724" s="46">
        <v>0</v>
      </c>
      <c r="Q724" s="46">
        <v>0</v>
      </c>
      <c r="R724" s="49">
        <f t="shared" si="236"/>
        <v>1</v>
      </c>
      <c r="S724" s="50">
        <f t="shared" si="237"/>
        <v>0.01</v>
      </c>
      <c r="T724" s="49">
        <f t="shared" si="238"/>
        <v>0</v>
      </c>
      <c r="U724" s="51">
        <f t="shared" si="239"/>
        <v>0</v>
      </c>
      <c r="V724" s="52">
        <f>IF(0&lt;0.8,0,IF(0&lt;1,Sheet3!L561,1))*IF(G724&lt;3,0.12 - O724,0.01) *U724</f>
        <v>0</v>
      </c>
      <c r="W724" s="52">
        <f t="shared" si="240"/>
        <v>0</v>
      </c>
      <c r="X724" s="53">
        <f t="shared" si="241"/>
        <v>0</v>
      </c>
      <c r="Y724" s="53">
        <f t="shared" si="242"/>
        <v>0</v>
      </c>
      <c r="Z724" s="54">
        <f>IF(R724=1,0,"")</f>
        <v>0</v>
      </c>
      <c r="AA724" s="54">
        <f t="shared" si="244"/>
        <v>0</v>
      </c>
      <c r="AB724" s="55">
        <f>IF(R724=0,"",0)</f>
        <v>0</v>
      </c>
      <c r="AC724" s="55">
        <f t="shared" si="246"/>
        <v>0</v>
      </c>
      <c r="AD724" s="56">
        <f t="shared" si="247"/>
        <v>0</v>
      </c>
    </row>
    <row r="725" spans="3:30">
      <c r="C725" s="43" t="s">
        <v>1262</v>
      </c>
      <c r="D725" s="44" t="s">
        <v>995</v>
      </c>
      <c r="E725" s="44"/>
      <c r="F725" s="45">
        <v>43316.364745370367</v>
      </c>
      <c r="G725" s="46">
        <v>1</v>
      </c>
      <c r="H725" s="47">
        <v>43404</v>
      </c>
      <c r="I725" s="47">
        <v>43430</v>
      </c>
      <c r="J725" s="46">
        <v>1651040</v>
      </c>
      <c r="K725" s="46">
        <v>0</v>
      </c>
      <c r="L725" s="46">
        <v>0</v>
      </c>
      <c r="M725" s="46">
        <f t="shared" si="234"/>
        <v>1651040</v>
      </c>
      <c r="N725" s="46">
        <v>1395075</v>
      </c>
      <c r="O725" s="48">
        <f t="shared" si="235"/>
        <v>0</v>
      </c>
      <c r="P725" s="46">
        <v>0</v>
      </c>
      <c r="Q725" s="46">
        <v>0</v>
      </c>
      <c r="R725" s="49">
        <f t="shared" si="236"/>
        <v>0</v>
      </c>
      <c r="S725" s="50">
        <f t="shared" si="237"/>
        <v>0</v>
      </c>
      <c r="T725" s="49">
        <f t="shared" si="238"/>
        <v>0</v>
      </c>
      <c r="U725" s="51">
        <f t="shared" si="239"/>
        <v>1651040</v>
      </c>
      <c r="V725" s="52">
        <f>IF(0&lt;0.8,0,IF(0&lt;1,Sheet3!L561,1))*IF(G725&lt;3,0.12 - O725,0.01) *U725</f>
        <v>0</v>
      </c>
      <c r="W725" s="52">
        <f t="shared" si="240"/>
        <v>0</v>
      </c>
      <c r="X725" s="53">
        <f t="shared" si="241"/>
        <v>0</v>
      </c>
      <c r="Y725" s="53">
        <f t="shared" si="242"/>
        <v>0</v>
      </c>
      <c r="Z725" s="54">
        <f>IF(R725=1,0,0)</f>
        <v>0</v>
      </c>
      <c r="AA725" s="54">
        <f t="shared" si="244"/>
        <v>0</v>
      </c>
      <c r="AB725" s="55">
        <f>IF(R725=0,0,0)</f>
        <v>0</v>
      </c>
      <c r="AC725" s="55">
        <f t="shared" si="246"/>
        <v>0</v>
      </c>
      <c r="AD725" s="56">
        <f t="shared" si="247"/>
        <v>0</v>
      </c>
    </row>
    <row r="726" spans="3:30">
      <c r="C726" s="43" t="s">
        <v>1263</v>
      </c>
      <c r="D726" s="44" t="s">
        <v>1264</v>
      </c>
      <c r="E726" s="44"/>
      <c r="F726" s="45">
        <v>41725.640462962961</v>
      </c>
      <c r="G726" s="46">
        <v>54</v>
      </c>
      <c r="H726" s="47">
        <v>43396</v>
      </c>
      <c r="I726" s="47">
        <v>43412</v>
      </c>
      <c r="J726" s="46">
        <v>292545</v>
      </c>
      <c r="K726" s="46">
        <v>0</v>
      </c>
      <c r="L726" s="46">
        <v>0</v>
      </c>
      <c r="M726" s="46">
        <f t="shared" si="234"/>
        <v>292545</v>
      </c>
      <c r="N726" s="46">
        <v>420114</v>
      </c>
      <c r="O726" s="48">
        <f t="shared" si="235"/>
        <v>0.3036532941058856</v>
      </c>
      <c r="P726" s="46">
        <v>0</v>
      </c>
      <c r="Q726" s="46">
        <v>292545</v>
      </c>
      <c r="R726" s="49">
        <f t="shared" si="236"/>
        <v>1</v>
      </c>
      <c r="S726" s="50">
        <f t="shared" si="237"/>
        <v>0.01</v>
      </c>
      <c r="T726" s="49">
        <f t="shared" si="238"/>
        <v>2925.4500000000003</v>
      </c>
      <c r="U726" s="51">
        <f t="shared" si="239"/>
        <v>0</v>
      </c>
      <c r="V726" s="52">
        <f>IF(0&lt;0.8,0,IF(0&lt;1,Sheet3!L561,1))*IF(G726&lt;3,0.12 - O726,0.01) *U726</f>
        <v>0</v>
      </c>
      <c r="W726" s="52">
        <f t="shared" si="240"/>
        <v>0</v>
      </c>
      <c r="X726" s="53">
        <f t="shared" si="241"/>
        <v>0</v>
      </c>
      <c r="Y726" s="53">
        <f t="shared" si="242"/>
        <v>0</v>
      </c>
      <c r="Z726" s="54">
        <f>IF(R726=1,0,0)</f>
        <v>0</v>
      </c>
      <c r="AA726" s="54">
        <f t="shared" si="244"/>
        <v>0</v>
      </c>
      <c r="AB726" s="55">
        <f>IF(R726=0,0,0)</f>
        <v>0</v>
      </c>
      <c r="AC726" s="55">
        <f t="shared" si="246"/>
        <v>0</v>
      </c>
      <c r="AD726" s="56">
        <f t="shared" si="247"/>
        <v>2925.4500000000003</v>
      </c>
    </row>
    <row r="727" spans="3:30">
      <c r="C727" s="43" t="s">
        <v>1265</v>
      </c>
      <c r="D727" s="44" t="s">
        <v>1266</v>
      </c>
      <c r="E727" s="44"/>
      <c r="F727" s="45">
        <v>43245.280497685184</v>
      </c>
      <c r="G727" s="46">
        <v>4</v>
      </c>
      <c r="H727" s="47" t="s">
        <v>24</v>
      </c>
      <c r="I727" s="47" t="s">
        <v>24</v>
      </c>
      <c r="J727" s="46">
        <v>0</v>
      </c>
      <c r="K727" s="46">
        <v>0</v>
      </c>
      <c r="L727" s="46">
        <v>0</v>
      </c>
      <c r="M727" s="46">
        <f t="shared" si="234"/>
        <v>0</v>
      </c>
      <c r="N727" s="46">
        <v>428243</v>
      </c>
      <c r="O727" s="48">
        <f t="shared" si="235"/>
        <v>1</v>
      </c>
      <c r="P727" s="46">
        <v>0</v>
      </c>
      <c r="Q727" s="46">
        <v>0</v>
      </c>
      <c r="R727" s="49">
        <f t="shared" si="236"/>
        <v>1</v>
      </c>
      <c r="S727" s="50">
        <f t="shared" si="237"/>
        <v>0.01</v>
      </c>
      <c r="T727" s="49">
        <f t="shared" si="238"/>
        <v>0</v>
      </c>
      <c r="U727" s="51">
        <f t="shared" si="239"/>
        <v>0</v>
      </c>
      <c r="V727" s="52">
        <f>IF(0&lt;0.8,0,IF(0&lt;1,Sheet3!L561,1))*IF(G727&lt;3,0.12 - O727,0.01) *U727</f>
        <v>0</v>
      </c>
      <c r="W727" s="52">
        <f t="shared" si="240"/>
        <v>0</v>
      </c>
      <c r="X727" s="53">
        <f t="shared" si="241"/>
        <v>0</v>
      </c>
      <c r="Y727" s="53">
        <f t="shared" si="242"/>
        <v>0</v>
      </c>
      <c r="Z727" s="54">
        <f>IF(R727=1,0,"")</f>
        <v>0</v>
      </c>
      <c r="AA727" s="54">
        <f t="shared" si="244"/>
        <v>0</v>
      </c>
      <c r="AB727" s="55">
        <f>IF(R727=0,"",0)</f>
        <v>0</v>
      </c>
      <c r="AC727" s="55">
        <f t="shared" si="246"/>
        <v>0</v>
      </c>
      <c r="AD727" s="56">
        <f t="shared" si="247"/>
        <v>0</v>
      </c>
    </row>
    <row r="728" spans="3:30">
      <c r="C728" s="43" t="s">
        <v>1267</v>
      </c>
      <c r="D728" s="44" t="s">
        <v>995</v>
      </c>
      <c r="E728" s="44"/>
      <c r="F728" s="45">
        <v>43316.362766203703</v>
      </c>
      <c r="G728" s="46">
        <v>1</v>
      </c>
      <c r="H728" s="47">
        <v>43404</v>
      </c>
      <c r="I728" s="47">
        <v>43430</v>
      </c>
      <c r="J728" s="46">
        <v>672423</v>
      </c>
      <c r="K728" s="46">
        <v>0</v>
      </c>
      <c r="L728" s="46">
        <v>0</v>
      </c>
      <c r="M728" s="46">
        <f t="shared" si="234"/>
        <v>672423</v>
      </c>
      <c r="N728" s="46">
        <v>667255</v>
      </c>
      <c r="O728" s="48">
        <f t="shared" si="235"/>
        <v>0</v>
      </c>
      <c r="P728" s="46">
        <v>0</v>
      </c>
      <c r="Q728" s="46">
        <v>0</v>
      </c>
      <c r="R728" s="49">
        <f t="shared" si="236"/>
        <v>0</v>
      </c>
      <c r="S728" s="50">
        <f t="shared" si="237"/>
        <v>0</v>
      </c>
      <c r="T728" s="49">
        <f t="shared" si="238"/>
        <v>0</v>
      </c>
      <c r="U728" s="51">
        <f t="shared" si="239"/>
        <v>672423</v>
      </c>
      <c r="V728" s="52">
        <f>IF(0&lt;0.8,0,IF(0&lt;1,Sheet3!L561,1))*IF(G728&lt;3,0.12 - O728,0.01) *U728</f>
        <v>0</v>
      </c>
      <c r="W728" s="52">
        <f t="shared" si="240"/>
        <v>0</v>
      </c>
      <c r="X728" s="53">
        <f t="shared" si="241"/>
        <v>0</v>
      </c>
      <c r="Y728" s="53">
        <f t="shared" si="242"/>
        <v>0</v>
      </c>
      <c r="Z728" s="54">
        <f>IF(R728=1,0,0)</f>
        <v>0</v>
      </c>
      <c r="AA728" s="54">
        <f t="shared" si="244"/>
        <v>0</v>
      </c>
      <c r="AB728" s="55">
        <f>IF(R728=0,0,0)</f>
        <v>0</v>
      </c>
      <c r="AC728" s="55">
        <f t="shared" si="246"/>
        <v>0</v>
      </c>
      <c r="AD728" s="56">
        <f t="shared" si="247"/>
        <v>0</v>
      </c>
    </row>
    <row r="729" spans="3:30">
      <c r="C729" s="43" t="s">
        <v>1268</v>
      </c>
      <c r="D729" s="44" t="s">
        <v>1269</v>
      </c>
      <c r="E729" s="44"/>
      <c r="F729" s="45">
        <v>41506.632627314815</v>
      </c>
      <c r="G729" s="46">
        <v>61</v>
      </c>
      <c r="H729" s="47">
        <v>43396</v>
      </c>
      <c r="I729" s="47">
        <v>43412</v>
      </c>
      <c r="J729" s="46">
        <v>259160</v>
      </c>
      <c r="K729" s="46">
        <v>0</v>
      </c>
      <c r="L729" s="46">
        <v>0</v>
      </c>
      <c r="M729" s="46">
        <f t="shared" si="234"/>
        <v>259160</v>
      </c>
      <c r="N729" s="46">
        <v>357826</v>
      </c>
      <c r="O729" s="48">
        <f t="shared" si="235"/>
        <v>0.27573736955950656</v>
      </c>
      <c r="P729" s="46">
        <v>0</v>
      </c>
      <c r="Q729" s="46">
        <v>259160</v>
      </c>
      <c r="R729" s="49">
        <f t="shared" si="236"/>
        <v>1</v>
      </c>
      <c r="S729" s="50">
        <f t="shared" si="237"/>
        <v>0.01</v>
      </c>
      <c r="T729" s="49">
        <f t="shared" si="238"/>
        <v>2591.6</v>
      </c>
      <c r="U729" s="51">
        <f t="shared" si="239"/>
        <v>0</v>
      </c>
      <c r="V729" s="52">
        <f>IF(0&lt;0.8,0,IF(0&lt;1,Sheet3!L561,1))*IF(G729&lt;3,0.12 - O729,0.01) *U729</f>
        <v>0</v>
      </c>
      <c r="W729" s="52">
        <f t="shared" si="240"/>
        <v>0</v>
      </c>
      <c r="X729" s="53">
        <f t="shared" si="241"/>
        <v>0</v>
      </c>
      <c r="Y729" s="53">
        <f t="shared" si="242"/>
        <v>0</v>
      </c>
      <c r="Z729" s="54">
        <f>IF(R729=1,0,0)</f>
        <v>0</v>
      </c>
      <c r="AA729" s="54">
        <f t="shared" si="244"/>
        <v>0</v>
      </c>
      <c r="AB729" s="55">
        <f>IF(R729=0,0,0)</f>
        <v>0</v>
      </c>
      <c r="AC729" s="55">
        <f t="shared" si="246"/>
        <v>0</v>
      </c>
      <c r="AD729" s="56">
        <f t="shared" si="247"/>
        <v>2591.6</v>
      </c>
    </row>
    <row r="730" spans="3:30">
      <c r="C730" s="43" t="s">
        <v>1270</v>
      </c>
      <c r="D730" s="44" t="s">
        <v>1271</v>
      </c>
      <c r="E730" s="44"/>
      <c r="F730" s="45">
        <v>41870.652071759258</v>
      </c>
      <c r="G730" s="46">
        <v>49</v>
      </c>
      <c r="H730" s="47">
        <v>43396</v>
      </c>
      <c r="I730" s="47">
        <v>43412</v>
      </c>
      <c r="J730" s="46">
        <v>287815</v>
      </c>
      <c r="K730" s="46">
        <v>0</v>
      </c>
      <c r="L730" s="46">
        <v>0</v>
      </c>
      <c r="M730" s="46">
        <f t="shared" si="234"/>
        <v>287815</v>
      </c>
      <c r="N730" s="46">
        <v>339072</v>
      </c>
      <c r="O730" s="48">
        <f t="shared" si="235"/>
        <v>0.15116848338995847</v>
      </c>
      <c r="P730" s="46">
        <v>0</v>
      </c>
      <c r="Q730" s="46">
        <v>287815</v>
      </c>
      <c r="R730" s="49">
        <f t="shared" si="236"/>
        <v>1</v>
      </c>
      <c r="S730" s="50">
        <f t="shared" si="237"/>
        <v>0.01</v>
      </c>
      <c r="T730" s="49">
        <f t="shared" si="238"/>
        <v>2878.15</v>
      </c>
      <c r="U730" s="51">
        <f t="shared" si="239"/>
        <v>0</v>
      </c>
      <c r="V730" s="52">
        <f>IF(0&lt;0.8,0,IF(0&lt;1,Sheet3!L561,1))*IF(G730&lt;3,0.12 - O730,0.01) *U730</f>
        <v>0</v>
      </c>
      <c r="W730" s="52">
        <f t="shared" si="240"/>
        <v>0</v>
      </c>
      <c r="X730" s="53">
        <f t="shared" si="241"/>
        <v>0</v>
      </c>
      <c r="Y730" s="53">
        <f t="shared" si="242"/>
        <v>0</v>
      </c>
      <c r="Z730" s="54">
        <f>IF(R730=1,0,0)</f>
        <v>0</v>
      </c>
      <c r="AA730" s="54">
        <f t="shared" si="244"/>
        <v>0</v>
      </c>
      <c r="AB730" s="55">
        <f>IF(R730=0,0,0)</f>
        <v>0</v>
      </c>
      <c r="AC730" s="55">
        <f t="shared" si="246"/>
        <v>0</v>
      </c>
      <c r="AD730" s="56">
        <f t="shared" si="247"/>
        <v>2878.15</v>
      </c>
    </row>
    <row r="731" spans="3:30">
      <c r="C731" s="43" t="s">
        <v>1272</v>
      </c>
      <c r="D731" s="44" t="s">
        <v>1273</v>
      </c>
      <c r="E731" s="44"/>
      <c r="F731" s="45">
        <v>43076.285138888888</v>
      </c>
      <c r="G731" s="46">
        <v>9</v>
      </c>
      <c r="H731" s="47">
        <v>43396</v>
      </c>
      <c r="I731" s="47">
        <v>43412</v>
      </c>
      <c r="J731" s="46">
        <v>326150</v>
      </c>
      <c r="K731" s="46">
        <v>0</v>
      </c>
      <c r="L731" s="46">
        <v>0</v>
      </c>
      <c r="M731" s="46">
        <f t="shared" si="234"/>
        <v>326150</v>
      </c>
      <c r="N731" s="46">
        <v>372358</v>
      </c>
      <c r="O731" s="48">
        <f t="shared" si="235"/>
        <v>0.12409562840062516</v>
      </c>
      <c r="P731" s="46">
        <v>0</v>
      </c>
      <c r="Q731" s="46">
        <v>326150</v>
      </c>
      <c r="R731" s="49">
        <f t="shared" si="236"/>
        <v>1</v>
      </c>
      <c r="S731" s="50">
        <f t="shared" si="237"/>
        <v>0.01</v>
      </c>
      <c r="T731" s="49">
        <f t="shared" si="238"/>
        <v>3261.5</v>
      </c>
      <c r="U731" s="51">
        <f t="shared" si="239"/>
        <v>0</v>
      </c>
      <c r="V731" s="52">
        <f>IF(0&lt;0.8,0,IF(0&lt;1,Sheet3!L561,1))*IF(G731&lt;3,0.12 - O731,0.01) *U731</f>
        <v>0</v>
      </c>
      <c r="W731" s="52">
        <f t="shared" si="240"/>
        <v>0</v>
      </c>
      <c r="X731" s="53">
        <f t="shared" si="241"/>
        <v>0</v>
      </c>
      <c r="Y731" s="53">
        <f t="shared" si="242"/>
        <v>0</v>
      </c>
      <c r="Z731" s="54">
        <f>IF(R731=1,0,0)</f>
        <v>0</v>
      </c>
      <c r="AA731" s="54">
        <f t="shared" si="244"/>
        <v>0</v>
      </c>
      <c r="AB731" s="55">
        <f>IF(R731=0,0,0)</f>
        <v>0</v>
      </c>
      <c r="AC731" s="55">
        <f t="shared" si="246"/>
        <v>0</v>
      </c>
      <c r="AD731" s="56">
        <f t="shared" si="247"/>
        <v>3261.5</v>
      </c>
    </row>
    <row r="732" spans="3:30">
      <c r="C732" s="43" t="s">
        <v>1274</v>
      </c>
      <c r="D732" s="44" t="s">
        <v>24</v>
      </c>
      <c r="E732" s="44"/>
      <c r="F732" s="45" t="s">
        <v>24</v>
      </c>
      <c r="G732" s="46" t="s">
        <v>24</v>
      </c>
      <c r="H732" s="47" t="s">
        <v>24</v>
      </c>
      <c r="I732" s="47" t="s">
        <v>24</v>
      </c>
      <c r="J732" s="46">
        <v>440022</v>
      </c>
      <c r="K732" s="46">
        <v>0</v>
      </c>
      <c r="L732" s="46">
        <v>0</v>
      </c>
      <c r="M732" s="46">
        <f t="shared" si="234"/>
        <v>440022</v>
      </c>
      <c r="N732" s="46" t="s">
        <v>24</v>
      </c>
      <c r="O732" s="48">
        <f t="shared" si="235"/>
        <v>0</v>
      </c>
      <c r="P732" s="46">
        <v>0</v>
      </c>
      <c r="Q732" s="46">
        <v>0</v>
      </c>
      <c r="R732" s="49">
        <f t="shared" si="236"/>
        <v>0</v>
      </c>
      <c r="S732" s="50">
        <f t="shared" si="237"/>
        <v>0</v>
      </c>
      <c r="T732" s="49">
        <f t="shared" si="238"/>
        <v>0</v>
      </c>
      <c r="U732" s="51">
        <f t="shared" si="239"/>
        <v>440022</v>
      </c>
      <c r="V732" s="52">
        <f>IF(0&lt;0.8,0,IF(0&lt;1,Sheet3!L561,1))*IF(G732&lt;3,0.12 - O732,0.01) *U732</f>
        <v>0</v>
      </c>
      <c r="W732" s="52">
        <f t="shared" si="240"/>
        <v>0</v>
      </c>
      <c r="X732" s="53">
        <f t="shared" si="241"/>
        <v>0</v>
      </c>
      <c r="Y732" s="53">
        <f t="shared" si="242"/>
        <v>0</v>
      </c>
      <c r="Z732" s="54" t="str">
        <f>IF(R732=1,0,"")</f>
        <v/>
      </c>
      <c r="AA732" s="54">
        <f t="shared" si="244"/>
        <v>0</v>
      </c>
      <c r="AB732" s="55" t="str">
        <f>IF(R732=0,"",0)</f>
        <v/>
      </c>
      <c r="AC732" s="55">
        <f t="shared" si="246"/>
        <v>0</v>
      </c>
      <c r="AD732" s="56">
        <f t="shared" si="247"/>
        <v>0</v>
      </c>
    </row>
    <row r="733" spans="3:30">
      <c r="C733" s="43" t="s">
        <v>1275</v>
      </c>
      <c r="D733" s="44" t="s">
        <v>1276</v>
      </c>
      <c r="E733" s="44"/>
      <c r="F733" s="45">
        <v>43367.394814814812</v>
      </c>
      <c r="G733" s="46">
        <v>0</v>
      </c>
      <c r="H733" s="47">
        <v>43396</v>
      </c>
      <c r="I733" s="47">
        <v>43412</v>
      </c>
      <c r="J733" s="46">
        <v>75240</v>
      </c>
      <c r="K733" s="46">
        <v>0</v>
      </c>
      <c r="L733" s="46">
        <v>0</v>
      </c>
      <c r="M733" s="46">
        <f t="shared" si="234"/>
        <v>75240</v>
      </c>
      <c r="N733" s="46">
        <v>95832</v>
      </c>
      <c r="O733" s="48">
        <f t="shared" si="235"/>
        <v>0.21487603305785119</v>
      </c>
      <c r="P733" s="46">
        <v>0</v>
      </c>
      <c r="Q733" s="46">
        <v>0</v>
      </c>
      <c r="R733" s="49">
        <f t="shared" si="236"/>
        <v>0</v>
      </c>
      <c r="S733" s="50">
        <f t="shared" si="237"/>
        <v>0</v>
      </c>
      <c r="T733" s="49">
        <f t="shared" si="238"/>
        <v>0</v>
      </c>
      <c r="U733" s="51">
        <f t="shared" si="239"/>
        <v>0</v>
      </c>
      <c r="V733" s="52">
        <f>IF(0&lt;0.8,0,IF(0&lt;1,Sheet3!L561,1))*IF(G733&lt;3,0.12 - O733,0.01) *U733</f>
        <v>0</v>
      </c>
      <c r="W733" s="52">
        <f t="shared" si="240"/>
        <v>0</v>
      </c>
      <c r="X733" s="53">
        <f t="shared" si="241"/>
        <v>0</v>
      </c>
      <c r="Y733" s="53">
        <f t="shared" si="242"/>
        <v>0</v>
      </c>
      <c r="Z733" s="54">
        <f>IF(R733=1,0,0)</f>
        <v>0</v>
      </c>
      <c r="AA733" s="54">
        <f t="shared" si="244"/>
        <v>0</v>
      </c>
      <c r="AB733" s="55">
        <f>IF(R733=0,0,0)</f>
        <v>0</v>
      </c>
      <c r="AC733" s="55">
        <f t="shared" si="246"/>
        <v>0</v>
      </c>
      <c r="AD733" s="56">
        <f t="shared" si="247"/>
        <v>0</v>
      </c>
    </row>
    <row r="734" spans="3:30">
      <c r="C734" s="43" t="s">
        <v>1277</v>
      </c>
      <c r="D734" s="44" t="s">
        <v>1278</v>
      </c>
      <c r="E734" s="44"/>
      <c r="F734" s="45">
        <v>43245.281597222223</v>
      </c>
      <c r="G734" s="46">
        <v>4</v>
      </c>
      <c r="H734" s="47" t="s">
        <v>24</v>
      </c>
      <c r="I734" s="47" t="s">
        <v>24</v>
      </c>
      <c r="J734" s="46">
        <v>67382</v>
      </c>
      <c r="K734" s="46">
        <v>67382</v>
      </c>
      <c r="L734" s="46">
        <v>0</v>
      </c>
      <c r="M734" s="46">
        <f t="shared" si="234"/>
        <v>0</v>
      </c>
      <c r="N734" s="46">
        <v>1079432</v>
      </c>
      <c r="O734" s="48">
        <f t="shared" si="235"/>
        <v>1</v>
      </c>
      <c r="P734" s="46">
        <v>0</v>
      </c>
      <c r="Q734" s="46">
        <v>0</v>
      </c>
      <c r="R734" s="49">
        <f t="shared" si="236"/>
        <v>1</v>
      </c>
      <c r="S734" s="50">
        <f t="shared" si="237"/>
        <v>0.01</v>
      </c>
      <c r="T734" s="49">
        <f t="shared" si="238"/>
        <v>0</v>
      </c>
      <c r="U734" s="51">
        <f t="shared" si="239"/>
        <v>0</v>
      </c>
      <c r="V734" s="52">
        <f>IF(0&lt;0.8,0,IF(0&lt;1,Sheet3!L561,1))*IF(G734&lt;3,0.12 - O734,0.01) *U734</f>
        <v>0</v>
      </c>
      <c r="W734" s="52">
        <f t="shared" si="240"/>
        <v>0</v>
      </c>
      <c r="X734" s="53">
        <f t="shared" si="241"/>
        <v>0</v>
      </c>
      <c r="Y734" s="53">
        <f t="shared" si="242"/>
        <v>0</v>
      </c>
      <c r="Z734" s="54">
        <f>IF(R734=1,0,"")</f>
        <v>0</v>
      </c>
      <c r="AA734" s="54">
        <f t="shared" si="244"/>
        <v>0</v>
      </c>
      <c r="AB734" s="55">
        <f>IF(R734=0,"",0)</f>
        <v>0</v>
      </c>
      <c r="AC734" s="55">
        <f t="shared" si="246"/>
        <v>0</v>
      </c>
      <c r="AD734" s="56">
        <f t="shared" si="247"/>
        <v>0</v>
      </c>
    </row>
    <row r="735" spans="3:30">
      <c r="C735" s="43" t="s">
        <v>1279</v>
      </c>
      <c r="D735" s="44" t="s">
        <v>995</v>
      </c>
      <c r="E735" s="44"/>
      <c r="F735" s="45">
        <v>43316.370289351849</v>
      </c>
      <c r="G735" s="46">
        <v>1</v>
      </c>
      <c r="H735" s="47">
        <v>43404</v>
      </c>
      <c r="I735" s="47">
        <v>43430</v>
      </c>
      <c r="J735" s="46">
        <v>755301</v>
      </c>
      <c r="K735" s="46">
        <v>0</v>
      </c>
      <c r="L735" s="46">
        <v>0</v>
      </c>
      <c r="M735" s="46">
        <f t="shared" si="234"/>
        <v>755301</v>
      </c>
      <c r="N735" s="46">
        <v>972153</v>
      </c>
      <c r="O735" s="48">
        <f t="shared" si="235"/>
        <v>0.2230636535607049</v>
      </c>
      <c r="P735" s="46">
        <v>0</v>
      </c>
      <c r="Q735" s="46">
        <v>0</v>
      </c>
      <c r="R735" s="49">
        <f t="shared" si="236"/>
        <v>0</v>
      </c>
      <c r="S735" s="50">
        <f t="shared" si="237"/>
        <v>0</v>
      </c>
      <c r="T735" s="49">
        <f t="shared" si="238"/>
        <v>0</v>
      </c>
      <c r="U735" s="51">
        <f t="shared" si="239"/>
        <v>0</v>
      </c>
      <c r="V735" s="52">
        <f>IF(0&lt;0.8,0,IF(0&lt;1,Sheet3!L561,1))*IF(G735&lt;3,0.12 - O735,0.01) *U735</f>
        <v>0</v>
      </c>
      <c r="W735" s="52">
        <f t="shared" si="240"/>
        <v>0</v>
      </c>
      <c r="X735" s="53">
        <f t="shared" si="241"/>
        <v>0</v>
      </c>
      <c r="Y735" s="53">
        <f t="shared" si="242"/>
        <v>0</v>
      </c>
      <c r="Z735" s="54">
        <f>IF(R735=1,0,0)</f>
        <v>0</v>
      </c>
      <c r="AA735" s="54">
        <f t="shared" si="244"/>
        <v>0</v>
      </c>
      <c r="AB735" s="55">
        <f>IF(R735=0,0,0)</f>
        <v>0</v>
      </c>
      <c r="AC735" s="55">
        <f t="shared" si="246"/>
        <v>0</v>
      </c>
      <c r="AD735" s="56">
        <f t="shared" si="247"/>
        <v>0</v>
      </c>
    </row>
    <row r="736" spans="3:30">
      <c r="C736" s="43" t="s">
        <v>1280</v>
      </c>
      <c r="D736" s="44" t="s">
        <v>1281</v>
      </c>
      <c r="E736" s="44"/>
      <c r="F736" s="45">
        <v>41533.58284722222</v>
      </c>
      <c r="G736" s="46">
        <v>60</v>
      </c>
      <c r="H736" s="47">
        <v>43396</v>
      </c>
      <c r="I736" s="47">
        <v>43412</v>
      </c>
      <c r="J736" s="46">
        <v>1769270</v>
      </c>
      <c r="K736" s="46">
        <v>0</v>
      </c>
      <c r="L736" s="46">
        <v>0</v>
      </c>
      <c r="M736" s="46">
        <f t="shared" si="234"/>
        <v>1769270</v>
      </c>
      <c r="N736" s="46">
        <v>2137385</v>
      </c>
      <c r="O736" s="48">
        <f t="shared" si="235"/>
        <v>0.17222680986345462</v>
      </c>
      <c r="P736" s="46">
        <v>0</v>
      </c>
      <c r="Q736" s="46">
        <v>1769270</v>
      </c>
      <c r="R736" s="49">
        <f t="shared" si="236"/>
        <v>1</v>
      </c>
      <c r="S736" s="50">
        <f t="shared" si="237"/>
        <v>0.01</v>
      </c>
      <c r="T736" s="49">
        <f t="shared" si="238"/>
        <v>17692.7</v>
      </c>
      <c r="U736" s="51">
        <f t="shared" si="239"/>
        <v>0</v>
      </c>
      <c r="V736" s="52">
        <f>IF(0&lt;0.8,0,IF(0&lt;1,Sheet3!L561,1))*IF(G736&lt;3,0.12 - O736,0.01) *U736</f>
        <v>0</v>
      </c>
      <c r="W736" s="52">
        <f t="shared" si="240"/>
        <v>0</v>
      </c>
      <c r="X736" s="53">
        <f t="shared" si="241"/>
        <v>0</v>
      </c>
      <c r="Y736" s="53">
        <f t="shared" si="242"/>
        <v>0</v>
      </c>
      <c r="Z736" s="54">
        <f>IF(R736=1,0,0)</f>
        <v>0</v>
      </c>
      <c r="AA736" s="54">
        <f t="shared" si="244"/>
        <v>0</v>
      </c>
      <c r="AB736" s="55">
        <f>IF(R736=0,0,0)</f>
        <v>0</v>
      </c>
      <c r="AC736" s="55">
        <f t="shared" si="246"/>
        <v>0</v>
      </c>
      <c r="AD736" s="56">
        <f t="shared" si="247"/>
        <v>17692.7</v>
      </c>
    </row>
    <row r="737" spans="3:30">
      <c r="C737" s="43" t="s">
        <v>1282</v>
      </c>
      <c r="D737" s="44" t="s">
        <v>1283</v>
      </c>
      <c r="E737" s="44"/>
      <c r="F737" s="45">
        <v>43284.068611111106</v>
      </c>
      <c r="G737" s="46">
        <v>2</v>
      </c>
      <c r="H737" s="47">
        <v>43396</v>
      </c>
      <c r="I737" s="47">
        <v>43412</v>
      </c>
      <c r="J737" s="46">
        <v>980431</v>
      </c>
      <c r="K737" s="46">
        <v>0</v>
      </c>
      <c r="L737" s="46">
        <v>0</v>
      </c>
      <c r="M737" s="46">
        <f t="shared" si="234"/>
        <v>980431</v>
      </c>
      <c r="N737" s="46">
        <v>1270626</v>
      </c>
      <c r="O737" s="48">
        <f t="shared" si="235"/>
        <v>0.22838742478117091</v>
      </c>
      <c r="P737" s="46">
        <v>980431</v>
      </c>
      <c r="Q737" s="46">
        <v>0</v>
      </c>
      <c r="R737" s="49">
        <f t="shared" si="236"/>
        <v>0</v>
      </c>
      <c r="S737" s="50">
        <f t="shared" si="237"/>
        <v>0</v>
      </c>
      <c r="T737" s="49">
        <f t="shared" si="238"/>
        <v>0</v>
      </c>
      <c r="U737" s="51">
        <f t="shared" si="239"/>
        <v>0</v>
      </c>
      <c r="V737" s="52">
        <f>IF(0&lt;0.8,0,IF(0&lt;1,Sheet3!L561,1))*IF(G737&lt;3,0.12 - O737,0.01) *U737</f>
        <v>0</v>
      </c>
      <c r="W737" s="52">
        <f t="shared" si="240"/>
        <v>0</v>
      </c>
      <c r="X737" s="53">
        <f t="shared" si="241"/>
        <v>0</v>
      </c>
      <c r="Y737" s="53">
        <f t="shared" si="242"/>
        <v>0</v>
      </c>
      <c r="Z737" s="54">
        <f>IF(R737=1,0,0)</f>
        <v>0</v>
      </c>
      <c r="AA737" s="54">
        <f t="shared" si="244"/>
        <v>0</v>
      </c>
      <c r="AB737" s="55">
        <f>IF(R737=0,0,0)</f>
        <v>0</v>
      </c>
      <c r="AC737" s="55">
        <f t="shared" si="246"/>
        <v>0</v>
      </c>
      <c r="AD737" s="56">
        <f t="shared" si="247"/>
        <v>0</v>
      </c>
    </row>
    <row r="738" spans="3:30">
      <c r="C738" s="43" t="s">
        <v>1284</v>
      </c>
      <c r="D738" s="44" t="s">
        <v>1285</v>
      </c>
      <c r="E738" s="44"/>
      <c r="F738" s="45">
        <v>43245.282071759255</v>
      </c>
      <c r="G738" s="46">
        <v>4</v>
      </c>
      <c r="H738" s="47" t="s">
        <v>24</v>
      </c>
      <c r="I738" s="47" t="s">
        <v>24</v>
      </c>
      <c r="J738" s="46">
        <v>0</v>
      </c>
      <c r="K738" s="46">
        <v>0</v>
      </c>
      <c r="L738" s="46">
        <v>0</v>
      </c>
      <c r="M738" s="46">
        <f t="shared" si="234"/>
        <v>0</v>
      </c>
      <c r="N738" s="46">
        <v>1254176</v>
      </c>
      <c r="O738" s="48">
        <f t="shared" si="235"/>
        <v>1</v>
      </c>
      <c r="P738" s="46">
        <v>0</v>
      </c>
      <c r="Q738" s="46">
        <v>0</v>
      </c>
      <c r="R738" s="49">
        <f t="shared" si="236"/>
        <v>1</v>
      </c>
      <c r="S738" s="50">
        <f t="shared" si="237"/>
        <v>0.01</v>
      </c>
      <c r="T738" s="49">
        <f t="shared" si="238"/>
        <v>0</v>
      </c>
      <c r="U738" s="51">
        <f t="shared" si="239"/>
        <v>0</v>
      </c>
      <c r="V738" s="52">
        <f>IF(0&lt;0.8,0,IF(0&lt;1,Sheet3!L561,1))*IF(G738&lt;3,0.12 - O738,0.01) *U738</f>
        <v>0</v>
      </c>
      <c r="W738" s="52">
        <f t="shared" si="240"/>
        <v>0</v>
      </c>
      <c r="X738" s="53">
        <f t="shared" si="241"/>
        <v>0</v>
      </c>
      <c r="Y738" s="53">
        <f t="shared" si="242"/>
        <v>0</v>
      </c>
      <c r="Z738" s="54">
        <f>IF(R738=1,0,"")</f>
        <v>0</v>
      </c>
      <c r="AA738" s="54">
        <f t="shared" si="244"/>
        <v>0</v>
      </c>
      <c r="AB738" s="55">
        <f>IF(R738=0,"",0)</f>
        <v>0</v>
      </c>
      <c r="AC738" s="55">
        <f t="shared" si="246"/>
        <v>0</v>
      </c>
      <c r="AD738" s="56">
        <f t="shared" si="247"/>
        <v>0</v>
      </c>
    </row>
    <row r="739" spans="3:30">
      <c r="C739" s="43" t="s">
        <v>1286</v>
      </c>
      <c r="D739" s="44" t="s">
        <v>995</v>
      </c>
      <c r="E739" s="44"/>
      <c r="F739" s="45">
        <v>43316.353622685187</v>
      </c>
      <c r="G739" s="46">
        <v>1</v>
      </c>
      <c r="H739" s="47">
        <v>43404</v>
      </c>
      <c r="I739" s="47">
        <v>43430</v>
      </c>
      <c r="J739" s="46">
        <v>337043</v>
      </c>
      <c r="K739" s="46">
        <v>0</v>
      </c>
      <c r="L739" s="46">
        <v>0</v>
      </c>
      <c r="M739" s="46">
        <f t="shared" si="234"/>
        <v>337043</v>
      </c>
      <c r="N739" s="46">
        <v>354467</v>
      </c>
      <c r="O739" s="48">
        <f t="shared" si="235"/>
        <v>4.9155492612852569E-2</v>
      </c>
      <c r="P739" s="46">
        <v>0</v>
      </c>
      <c r="Q739" s="46">
        <v>0</v>
      </c>
      <c r="R739" s="49">
        <f t="shared" si="236"/>
        <v>0</v>
      </c>
      <c r="S739" s="50">
        <f t="shared" si="237"/>
        <v>0</v>
      </c>
      <c r="T739" s="49">
        <f t="shared" si="238"/>
        <v>0</v>
      </c>
      <c r="U739" s="51">
        <f t="shared" si="239"/>
        <v>337043</v>
      </c>
      <c r="V739" s="52">
        <f>IF(0&lt;0.8,0,IF(0&lt;1,Sheet3!L561,1))*IF(G739&lt;3,0.12 - O739,0.01) *U739</f>
        <v>0</v>
      </c>
      <c r="W739" s="52">
        <f t="shared" si="240"/>
        <v>0</v>
      </c>
      <c r="X739" s="53">
        <f t="shared" si="241"/>
        <v>0</v>
      </c>
      <c r="Y739" s="53">
        <f t="shared" si="242"/>
        <v>0</v>
      </c>
      <c r="Z739" s="54">
        <f>IF(R739=1,0,0)</f>
        <v>0</v>
      </c>
      <c r="AA739" s="54">
        <f t="shared" si="244"/>
        <v>0</v>
      </c>
      <c r="AB739" s="55">
        <f>IF(R739=0,0,0)</f>
        <v>0</v>
      </c>
      <c r="AC739" s="55">
        <f t="shared" si="246"/>
        <v>0</v>
      </c>
      <c r="AD739" s="56">
        <f t="shared" si="247"/>
        <v>0</v>
      </c>
    </row>
    <row r="740" spans="3:30">
      <c r="C740" s="43" t="s">
        <v>1287</v>
      </c>
      <c r="D740" s="44" t="s">
        <v>1288</v>
      </c>
      <c r="E740" s="44"/>
      <c r="F740" s="45">
        <v>41527.414756944439</v>
      </c>
      <c r="G740" s="46">
        <v>60</v>
      </c>
      <c r="H740" s="47">
        <v>43396</v>
      </c>
      <c r="I740" s="47">
        <v>43412</v>
      </c>
      <c r="J740" s="46">
        <v>1540633</v>
      </c>
      <c r="K740" s="46">
        <v>0</v>
      </c>
      <c r="L740" s="46">
        <v>0</v>
      </c>
      <c r="M740" s="46">
        <f t="shared" si="234"/>
        <v>1540633</v>
      </c>
      <c r="N740" s="46">
        <v>2076362</v>
      </c>
      <c r="O740" s="48">
        <f t="shared" si="235"/>
        <v>0.25801329440627407</v>
      </c>
      <c r="P740" s="46">
        <v>0</v>
      </c>
      <c r="Q740" s="46">
        <v>1540633</v>
      </c>
      <c r="R740" s="49">
        <f t="shared" si="236"/>
        <v>1</v>
      </c>
      <c r="S740" s="50">
        <f t="shared" si="237"/>
        <v>0.01</v>
      </c>
      <c r="T740" s="49">
        <f t="shared" si="238"/>
        <v>15406.33</v>
      </c>
      <c r="U740" s="51">
        <f t="shared" si="239"/>
        <v>0</v>
      </c>
      <c r="V740" s="52">
        <f>IF(0&lt;0.8,0,IF(0&lt;1,Sheet3!L561,1))*IF(G740&lt;3,0.12 - O740,0.01) *U740</f>
        <v>0</v>
      </c>
      <c r="W740" s="52">
        <f t="shared" si="240"/>
        <v>0</v>
      </c>
      <c r="X740" s="53">
        <f t="shared" si="241"/>
        <v>0</v>
      </c>
      <c r="Y740" s="53">
        <f t="shared" si="242"/>
        <v>0</v>
      </c>
      <c r="Z740" s="54">
        <f>IF(R740=1,0,0)</f>
        <v>0</v>
      </c>
      <c r="AA740" s="54">
        <f t="shared" si="244"/>
        <v>0</v>
      </c>
      <c r="AB740" s="55">
        <f>IF(R740=0,0,0)</f>
        <v>0</v>
      </c>
      <c r="AC740" s="55">
        <f t="shared" si="246"/>
        <v>0</v>
      </c>
      <c r="AD740" s="56">
        <f t="shared" si="247"/>
        <v>15406.33</v>
      </c>
    </row>
    <row r="741" spans="3:30">
      <c r="C741" s="43" t="s">
        <v>1289</v>
      </c>
      <c r="D741" s="44" t="s">
        <v>1290</v>
      </c>
      <c r="E741" s="44"/>
      <c r="F741" s="45">
        <v>43245.282511574071</v>
      </c>
      <c r="G741" s="46">
        <v>4</v>
      </c>
      <c r="H741" s="47" t="s">
        <v>24</v>
      </c>
      <c r="I741" s="47" t="s">
        <v>24</v>
      </c>
      <c r="J741" s="46">
        <v>0</v>
      </c>
      <c r="K741" s="46">
        <v>0</v>
      </c>
      <c r="L741" s="46">
        <v>0</v>
      </c>
      <c r="M741" s="46">
        <f t="shared" si="234"/>
        <v>0</v>
      </c>
      <c r="N741" s="46">
        <v>561100</v>
      </c>
      <c r="O741" s="48">
        <f t="shared" si="235"/>
        <v>1</v>
      </c>
      <c r="P741" s="46">
        <v>0</v>
      </c>
      <c r="Q741" s="46">
        <v>0</v>
      </c>
      <c r="R741" s="49">
        <f t="shared" si="236"/>
        <v>1</v>
      </c>
      <c r="S741" s="50">
        <f t="shared" si="237"/>
        <v>0.01</v>
      </c>
      <c r="T741" s="49">
        <f t="shared" si="238"/>
        <v>0</v>
      </c>
      <c r="U741" s="51">
        <f t="shared" si="239"/>
        <v>0</v>
      </c>
      <c r="V741" s="52">
        <f>IF(0&lt;0.8,0,IF(0&lt;1,Sheet3!L561,1))*IF(G741&lt;3,0.12 - O741,0.01) *U741</f>
        <v>0</v>
      </c>
      <c r="W741" s="52">
        <f t="shared" si="240"/>
        <v>0</v>
      </c>
      <c r="X741" s="53">
        <f t="shared" si="241"/>
        <v>0</v>
      </c>
      <c r="Y741" s="53">
        <f t="shared" si="242"/>
        <v>0</v>
      </c>
      <c r="Z741" s="54">
        <f>IF(R741=1,0,"")</f>
        <v>0</v>
      </c>
      <c r="AA741" s="54">
        <f t="shared" si="244"/>
        <v>0</v>
      </c>
      <c r="AB741" s="55">
        <f>IF(R741=0,"",0)</f>
        <v>0</v>
      </c>
      <c r="AC741" s="55">
        <f t="shared" si="246"/>
        <v>0</v>
      </c>
      <c r="AD741" s="56">
        <f t="shared" si="247"/>
        <v>0</v>
      </c>
    </row>
    <row r="742" spans="3:30">
      <c r="C742" s="43" t="s">
        <v>1291</v>
      </c>
      <c r="D742" s="44" t="s">
        <v>995</v>
      </c>
      <c r="E742" s="44"/>
      <c r="F742" s="45">
        <v>43316.384259259255</v>
      </c>
      <c r="G742" s="46">
        <v>1</v>
      </c>
      <c r="H742" s="47">
        <v>43404</v>
      </c>
      <c r="I742" s="47">
        <v>43430</v>
      </c>
      <c r="J742" s="46">
        <v>850594</v>
      </c>
      <c r="K742" s="46">
        <v>0</v>
      </c>
      <c r="L742" s="46">
        <v>0</v>
      </c>
      <c r="M742" s="46">
        <f t="shared" si="234"/>
        <v>850594</v>
      </c>
      <c r="N742" s="46">
        <v>1036169</v>
      </c>
      <c r="O742" s="48">
        <f t="shared" si="235"/>
        <v>0.17909723220825946</v>
      </c>
      <c r="P742" s="46">
        <v>0</v>
      </c>
      <c r="Q742" s="46">
        <v>0</v>
      </c>
      <c r="R742" s="49">
        <f t="shared" si="236"/>
        <v>0</v>
      </c>
      <c r="S742" s="50">
        <f t="shared" si="237"/>
        <v>0</v>
      </c>
      <c r="T742" s="49">
        <f t="shared" si="238"/>
        <v>0</v>
      </c>
      <c r="U742" s="51">
        <f t="shared" si="239"/>
        <v>0</v>
      </c>
      <c r="V742" s="52">
        <f>IF(0&lt;0.8,0,IF(0&lt;1,Sheet3!L561,1))*IF(G742&lt;3,0.12 - O742,0.01) *U742</f>
        <v>0</v>
      </c>
      <c r="W742" s="52">
        <f t="shared" si="240"/>
        <v>0</v>
      </c>
      <c r="X742" s="53">
        <f t="shared" si="241"/>
        <v>0</v>
      </c>
      <c r="Y742" s="53">
        <f t="shared" si="242"/>
        <v>0</v>
      </c>
      <c r="Z742" s="54">
        <f t="shared" ref="Z742:Z800" si="250">IF(R742=1,0,0)</f>
        <v>0</v>
      </c>
      <c r="AA742" s="54">
        <f t="shared" si="244"/>
        <v>0</v>
      </c>
      <c r="AB742" s="55">
        <f t="shared" ref="AB742:AB800" si="251">IF(R742=0,0,0)</f>
        <v>0</v>
      </c>
      <c r="AC742" s="55">
        <f t="shared" si="246"/>
        <v>0</v>
      </c>
      <c r="AD742" s="56">
        <f t="shared" si="247"/>
        <v>0</v>
      </c>
    </row>
    <row r="743" spans="3:30">
      <c r="C743" s="43" t="s">
        <v>1292</v>
      </c>
      <c r="D743" s="44" t="s">
        <v>1293</v>
      </c>
      <c r="E743" s="44"/>
      <c r="F743" s="45">
        <v>38950.764328703699</v>
      </c>
      <c r="G743" s="46">
        <v>145</v>
      </c>
      <c r="H743" s="47">
        <v>43375</v>
      </c>
      <c r="I743" s="47">
        <v>43386</v>
      </c>
      <c r="J743" s="46">
        <v>1107150</v>
      </c>
      <c r="K743" s="46">
        <v>0</v>
      </c>
      <c r="L743" s="46">
        <v>0</v>
      </c>
      <c r="M743" s="46">
        <f t="shared" si="234"/>
        <v>1107150</v>
      </c>
      <c r="N743" s="46">
        <v>1107150</v>
      </c>
      <c r="O743" s="48">
        <f t="shared" si="235"/>
        <v>0</v>
      </c>
      <c r="P743" s="46">
        <v>0</v>
      </c>
      <c r="Q743" s="46">
        <v>1107150</v>
      </c>
      <c r="R743" s="49">
        <f t="shared" si="236"/>
        <v>1</v>
      </c>
      <c r="S743" s="50">
        <f t="shared" si="237"/>
        <v>0.01</v>
      </c>
      <c r="T743" s="49">
        <f t="shared" si="238"/>
        <v>11071.5</v>
      </c>
      <c r="U743" s="51">
        <f t="shared" si="239"/>
        <v>0</v>
      </c>
      <c r="V743" s="52">
        <f>IF(0&lt;0.8,0,IF(0&lt;1,Sheet3!L561,1))*IF(G743&lt;3,0.12 - O743,0.01) *U743</f>
        <v>0</v>
      </c>
      <c r="W743" s="52">
        <f t="shared" si="240"/>
        <v>0</v>
      </c>
      <c r="X743" s="53">
        <f t="shared" si="241"/>
        <v>0</v>
      </c>
      <c r="Y743" s="53">
        <f t="shared" si="242"/>
        <v>0</v>
      </c>
      <c r="Z743" s="54">
        <f t="shared" si="250"/>
        <v>0</v>
      </c>
      <c r="AA743" s="54">
        <f t="shared" si="244"/>
        <v>0</v>
      </c>
      <c r="AB743" s="55">
        <f t="shared" si="251"/>
        <v>0</v>
      </c>
      <c r="AC743" s="55">
        <f t="shared" si="246"/>
        <v>0</v>
      </c>
      <c r="AD743" s="56">
        <f t="shared" si="247"/>
        <v>11071.5</v>
      </c>
    </row>
    <row r="744" spans="3:30">
      <c r="C744" s="43" t="s">
        <v>1294</v>
      </c>
      <c r="D744" s="44" t="s">
        <v>1295</v>
      </c>
      <c r="E744" s="44"/>
      <c r="F744" s="45">
        <v>38950.764328703699</v>
      </c>
      <c r="G744" s="46">
        <v>145</v>
      </c>
      <c r="H744" s="47">
        <v>43375</v>
      </c>
      <c r="I744" s="47">
        <v>43385</v>
      </c>
      <c r="J744" s="46">
        <v>2450356</v>
      </c>
      <c r="K744" s="46">
        <v>222752</v>
      </c>
      <c r="L744" s="46">
        <v>0</v>
      </c>
      <c r="M744" s="46">
        <f t="shared" si="234"/>
        <v>2227604</v>
      </c>
      <c r="N744" s="46">
        <v>2450356</v>
      </c>
      <c r="O744" s="48">
        <f t="shared" si="235"/>
        <v>9.0905974478810436E-2</v>
      </c>
      <c r="P744" s="46">
        <v>0</v>
      </c>
      <c r="Q744" s="46">
        <v>2450356</v>
      </c>
      <c r="R744" s="49">
        <f t="shared" si="236"/>
        <v>1</v>
      </c>
      <c r="S744" s="50">
        <f t="shared" si="237"/>
        <v>0.01</v>
      </c>
      <c r="T744" s="49">
        <f t="shared" si="238"/>
        <v>22276.04</v>
      </c>
      <c r="U744" s="51">
        <f t="shared" si="239"/>
        <v>0</v>
      </c>
      <c r="V744" s="52">
        <f>IF(0&lt;0.8,0,IF(0&lt;1,Sheet3!L561,1))*IF(G744&lt;3,0.12 - O744,0.01) *U744</f>
        <v>0</v>
      </c>
      <c r="W744" s="52">
        <f t="shared" si="240"/>
        <v>0</v>
      </c>
      <c r="X744" s="53">
        <f t="shared" si="241"/>
        <v>0</v>
      </c>
      <c r="Y744" s="53">
        <f t="shared" si="242"/>
        <v>0</v>
      </c>
      <c r="Z744" s="54">
        <f t="shared" si="250"/>
        <v>0</v>
      </c>
      <c r="AA744" s="54">
        <f t="shared" si="244"/>
        <v>0</v>
      </c>
      <c r="AB744" s="55">
        <f t="shared" si="251"/>
        <v>0</v>
      </c>
      <c r="AC744" s="55">
        <f t="shared" si="246"/>
        <v>0</v>
      </c>
      <c r="AD744" s="56">
        <f t="shared" si="247"/>
        <v>22276.04</v>
      </c>
    </row>
    <row r="745" spans="3:30">
      <c r="C745" s="43" t="s">
        <v>1296</v>
      </c>
      <c r="D745" s="44" t="s">
        <v>1297</v>
      </c>
      <c r="E745" s="44"/>
      <c r="F745" s="45">
        <v>38950.764328703699</v>
      </c>
      <c r="G745" s="46">
        <v>145</v>
      </c>
      <c r="H745" s="47">
        <v>43375</v>
      </c>
      <c r="I745" s="47">
        <v>43386</v>
      </c>
      <c r="J745" s="46">
        <v>85983</v>
      </c>
      <c r="K745" s="46">
        <v>0</v>
      </c>
      <c r="L745" s="46">
        <v>0</v>
      </c>
      <c r="M745" s="46">
        <f t="shared" si="234"/>
        <v>85983</v>
      </c>
      <c r="N745" s="46">
        <v>85983</v>
      </c>
      <c r="O745" s="48">
        <f t="shared" si="235"/>
        <v>0</v>
      </c>
      <c r="P745" s="46">
        <v>0</v>
      </c>
      <c r="Q745" s="46">
        <v>85983</v>
      </c>
      <c r="R745" s="49">
        <f t="shared" si="236"/>
        <v>1</v>
      </c>
      <c r="S745" s="50">
        <f t="shared" si="237"/>
        <v>0.01</v>
      </c>
      <c r="T745" s="49">
        <f t="shared" si="238"/>
        <v>859.83</v>
      </c>
      <c r="U745" s="51">
        <f t="shared" si="239"/>
        <v>0</v>
      </c>
      <c r="V745" s="52">
        <f>IF(0&lt;0.8,0,IF(0&lt;1,Sheet3!L561,1))*IF(G745&lt;3,0.12 - O745,0.01) *U745</f>
        <v>0</v>
      </c>
      <c r="W745" s="52">
        <f t="shared" si="240"/>
        <v>0</v>
      </c>
      <c r="X745" s="53">
        <f t="shared" si="241"/>
        <v>0</v>
      </c>
      <c r="Y745" s="53">
        <f t="shared" si="242"/>
        <v>0</v>
      </c>
      <c r="Z745" s="54">
        <f t="shared" si="250"/>
        <v>0</v>
      </c>
      <c r="AA745" s="54">
        <f t="shared" si="244"/>
        <v>0</v>
      </c>
      <c r="AB745" s="55">
        <f t="shared" si="251"/>
        <v>0</v>
      </c>
      <c r="AC745" s="55">
        <f t="shared" si="246"/>
        <v>0</v>
      </c>
      <c r="AD745" s="56">
        <f t="shared" si="247"/>
        <v>859.83</v>
      </c>
    </row>
    <row r="746" spans="3:30">
      <c r="C746" s="43" t="s">
        <v>1298</v>
      </c>
      <c r="D746" s="44" t="s">
        <v>1299</v>
      </c>
      <c r="E746" s="44"/>
      <c r="F746" s="45">
        <v>38950.764340277776</v>
      </c>
      <c r="G746" s="46">
        <v>145</v>
      </c>
      <c r="H746" s="47">
        <v>43379</v>
      </c>
      <c r="I746" s="47">
        <v>43390</v>
      </c>
      <c r="J746" s="46">
        <v>146168</v>
      </c>
      <c r="K746" s="46">
        <v>0</v>
      </c>
      <c r="L746" s="46">
        <v>0</v>
      </c>
      <c r="M746" s="46">
        <f t="shared" si="234"/>
        <v>146168</v>
      </c>
      <c r="N746" s="46">
        <v>146168</v>
      </c>
      <c r="O746" s="48">
        <f t="shared" si="235"/>
        <v>0</v>
      </c>
      <c r="P746" s="46">
        <v>0</v>
      </c>
      <c r="Q746" s="46">
        <v>146168</v>
      </c>
      <c r="R746" s="49">
        <f t="shared" si="236"/>
        <v>1</v>
      </c>
      <c r="S746" s="50">
        <f t="shared" si="237"/>
        <v>0.01</v>
      </c>
      <c r="T746" s="49">
        <f t="shared" si="238"/>
        <v>1461.68</v>
      </c>
      <c r="U746" s="51">
        <f t="shared" si="239"/>
        <v>0</v>
      </c>
      <c r="V746" s="52">
        <f>IF(0&lt;0.8,0,IF(0&lt;1,Sheet3!L561,1))*IF(G746&lt;3,0.12 - O746,0.01) *U746</f>
        <v>0</v>
      </c>
      <c r="W746" s="52">
        <f t="shared" si="240"/>
        <v>0</v>
      </c>
      <c r="X746" s="53">
        <f t="shared" si="241"/>
        <v>0</v>
      </c>
      <c r="Y746" s="53">
        <f t="shared" si="242"/>
        <v>0</v>
      </c>
      <c r="Z746" s="54">
        <f t="shared" si="250"/>
        <v>0</v>
      </c>
      <c r="AA746" s="54">
        <f t="shared" si="244"/>
        <v>0</v>
      </c>
      <c r="AB746" s="55">
        <f t="shared" si="251"/>
        <v>0</v>
      </c>
      <c r="AC746" s="55">
        <f t="shared" si="246"/>
        <v>0</v>
      </c>
      <c r="AD746" s="56">
        <f t="shared" si="247"/>
        <v>1461.68</v>
      </c>
    </row>
    <row r="747" spans="3:30">
      <c r="C747" s="43" t="s">
        <v>1300</v>
      </c>
      <c r="D747" s="44" t="s">
        <v>1301</v>
      </c>
      <c r="E747" s="44"/>
      <c r="F747" s="45">
        <v>38950.764351851853</v>
      </c>
      <c r="G747" s="46">
        <v>145</v>
      </c>
      <c r="H747" s="47">
        <v>43376</v>
      </c>
      <c r="I747" s="47">
        <v>43274</v>
      </c>
      <c r="J747" s="46">
        <v>173962</v>
      </c>
      <c r="K747" s="46">
        <v>0</v>
      </c>
      <c r="L747" s="46">
        <v>0</v>
      </c>
      <c r="M747" s="46">
        <f t="shared" si="234"/>
        <v>173962</v>
      </c>
      <c r="N747" s="46">
        <v>173962</v>
      </c>
      <c r="O747" s="48">
        <f t="shared" si="235"/>
        <v>0</v>
      </c>
      <c r="P747" s="46">
        <v>0</v>
      </c>
      <c r="Q747" s="46">
        <v>173962</v>
      </c>
      <c r="R747" s="49">
        <f t="shared" si="236"/>
        <v>1</v>
      </c>
      <c r="S747" s="50">
        <f t="shared" si="237"/>
        <v>0.01</v>
      </c>
      <c r="T747" s="49">
        <f t="shared" si="238"/>
        <v>1739.6200000000001</v>
      </c>
      <c r="U747" s="51">
        <f t="shared" si="239"/>
        <v>0</v>
      </c>
      <c r="V747" s="52">
        <f>IF(0&lt;0.8,0,IF(0&lt;1,Sheet3!L561,1))*IF(G747&lt;3,0.12 - O747,0.01) *U747</f>
        <v>0</v>
      </c>
      <c r="W747" s="52">
        <f t="shared" si="240"/>
        <v>0</v>
      </c>
      <c r="X747" s="53">
        <f t="shared" si="241"/>
        <v>0</v>
      </c>
      <c r="Y747" s="53">
        <f t="shared" si="242"/>
        <v>0</v>
      </c>
      <c r="Z747" s="54">
        <f t="shared" si="250"/>
        <v>0</v>
      </c>
      <c r="AA747" s="54">
        <f t="shared" si="244"/>
        <v>0</v>
      </c>
      <c r="AB747" s="55">
        <f t="shared" si="251"/>
        <v>0</v>
      </c>
      <c r="AC747" s="55">
        <f t="shared" si="246"/>
        <v>0</v>
      </c>
      <c r="AD747" s="56">
        <f t="shared" si="247"/>
        <v>1739.6200000000001</v>
      </c>
    </row>
    <row r="748" spans="3:30">
      <c r="C748" s="43" t="s">
        <v>1302</v>
      </c>
      <c r="D748" s="44" t="s">
        <v>1303</v>
      </c>
      <c r="E748" s="44"/>
      <c r="F748" s="45">
        <v>38950.764374999999</v>
      </c>
      <c r="G748" s="46">
        <v>145</v>
      </c>
      <c r="H748" s="47">
        <v>43376</v>
      </c>
      <c r="I748" s="47">
        <v>43410</v>
      </c>
      <c r="J748" s="46">
        <v>940554</v>
      </c>
      <c r="K748" s="46">
        <v>0</v>
      </c>
      <c r="L748" s="46">
        <v>0</v>
      </c>
      <c r="M748" s="46">
        <f t="shared" si="234"/>
        <v>940554</v>
      </c>
      <c r="N748" s="46">
        <v>940554</v>
      </c>
      <c r="O748" s="48">
        <f t="shared" si="235"/>
        <v>0</v>
      </c>
      <c r="P748" s="46">
        <v>0</v>
      </c>
      <c r="Q748" s="46">
        <v>940554</v>
      </c>
      <c r="R748" s="49">
        <f t="shared" si="236"/>
        <v>1</v>
      </c>
      <c r="S748" s="50">
        <f t="shared" si="237"/>
        <v>0.01</v>
      </c>
      <c r="T748" s="49">
        <f t="shared" si="238"/>
        <v>9405.5400000000009</v>
      </c>
      <c r="U748" s="51">
        <f t="shared" si="239"/>
        <v>0</v>
      </c>
      <c r="V748" s="52">
        <f>IF(0&lt;0.8,0,IF(0&lt;1,Sheet3!L561,1))*IF(G748&lt;3,0.12 - O748,0.01) *U748</f>
        <v>0</v>
      </c>
      <c r="W748" s="52">
        <f t="shared" si="240"/>
        <v>0</v>
      </c>
      <c r="X748" s="53">
        <f t="shared" si="241"/>
        <v>0</v>
      </c>
      <c r="Y748" s="53">
        <f t="shared" si="242"/>
        <v>0</v>
      </c>
      <c r="Z748" s="54">
        <f t="shared" si="250"/>
        <v>0</v>
      </c>
      <c r="AA748" s="54">
        <f t="shared" si="244"/>
        <v>0</v>
      </c>
      <c r="AB748" s="55">
        <f t="shared" si="251"/>
        <v>0</v>
      </c>
      <c r="AC748" s="55">
        <f t="shared" si="246"/>
        <v>0</v>
      </c>
      <c r="AD748" s="56">
        <f t="shared" si="247"/>
        <v>9405.5400000000009</v>
      </c>
    </row>
    <row r="749" spans="3:30">
      <c r="C749" s="43" t="s">
        <v>1304</v>
      </c>
      <c r="D749" s="44" t="s">
        <v>1305</v>
      </c>
      <c r="E749" s="44"/>
      <c r="F749" s="45">
        <v>38950.764386574076</v>
      </c>
      <c r="G749" s="46">
        <v>145</v>
      </c>
      <c r="H749" s="47">
        <v>43379</v>
      </c>
      <c r="I749" s="47">
        <v>43402</v>
      </c>
      <c r="J749" s="46">
        <v>1433088</v>
      </c>
      <c r="K749" s="46">
        <v>0</v>
      </c>
      <c r="L749" s="46">
        <v>0</v>
      </c>
      <c r="M749" s="46">
        <f t="shared" si="234"/>
        <v>1433088</v>
      </c>
      <c r="N749" s="46">
        <v>1433088</v>
      </c>
      <c r="O749" s="48">
        <f t="shared" si="235"/>
        <v>0</v>
      </c>
      <c r="P749" s="46">
        <v>0</v>
      </c>
      <c r="Q749" s="46">
        <v>1433088</v>
      </c>
      <c r="R749" s="49">
        <f t="shared" si="236"/>
        <v>1</v>
      </c>
      <c r="S749" s="50">
        <f t="shared" si="237"/>
        <v>0.01</v>
      </c>
      <c r="T749" s="49">
        <f t="shared" si="238"/>
        <v>14330.880000000001</v>
      </c>
      <c r="U749" s="51">
        <f t="shared" si="239"/>
        <v>0</v>
      </c>
      <c r="V749" s="52">
        <f>IF(0&lt;0.8,0,IF(0&lt;1,Sheet3!L561,1))*IF(G749&lt;3,0.12 - O749,0.01) *U749</f>
        <v>0</v>
      </c>
      <c r="W749" s="52">
        <f t="shared" si="240"/>
        <v>0</v>
      </c>
      <c r="X749" s="53">
        <f t="shared" si="241"/>
        <v>0</v>
      </c>
      <c r="Y749" s="53">
        <f t="shared" si="242"/>
        <v>0</v>
      </c>
      <c r="Z749" s="54">
        <f t="shared" si="250"/>
        <v>0</v>
      </c>
      <c r="AA749" s="54">
        <f t="shared" si="244"/>
        <v>0</v>
      </c>
      <c r="AB749" s="55">
        <f t="shared" si="251"/>
        <v>0</v>
      </c>
      <c r="AC749" s="55">
        <f t="shared" si="246"/>
        <v>0</v>
      </c>
      <c r="AD749" s="56">
        <f t="shared" si="247"/>
        <v>14330.880000000001</v>
      </c>
    </row>
    <row r="750" spans="3:30">
      <c r="C750" s="43" t="s">
        <v>1306</v>
      </c>
      <c r="D750" s="44" t="s">
        <v>1307</v>
      </c>
      <c r="E750" s="44"/>
      <c r="F750" s="45">
        <v>38950.764398148145</v>
      </c>
      <c r="G750" s="46">
        <v>145</v>
      </c>
      <c r="H750" s="47">
        <v>43375</v>
      </c>
      <c r="I750" s="47">
        <v>43392</v>
      </c>
      <c r="J750" s="46">
        <v>916801</v>
      </c>
      <c r="K750" s="46">
        <v>0</v>
      </c>
      <c r="L750" s="46">
        <v>0</v>
      </c>
      <c r="M750" s="46">
        <f t="shared" si="234"/>
        <v>916801</v>
      </c>
      <c r="N750" s="46">
        <v>916801</v>
      </c>
      <c r="O750" s="48">
        <f t="shared" si="235"/>
        <v>0</v>
      </c>
      <c r="P750" s="46">
        <v>0</v>
      </c>
      <c r="Q750" s="46">
        <v>916801</v>
      </c>
      <c r="R750" s="49">
        <f t="shared" si="236"/>
        <v>1</v>
      </c>
      <c r="S750" s="50">
        <f t="shared" si="237"/>
        <v>0.01</v>
      </c>
      <c r="T750" s="49">
        <f t="shared" si="238"/>
        <v>9168.01</v>
      </c>
      <c r="U750" s="51">
        <f t="shared" si="239"/>
        <v>0</v>
      </c>
      <c r="V750" s="52">
        <f>IF(0&lt;0.8,0,IF(0&lt;1,Sheet3!L561,1))*IF(G750&lt;3,0.12 - O750,0.01) *U750</f>
        <v>0</v>
      </c>
      <c r="W750" s="52">
        <f t="shared" si="240"/>
        <v>0</v>
      </c>
      <c r="X750" s="53">
        <f t="shared" si="241"/>
        <v>0</v>
      </c>
      <c r="Y750" s="53">
        <f t="shared" si="242"/>
        <v>0</v>
      </c>
      <c r="Z750" s="54">
        <f t="shared" si="250"/>
        <v>0</v>
      </c>
      <c r="AA750" s="54">
        <f t="shared" si="244"/>
        <v>0</v>
      </c>
      <c r="AB750" s="55">
        <f t="shared" si="251"/>
        <v>0</v>
      </c>
      <c r="AC750" s="55">
        <f t="shared" si="246"/>
        <v>0</v>
      </c>
      <c r="AD750" s="56">
        <f t="shared" si="247"/>
        <v>9168.01</v>
      </c>
    </row>
    <row r="751" spans="3:30">
      <c r="C751" s="43" t="s">
        <v>1308</v>
      </c>
      <c r="D751" s="44" t="s">
        <v>1309</v>
      </c>
      <c r="E751" s="44"/>
      <c r="F751" s="45">
        <v>38950.76425925926</v>
      </c>
      <c r="G751" s="46">
        <v>145</v>
      </c>
      <c r="H751" s="47">
        <v>43372</v>
      </c>
      <c r="I751" s="47">
        <v>43386</v>
      </c>
      <c r="J751" s="46">
        <v>377449</v>
      </c>
      <c r="K751" s="46">
        <v>0</v>
      </c>
      <c r="L751" s="46">
        <v>0</v>
      </c>
      <c r="M751" s="46">
        <f t="shared" si="234"/>
        <v>377449</v>
      </c>
      <c r="N751" s="46">
        <v>377449</v>
      </c>
      <c r="O751" s="48">
        <f t="shared" si="235"/>
        <v>0</v>
      </c>
      <c r="P751" s="46">
        <v>0</v>
      </c>
      <c r="Q751" s="46">
        <v>377449</v>
      </c>
      <c r="R751" s="49">
        <f t="shared" si="236"/>
        <v>1</v>
      </c>
      <c r="S751" s="50">
        <f t="shared" si="237"/>
        <v>0.01</v>
      </c>
      <c r="T751" s="49">
        <f t="shared" si="238"/>
        <v>3774.4900000000002</v>
      </c>
      <c r="U751" s="51">
        <f t="shared" si="239"/>
        <v>0</v>
      </c>
      <c r="V751" s="52">
        <f>IF(0&lt;0.8,0,IF(0&lt;1,Sheet3!L561,1))*IF(G751&lt;3,0.12 - O751,0.01) *U751</f>
        <v>0</v>
      </c>
      <c r="W751" s="52">
        <f t="shared" si="240"/>
        <v>0</v>
      </c>
      <c r="X751" s="53">
        <f t="shared" si="241"/>
        <v>0</v>
      </c>
      <c r="Y751" s="53">
        <f t="shared" si="242"/>
        <v>0</v>
      </c>
      <c r="Z751" s="54">
        <f t="shared" si="250"/>
        <v>0</v>
      </c>
      <c r="AA751" s="54">
        <f t="shared" si="244"/>
        <v>0</v>
      </c>
      <c r="AB751" s="55">
        <f t="shared" si="251"/>
        <v>0</v>
      </c>
      <c r="AC751" s="55">
        <f t="shared" si="246"/>
        <v>0</v>
      </c>
      <c r="AD751" s="56">
        <f t="shared" si="247"/>
        <v>3774.4900000000002</v>
      </c>
    </row>
    <row r="752" spans="3:30">
      <c r="C752" s="43" t="s">
        <v>1310</v>
      </c>
      <c r="D752" s="44" t="s">
        <v>1311</v>
      </c>
      <c r="E752" s="44"/>
      <c r="F752" s="45">
        <v>38950.76425925926</v>
      </c>
      <c r="G752" s="46">
        <v>145</v>
      </c>
      <c r="H752" s="47">
        <v>43375</v>
      </c>
      <c r="I752" s="47">
        <v>43398</v>
      </c>
      <c r="J752" s="46">
        <v>1019909</v>
      </c>
      <c r="K752" s="46">
        <v>0</v>
      </c>
      <c r="L752" s="46">
        <v>0</v>
      </c>
      <c r="M752" s="46">
        <f t="shared" si="234"/>
        <v>1019909</v>
      </c>
      <c r="N752" s="46">
        <v>1019909</v>
      </c>
      <c r="O752" s="48">
        <f t="shared" si="235"/>
        <v>0</v>
      </c>
      <c r="P752" s="46">
        <v>0</v>
      </c>
      <c r="Q752" s="46">
        <v>1019909</v>
      </c>
      <c r="R752" s="49">
        <f t="shared" si="236"/>
        <v>1</v>
      </c>
      <c r="S752" s="50">
        <f t="shared" si="237"/>
        <v>0.01</v>
      </c>
      <c r="T752" s="49">
        <f t="shared" si="238"/>
        <v>10199.09</v>
      </c>
      <c r="U752" s="51">
        <f t="shared" si="239"/>
        <v>0</v>
      </c>
      <c r="V752" s="52">
        <f>IF(0&lt;0.8,0,IF(0&lt;1,Sheet3!L561,1))*IF(G752&lt;3,0.12 - O752,0.01) *U752</f>
        <v>0</v>
      </c>
      <c r="W752" s="52">
        <f t="shared" si="240"/>
        <v>0</v>
      </c>
      <c r="X752" s="53">
        <f t="shared" si="241"/>
        <v>0</v>
      </c>
      <c r="Y752" s="53">
        <f t="shared" si="242"/>
        <v>0</v>
      </c>
      <c r="Z752" s="54">
        <f t="shared" si="250"/>
        <v>0</v>
      </c>
      <c r="AA752" s="54">
        <f t="shared" si="244"/>
        <v>0</v>
      </c>
      <c r="AB752" s="55">
        <f t="shared" si="251"/>
        <v>0</v>
      </c>
      <c r="AC752" s="55">
        <f t="shared" si="246"/>
        <v>0</v>
      </c>
      <c r="AD752" s="56">
        <f t="shared" si="247"/>
        <v>10199.09</v>
      </c>
    </row>
    <row r="753" spans="3:30">
      <c r="C753" s="43" t="s">
        <v>1312</v>
      </c>
      <c r="D753" s="44" t="s">
        <v>1313</v>
      </c>
      <c r="E753" s="44"/>
      <c r="F753" s="45">
        <v>38950.764282407406</v>
      </c>
      <c r="G753" s="46">
        <v>145</v>
      </c>
      <c r="H753" s="47">
        <v>43381</v>
      </c>
      <c r="I753" s="47">
        <v>43400</v>
      </c>
      <c r="J753" s="46">
        <v>244057</v>
      </c>
      <c r="K753" s="46">
        <v>0</v>
      </c>
      <c r="L753" s="46">
        <v>0</v>
      </c>
      <c r="M753" s="46">
        <f t="shared" si="234"/>
        <v>244057</v>
      </c>
      <c r="N753" s="46">
        <v>244057</v>
      </c>
      <c r="O753" s="48">
        <f t="shared" si="235"/>
        <v>0</v>
      </c>
      <c r="P753" s="46">
        <v>0</v>
      </c>
      <c r="Q753" s="46">
        <v>244057</v>
      </c>
      <c r="R753" s="49">
        <f t="shared" si="236"/>
        <v>1</v>
      </c>
      <c r="S753" s="50">
        <f t="shared" si="237"/>
        <v>0.01</v>
      </c>
      <c r="T753" s="49">
        <f t="shared" si="238"/>
        <v>2440.5700000000002</v>
      </c>
      <c r="U753" s="51">
        <f t="shared" si="239"/>
        <v>0</v>
      </c>
      <c r="V753" s="52">
        <f>IF(0&lt;0.8,0,IF(0&lt;1,Sheet3!L561,1))*IF(G753&lt;3,0.12 - O753,0.01) *U753</f>
        <v>0</v>
      </c>
      <c r="W753" s="52">
        <f t="shared" si="240"/>
        <v>0</v>
      </c>
      <c r="X753" s="53">
        <f t="shared" si="241"/>
        <v>0</v>
      </c>
      <c r="Y753" s="53">
        <f t="shared" si="242"/>
        <v>0</v>
      </c>
      <c r="Z753" s="54">
        <f t="shared" si="250"/>
        <v>0</v>
      </c>
      <c r="AA753" s="54">
        <f t="shared" si="244"/>
        <v>0</v>
      </c>
      <c r="AB753" s="55">
        <f t="shared" si="251"/>
        <v>0</v>
      </c>
      <c r="AC753" s="55">
        <f t="shared" si="246"/>
        <v>0</v>
      </c>
      <c r="AD753" s="56">
        <f t="shared" si="247"/>
        <v>2440.5700000000002</v>
      </c>
    </row>
    <row r="754" spans="3:30">
      <c r="C754" s="43" t="s">
        <v>1314</v>
      </c>
      <c r="D754" s="44" t="s">
        <v>1315</v>
      </c>
      <c r="E754" s="44"/>
      <c r="F754" s="45">
        <v>38950.764293981483</v>
      </c>
      <c r="G754" s="46">
        <v>145</v>
      </c>
      <c r="H754" s="47">
        <v>43379</v>
      </c>
      <c r="I754" s="47">
        <v>43390</v>
      </c>
      <c r="J754" s="46">
        <v>551367</v>
      </c>
      <c r="K754" s="46">
        <v>0</v>
      </c>
      <c r="L754" s="46">
        <v>0</v>
      </c>
      <c r="M754" s="46">
        <f t="shared" si="234"/>
        <v>551367</v>
      </c>
      <c r="N754" s="46">
        <v>551367</v>
      </c>
      <c r="O754" s="48">
        <f t="shared" si="235"/>
        <v>0</v>
      </c>
      <c r="P754" s="46">
        <v>0</v>
      </c>
      <c r="Q754" s="46">
        <v>551367</v>
      </c>
      <c r="R754" s="49">
        <f t="shared" si="236"/>
        <v>1</v>
      </c>
      <c r="S754" s="50">
        <f t="shared" si="237"/>
        <v>0.01</v>
      </c>
      <c r="T754" s="49">
        <f t="shared" si="238"/>
        <v>5513.67</v>
      </c>
      <c r="U754" s="51">
        <f t="shared" si="239"/>
        <v>0</v>
      </c>
      <c r="V754" s="52">
        <f>IF(0&lt;0.8,0,IF(0&lt;1,Sheet3!L561,1))*IF(G754&lt;3,0.12 - O754,0.01) *U754</f>
        <v>0</v>
      </c>
      <c r="W754" s="52">
        <f t="shared" si="240"/>
        <v>0</v>
      </c>
      <c r="X754" s="53">
        <f t="shared" si="241"/>
        <v>0</v>
      </c>
      <c r="Y754" s="53">
        <f t="shared" si="242"/>
        <v>0</v>
      </c>
      <c r="Z754" s="54">
        <f t="shared" si="250"/>
        <v>0</v>
      </c>
      <c r="AA754" s="54">
        <f t="shared" si="244"/>
        <v>0</v>
      </c>
      <c r="AB754" s="55">
        <f t="shared" si="251"/>
        <v>0</v>
      </c>
      <c r="AC754" s="55">
        <f t="shared" si="246"/>
        <v>0</v>
      </c>
      <c r="AD754" s="56">
        <f t="shared" si="247"/>
        <v>5513.67</v>
      </c>
    </row>
    <row r="755" spans="3:30">
      <c r="C755" s="43" t="s">
        <v>1316</v>
      </c>
      <c r="D755" s="44" t="s">
        <v>1317</v>
      </c>
      <c r="E755" s="44"/>
      <c r="F755" s="45">
        <v>38950.764305555553</v>
      </c>
      <c r="G755" s="46">
        <v>145</v>
      </c>
      <c r="H755" s="47">
        <v>43427</v>
      </c>
      <c r="I755" s="47">
        <v>43434</v>
      </c>
      <c r="J755" s="46">
        <v>23394</v>
      </c>
      <c r="K755" s="46">
        <v>0</v>
      </c>
      <c r="L755" s="46">
        <v>0</v>
      </c>
      <c r="M755" s="46">
        <f t="shared" ref="M755:M818" si="252">IFERROR(J755-K755-L755,0)</f>
        <v>23394</v>
      </c>
      <c r="N755" s="46">
        <v>23394</v>
      </c>
      <c r="O755" s="48">
        <f t="shared" ref="O755:O818" si="253">IFERROR(IF(1 - M755/N755&lt;0,0,1-M755/N755),0)</f>
        <v>0</v>
      </c>
      <c r="P755" s="46">
        <v>0</v>
      </c>
      <c r="Q755" s="46">
        <v>23394</v>
      </c>
      <c r="R755" s="49">
        <f t="shared" ref="R755:R818" si="254">IF(F755&lt;DATEVALUE("2018-07-01"),1,0)</f>
        <v>1</v>
      </c>
      <c r="S755" s="50">
        <f t="shared" ref="S755:S818" si="255">IF(R755=1,1%,0)</f>
        <v>0.01</v>
      </c>
      <c r="T755" s="49">
        <f t="shared" ref="T755:T818" si="256">IFERROR(S755*M755,0)</f>
        <v>233.94</v>
      </c>
      <c r="U755" s="51">
        <f t="shared" ref="U755:U818" si="257">IF(O755&lt;=0.12,1,0)*(1-R755)*M755</f>
        <v>0</v>
      </c>
      <c r="V755" s="52">
        <f>IF(0&lt;0.8,0,IF(0&lt;1,Sheet3!L561,1))*IF(G755&lt;3,0.12 - O755,0.01) *U755</f>
        <v>0</v>
      </c>
      <c r="W755" s="52">
        <f t="shared" ref="W755:W818" si="258">IF(0&gt;1,IF(0&lt;=1.1,1,IF(0&lt;=1.2,2,IF(0&lt;=1.5,3,5))),0) * 1000000</f>
        <v>0</v>
      </c>
      <c r="X755" s="53">
        <f t="shared" ref="X755:X818" si="259">IF(AND(P755&gt;=150000000,P755&lt;300000000),5000000,IF(AND(P755&gt;=300000000,P755&lt;500000000),10000000,IF(AND(P755&gt;=300000000,P755&lt;500000000),15000000,IF(AND(P755&gt;=500000000,P755&lt;3000000000),20000000,IF(P755&gt;=30000000000,35000000,0))))) * (1-R755)</f>
        <v>0</v>
      </c>
      <c r="Y755" s="53">
        <f t="shared" ref="Y755:Y818" si="260">IFERROR(Q755 * (1-R755),0)</f>
        <v>0</v>
      </c>
      <c r="Z755" s="54">
        <f t="shared" si="250"/>
        <v>0</v>
      </c>
      <c r="AA755" s="54">
        <f t="shared" ref="AA755:AA818" si="261">IFERROR((1-R755) * Z755 * 2%,0)</f>
        <v>0</v>
      </c>
      <c r="AB755" s="55">
        <f t="shared" si="251"/>
        <v>0</v>
      </c>
      <c r="AC755" s="55">
        <f t="shared" ref="AC755:AC818" si="262">IFERROR(AB755 * (1-R755) * 2%,0)</f>
        <v>0</v>
      </c>
      <c r="AD755" s="56">
        <f t="shared" ref="AD755:AD818" si="263">T755+V755+W755+X755+AA755+AC755</f>
        <v>233.94</v>
      </c>
    </row>
    <row r="756" spans="3:30">
      <c r="C756" s="43" t="s">
        <v>1318</v>
      </c>
      <c r="D756" s="44" t="s">
        <v>1319</v>
      </c>
      <c r="E756" s="44"/>
      <c r="F756" s="45">
        <v>38950.764675925922</v>
      </c>
      <c r="G756" s="46">
        <v>145</v>
      </c>
      <c r="H756" s="47">
        <v>43375</v>
      </c>
      <c r="I756" s="47">
        <v>43391</v>
      </c>
      <c r="J756" s="46">
        <v>5800267</v>
      </c>
      <c r="K756" s="46">
        <v>0</v>
      </c>
      <c r="L756" s="46">
        <v>0</v>
      </c>
      <c r="M756" s="46">
        <f t="shared" si="252"/>
        <v>5800267</v>
      </c>
      <c r="N756" s="46">
        <v>5800267</v>
      </c>
      <c r="O756" s="48">
        <f t="shared" si="253"/>
        <v>0</v>
      </c>
      <c r="P756" s="46">
        <v>0</v>
      </c>
      <c r="Q756" s="46">
        <v>5800267</v>
      </c>
      <c r="R756" s="49">
        <f t="shared" si="254"/>
        <v>1</v>
      </c>
      <c r="S756" s="50">
        <f t="shared" si="255"/>
        <v>0.01</v>
      </c>
      <c r="T756" s="49">
        <f t="shared" si="256"/>
        <v>58002.67</v>
      </c>
      <c r="U756" s="51">
        <f t="shared" si="257"/>
        <v>0</v>
      </c>
      <c r="V756" s="52">
        <f>IF(0&lt;0.8,0,IF(0&lt;1,Sheet3!L561,1))*IF(G756&lt;3,0.12 - O756,0.01) *U756</f>
        <v>0</v>
      </c>
      <c r="W756" s="52">
        <f t="shared" si="258"/>
        <v>0</v>
      </c>
      <c r="X756" s="53">
        <f t="shared" si="259"/>
        <v>0</v>
      </c>
      <c r="Y756" s="53">
        <f t="shared" si="260"/>
        <v>0</v>
      </c>
      <c r="Z756" s="54">
        <f t="shared" si="250"/>
        <v>0</v>
      </c>
      <c r="AA756" s="54">
        <f t="shared" si="261"/>
        <v>0</v>
      </c>
      <c r="AB756" s="55">
        <f t="shared" si="251"/>
        <v>0</v>
      </c>
      <c r="AC756" s="55">
        <f t="shared" si="262"/>
        <v>0</v>
      </c>
      <c r="AD756" s="56">
        <f t="shared" si="263"/>
        <v>58002.67</v>
      </c>
    </row>
    <row r="757" spans="3:30">
      <c r="C757" s="43" t="s">
        <v>1320</v>
      </c>
      <c r="D757" s="44" t="s">
        <v>1321</v>
      </c>
      <c r="E757" s="44"/>
      <c r="F757" s="45">
        <v>38950.764687499999</v>
      </c>
      <c r="G757" s="46">
        <v>145</v>
      </c>
      <c r="H757" s="47">
        <v>43377</v>
      </c>
      <c r="I757" s="47">
        <v>43482</v>
      </c>
      <c r="J757" s="46">
        <v>6207280</v>
      </c>
      <c r="K757" s="46">
        <v>0</v>
      </c>
      <c r="L757" s="46">
        <v>0</v>
      </c>
      <c r="M757" s="46">
        <f t="shared" si="252"/>
        <v>6207280</v>
      </c>
      <c r="N757" s="46">
        <v>6207280</v>
      </c>
      <c r="O757" s="48">
        <f t="shared" si="253"/>
        <v>0</v>
      </c>
      <c r="P757" s="46">
        <v>0</v>
      </c>
      <c r="Q757" s="46">
        <v>6207280</v>
      </c>
      <c r="R757" s="49">
        <f t="shared" si="254"/>
        <v>1</v>
      </c>
      <c r="S757" s="50">
        <f t="shared" si="255"/>
        <v>0.01</v>
      </c>
      <c r="T757" s="49">
        <f t="shared" si="256"/>
        <v>62072.800000000003</v>
      </c>
      <c r="U757" s="51">
        <f t="shared" si="257"/>
        <v>0</v>
      </c>
      <c r="V757" s="52">
        <f>IF(0&lt;0.8,0,IF(0&lt;1,Sheet3!L561,1))*IF(G757&lt;3,0.12 - O757,0.01) *U757</f>
        <v>0</v>
      </c>
      <c r="W757" s="52">
        <f t="shared" si="258"/>
        <v>0</v>
      </c>
      <c r="X757" s="53">
        <f t="shared" si="259"/>
        <v>0</v>
      </c>
      <c r="Y757" s="53">
        <f t="shared" si="260"/>
        <v>0</v>
      </c>
      <c r="Z757" s="54">
        <f t="shared" si="250"/>
        <v>0</v>
      </c>
      <c r="AA757" s="54">
        <f t="shared" si="261"/>
        <v>0</v>
      </c>
      <c r="AB757" s="55">
        <f t="shared" si="251"/>
        <v>0</v>
      </c>
      <c r="AC757" s="55">
        <f t="shared" si="262"/>
        <v>0</v>
      </c>
      <c r="AD757" s="56">
        <f t="shared" si="263"/>
        <v>62072.800000000003</v>
      </c>
    </row>
    <row r="758" spans="3:30">
      <c r="C758" s="43" t="s">
        <v>1322</v>
      </c>
      <c r="D758" s="44" t="s">
        <v>1323</v>
      </c>
      <c r="E758" s="44"/>
      <c r="F758" s="45">
        <v>38950.764687499999</v>
      </c>
      <c r="G758" s="46">
        <v>145</v>
      </c>
      <c r="H758" s="47">
        <v>43379</v>
      </c>
      <c r="I758" s="47">
        <v>43383</v>
      </c>
      <c r="J758" s="46">
        <v>1247256</v>
      </c>
      <c r="K758" s="46">
        <v>0</v>
      </c>
      <c r="L758" s="46">
        <v>0</v>
      </c>
      <c r="M758" s="46">
        <f t="shared" si="252"/>
        <v>1247256</v>
      </c>
      <c r="N758" s="46">
        <v>1247256</v>
      </c>
      <c r="O758" s="48">
        <f t="shared" si="253"/>
        <v>0</v>
      </c>
      <c r="P758" s="46">
        <v>0</v>
      </c>
      <c r="Q758" s="46">
        <v>1247256</v>
      </c>
      <c r="R758" s="49">
        <f t="shared" si="254"/>
        <v>1</v>
      </c>
      <c r="S758" s="50">
        <f t="shared" si="255"/>
        <v>0.01</v>
      </c>
      <c r="T758" s="49">
        <f t="shared" si="256"/>
        <v>12472.56</v>
      </c>
      <c r="U758" s="51">
        <f t="shared" si="257"/>
        <v>0</v>
      </c>
      <c r="V758" s="52">
        <f>IF(0&lt;0.8,0,IF(0&lt;1,Sheet3!L561,1))*IF(G758&lt;3,0.12 - O758,0.01) *U758</f>
        <v>0</v>
      </c>
      <c r="W758" s="52">
        <f t="shared" si="258"/>
        <v>0</v>
      </c>
      <c r="X758" s="53">
        <f t="shared" si="259"/>
        <v>0</v>
      </c>
      <c r="Y758" s="53">
        <f t="shared" si="260"/>
        <v>0</v>
      </c>
      <c r="Z758" s="54">
        <f t="shared" si="250"/>
        <v>0</v>
      </c>
      <c r="AA758" s="54">
        <f t="shared" si="261"/>
        <v>0</v>
      </c>
      <c r="AB758" s="55">
        <f t="shared" si="251"/>
        <v>0</v>
      </c>
      <c r="AC758" s="55">
        <f t="shared" si="262"/>
        <v>0</v>
      </c>
      <c r="AD758" s="56">
        <f t="shared" si="263"/>
        <v>12472.56</v>
      </c>
    </row>
    <row r="759" spans="3:30">
      <c r="C759" s="43" t="s">
        <v>1324</v>
      </c>
      <c r="D759" s="44" t="s">
        <v>1325</v>
      </c>
      <c r="E759" s="44"/>
      <c r="F759" s="45">
        <v>38950.764699074076</v>
      </c>
      <c r="G759" s="46">
        <v>145</v>
      </c>
      <c r="H759" s="47">
        <v>43404</v>
      </c>
      <c r="I759" s="47">
        <v>43410</v>
      </c>
      <c r="J759" s="46">
        <v>153832786</v>
      </c>
      <c r="K759" s="46">
        <v>27167476</v>
      </c>
      <c r="L759" s="46">
        <v>0</v>
      </c>
      <c r="M759" s="46">
        <f t="shared" si="252"/>
        <v>126665310</v>
      </c>
      <c r="N759" s="46">
        <v>326430880</v>
      </c>
      <c r="O759" s="48">
        <f t="shared" si="253"/>
        <v>0.61196897180805931</v>
      </c>
      <c r="P759" s="46">
        <v>0</v>
      </c>
      <c r="Q759" s="46">
        <v>126744103</v>
      </c>
      <c r="R759" s="49">
        <f t="shared" si="254"/>
        <v>1</v>
      </c>
      <c r="S759" s="50">
        <f t="shared" si="255"/>
        <v>0.01</v>
      </c>
      <c r="T759" s="49">
        <f t="shared" si="256"/>
        <v>1266653.1000000001</v>
      </c>
      <c r="U759" s="51">
        <f t="shared" si="257"/>
        <v>0</v>
      </c>
      <c r="V759" s="52">
        <f>IF(0&lt;0.8,0,IF(0&lt;1,Sheet3!L561,1))*IF(G759&lt;3,0.12 - O759,0.01) *U759</f>
        <v>0</v>
      </c>
      <c r="W759" s="52">
        <f t="shared" si="258"/>
        <v>0</v>
      </c>
      <c r="X759" s="53">
        <f t="shared" si="259"/>
        <v>0</v>
      </c>
      <c r="Y759" s="53">
        <f t="shared" si="260"/>
        <v>0</v>
      </c>
      <c r="Z759" s="54">
        <f t="shared" si="250"/>
        <v>0</v>
      </c>
      <c r="AA759" s="54">
        <f t="shared" si="261"/>
        <v>0</v>
      </c>
      <c r="AB759" s="55">
        <f t="shared" si="251"/>
        <v>0</v>
      </c>
      <c r="AC759" s="55">
        <f t="shared" si="262"/>
        <v>0</v>
      </c>
      <c r="AD759" s="56">
        <f t="shared" si="263"/>
        <v>1266653.1000000001</v>
      </c>
    </row>
    <row r="760" spans="3:30">
      <c r="C760" s="43" t="s">
        <v>1326</v>
      </c>
      <c r="D760" s="44" t="s">
        <v>1327</v>
      </c>
      <c r="E760" s="44"/>
      <c r="F760" s="45">
        <v>38950.764699074076</v>
      </c>
      <c r="G760" s="46">
        <v>145</v>
      </c>
      <c r="H760" s="47">
        <v>43404</v>
      </c>
      <c r="I760" s="47">
        <v>43410</v>
      </c>
      <c r="J760" s="46">
        <v>68084575</v>
      </c>
      <c r="K760" s="46">
        <v>0</v>
      </c>
      <c r="L760" s="46">
        <v>0</v>
      </c>
      <c r="M760" s="46">
        <f t="shared" si="252"/>
        <v>68084575</v>
      </c>
      <c r="N760" s="46">
        <v>100836131</v>
      </c>
      <c r="O760" s="48">
        <f t="shared" si="253"/>
        <v>0.3247998081163983</v>
      </c>
      <c r="P760" s="46">
        <v>0</v>
      </c>
      <c r="Q760" s="46">
        <v>68084575</v>
      </c>
      <c r="R760" s="49">
        <f t="shared" si="254"/>
        <v>1</v>
      </c>
      <c r="S760" s="50">
        <f t="shared" si="255"/>
        <v>0.01</v>
      </c>
      <c r="T760" s="49">
        <f t="shared" si="256"/>
        <v>680845.75</v>
      </c>
      <c r="U760" s="51">
        <f t="shared" si="257"/>
        <v>0</v>
      </c>
      <c r="V760" s="52">
        <f>IF(0&lt;0.8,0,IF(0&lt;1,Sheet3!L561,1))*IF(G760&lt;3,0.12 - O760,0.01) *U760</f>
        <v>0</v>
      </c>
      <c r="W760" s="52">
        <f t="shared" si="258"/>
        <v>0</v>
      </c>
      <c r="X760" s="53">
        <f t="shared" si="259"/>
        <v>0</v>
      </c>
      <c r="Y760" s="53">
        <f t="shared" si="260"/>
        <v>0</v>
      </c>
      <c r="Z760" s="54">
        <f t="shared" si="250"/>
        <v>0</v>
      </c>
      <c r="AA760" s="54">
        <f t="shared" si="261"/>
        <v>0</v>
      </c>
      <c r="AB760" s="55">
        <f t="shared" si="251"/>
        <v>0</v>
      </c>
      <c r="AC760" s="55">
        <f t="shared" si="262"/>
        <v>0</v>
      </c>
      <c r="AD760" s="56">
        <f t="shared" si="263"/>
        <v>680845.75</v>
      </c>
    </row>
    <row r="761" spans="3:30">
      <c r="C761" s="43" t="s">
        <v>1328</v>
      </c>
      <c r="D761" s="44" t="s">
        <v>1329</v>
      </c>
      <c r="E761" s="44"/>
      <c r="F761" s="45">
        <v>38950.764699074076</v>
      </c>
      <c r="G761" s="46">
        <v>145</v>
      </c>
      <c r="H761" s="47">
        <v>43404</v>
      </c>
      <c r="I761" s="47">
        <v>43410</v>
      </c>
      <c r="J761" s="46">
        <v>100022982</v>
      </c>
      <c r="K761" s="46">
        <v>0</v>
      </c>
      <c r="L761" s="46">
        <v>0</v>
      </c>
      <c r="M761" s="46">
        <f t="shared" si="252"/>
        <v>100022982</v>
      </c>
      <c r="N761" s="46">
        <v>177521217</v>
      </c>
      <c r="O761" s="48">
        <f t="shared" si="253"/>
        <v>0.43655759187365195</v>
      </c>
      <c r="P761" s="46">
        <v>0</v>
      </c>
      <c r="Q761" s="46">
        <v>100022982</v>
      </c>
      <c r="R761" s="49">
        <f t="shared" si="254"/>
        <v>1</v>
      </c>
      <c r="S761" s="50">
        <f t="shared" si="255"/>
        <v>0.01</v>
      </c>
      <c r="T761" s="49">
        <f t="shared" si="256"/>
        <v>1000229.8200000001</v>
      </c>
      <c r="U761" s="51">
        <f t="shared" si="257"/>
        <v>0</v>
      </c>
      <c r="V761" s="52">
        <f>IF(0&lt;0.8,0,IF(0&lt;1,Sheet3!L561,1))*IF(G761&lt;3,0.12 - O761,0.01) *U761</f>
        <v>0</v>
      </c>
      <c r="W761" s="52">
        <f t="shared" si="258"/>
        <v>0</v>
      </c>
      <c r="X761" s="53">
        <f t="shared" si="259"/>
        <v>0</v>
      </c>
      <c r="Y761" s="53">
        <f t="shared" si="260"/>
        <v>0</v>
      </c>
      <c r="Z761" s="54">
        <f t="shared" si="250"/>
        <v>0</v>
      </c>
      <c r="AA761" s="54">
        <f t="shared" si="261"/>
        <v>0</v>
      </c>
      <c r="AB761" s="55">
        <f t="shared" si="251"/>
        <v>0</v>
      </c>
      <c r="AC761" s="55">
        <f t="shared" si="262"/>
        <v>0</v>
      </c>
      <c r="AD761" s="56">
        <f t="shared" si="263"/>
        <v>1000229.8200000001</v>
      </c>
    </row>
    <row r="762" spans="3:30">
      <c r="C762" s="43" t="s">
        <v>1330</v>
      </c>
      <c r="D762" s="44" t="s">
        <v>1331</v>
      </c>
      <c r="E762" s="44"/>
      <c r="F762" s="45">
        <v>38950.764710648145</v>
      </c>
      <c r="G762" s="46">
        <v>145</v>
      </c>
      <c r="H762" s="47">
        <v>43375</v>
      </c>
      <c r="I762" s="47">
        <v>43393</v>
      </c>
      <c r="J762" s="46">
        <v>167400</v>
      </c>
      <c r="K762" s="46">
        <v>0</v>
      </c>
      <c r="L762" s="46">
        <v>0</v>
      </c>
      <c r="M762" s="46">
        <f t="shared" si="252"/>
        <v>167400</v>
      </c>
      <c r="N762" s="46">
        <v>167400</v>
      </c>
      <c r="O762" s="48">
        <f t="shared" si="253"/>
        <v>0</v>
      </c>
      <c r="P762" s="46">
        <v>0</v>
      </c>
      <c r="Q762" s="46">
        <v>167400</v>
      </c>
      <c r="R762" s="49">
        <f t="shared" si="254"/>
        <v>1</v>
      </c>
      <c r="S762" s="50">
        <f t="shared" si="255"/>
        <v>0.01</v>
      </c>
      <c r="T762" s="49">
        <f t="shared" si="256"/>
        <v>1674</v>
      </c>
      <c r="U762" s="51">
        <f t="shared" si="257"/>
        <v>0</v>
      </c>
      <c r="V762" s="52">
        <f>IF(0&lt;0.8,0,IF(0&lt;1,Sheet3!L561,1))*IF(G762&lt;3,0.12 - O762,0.01) *U762</f>
        <v>0</v>
      </c>
      <c r="W762" s="52">
        <f t="shared" si="258"/>
        <v>0</v>
      </c>
      <c r="X762" s="53">
        <f t="shared" si="259"/>
        <v>0</v>
      </c>
      <c r="Y762" s="53">
        <f t="shared" si="260"/>
        <v>0</v>
      </c>
      <c r="Z762" s="54">
        <f t="shared" si="250"/>
        <v>0</v>
      </c>
      <c r="AA762" s="54">
        <f t="shared" si="261"/>
        <v>0</v>
      </c>
      <c r="AB762" s="55">
        <f t="shared" si="251"/>
        <v>0</v>
      </c>
      <c r="AC762" s="55">
        <f t="shared" si="262"/>
        <v>0</v>
      </c>
      <c r="AD762" s="56">
        <f t="shared" si="263"/>
        <v>1674</v>
      </c>
    </row>
    <row r="763" spans="3:30">
      <c r="C763" s="43" t="s">
        <v>1332</v>
      </c>
      <c r="D763" s="44" t="s">
        <v>1333</v>
      </c>
      <c r="E763" s="44"/>
      <c r="F763" s="45">
        <v>38950.764710648145</v>
      </c>
      <c r="G763" s="46">
        <v>145</v>
      </c>
      <c r="H763" s="47">
        <v>43375</v>
      </c>
      <c r="I763" s="47">
        <v>43371</v>
      </c>
      <c r="J763" s="46">
        <v>257561</v>
      </c>
      <c r="K763" s="46">
        <v>0</v>
      </c>
      <c r="L763" s="46">
        <v>0</v>
      </c>
      <c r="M763" s="46">
        <f t="shared" si="252"/>
        <v>257561</v>
      </c>
      <c r="N763" s="46">
        <v>257561</v>
      </c>
      <c r="O763" s="48">
        <f t="shared" si="253"/>
        <v>0</v>
      </c>
      <c r="P763" s="46">
        <v>0</v>
      </c>
      <c r="Q763" s="46">
        <v>257561</v>
      </c>
      <c r="R763" s="49">
        <f t="shared" si="254"/>
        <v>1</v>
      </c>
      <c r="S763" s="50">
        <f t="shared" si="255"/>
        <v>0.01</v>
      </c>
      <c r="T763" s="49">
        <f t="shared" si="256"/>
        <v>2575.61</v>
      </c>
      <c r="U763" s="51">
        <f t="shared" si="257"/>
        <v>0</v>
      </c>
      <c r="V763" s="52">
        <f>IF(0&lt;0.8,0,IF(0&lt;1,Sheet3!L561,1))*IF(G763&lt;3,0.12 - O763,0.01) *U763</f>
        <v>0</v>
      </c>
      <c r="W763" s="52">
        <f t="shared" si="258"/>
        <v>0</v>
      </c>
      <c r="X763" s="53">
        <f t="shared" si="259"/>
        <v>0</v>
      </c>
      <c r="Y763" s="53">
        <f t="shared" si="260"/>
        <v>0</v>
      </c>
      <c r="Z763" s="54">
        <f t="shared" si="250"/>
        <v>0</v>
      </c>
      <c r="AA763" s="54">
        <f t="shared" si="261"/>
        <v>0</v>
      </c>
      <c r="AB763" s="55">
        <f t="shared" si="251"/>
        <v>0</v>
      </c>
      <c r="AC763" s="55">
        <f t="shared" si="262"/>
        <v>0</v>
      </c>
      <c r="AD763" s="56">
        <f t="shared" si="263"/>
        <v>2575.61</v>
      </c>
    </row>
    <row r="764" spans="3:30">
      <c r="C764" s="43" t="s">
        <v>1334</v>
      </c>
      <c r="D764" s="44" t="s">
        <v>1335</v>
      </c>
      <c r="E764" s="44"/>
      <c r="F764" s="45">
        <v>38950.764432870368</v>
      </c>
      <c r="G764" s="46">
        <v>145</v>
      </c>
      <c r="H764" s="47">
        <v>43404</v>
      </c>
      <c r="I764" s="47">
        <v>43517</v>
      </c>
      <c r="J764" s="46">
        <v>120768307</v>
      </c>
      <c r="K764" s="46">
        <v>0</v>
      </c>
      <c r="L764" s="46">
        <v>0</v>
      </c>
      <c r="M764" s="46">
        <f t="shared" si="252"/>
        <v>120768307</v>
      </c>
      <c r="N764" s="46">
        <v>183224793</v>
      </c>
      <c r="O764" s="48">
        <f t="shared" si="253"/>
        <v>0.34087355197612368</v>
      </c>
      <c r="P764" s="46">
        <v>0</v>
      </c>
      <c r="Q764" s="46">
        <v>121243573</v>
      </c>
      <c r="R764" s="49">
        <f t="shared" si="254"/>
        <v>1</v>
      </c>
      <c r="S764" s="50">
        <f t="shared" si="255"/>
        <v>0.01</v>
      </c>
      <c r="T764" s="49">
        <f t="shared" si="256"/>
        <v>1207683.07</v>
      </c>
      <c r="U764" s="51">
        <f t="shared" si="257"/>
        <v>0</v>
      </c>
      <c r="V764" s="52">
        <f>IF(0&lt;0.8,0,IF(0&lt;1,Sheet3!L561,1))*IF(G764&lt;3,0.12 - O764,0.01) *U764</f>
        <v>0</v>
      </c>
      <c r="W764" s="52">
        <f t="shared" si="258"/>
        <v>0</v>
      </c>
      <c r="X764" s="53">
        <f t="shared" si="259"/>
        <v>0</v>
      </c>
      <c r="Y764" s="53">
        <f t="shared" si="260"/>
        <v>0</v>
      </c>
      <c r="Z764" s="54">
        <f t="shared" si="250"/>
        <v>0</v>
      </c>
      <c r="AA764" s="54">
        <f t="shared" si="261"/>
        <v>0</v>
      </c>
      <c r="AB764" s="55">
        <f t="shared" si="251"/>
        <v>0</v>
      </c>
      <c r="AC764" s="55">
        <f t="shared" si="262"/>
        <v>0</v>
      </c>
      <c r="AD764" s="56">
        <f t="shared" si="263"/>
        <v>1207683.07</v>
      </c>
    </row>
    <row r="765" spans="3:30">
      <c r="C765" s="43" t="s">
        <v>1336</v>
      </c>
      <c r="D765" s="44" t="s">
        <v>1337</v>
      </c>
      <c r="E765" s="44"/>
      <c r="F765" s="45">
        <v>38950.764444444445</v>
      </c>
      <c r="G765" s="46">
        <v>145</v>
      </c>
      <c r="H765" s="47">
        <v>43377</v>
      </c>
      <c r="I765" s="47">
        <v>43406</v>
      </c>
      <c r="J765" s="46">
        <v>1783520</v>
      </c>
      <c r="K765" s="46">
        <v>0</v>
      </c>
      <c r="L765" s="46">
        <v>0</v>
      </c>
      <c r="M765" s="46">
        <f t="shared" si="252"/>
        <v>1783520</v>
      </c>
      <c r="N765" s="46">
        <v>1783520</v>
      </c>
      <c r="O765" s="48">
        <f t="shared" si="253"/>
        <v>0</v>
      </c>
      <c r="P765" s="46">
        <v>0</v>
      </c>
      <c r="Q765" s="46">
        <v>1783520</v>
      </c>
      <c r="R765" s="49">
        <f t="shared" si="254"/>
        <v>1</v>
      </c>
      <c r="S765" s="50">
        <f t="shared" si="255"/>
        <v>0.01</v>
      </c>
      <c r="T765" s="49">
        <f t="shared" si="256"/>
        <v>17835.2</v>
      </c>
      <c r="U765" s="51">
        <f t="shared" si="257"/>
        <v>0</v>
      </c>
      <c r="V765" s="52">
        <f>IF(0&lt;0.8,0,IF(0&lt;1,Sheet3!L561,1))*IF(G765&lt;3,0.12 - O765,0.01) *U765</f>
        <v>0</v>
      </c>
      <c r="W765" s="52">
        <f t="shared" si="258"/>
        <v>0</v>
      </c>
      <c r="X765" s="53">
        <f t="shared" si="259"/>
        <v>0</v>
      </c>
      <c r="Y765" s="53">
        <f t="shared" si="260"/>
        <v>0</v>
      </c>
      <c r="Z765" s="54">
        <f t="shared" si="250"/>
        <v>0</v>
      </c>
      <c r="AA765" s="54">
        <f t="shared" si="261"/>
        <v>0</v>
      </c>
      <c r="AB765" s="55">
        <f t="shared" si="251"/>
        <v>0</v>
      </c>
      <c r="AC765" s="55">
        <f t="shared" si="262"/>
        <v>0</v>
      </c>
      <c r="AD765" s="56">
        <f t="shared" si="263"/>
        <v>17835.2</v>
      </c>
    </row>
    <row r="766" spans="3:30">
      <c r="C766" s="43" t="s">
        <v>1338</v>
      </c>
      <c r="D766" s="44" t="s">
        <v>1339</v>
      </c>
      <c r="E766" s="44"/>
      <c r="F766" s="45">
        <v>38950.764444444445</v>
      </c>
      <c r="G766" s="46">
        <v>145</v>
      </c>
      <c r="H766" s="47">
        <v>43377</v>
      </c>
      <c r="I766" s="47">
        <v>43398</v>
      </c>
      <c r="J766" s="46">
        <v>921481</v>
      </c>
      <c r="K766" s="46">
        <v>0</v>
      </c>
      <c r="L766" s="46">
        <v>0</v>
      </c>
      <c r="M766" s="46">
        <f t="shared" si="252"/>
        <v>921481</v>
      </c>
      <c r="N766" s="46">
        <v>921481</v>
      </c>
      <c r="O766" s="48">
        <f t="shared" si="253"/>
        <v>0</v>
      </c>
      <c r="P766" s="46">
        <v>0</v>
      </c>
      <c r="Q766" s="46">
        <v>921481</v>
      </c>
      <c r="R766" s="49">
        <f t="shared" si="254"/>
        <v>1</v>
      </c>
      <c r="S766" s="50">
        <f t="shared" si="255"/>
        <v>0.01</v>
      </c>
      <c r="T766" s="49">
        <f t="shared" si="256"/>
        <v>9214.81</v>
      </c>
      <c r="U766" s="51">
        <f t="shared" si="257"/>
        <v>0</v>
      </c>
      <c r="V766" s="52">
        <f>IF(0&lt;0.8,0,IF(0&lt;1,Sheet3!L561,1))*IF(G766&lt;3,0.12 - O766,0.01) *U766</f>
        <v>0</v>
      </c>
      <c r="W766" s="52">
        <f t="shared" si="258"/>
        <v>0</v>
      </c>
      <c r="X766" s="53">
        <f t="shared" si="259"/>
        <v>0</v>
      </c>
      <c r="Y766" s="53">
        <f t="shared" si="260"/>
        <v>0</v>
      </c>
      <c r="Z766" s="54">
        <f t="shared" si="250"/>
        <v>0</v>
      </c>
      <c r="AA766" s="54">
        <f t="shared" si="261"/>
        <v>0</v>
      </c>
      <c r="AB766" s="55">
        <f t="shared" si="251"/>
        <v>0</v>
      </c>
      <c r="AC766" s="55">
        <f t="shared" si="262"/>
        <v>0</v>
      </c>
      <c r="AD766" s="56">
        <f t="shared" si="263"/>
        <v>9214.81</v>
      </c>
    </row>
    <row r="767" spans="3:30">
      <c r="C767" s="43" t="s">
        <v>1340</v>
      </c>
      <c r="D767" s="44" t="s">
        <v>1341</v>
      </c>
      <c r="E767" s="44"/>
      <c r="F767" s="45">
        <v>38950.764537037037</v>
      </c>
      <c r="G767" s="46">
        <v>145</v>
      </c>
      <c r="H767" s="47">
        <v>43379</v>
      </c>
      <c r="I767" s="47">
        <v>43405</v>
      </c>
      <c r="J767" s="46">
        <v>307794</v>
      </c>
      <c r="K767" s="46">
        <v>0</v>
      </c>
      <c r="L767" s="46">
        <v>0</v>
      </c>
      <c r="M767" s="46">
        <f t="shared" si="252"/>
        <v>307794</v>
      </c>
      <c r="N767" s="46">
        <v>307794</v>
      </c>
      <c r="O767" s="48">
        <f t="shared" si="253"/>
        <v>0</v>
      </c>
      <c r="P767" s="46">
        <v>0</v>
      </c>
      <c r="Q767" s="46">
        <v>307794</v>
      </c>
      <c r="R767" s="49">
        <f t="shared" si="254"/>
        <v>1</v>
      </c>
      <c r="S767" s="50">
        <f t="shared" si="255"/>
        <v>0.01</v>
      </c>
      <c r="T767" s="49">
        <f t="shared" si="256"/>
        <v>3077.94</v>
      </c>
      <c r="U767" s="51">
        <f t="shared" si="257"/>
        <v>0</v>
      </c>
      <c r="V767" s="52">
        <f>IF(0&lt;0.8,0,IF(0&lt;1,Sheet3!L561,1))*IF(G767&lt;3,0.12 - O767,0.01) *U767</f>
        <v>0</v>
      </c>
      <c r="W767" s="52">
        <f t="shared" si="258"/>
        <v>0</v>
      </c>
      <c r="X767" s="53">
        <f t="shared" si="259"/>
        <v>0</v>
      </c>
      <c r="Y767" s="53">
        <f t="shared" si="260"/>
        <v>0</v>
      </c>
      <c r="Z767" s="54">
        <f t="shared" si="250"/>
        <v>0</v>
      </c>
      <c r="AA767" s="54">
        <f t="shared" si="261"/>
        <v>0</v>
      </c>
      <c r="AB767" s="55">
        <f t="shared" si="251"/>
        <v>0</v>
      </c>
      <c r="AC767" s="55">
        <f t="shared" si="262"/>
        <v>0</v>
      </c>
      <c r="AD767" s="56">
        <f t="shared" si="263"/>
        <v>3077.94</v>
      </c>
    </row>
    <row r="768" spans="3:30">
      <c r="C768" s="43" t="s">
        <v>1342</v>
      </c>
      <c r="D768" s="44" t="s">
        <v>1343</v>
      </c>
      <c r="E768" s="44"/>
      <c r="F768" s="45">
        <v>38950.764537037037</v>
      </c>
      <c r="G768" s="46">
        <v>145</v>
      </c>
      <c r="H768" s="47">
        <v>43376</v>
      </c>
      <c r="I768" s="47">
        <v>43420</v>
      </c>
      <c r="J768" s="46">
        <v>472000</v>
      </c>
      <c r="K768" s="46">
        <v>0</v>
      </c>
      <c r="L768" s="46">
        <v>0</v>
      </c>
      <c r="M768" s="46">
        <f t="shared" si="252"/>
        <v>472000</v>
      </c>
      <c r="N768" s="46">
        <v>472000</v>
      </c>
      <c r="O768" s="48">
        <f t="shared" si="253"/>
        <v>0</v>
      </c>
      <c r="P768" s="46">
        <v>0</v>
      </c>
      <c r="Q768" s="46">
        <v>472000</v>
      </c>
      <c r="R768" s="49">
        <f t="shared" si="254"/>
        <v>1</v>
      </c>
      <c r="S768" s="50">
        <f t="shared" si="255"/>
        <v>0.01</v>
      </c>
      <c r="T768" s="49">
        <f t="shared" si="256"/>
        <v>4720</v>
      </c>
      <c r="U768" s="51">
        <f t="shared" si="257"/>
        <v>0</v>
      </c>
      <c r="V768" s="52">
        <f>IF(0&lt;0.8,0,IF(0&lt;1,Sheet3!L561,1))*IF(G768&lt;3,0.12 - O768,0.01) *U768</f>
        <v>0</v>
      </c>
      <c r="W768" s="52">
        <f t="shared" si="258"/>
        <v>0</v>
      </c>
      <c r="X768" s="53">
        <f t="shared" si="259"/>
        <v>0</v>
      </c>
      <c r="Y768" s="53">
        <f t="shared" si="260"/>
        <v>0</v>
      </c>
      <c r="Z768" s="54">
        <f t="shared" si="250"/>
        <v>0</v>
      </c>
      <c r="AA768" s="54">
        <f t="shared" si="261"/>
        <v>0</v>
      </c>
      <c r="AB768" s="55">
        <f t="shared" si="251"/>
        <v>0</v>
      </c>
      <c r="AC768" s="55">
        <f t="shared" si="262"/>
        <v>0</v>
      </c>
      <c r="AD768" s="56">
        <f t="shared" si="263"/>
        <v>4720</v>
      </c>
    </row>
    <row r="769" spans="3:30">
      <c r="C769" s="43" t="s">
        <v>1344</v>
      </c>
      <c r="D769" s="44" t="s">
        <v>1345</v>
      </c>
      <c r="E769" s="44"/>
      <c r="F769" s="45">
        <v>38950.764537037037</v>
      </c>
      <c r="G769" s="46">
        <v>145</v>
      </c>
      <c r="H769" s="47">
        <v>43372</v>
      </c>
      <c r="I769" s="47">
        <v>43390</v>
      </c>
      <c r="J769" s="46">
        <v>806578</v>
      </c>
      <c r="K769" s="46">
        <v>0</v>
      </c>
      <c r="L769" s="46">
        <v>0</v>
      </c>
      <c r="M769" s="46">
        <f t="shared" si="252"/>
        <v>806578</v>
      </c>
      <c r="N769" s="46">
        <v>806578</v>
      </c>
      <c r="O769" s="48">
        <f t="shared" si="253"/>
        <v>0</v>
      </c>
      <c r="P769" s="46">
        <v>0</v>
      </c>
      <c r="Q769" s="46">
        <v>806578</v>
      </c>
      <c r="R769" s="49">
        <f t="shared" si="254"/>
        <v>1</v>
      </c>
      <c r="S769" s="50">
        <f t="shared" si="255"/>
        <v>0.01</v>
      </c>
      <c r="T769" s="49">
        <f t="shared" si="256"/>
        <v>8065.78</v>
      </c>
      <c r="U769" s="51">
        <f t="shared" si="257"/>
        <v>0</v>
      </c>
      <c r="V769" s="52">
        <f>IF(0&lt;0.8,0,IF(0&lt;1,Sheet3!L561,1))*IF(G769&lt;3,0.12 - O769,0.01) *U769</f>
        <v>0</v>
      </c>
      <c r="W769" s="52">
        <f t="shared" si="258"/>
        <v>0</v>
      </c>
      <c r="X769" s="53">
        <f t="shared" si="259"/>
        <v>0</v>
      </c>
      <c r="Y769" s="53">
        <f t="shared" si="260"/>
        <v>0</v>
      </c>
      <c r="Z769" s="54">
        <f t="shared" si="250"/>
        <v>0</v>
      </c>
      <c r="AA769" s="54">
        <f t="shared" si="261"/>
        <v>0</v>
      </c>
      <c r="AB769" s="55">
        <f t="shared" si="251"/>
        <v>0</v>
      </c>
      <c r="AC769" s="55">
        <f t="shared" si="262"/>
        <v>0</v>
      </c>
      <c r="AD769" s="56">
        <f t="shared" si="263"/>
        <v>8065.78</v>
      </c>
    </row>
    <row r="770" spans="3:30">
      <c r="C770" s="43" t="s">
        <v>1346</v>
      </c>
      <c r="D770" s="44" t="s">
        <v>1347</v>
      </c>
      <c r="E770" s="44"/>
      <c r="F770" s="45">
        <v>38950.764548611107</v>
      </c>
      <c r="G770" s="46">
        <v>145</v>
      </c>
      <c r="H770" s="47">
        <v>43375</v>
      </c>
      <c r="I770" s="47">
        <v>43403</v>
      </c>
      <c r="J770" s="46">
        <v>557644</v>
      </c>
      <c r="K770" s="46">
        <v>0</v>
      </c>
      <c r="L770" s="46">
        <v>0</v>
      </c>
      <c r="M770" s="46">
        <f t="shared" si="252"/>
        <v>557644</v>
      </c>
      <c r="N770" s="46">
        <v>557644</v>
      </c>
      <c r="O770" s="48">
        <f t="shared" si="253"/>
        <v>0</v>
      </c>
      <c r="P770" s="46">
        <v>0</v>
      </c>
      <c r="Q770" s="46">
        <v>557644</v>
      </c>
      <c r="R770" s="49">
        <f t="shared" si="254"/>
        <v>1</v>
      </c>
      <c r="S770" s="50">
        <f t="shared" si="255"/>
        <v>0.01</v>
      </c>
      <c r="T770" s="49">
        <f t="shared" si="256"/>
        <v>5576.4400000000005</v>
      </c>
      <c r="U770" s="51">
        <f t="shared" si="257"/>
        <v>0</v>
      </c>
      <c r="V770" s="52">
        <f>IF(0&lt;0.8,0,IF(0&lt;1,Sheet3!L561,1))*IF(G770&lt;3,0.12 - O770,0.01) *U770</f>
        <v>0</v>
      </c>
      <c r="W770" s="52">
        <f t="shared" si="258"/>
        <v>0</v>
      </c>
      <c r="X770" s="53">
        <f t="shared" si="259"/>
        <v>0</v>
      </c>
      <c r="Y770" s="53">
        <f t="shared" si="260"/>
        <v>0</v>
      </c>
      <c r="Z770" s="54">
        <f t="shared" si="250"/>
        <v>0</v>
      </c>
      <c r="AA770" s="54">
        <f t="shared" si="261"/>
        <v>0</v>
      </c>
      <c r="AB770" s="55">
        <f t="shared" si="251"/>
        <v>0</v>
      </c>
      <c r="AC770" s="55">
        <f t="shared" si="262"/>
        <v>0</v>
      </c>
      <c r="AD770" s="56">
        <f t="shared" si="263"/>
        <v>5576.4400000000005</v>
      </c>
    </row>
    <row r="771" spans="3:30">
      <c r="C771" s="43" t="s">
        <v>1348</v>
      </c>
      <c r="D771" s="44" t="s">
        <v>1349</v>
      </c>
      <c r="E771" s="44"/>
      <c r="F771" s="45">
        <v>38950.764560185184</v>
      </c>
      <c r="G771" s="46">
        <v>145</v>
      </c>
      <c r="H771" s="47">
        <v>43375</v>
      </c>
      <c r="I771" s="47">
        <v>43386</v>
      </c>
      <c r="J771" s="46">
        <v>472135</v>
      </c>
      <c r="K771" s="46">
        <v>0</v>
      </c>
      <c r="L771" s="46">
        <v>0</v>
      </c>
      <c r="M771" s="46">
        <f t="shared" si="252"/>
        <v>472135</v>
      </c>
      <c r="N771" s="46">
        <v>472135</v>
      </c>
      <c r="O771" s="48">
        <f t="shared" si="253"/>
        <v>0</v>
      </c>
      <c r="P771" s="46">
        <v>0</v>
      </c>
      <c r="Q771" s="46">
        <v>472135</v>
      </c>
      <c r="R771" s="49">
        <f t="shared" si="254"/>
        <v>1</v>
      </c>
      <c r="S771" s="50">
        <f t="shared" si="255"/>
        <v>0.01</v>
      </c>
      <c r="T771" s="49">
        <f t="shared" si="256"/>
        <v>4721.3500000000004</v>
      </c>
      <c r="U771" s="51">
        <f t="shared" si="257"/>
        <v>0</v>
      </c>
      <c r="V771" s="52">
        <f>IF(0&lt;0.8,0,IF(0&lt;1,Sheet3!L561,1))*IF(G771&lt;3,0.12 - O771,0.01) *U771</f>
        <v>0</v>
      </c>
      <c r="W771" s="52">
        <f t="shared" si="258"/>
        <v>0</v>
      </c>
      <c r="X771" s="53">
        <f t="shared" si="259"/>
        <v>0</v>
      </c>
      <c r="Y771" s="53">
        <f t="shared" si="260"/>
        <v>0</v>
      </c>
      <c r="Z771" s="54">
        <f t="shared" si="250"/>
        <v>0</v>
      </c>
      <c r="AA771" s="54">
        <f t="shared" si="261"/>
        <v>0</v>
      </c>
      <c r="AB771" s="55">
        <f t="shared" si="251"/>
        <v>0</v>
      </c>
      <c r="AC771" s="55">
        <f t="shared" si="262"/>
        <v>0</v>
      </c>
      <c r="AD771" s="56">
        <f t="shared" si="263"/>
        <v>4721.3500000000004</v>
      </c>
    </row>
    <row r="772" spans="3:30">
      <c r="C772" s="43" t="s">
        <v>1350</v>
      </c>
      <c r="D772" s="44" t="s">
        <v>1351</v>
      </c>
      <c r="E772" s="44"/>
      <c r="F772" s="45">
        <v>38950.76458333333</v>
      </c>
      <c r="G772" s="46">
        <v>145</v>
      </c>
      <c r="H772" s="47">
        <v>43376</v>
      </c>
      <c r="I772" s="47">
        <v>43390</v>
      </c>
      <c r="J772" s="46">
        <v>231117</v>
      </c>
      <c r="K772" s="46">
        <v>163917</v>
      </c>
      <c r="L772" s="46">
        <v>0</v>
      </c>
      <c r="M772" s="46">
        <f t="shared" si="252"/>
        <v>67200</v>
      </c>
      <c r="N772" s="46">
        <v>231117</v>
      </c>
      <c r="O772" s="48">
        <f t="shared" si="253"/>
        <v>0.70923817806565503</v>
      </c>
      <c r="P772" s="46">
        <v>0</v>
      </c>
      <c r="Q772" s="46">
        <v>155183</v>
      </c>
      <c r="R772" s="49">
        <f t="shared" si="254"/>
        <v>1</v>
      </c>
      <c r="S772" s="50">
        <f t="shared" si="255"/>
        <v>0.01</v>
      </c>
      <c r="T772" s="49">
        <f t="shared" si="256"/>
        <v>672</v>
      </c>
      <c r="U772" s="51">
        <f t="shared" si="257"/>
        <v>0</v>
      </c>
      <c r="V772" s="52">
        <f>IF(0&lt;0.8,0,IF(0&lt;1,Sheet3!L561,1))*IF(G772&lt;3,0.12 - O772,0.01) *U772</f>
        <v>0</v>
      </c>
      <c r="W772" s="52">
        <f t="shared" si="258"/>
        <v>0</v>
      </c>
      <c r="X772" s="53">
        <f t="shared" si="259"/>
        <v>0</v>
      </c>
      <c r="Y772" s="53">
        <f t="shared" si="260"/>
        <v>0</v>
      </c>
      <c r="Z772" s="54">
        <f t="shared" si="250"/>
        <v>0</v>
      </c>
      <c r="AA772" s="54">
        <f t="shared" si="261"/>
        <v>0</v>
      </c>
      <c r="AB772" s="55">
        <f t="shared" si="251"/>
        <v>0</v>
      </c>
      <c r="AC772" s="55">
        <f t="shared" si="262"/>
        <v>0</v>
      </c>
      <c r="AD772" s="56">
        <f t="shared" si="263"/>
        <v>672</v>
      </c>
    </row>
    <row r="773" spans="3:30">
      <c r="C773" s="43" t="s">
        <v>1352</v>
      </c>
      <c r="D773" s="44" t="s">
        <v>1353</v>
      </c>
      <c r="E773" s="44"/>
      <c r="F773" s="45">
        <v>38950.764594907407</v>
      </c>
      <c r="G773" s="46">
        <v>145</v>
      </c>
      <c r="H773" s="47">
        <v>43376</v>
      </c>
      <c r="I773" s="47">
        <v>43397</v>
      </c>
      <c r="J773" s="46">
        <v>1786081</v>
      </c>
      <c r="K773" s="46">
        <v>0</v>
      </c>
      <c r="L773" s="46">
        <v>0</v>
      </c>
      <c r="M773" s="46">
        <f t="shared" si="252"/>
        <v>1786081</v>
      </c>
      <c r="N773" s="46">
        <v>1786081</v>
      </c>
      <c r="O773" s="48">
        <f t="shared" si="253"/>
        <v>0</v>
      </c>
      <c r="P773" s="46">
        <v>0</v>
      </c>
      <c r="Q773" s="46">
        <v>1786081</v>
      </c>
      <c r="R773" s="49">
        <f t="shared" si="254"/>
        <v>1</v>
      </c>
      <c r="S773" s="50">
        <f t="shared" si="255"/>
        <v>0.01</v>
      </c>
      <c r="T773" s="49">
        <f t="shared" si="256"/>
        <v>17860.810000000001</v>
      </c>
      <c r="U773" s="51">
        <f t="shared" si="257"/>
        <v>0</v>
      </c>
      <c r="V773" s="52">
        <f>IF(0&lt;0.8,0,IF(0&lt;1,Sheet3!L561,1))*IF(G773&lt;3,0.12 - O773,0.01) *U773</f>
        <v>0</v>
      </c>
      <c r="W773" s="52">
        <f t="shared" si="258"/>
        <v>0</v>
      </c>
      <c r="X773" s="53">
        <f t="shared" si="259"/>
        <v>0</v>
      </c>
      <c r="Y773" s="53">
        <f t="shared" si="260"/>
        <v>0</v>
      </c>
      <c r="Z773" s="54">
        <f t="shared" si="250"/>
        <v>0</v>
      </c>
      <c r="AA773" s="54">
        <f t="shared" si="261"/>
        <v>0</v>
      </c>
      <c r="AB773" s="55">
        <f t="shared" si="251"/>
        <v>0</v>
      </c>
      <c r="AC773" s="55">
        <f t="shared" si="262"/>
        <v>0</v>
      </c>
      <c r="AD773" s="56">
        <f t="shared" si="263"/>
        <v>17860.810000000001</v>
      </c>
    </row>
    <row r="774" spans="3:30">
      <c r="C774" s="43" t="s">
        <v>1354</v>
      </c>
      <c r="D774" s="44" t="s">
        <v>1355</v>
      </c>
      <c r="E774" s="44"/>
      <c r="F774" s="45">
        <v>38950.764606481483</v>
      </c>
      <c r="G774" s="46">
        <v>145</v>
      </c>
      <c r="H774" s="47">
        <v>43376</v>
      </c>
      <c r="I774" s="47">
        <v>43384</v>
      </c>
      <c r="J774" s="46">
        <v>9124851</v>
      </c>
      <c r="K774" s="46">
        <v>0</v>
      </c>
      <c r="L774" s="46">
        <v>0</v>
      </c>
      <c r="M774" s="46">
        <f t="shared" si="252"/>
        <v>9124851</v>
      </c>
      <c r="N774" s="46">
        <v>9124851</v>
      </c>
      <c r="O774" s="48">
        <f t="shared" si="253"/>
        <v>0</v>
      </c>
      <c r="P774" s="46">
        <v>0</v>
      </c>
      <c r="Q774" s="46">
        <v>9124851</v>
      </c>
      <c r="R774" s="49">
        <f t="shared" si="254"/>
        <v>1</v>
      </c>
      <c r="S774" s="50">
        <f t="shared" si="255"/>
        <v>0.01</v>
      </c>
      <c r="T774" s="49">
        <f t="shared" si="256"/>
        <v>91248.51</v>
      </c>
      <c r="U774" s="51">
        <f t="shared" si="257"/>
        <v>0</v>
      </c>
      <c r="V774" s="52">
        <f>IF(0&lt;0.8,0,IF(0&lt;1,Sheet3!L561,1))*IF(G774&lt;3,0.12 - O774,0.01) *U774</f>
        <v>0</v>
      </c>
      <c r="W774" s="52">
        <f t="shared" si="258"/>
        <v>0</v>
      </c>
      <c r="X774" s="53">
        <f t="shared" si="259"/>
        <v>0</v>
      </c>
      <c r="Y774" s="53">
        <f t="shared" si="260"/>
        <v>0</v>
      </c>
      <c r="Z774" s="54">
        <f t="shared" si="250"/>
        <v>0</v>
      </c>
      <c r="AA774" s="54">
        <f t="shared" si="261"/>
        <v>0</v>
      </c>
      <c r="AB774" s="55">
        <f t="shared" si="251"/>
        <v>0</v>
      </c>
      <c r="AC774" s="55">
        <f t="shared" si="262"/>
        <v>0</v>
      </c>
      <c r="AD774" s="56">
        <f t="shared" si="263"/>
        <v>91248.51</v>
      </c>
    </row>
    <row r="775" spans="3:30">
      <c r="C775" s="43" t="s">
        <v>1356</v>
      </c>
      <c r="D775" s="44" t="s">
        <v>1357</v>
      </c>
      <c r="E775" s="44"/>
      <c r="F775" s="45">
        <v>38950.764606481483</v>
      </c>
      <c r="G775" s="46">
        <v>145</v>
      </c>
      <c r="H775" s="47">
        <v>43379</v>
      </c>
      <c r="I775" s="47">
        <v>43404</v>
      </c>
      <c r="J775" s="46">
        <v>4548148</v>
      </c>
      <c r="K775" s="46">
        <v>0</v>
      </c>
      <c r="L775" s="46">
        <v>0</v>
      </c>
      <c r="M775" s="46">
        <f t="shared" si="252"/>
        <v>4548148</v>
      </c>
      <c r="N775" s="46">
        <v>4548148</v>
      </c>
      <c r="O775" s="48">
        <f t="shared" si="253"/>
        <v>0</v>
      </c>
      <c r="P775" s="46">
        <v>0</v>
      </c>
      <c r="Q775" s="46">
        <v>4548148</v>
      </c>
      <c r="R775" s="49">
        <f t="shared" si="254"/>
        <v>1</v>
      </c>
      <c r="S775" s="50">
        <f t="shared" si="255"/>
        <v>0.01</v>
      </c>
      <c r="T775" s="49">
        <f t="shared" si="256"/>
        <v>45481.48</v>
      </c>
      <c r="U775" s="51">
        <f t="shared" si="257"/>
        <v>0</v>
      </c>
      <c r="V775" s="52">
        <f>IF(0&lt;0.8,0,IF(0&lt;1,Sheet3!L561,1))*IF(G775&lt;3,0.12 - O775,0.01) *U775</f>
        <v>0</v>
      </c>
      <c r="W775" s="52">
        <f t="shared" si="258"/>
        <v>0</v>
      </c>
      <c r="X775" s="53">
        <f t="shared" si="259"/>
        <v>0</v>
      </c>
      <c r="Y775" s="53">
        <f t="shared" si="260"/>
        <v>0</v>
      </c>
      <c r="Z775" s="54">
        <f t="shared" si="250"/>
        <v>0</v>
      </c>
      <c r="AA775" s="54">
        <f t="shared" si="261"/>
        <v>0</v>
      </c>
      <c r="AB775" s="55">
        <f t="shared" si="251"/>
        <v>0</v>
      </c>
      <c r="AC775" s="55">
        <f t="shared" si="262"/>
        <v>0</v>
      </c>
      <c r="AD775" s="56">
        <f t="shared" si="263"/>
        <v>45481.48</v>
      </c>
    </row>
    <row r="776" spans="3:30">
      <c r="C776" s="43" t="s">
        <v>1358</v>
      </c>
      <c r="D776" s="44" t="s">
        <v>1359</v>
      </c>
      <c r="E776" s="44"/>
      <c r="F776" s="45">
        <v>38950.764606481483</v>
      </c>
      <c r="G776" s="46">
        <v>145</v>
      </c>
      <c r="H776" s="47">
        <v>43376</v>
      </c>
      <c r="I776" s="47">
        <v>43397</v>
      </c>
      <c r="J776" s="46">
        <v>551259</v>
      </c>
      <c r="K776" s="46">
        <v>0</v>
      </c>
      <c r="L776" s="46">
        <v>0</v>
      </c>
      <c r="M776" s="46">
        <f t="shared" si="252"/>
        <v>551259</v>
      </c>
      <c r="N776" s="46">
        <v>551259</v>
      </c>
      <c r="O776" s="48">
        <f t="shared" si="253"/>
        <v>0</v>
      </c>
      <c r="P776" s="46">
        <v>0</v>
      </c>
      <c r="Q776" s="46">
        <v>551259</v>
      </c>
      <c r="R776" s="49">
        <f t="shared" si="254"/>
        <v>1</v>
      </c>
      <c r="S776" s="50">
        <f t="shared" si="255"/>
        <v>0.01</v>
      </c>
      <c r="T776" s="49">
        <f t="shared" si="256"/>
        <v>5512.59</v>
      </c>
      <c r="U776" s="51">
        <f t="shared" si="257"/>
        <v>0</v>
      </c>
      <c r="V776" s="52">
        <f>IF(0&lt;0.8,0,IF(0&lt;1,Sheet3!L561,1))*IF(G776&lt;3,0.12 - O776,0.01) *U776</f>
        <v>0</v>
      </c>
      <c r="W776" s="52">
        <f t="shared" si="258"/>
        <v>0</v>
      </c>
      <c r="X776" s="53">
        <f t="shared" si="259"/>
        <v>0</v>
      </c>
      <c r="Y776" s="53">
        <f t="shared" si="260"/>
        <v>0</v>
      </c>
      <c r="Z776" s="54">
        <f t="shared" si="250"/>
        <v>0</v>
      </c>
      <c r="AA776" s="54">
        <f t="shared" si="261"/>
        <v>0</v>
      </c>
      <c r="AB776" s="55">
        <f t="shared" si="251"/>
        <v>0</v>
      </c>
      <c r="AC776" s="55">
        <f t="shared" si="262"/>
        <v>0</v>
      </c>
      <c r="AD776" s="56">
        <f t="shared" si="263"/>
        <v>5512.59</v>
      </c>
    </row>
    <row r="777" spans="3:30">
      <c r="C777" s="43" t="s">
        <v>1360</v>
      </c>
      <c r="D777" s="44" t="s">
        <v>1361</v>
      </c>
      <c r="E777" s="44"/>
      <c r="F777" s="45">
        <v>38950.764606481483</v>
      </c>
      <c r="G777" s="46">
        <v>145</v>
      </c>
      <c r="H777" s="47">
        <v>43404</v>
      </c>
      <c r="I777" s="47">
        <v>43426</v>
      </c>
      <c r="J777" s="46">
        <v>2964380</v>
      </c>
      <c r="K777" s="46">
        <v>0</v>
      </c>
      <c r="L777" s="46">
        <v>0</v>
      </c>
      <c r="M777" s="46">
        <f t="shared" si="252"/>
        <v>2964380</v>
      </c>
      <c r="N777" s="46">
        <v>4048189</v>
      </c>
      <c r="O777" s="48">
        <f t="shared" si="253"/>
        <v>0.26772687737652567</v>
      </c>
      <c r="P777" s="46">
        <v>0</v>
      </c>
      <c r="Q777" s="46">
        <v>4284380</v>
      </c>
      <c r="R777" s="49">
        <f t="shared" si="254"/>
        <v>1</v>
      </c>
      <c r="S777" s="50">
        <f t="shared" si="255"/>
        <v>0.01</v>
      </c>
      <c r="T777" s="49">
        <f t="shared" si="256"/>
        <v>29643.8</v>
      </c>
      <c r="U777" s="51">
        <f t="shared" si="257"/>
        <v>0</v>
      </c>
      <c r="V777" s="52">
        <f>IF(0&lt;0.8,0,IF(0&lt;1,Sheet3!L561,1))*IF(G777&lt;3,0.12 - O777,0.01) *U777</f>
        <v>0</v>
      </c>
      <c r="W777" s="52">
        <f t="shared" si="258"/>
        <v>0</v>
      </c>
      <c r="X777" s="53">
        <f t="shared" si="259"/>
        <v>0</v>
      </c>
      <c r="Y777" s="53">
        <f t="shared" si="260"/>
        <v>0</v>
      </c>
      <c r="Z777" s="54">
        <f t="shared" si="250"/>
        <v>0</v>
      </c>
      <c r="AA777" s="54">
        <f t="shared" si="261"/>
        <v>0</v>
      </c>
      <c r="AB777" s="55">
        <f t="shared" si="251"/>
        <v>0</v>
      </c>
      <c r="AC777" s="55">
        <f t="shared" si="262"/>
        <v>0</v>
      </c>
      <c r="AD777" s="56">
        <f t="shared" si="263"/>
        <v>29643.8</v>
      </c>
    </row>
    <row r="778" spans="3:30">
      <c r="C778" s="43" t="s">
        <v>1362</v>
      </c>
      <c r="D778" s="44" t="s">
        <v>1363</v>
      </c>
      <c r="E778" s="44"/>
      <c r="F778" s="45">
        <v>38950.764490740738</v>
      </c>
      <c r="G778" s="46">
        <v>145</v>
      </c>
      <c r="H778" s="47">
        <v>43375</v>
      </c>
      <c r="I778" s="47">
        <v>43389</v>
      </c>
      <c r="J778" s="46">
        <v>1008361</v>
      </c>
      <c r="K778" s="46">
        <v>0</v>
      </c>
      <c r="L778" s="46">
        <v>0</v>
      </c>
      <c r="M778" s="46">
        <f t="shared" si="252"/>
        <v>1008361</v>
      </c>
      <c r="N778" s="46">
        <v>1008361</v>
      </c>
      <c r="O778" s="48">
        <f t="shared" si="253"/>
        <v>0</v>
      </c>
      <c r="P778" s="46">
        <v>0</v>
      </c>
      <c r="Q778" s="46">
        <v>1008361</v>
      </c>
      <c r="R778" s="49">
        <f t="shared" si="254"/>
        <v>1</v>
      </c>
      <c r="S778" s="50">
        <f t="shared" si="255"/>
        <v>0.01</v>
      </c>
      <c r="T778" s="49">
        <f t="shared" si="256"/>
        <v>10083.61</v>
      </c>
      <c r="U778" s="51">
        <f t="shared" si="257"/>
        <v>0</v>
      </c>
      <c r="V778" s="52">
        <f>IF(0&lt;0.8,0,IF(0&lt;1,Sheet3!L561,1))*IF(G778&lt;3,0.12 - O778,0.01) *U778</f>
        <v>0</v>
      </c>
      <c r="W778" s="52">
        <f t="shared" si="258"/>
        <v>0</v>
      </c>
      <c r="X778" s="53">
        <f t="shared" si="259"/>
        <v>0</v>
      </c>
      <c r="Y778" s="53">
        <f t="shared" si="260"/>
        <v>0</v>
      </c>
      <c r="Z778" s="54">
        <f t="shared" si="250"/>
        <v>0</v>
      </c>
      <c r="AA778" s="54">
        <f t="shared" si="261"/>
        <v>0</v>
      </c>
      <c r="AB778" s="55">
        <f t="shared" si="251"/>
        <v>0</v>
      </c>
      <c r="AC778" s="55">
        <f t="shared" si="262"/>
        <v>0</v>
      </c>
      <c r="AD778" s="56">
        <f t="shared" si="263"/>
        <v>10083.61</v>
      </c>
    </row>
    <row r="779" spans="3:30">
      <c r="C779" s="43" t="s">
        <v>1364</v>
      </c>
      <c r="D779" s="44" t="s">
        <v>1365</v>
      </c>
      <c r="E779" s="44"/>
      <c r="F779" s="45">
        <v>38950.764490740738</v>
      </c>
      <c r="G779" s="46">
        <v>145</v>
      </c>
      <c r="H779" s="47">
        <v>43375</v>
      </c>
      <c r="I779" s="47">
        <v>43393</v>
      </c>
      <c r="J779" s="46">
        <v>226973</v>
      </c>
      <c r="K779" s="46">
        <v>0</v>
      </c>
      <c r="L779" s="46">
        <v>0</v>
      </c>
      <c r="M779" s="46">
        <f t="shared" si="252"/>
        <v>226973</v>
      </c>
      <c r="N779" s="46">
        <v>226973</v>
      </c>
      <c r="O779" s="48">
        <f t="shared" si="253"/>
        <v>0</v>
      </c>
      <c r="P779" s="46">
        <v>0</v>
      </c>
      <c r="Q779" s="46">
        <v>226973</v>
      </c>
      <c r="R779" s="49">
        <f t="shared" si="254"/>
        <v>1</v>
      </c>
      <c r="S779" s="50">
        <f t="shared" si="255"/>
        <v>0.01</v>
      </c>
      <c r="T779" s="49">
        <f t="shared" si="256"/>
        <v>2269.73</v>
      </c>
      <c r="U779" s="51">
        <f t="shared" si="257"/>
        <v>0</v>
      </c>
      <c r="V779" s="52">
        <f>IF(0&lt;0.8,0,IF(0&lt;1,Sheet3!L561,1))*IF(G779&lt;3,0.12 - O779,0.01) *U779</f>
        <v>0</v>
      </c>
      <c r="W779" s="52">
        <f t="shared" si="258"/>
        <v>0</v>
      </c>
      <c r="X779" s="53">
        <f t="shared" si="259"/>
        <v>0</v>
      </c>
      <c r="Y779" s="53">
        <f t="shared" si="260"/>
        <v>0</v>
      </c>
      <c r="Z779" s="54">
        <f t="shared" si="250"/>
        <v>0</v>
      </c>
      <c r="AA779" s="54">
        <f t="shared" si="261"/>
        <v>0</v>
      </c>
      <c r="AB779" s="55">
        <f t="shared" si="251"/>
        <v>0</v>
      </c>
      <c r="AC779" s="55">
        <f t="shared" si="262"/>
        <v>0</v>
      </c>
      <c r="AD779" s="56">
        <f t="shared" si="263"/>
        <v>2269.73</v>
      </c>
    </row>
    <row r="780" spans="3:30">
      <c r="C780" s="43" t="s">
        <v>1366</v>
      </c>
      <c r="D780" s="44" t="s">
        <v>1367</v>
      </c>
      <c r="E780" s="44"/>
      <c r="F780" s="45">
        <v>38950.764837962961</v>
      </c>
      <c r="G780" s="46">
        <v>145</v>
      </c>
      <c r="H780" s="47">
        <v>43404</v>
      </c>
      <c r="I780" s="47">
        <v>43410</v>
      </c>
      <c r="J780" s="46">
        <v>10082549</v>
      </c>
      <c r="K780" s="46">
        <v>0</v>
      </c>
      <c r="L780" s="46">
        <v>0</v>
      </c>
      <c r="M780" s="46">
        <f t="shared" si="252"/>
        <v>10082549</v>
      </c>
      <c r="N780" s="46">
        <v>19817998</v>
      </c>
      <c r="O780" s="48">
        <f t="shared" si="253"/>
        <v>0.49124280868329884</v>
      </c>
      <c r="P780" s="46">
        <v>0</v>
      </c>
      <c r="Q780" s="46">
        <v>10082549</v>
      </c>
      <c r="R780" s="49">
        <f t="shared" si="254"/>
        <v>1</v>
      </c>
      <c r="S780" s="50">
        <f t="shared" si="255"/>
        <v>0.01</v>
      </c>
      <c r="T780" s="49">
        <f t="shared" si="256"/>
        <v>100825.49</v>
      </c>
      <c r="U780" s="51">
        <f t="shared" si="257"/>
        <v>0</v>
      </c>
      <c r="V780" s="52">
        <f>IF(0&lt;0.8,0,IF(0&lt;1,Sheet3!L561,1))*IF(G780&lt;3,0.12 - O780,0.01) *U780</f>
        <v>0</v>
      </c>
      <c r="W780" s="52">
        <f t="shared" si="258"/>
        <v>0</v>
      </c>
      <c r="X780" s="53">
        <f t="shared" si="259"/>
        <v>0</v>
      </c>
      <c r="Y780" s="53">
        <f t="shared" si="260"/>
        <v>0</v>
      </c>
      <c r="Z780" s="54">
        <f t="shared" si="250"/>
        <v>0</v>
      </c>
      <c r="AA780" s="54">
        <f t="shared" si="261"/>
        <v>0</v>
      </c>
      <c r="AB780" s="55">
        <f t="shared" si="251"/>
        <v>0</v>
      </c>
      <c r="AC780" s="55">
        <f t="shared" si="262"/>
        <v>0</v>
      </c>
      <c r="AD780" s="56">
        <f t="shared" si="263"/>
        <v>100825.49</v>
      </c>
    </row>
    <row r="781" spans="3:30">
      <c r="C781" s="43" t="s">
        <v>1368</v>
      </c>
      <c r="D781" s="44" t="s">
        <v>1369</v>
      </c>
      <c r="E781" s="44"/>
      <c r="F781" s="45">
        <v>38950.764861111107</v>
      </c>
      <c r="G781" s="46">
        <v>145</v>
      </c>
      <c r="H781" s="47">
        <v>43372</v>
      </c>
      <c r="I781" s="47">
        <v>43384</v>
      </c>
      <c r="J781" s="46">
        <v>2642156</v>
      </c>
      <c r="K781" s="46">
        <v>0</v>
      </c>
      <c r="L781" s="46">
        <v>0</v>
      </c>
      <c r="M781" s="46">
        <f t="shared" si="252"/>
        <v>2642156</v>
      </c>
      <c r="N781" s="46">
        <v>2642156</v>
      </c>
      <c r="O781" s="48">
        <f t="shared" si="253"/>
        <v>0</v>
      </c>
      <c r="P781" s="46">
        <v>0</v>
      </c>
      <c r="Q781" s="46">
        <v>2642156</v>
      </c>
      <c r="R781" s="49">
        <f t="shared" si="254"/>
        <v>1</v>
      </c>
      <c r="S781" s="50">
        <f t="shared" si="255"/>
        <v>0.01</v>
      </c>
      <c r="T781" s="49">
        <f t="shared" si="256"/>
        <v>26421.56</v>
      </c>
      <c r="U781" s="51">
        <f t="shared" si="257"/>
        <v>0</v>
      </c>
      <c r="V781" s="52">
        <f>IF(0&lt;0.8,0,IF(0&lt;1,Sheet3!L561,1))*IF(G781&lt;3,0.12 - O781,0.01) *U781</f>
        <v>0</v>
      </c>
      <c r="W781" s="52">
        <f t="shared" si="258"/>
        <v>0</v>
      </c>
      <c r="X781" s="53">
        <f t="shared" si="259"/>
        <v>0</v>
      </c>
      <c r="Y781" s="53">
        <f t="shared" si="260"/>
        <v>0</v>
      </c>
      <c r="Z781" s="54">
        <f t="shared" si="250"/>
        <v>0</v>
      </c>
      <c r="AA781" s="54">
        <f t="shared" si="261"/>
        <v>0</v>
      </c>
      <c r="AB781" s="55">
        <f t="shared" si="251"/>
        <v>0</v>
      </c>
      <c r="AC781" s="55">
        <f t="shared" si="262"/>
        <v>0</v>
      </c>
      <c r="AD781" s="56">
        <f t="shared" si="263"/>
        <v>26421.56</v>
      </c>
    </row>
    <row r="782" spans="3:30">
      <c r="C782" s="43" t="s">
        <v>1370</v>
      </c>
      <c r="D782" s="44" t="s">
        <v>1371</v>
      </c>
      <c r="E782" s="44"/>
      <c r="F782" s="45">
        <v>38950.764907407407</v>
      </c>
      <c r="G782" s="46">
        <v>145</v>
      </c>
      <c r="H782" s="47">
        <v>43372</v>
      </c>
      <c r="I782" s="47">
        <v>43398</v>
      </c>
      <c r="J782" s="46">
        <v>34935969</v>
      </c>
      <c r="K782" s="46">
        <v>1253170</v>
      </c>
      <c r="L782" s="46">
        <v>0</v>
      </c>
      <c r="M782" s="46">
        <f t="shared" si="252"/>
        <v>33682799</v>
      </c>
      <c r="N782" s="46">
        <v>49335024</v>
      </c>
      <c r="O782" s="48">
        <f t="shared" si="253"/>
        <v>0.31726395835948107</v>
      </c>
      <c r="P782" s="46">
        <v>0</v>
      </c>
      <c r="Q782" s="46">
        <v>33740231</v>
      </c>
      <c r="R782" s="49">
        <f t="shared" si="254"/>
        <v>1</v>
      </c>
      <c r="S782" s="50">
        <f t="shared" si="255"/>
        <v>0.01</v>
      </c>
      <c r="T782" s="49">
        <f t="shared" si="256"/>
        <v>336827.99</v>
      </c>
      <c r="U782" s="51">
        <f t="shared" si="257"/>
        <v>0</v>
      </c>
      <c r="V782" s="52">
        <f>IF(0&lt;0.8,0,IF(0&lt;1,Sheet3!L561,1))*IF(G782&lt;3,0.12 - O782,0.01) *U782</f>
        <v>0</v>
      </c>
      <c r="W782" s="52">
        <f t="shared" si="258"/>
        <v>0</v>
      </c>
      <c r="X782" s="53">
        <f t="shared" si="259"/>
        <v>0</v>
      </c>
      <c r="Y782" s="53">
        <f t="shared" si="260"/>
        <v>0</v>
      </c>
      <c r="Z782" s="54">
        <f t="shared" si="250"/>
        <v>0</v>
      </c>
      <c r="AA782" s="54">
        <f t="shared" si="261"/>
        <v>0</v>
      </c>
      <c r="AB782" s="55">
        <f t="shared" si="251"/>
        <v>0</v>
      </c>
      <c r="AC782" s="55">
        <f t="shared" si="262"/>
        <v>0</v>
      </c>
      <c r="AD782" s="56">
        <f t="shared" si="263"/>
        <v>336827.99</v>
      </c>
    </row>
    <row r="783" spans="3:30">
      <c r="C783" s="43" t="s">
        <v>1372</v>
      </c>
      <c r="D783" s="44" t="s">
        <v>1373</v>
      </c>
      <c r="E783" s="44"/>
      <c r="F783" s="45">
        <v>38950.764907407407</v>
      </c>
      <c r="G783" s="46">
        <v>145</v>
      </c>
      <c r="H783" s="47">
        <v>43410</v>
      </c>
      <c r="I783" s="47">
        <v>43434</v>
      </c>
      <c r="J783" s="46">
        <v>691709</v>
      </c>
      <c r="K783" s="46">
        <v>0</v>
      </c>
      <c r="L783" s="46">
        <v>0</v>
      </c>
      <c r="M783" s="46">
        <f t="shared" si="252"/>
        <v>691709</v>
      </c>
      <c r="N783" s="46">
        <v>691709</v>
      </c>
      <c r="O783" s="48">
        <f t="shared" si="253"/>
        <v>0</v>
      </c>
      <c r="P783" s="46">
        <v>0</v>
      </c>
      <c r="Q783" s="46">
        <v>793930</v>
      </c>
      <c r="R783" s="49">
        <f t="shared" si="254"/>
        <v>1</v>
      </c>
      <c r="S783" s="50">
        <f t="shared" si="255"/>
        <v>0.01</v>
      </c>
      <c r="T783" s="49">
        <f t="shared" si="256"/>
        <v>6917.09</v>
      </c>
      <c r="U783" s="51">
        <f t="shared" si="257"/>
        <v>0</v>
      </c>
      <c r="V783" s="52">
        <f>IF(0&lt;0.8,0,IF(0&lt;1,Sheet3!L561,1))*IF(G783&lt;3,0.12 - O783,0.01) *U783</f>
        <v>0</v>
      </c>
      <c r="W783" s="52">
        <f t="shared" si="258"/>
        <v>0</v>
      </c>
      <c r="X783" s="53">
        <f t="shared" si="259"/>
        <v>0</v>
      </c>
      <c r="Y783" s="53">
        <f t="shared" si="260"/>
        <v>0</v>
      </c>
      <c r="Z783" s="54">
        <f t="shared" si="250"/>
        <v>0</v>
      </c>
      <c r="AA783" s="54">
        <f t="shared" si="261"/>
        <v>0</v>
      </c>
      <c r="AB783" s="55">
        <f t="shared" si="251"/>
        <v>0</v>
      </c>
      <c r="AC783" s="55">
        <f t="shared" si="262"/>
        <v>0</v>
      </c>
      <c r="AD783" s="56">
        <f t="shared" si="263"/>
        <v>6917.09</v>
      </c>
    </row>
    <row r="784" spans="3:30">
      <c r="C784" s="43" t="s">
        <v>1374</v>
      </c>
      <c r="D784" s="44" t="s">
        <v>1375</v>
      </c>
      <c r="E784" s="44"/>
      <c r="F784" s="45">
        <v>38950.76494212963</v>
      </c>
      <c r="G784" s="46">
        <v>145</v>
      </c>
      <c r="H784" s="47">
        <v>43386</v>
      </c>
      <c r="I784" s="47">
        <v>43434</v>
      </c>
      <c r="J784" s="46">
        <v>2829639</v>
      </c>
      <c r="K784" s="46">
        <v>0</v>
      </c>
      <c r="L784" s="46">
        <v>0</v>
      </c>
      <c r="M784" s="46">
        <f t="shared" si="252"/>
        <v>2829639</v>
      </c>
      <c r="N784" s="46">
        <v>2829639</v>
      </c>
      <c r="O784" s="48">
        <f t="shared" si="253"/>
        <v>0</v>
      </c>
      <c r="P784" s="46">
        <v>0</v>
      </c>
      <c r="Q784" s="46">
        <v>2829639</v>
      </c>
      <c r="R784" s="49">
        <f t="shared" si="254"/>
        <v>1</v>
      </c>
      <c r="S784" s="50">
        <f t="shared" si="255"/>
        <v>0.01</v>
      </c>
      <c r="T784" s="49">
        <f t="shared" si="256"/>
        <v>28296.39</v>
      </c>
      <c r="U784" s="51">
        <f t="shared" si="257"/>
        <v>0</v>
      </c>
      <c r="V784" s="52">
        <f>IF(0&lt;0.8,0,IF(0&lt;1,Sheet3!L561,1))*IF(G784&lt;3,0.12 - O784,0.01) *U784</f>
        <v>0</v>
      </c>
      <c r="W784" s="52">
        <f t="shared" si="258"/>
        <v>0</v>
      </c>
      <c r="X784" s="53">
        <f t="shared" si="259"/>
        <v>0</v>
      </c>
      <c r="Y784" s="53">
        <f t="shared" si="260"/>
        <v>0</v>
      </c>
      <c r="Z784" s="54">
        <f t="shared" si="250"/>
        <v>0</v>
      </c>
      <c r="AA784" s="54">
        <f t="shared" si="261"/>
        <v>0</v>
      </c>
      <c r="AB784" s="55">
        <f t="shared" si="251"/>
        <v>0</v>
      </c>
      <c r="AC784" s="55">
        <f t="shared" si="262"/>
        <v>0</v>
      </c>
      <c r="AD784" s="56">
        <f t="shared" si="263"/>
        <v>28296.39</v>
      </c>
    </row>
    <row r="785" spans="3:30">
      <c r="C785" s="43" t="s">
        <v>1376</v>
      </c>
      <c r="D785" s="44" t="s">
        <v>1377</v>
      </c>
      <c r="E785" s="44"/>
      <c r="F785" s="45">
        <v>38950.764965277776</v>
      </c>
      <c r="G785" s="46">
        <v>145</v>
      </c>
      <c r="H785" s="47">
        <v>43377</v>
      </c>
      <c r="I785" s="47">
        <v>43391</v>
      </c>
      <c r="J785" s="46">
        <v>277202</v>
      </c>
      <c r="K785" s="46">
        <v>0</v>
      </c>
      <c r="L785" s="46">
        <v>0</v>
      </c>
      <c r="M785" s="46">
        <f t="shared" si="252"/>
        <v>277202</v>
      </c>
      <c r="N785" s="46">
        <v>277202</v>
      </c>
      <c r="O785" s="48">
        <f t="shared" si="253"/>
        <v>0</v>
      </c>
      <c r="P785" s="46">
        <v>0</v>
      </c>
      <c r="Q785" s="46">
        <v>277202</v>
      </c>
      <c r="R785" s="49">
        <f t="shared" si="254"/>
        <v>1</v>
      </c>
      <c r="S785" s="50">
        <f t="shared" si="255"/>
        <v>0.01</v>
      </c>
      <c r="T785" s="49">
        <f t="shared" si="256"/>
        <v>2772.02</v>
      </c>
      <c r="U785" s="51">
        <f t="shared" si="257"/>
        <v>0</v>
      </c>
      <c r="V785" s="52">
        <f>IF(0&lt;0.8,0,IF(0&lt;1,Sheet3!L561,1))*IF(G785&lt;3,0.12 - O785,0.01) *U785</f>
        <v>0</v>
      </c>
      <c r="W785" s="52">
        <f t="shared" si="258"/>
        <v>0</v>
      </c>
      <c r="X785" s="53">
        <f t="shared" si="259"/>
        <v>0</v>
      </c>
      <c r="Y785" s="53">
        <f t="shared" si="260"/>
        <v>0</v>
      </c>
      <c r="Z785" s="54">
        <f t="shared" si="250"/>
        <v>0</v>
      </c>
      <c r="AA785" s="54">
        <f t="shared" si="261"/>
        <v>0</v>
      </c>
      <c r="AB785" s="55">
        <f t="shared" si="251"/>
        <v>0</v>
      </c>
      <c r="AC785" s="55">
        <f t="shared" si="262"/>
        <v>0</v>
      </c>
      <c r="AD785" s="56">
        <f t="shared" si="263"/>
        <v>2772.02</v>
      </c>
    </row>
    <row r="786" spans="3:30">
      <c r="C786" s="43" t="s">
        <v>1378</v>
      </c>
      <c r="D786" s="44" t="s">
        <v>1379</v>
      </c>
      <c r="E786" s="44"/>
      <c r="F786" s="45">
        <v>38950.764976851853</v>
      </c>
      <c r="G786" s="46">
        <v>145</v>
      </c>
      <c r="H786" s="47">
        <v>43377</v>
      </c>
      <c r="I786" s="47">
        <v>43396</v>
      </c>
      <c r="J786" s="46">
        <v>438368</v>
      </c>
      <c r="K786" s="46">
        <v>0</v>
      </c>
      <c r="L786" s="46">
        <v>0</v>
      </c>
      <c r="M786" s="46">
        <f t="shared" si="252"/>
        <v>438368</v>
      </c>
      <c r="N786" s="46">
        <v>438368</v>
      </c>
      <c r="O786" s="48">
        <f t="shared" si="253"/>
        <v>0</v>
      </c>
      <c r="P786" s="46">
        <v>0</v>
      </c>
      <c r="Q786" s="46">
        <v>438368</v>
      </c>
      <c r="R786" s="49">
        <f t="shared" si="254"/>
        <v>1</v>
      </c>
      <c r="S786" s="50">
        <f t="shared" si="255"/>
        <v>0.01</v>
      </c>
      <c r="T786" s="49">
        <f t="shared" si="256"/>
        <v>4383.68</v>
      </c>
      <c r="U786" s="51">
        <f t="shared" si="257"/>
        <v>0</v>
      </c>
      <c r="V786" s="52">
        <f>IF(0&lt;0.8,0,IF(0&lt;1,Sheet3!L561,1))*IF(G786&lt;3,0.12 - O786,0.01) *U786</f>
        <v>0</v>
      </c>
      <c r="W786" s="52">
        <f t="shared" si="258"/>
        <v>0</v>
      </c>
      <c r="X786" s="53">
        <f t="shared" si="259"/>
        <v>0</v>
      </c>
      <c r="Y786" s="53">
        <f t="shared" si="260"/>
        <v>0</v>
      </c>
      <c r="Z786" s="54">
        <f t="shared" si="250"/>
        <v>0</v>
      </c>
      <c r="AA786" s="54">
        <f t="shared" si="261"/>
        <v>0</v>
      </c>
      <c r="AB786" s="55">
        <f t="shared" si="251"/>
        <v>0</v>
      </c>
      <c r="AC786" s="55">
        <f t="shared" si="262"/>
        <v>0</v>
      </c>
      <c r="AD786" s="56">
        <f t="shared" si="263"/>
        <v>4383.68</v>
      </c>
    </row>
    <row r="787" spans="3:30">
      <c r="C787" s="43" t="s">
        <v>1380</v>
      </c>
      <c r="D787" s="44" t="s">
        <v>1381</v>
      </c>
      <c r="E787" s="44"/>
      <c r="F787" s="45">
        <v>38950.764976851853</v>
      </c>
      <c r="G787" s="46">
        <v>145</v>
      </c>
      <c r="H787" s="47">
        <v>43372</v>
      </c>
      <c r="I787" s="47">
        <v>43404</v>
      </c>
      <c r="J787" s="46">
        <v>665896</v>
      </c>
      <c r="K787" s="46">
        <v>0</v>
      </c>
      <c r="L787" s="46">
        <v>0</v>
      </c>
      <c r="M787" s="46">
        <f t="shared" si="252"/>
        <v>665896</v>
      </c>
      <c r="N787" s="46">
        <v>665896</v>
      </c>
      <c r="O787" s="48">
        <f t="shared" si="253"/>
        <v>0</v>
      </c>
      <c r="P787" s="46">
        <v>0</v>
      </c>
      <c r="Q787" s="46">
        <v>665896</v>
      </c>
      <c r="R787" s="49">
        <f t="shared" si="254"/>
        <v>1</v>
      </c>
      <c r="S787" s="50">
        <f t="shared" si="255"/>
        <v>0.01</v>
      </c>
      <c r="T787" s="49">
        <f t="shared" si="256"/>
        <v>6658.96</v>
      </c>
      <c r="U787" s="51">
        <f t="shared" si="257"/>
        <v>0</v>
      </c>
      <c r="V787" s="52">
        <f>IF(0&lt;0.8,0,IF(0&lt;1,Sheet3!L561,1))*IF(G787&lt;3,0.12 - O787,0.01) *U787</f>
        <v>0</v>
      </c>
      <c r="W787" s="52">
        <f t="shared" si="258"/>
        <v>0</v>
      </c>
      <c r="X787" s="53">
        <f t="shared" si="259"/>
        <v>0</v>
      </c>
      <c r="Y787" s="53">
        <f t="shared" si="260"/>
        <v>0</v>
      </c>
      <c r="Z787" s="54">
        <f t="shared" si="250"/>
        <v>0</v>
      </c>
      <c r="AA787" s="54">
        <f t="shared" si="261"/>
        <v>0</v>
      </c>
      <c r="AB787" s="55">
        <f t="shared" si="251"/>
        <v>0</v>
      </c>
      <c r="AC787" s="55">
        <f t="shared" si="262"/>
        <v>0</v>
      </c>
      <c r="AD787" s="56">
        <f t="shared" si="263"/>
        <v>6658.96</v>
      </c>
    </row>
    <row r="788" spans="3:30">
      <c r="C788" s="43" t="s">
        <v>1382</v>
      </c>
      <c r="D788" s="44" t="s">
        <v>1383</v>
      </c>
      <c r="E788" s="44"/>
      <c r="F788" s="45">
        <v>38950.764988425923</v>
      </c>
      <c r="G788" s="46">
        <v>145</v>
      </c>
      <c r="H788" s="47">
        <v>43390</v>
      </c>
      <c r="I788" s="47">
        <v>43398</v>
      </c>
      <c r="J788" s="46">
        <v>961749</v>
      </c>
      <c r="K788" s="46">
        <v>99144</v>
      </c>
      <c r="L788" s="46">
        <v>0</v>
      </c>
      <c r="M788" s="46">
        <f t="shared" si="252"/>
        <v>862605</v>
      </c>
      <c r="N788" s="46">
        <v>961749</v>
      </c>
      <c r="O788" s="48">
        <f t="shared" si="253"/>
        <v>0.10308718802930905</v>
      </c>
      <c r="P788" s="46">
        <v>0</v>
      </c>
      <c r="Q788" s="46">
        <v>961749</v>
      </c>
      <c r="R788" s="49">
        <f t="shared" si="254"/>
        <v>1</v>
      </c>
      <c r="S788" s="50">
        <f t="shared" si="255"/>
        <v>0.01</v>
      </c>
      <c r="T788" s="49">
        <f t="shared" si="256"/>
        <v>8626.0499999999993</v>
      </c>
      <c r="U788" s="51">
        <f t="shared" si="257"/>
        <v>0</v>
      </c>
      <c r="V788" s="52">
        <f>IF(0&lt;0.8,0,IF(0&lt;1,Sheet3!L561,1))*IF(G788&lt;3,0.12 - O788,0.01) *U788</f>
        <v>0</v>
      </c>
      <c r="W788" s="52">
        <f t="shared" si="258"/>
        <v>0</v>
      </c>
      <c r="X788" s="53">
        <f t="shared" si="259"/>
        <v>0</v>
      </c>
      <c r="Y788" s="53">
        <f t="shared" si="260"/>
        <v>0</v>
      </c>
      <c r="Z788" s="54">
        <f t="shared" si="250"/>
        <v>0</v>
      </c>
      <c r="AA788" s="54">
        <f t="shared" si="261"/>
        <v>0</v>
      </c>
      <c r="AB788" s="55">
        <f t="shared" si="251"/>
        <v>0</v>
      </c>
      <c r="AC788" s="55">
        <f t="shared" si="262"/>
        <v>0</v>
      </c>
      <c r="AD788" s="56">
        <f t="shared" si="263"/>
        <v>8626.0499999999993</v>
      </c>
    </row>
    <row r="789" spans="3:30">
      <c r="C789" s="43" t="s">
        <v>1384</v>
      </c>
      <c r="D789" s="44" t="s">
        <v>1385</v>
      </c>
      <c r="E789" s="44"/>
      <c r="F789" s="45">
        <v>38950.764999999999</v>
      </c>
      <c r="G789" s="46">
        <v>145</v>
      </c>
      <c r="H789" s="47">
        <v>43372</v>
      </c>
      <c r="I789" s="47">
        <v>43409</v>
      </c>
      <c r="J789" s="46">
        <v>40225881</v>
      </c>
      <c r="K789" s="46">
        <v>4064708</v>
      </c>
      <c r="L789" s="46">
        <v>0</v>
      </c>
      <c r="M789" s="46">
        <f t="shared" si="252"/>
        <v>36161173</v>
      </c>
      <c r="N789" s="46">
        <v>61833790</v>
      </c>
      <c r="O789" s="48">
        <f t="shared" si="253"/>
        <v>0.41518750508419422</v>
      </c>
      <c r="P789" s="46">
        <v>0</v>
      </c>
      <c r="Q789" s="46">
        <v>40473592</v>
      </c>
      <c r="R789" s="49">
        <f t="shared" si="254"/>
        <v>1</v>
      </c>
      <c r="S789" s="50">
        <f t="shared" si="255"/>
        <v>0.01</v>
      </c>
      <c r="T789" s="49">
        <f t="shared" si="256"/>
        <v>361611.73</v>
      </c>
      <c r="U789" s="51">
        <f t="shared" si="257"/>
        <v>0</v>
      </c>
      <c r="V789" s="52">
        <f>IF(0&lt;0.8,0,IF(0&lt;1,Sheet3!L561,1))*IF(G789&lt;3,0.12 - O789,0.01) *U789</f>
        <v>0</v>
      </c>
      <c r="W789" s="52">
        <f t="shared" si="258"/>
        <v>0</v>
      </c>
      <c r="X789" s="53">
        <f t="shared" si="259"/>
        <v>0</v>
      </c>
      <c r="Y789" s="53">
        <f t="shared" si="260"/>
        <v>0</v>
      </c>
      <c r="Z789" s="54">
        <f t="shared" si="250"/>
        <v>0</v>
      </c>
      <c r="AA789" s="54">
        <f t="shared" si="261"/>
        <v>0</v>
      </c>
      <c r="AB789" s="55">
        <f t="shared" si="251"/>
        <v>0</v>
      </c>
      <c r="AC789" s="55">
        <f t="shared" si="262"/>
        <v>0</v>
      </c>
      <c r="AD789" s="56">
        <f t="shared" si="263"/>
        <v>361611.73</v>
      </c>
    </row>
    <row r="790" spans="3:30">
      <c r="C790" s="43" t="s">
        <v>1386</v>
      </c>
      <c r="D790" s="44" t="s">
        <v>1387</v>
      </c>
      <c r="E790" s="44"/>
      <c r="F790" s="45">
        <v>38950.765046296292</v>
      </c>
      <c r="G790" s="46">
        <v>145</v>
      </c>
      <c r="H790" s="47">
        <v>43404</v>
      </c>
      <c r="I790" s="47">
        <v>43410</v>
      </c>
      <c r="J790" s="46">
        <v>48724096</v>
      </c>
      <c r="K790" s="46">
        <v>0</v>
      </c>
      <c r="L790" s="46">
        <v>0</v>
      </c>
      <c r="M790" s="46">
        <f t="shared" si="252"/>
        <v>48724096</v>
      </c>
      <c r="N790" s="46">
        <v>57603913</v>
      </c>
      <c r="O790" s="48">
        <f t="shared" si="253"/>
        <v>0.15415301734797082</v>
      </c>
      <c r="P790" s="46">
        <v>0</v>
      </c>
      <c r="Q790" s="46">
        <v>49032646</v>
      </c>
      <c r="R790" s="49">
        <f t="shared" si="254"/>
        <v>1</v>
      </c>
      <c r="S790" s="50">
        <f t="shared" si="255"/>
        <v>0.01</v>
      </c>
      <c r="T790" s="49">
        <f t="shared" si="256"/>
        <v>487240.96000000002</v>
      </c>
      <c r="U790" s="51">
        <f t="shared" si="257"/>
        <v>0</v>
      </c>
      <c r="V790" s="52">
        <f>IF(0&lt;0.8,0,IF(0&lt;1,Sheet3!L561,1))*IF(G790&lt;3,0.12 - O790,0.01) *U790</f>
        <v>0</v>
      </c>
      <c r="W790" s="52">
        <f t="shared" si="258"/>
        <v>0</v>
      </c>
      <c r="X790" s="53">
        <f t="shared" si="259"/>
        <v>0</v>
      </c>
      <c r="Y790" s="53">
        <f t="shared" si="260"/>
        <v>0</v>
      </c>
      <c r="Z790" s="54">
        <f t="shared" si="250"/>
        <v>0</v>
      </c>
      <c r="AA790" s="54">
        <f t="shared" si="261"/>
        <v>0</v>
      </c>
      <c r="AB790" s="55">
        <f t="shared" si="251"/>
        <v>0</v>
      </c>
      <c r="AC790" s="55">
        <f t="shared" si="262"/>
        <v>0</v>
      </c>
      <c r="AD790" s="56">
        <f t="shared" si="263"/>
        <v>487240.96000000002</v>
      </c>
    </row>
    <row r="791" spans="3:30">
      <c r="C791" s="43" t="s">
        <v>1388</v>
      </c>
      <c r="D791" s="44" t="s">
        <v>1389</v>
      </c>
      <c r="E791" s="44"/>
      <c r="F791" s="45">
        <v>38950.765046296292</v>
      </c>
      <c r="G791" s="46">
        <v>145</v>
      </c>
      <c r="H791" s="47">
        <v>43379</v>
      </c>
      <c r="I791" s="47">
        <v>43397</v>
      </c>
      <c r="J791" s="46">
        <v>1842924</v>
      </c>
      <c r="K791" s="46">
        <v>0</v>
      </c>
      <c r="L791" s="46">
        <v>0</v>
      </c>
      <c r="M791" s="46">
        <f t="shared" si="252"/>
        <v>1842924</v>
      </c>
      <c r="N791" s="46">
        <v>1842924</v>
      </c>
      <c r="O791" s="48">
        <f t="shared" si="253"/>
        <v>0</v>
      </c>
      <c r="P791" s="46">
        <v>0</v>
      </c>
      <c r="Q791" s="46">
        <v>1842924</v>
      </c>
      <c r="R791" s="49">
        <f t="shared" si="254"/>
        <v>1</v>
      </c>
      <c r="S791" s="50">
        <f t="shared" si="255"/>
        <v>0.01</v>
      </c>
      <c r="T791" s="49">
        <f t="shared" si="256"/>
        <v>18429.240000000002</v>
      </c>
      <c r="U791" s="51">
        <f t="shared" si="257"/>
        <v>0</v>
      </c>
      <c r="V791" s="52">
        <f>IF(0&lt;0.8,0,IF(0&lt;1,Sheet3!L561,1))*IF(G791&lt;3,0.12 - O791,0.01) *U791</f>
        <v>0</v>
      </c>
      <c r="W791" s="52">
        <f t="shared" si="258"/>
        <v>0</v>
      </c>
      <c r="X791" s="53">
        <f t="shared" si="259"/>
        <v>0</v>
      </c>
      <c r="Y791" s="53">
        <f t="shared" si="260"/>
        <v>0</v>
      </c>
      <c r="Z791" s="54">
        <f t="shared" si="250"/>
        <v>0</v>
      </c>
      <c r="AA791" s="54">
        <f t="shared" si="261"/>
        <v>0</v>
      </c>
      <c r="AB791" s="55">
        <f t="shared" si="251"/>
        <v>0</v>
      </c>
      <c r="AC791" s="55">
        <f t="shared" si="262"/>
        <v>0</v>
      </c>
      <c r="AD791" s="56">
        <f t="shared" si="263"/>
        <v>18429.240000000002</v>
      </c>
    </row>
    <row r="792" spans="3:30">
      <c r="C792" s="43" t="s">
        <v>1390</v>
      </c>
      <c r="D792" s="44" t="s">
        <v>1391</v>
      </c>
      <c r="E792" s="44"/>
      <c r="F792" s="45">
        <v>38950.765057870369</v>
      </c>
      <c r="G792" s="46">
        <v>145</v>
      </c>
      <c r="H792" s="47">
        <v>43376</v>
      </c>
      <c r="I792" s="47">
        <v>43424</v>
      </c>
      <c r="J792" s="46">
        <v>728260</v>
      </c>
      <c r="K792" s="46">
        <v>0</v>
      </c>
      <c r="L792" s="46">
        <v>0</v>
      </c>
      <c r="M792" s="46">
        <f t="shared" si="252"/>
        <v>728260</v>
      </c>
      <c r="N792" s="46">
        <v>728260</v>
      </c>
      <c r="O792" s="48">
        <f t="shared" si="253"/>
        <v>0</v>
      </c>
      <c r="P792" s="46">
        <v>0</v>
      </c>
      <c r="Q792" s="46">
        <v>728260</v>
      </c>
      <c r="R792" s="49">
        <f t="shared" si="254"/>
        <v>1</v>
      </c>
      <c r="S792" s="50">
        <f t="shared" si="255"/>
        <v>0.01</v>
      </c>
      <c r="T792" s="49">
        <f t="shared" si="256"/>
        <v>7282.6</v>
      </c>
      <c r="U792" s="51">
        <f t="shared" si="257"/>
        <v>0</v>
      </c>
      <c r="V792" s="52">
        <f>IF(0&lt;0.8,0,IF(0&lt;1,Sheet3!L561,1))*IF(G792&lt;3,0.12 - O792,0.01) *U792</f>
        <v>0</v>
      </c>
      <c r="W792" s="52">
        <f t="shared" si="258"/>
        <v>0</v>
      </c>
      <c r="X792" s="53">
        <f t="shared" si="259"/>
        <v>0</v>
      </c>
      <c r="Y792" s="53">
        <f t="shared" si="260"/>
        <v>0</v>
      </c>
      <c r="Z792" s="54">
        <f t="shared" si="250"/>
        <v>0</v>
      </c>
      <c r="AA792" s="54">
        <f t="shared" si="261"/>
        <v>0</v>
      </c>
      <c r="AB792" s="55">
        <f t="shared" si="251"/>
        <v>0</v>
      </c>
      <c r="AC792" s="55">
        <f t="shared" si="262"/>
        <v>0</v>
      </c>
      <c r="AD792" s="56">
        <f t="shared" si="263"/>
        <v>7282.6</v>
      </c>
    </row>
    <row r="793" spans="3:30">
      <c r="C793" s="43" t="s">
        <v>1392</v>
      </c>
      <c r="D793" s="44" t="s">
        <v>1393</v>
      </c>
      <c r="E793" s="44"/>
      <c r="F793" s="45">
        <v>38950.764733796292</v>
      </c>
      <c r="G793" s="46">
        <v>145</v>
      </c>
      <c r="H793" s="47">
        <v>43379</v>
      </c>
      <c r="I793" s="47">
        <v>43393</v>
      </c>
      <c r="J793" s="46">
        <v>305751</v>
      </c>
      <c r="K793" s="46">
        <v>0</v>
      </c>
      <c r="L793" s="46">
        <v>0</v>
      </c>
      <c r="M793" s="46">
        <f t="shared" si="252"/>
        <v>305751</v>
      </c>
      <c r="N793" s="46">
        <v>305751</v>
      </c>
      <c r="O793" s="48">
        <f t="shared" si="253"/>
        <v>0</v>
      </c>
      <c r="P793" s="46">
        <v>0</v>
      </c>
      <c r="Q793" s="46">
        <v>305751</v>
      </c>
      <c r="R793" s="49">
        <f t="shared" si="254"/>
        <v>1</v>
      </c>
      <c r="S793" s="50">
        <f t="shared" si="255"/>
        <v>0.01</v>
      </c>
      <c r="T793" s="49">
        <f t="shared" si="256"/>
        <v>3057.51</v>
      </c>
      <c r="U793" s="51">
        <f t="shared" si="257"/>
        <v>0</v>
      </c>
      <c r="V793" s="52">
        <f>IF(0&lt;0.8,0,IF(0&lt;1,Sheet3!L561,1))*IF(G793&lt;3,0.12 - O793,0.01) *U793</f>
        <v>0</v>
      </c>
      <c r="W793" s="52">
        <f t="shared" si="258"/>
        <v>0</v>
      </c>
      <c r="X793" s="53">
        <f t="shared" si="259"/>
        <v>0</v>
      </c>
      <c r="Y793" s="53">
        <f t="shared" si="260"/>
        <v>0</v>
      </c>
      <c r="Z793" s="54">
        <f t="shared" si="250"/>
        <v>0</v>
      </c>
      <c r="AA793" s="54">
        <f t="shared" si="261"/>
        <v>0</v>
      </c>
      <c r="AB793" s="55">
        <f t="shared" si="251"/>
        <v>0</v>
      </c>
      <c r="AC793" s="55">
        <f t="shared" si="262"/>
        <v>0</v>
      </c>
      <c r="AD793" s="56">
        <f t="shared" si="263"/>
        <v>3057.51</v>
      </c>
    </row>
    <row r="794" spans="3:30">
      <c r="C794" s="43" t="s">
        <v>1394</v>
      </c>
      <c r="D794" s="44" t="s">
        <v>1395</v>
      </c>
      <c r="E794" s="44"/>
      <c r="F794" s="45">
        <v>38950.764745370368</v>
      </c>
      <c r="G794" s="46">
        <v>145</v>
      </c>
      <c r="H794" s="47">
        <v>43379</v>
      </c>
      <c r="I794" s="47">
        <v>43395</v>
      </c>
      <c r="J794" s="46">
        <v>13735271</v>
      </c>
      <c r="K794" s="46">
        <v>0</v>
      </c>
      <c r="L794" s="46">
        <v>0</v>
      </c>
      <c r="M794" s="46">
        <f t="shared" si="252"/>
        <v>13735271</v>
      </c>
      <c r="N794" s="46">
        <v>14046677</v>
      </c>
      <c r="O794" s="48">
        <f t="shared" si="253"/>
        <v>2.2169371446357E-2</v>
      </c>
      <c r="P794" s="46">
        <v>0</v>
      </c>
      <c r="Q794" s="46">
        <v>13735271</v>
      </c>
      <c r="R794" s="49">
        <f t="shared" si="254"/>
        <v>1</v>
      </c>
      <c r="S794" s="50">
        <f t="shared" si="255"/>
        <v>0.01</v>
      </c>
      <c r="T794" s="49">
        <f t="shared" si="256"/>
        <v>137352.71</v>
      </c>
      <c r="U794" s="51">
        <f t="shared" si="257"/>
        <v>0</v>
      </c>
      <c r="V794" s="52">
        <f>IF(0&lt;0.8,0,IF(0&lt;1,Sheet3!L561,1))*IF(G794&lt;3,0.12 - O794,0.01) *U794</f>
        <v>0</v>
      </c>
      <c r="W794" s="52">
        <f t="shared" si="258"/>
        <v>0</v>
      </c>
      <c r="X794" s="53">
        <f t="shared" si="259"/>
        <v>0</v>
      </c>
      <c r="Y794" s="53">
        <f t="shared" si="260"/>
        <v>0</v>
      </c>
      <c r="Z794" s="54">
        <f t="shared" si="250"/>
        <v>0</v>
      </c>
      <c r="AA794" s="54">
        <f t="shared" si="261"/>
        <v>0</v>
      </c>
      <c r="AB794" s="55">
        <f t="shared" si="251"/>
        <v>0</v>
      </c>
      <c r="AC794" s="55">
        <f t="shared" si="262"/>
        <v>0</v>
      </c>
      <c r="AD794" s="56">
        <f t="shared" si="263"/>
        <v>137352.71</v>
      </c>
    </row>
    <row r="795" spans="3:30">
      <c r="C795" s="43" t="s">
        <v>1396</v>
      </c>
      <c r="D795" s="44" t="s">
        <v>1397</v>
      </c>
      <c r="E795" s="44"/>
      <c r="F795" s="45">
        <v>38950.764756944445</v>
      </c>
      <c r="G795" s="46">
        <v>145</v>
      </c>
      <c r="H795" s="47">
        <v>43448</v>
      </c>
      <c r="I795" s="47">
        <v>43497</v>
      </c>
      <c r="J795" s="46">
        <v>45333748</v>
      </c>
      <c r="K795" s="46">
        <v>0</v>
      </c>
      <c r="L795" s="46">
        <v>0</v>
      </c>
      <c r="M795" s="46">
        <f t="shared" si="252"/>
        <v>45333748</v>
      </c>
      <c r="N795" s="46">
        <v>45333748</v>
      </c>
      <c r="O795" s="48">
        <f t="shared" si="253"/>
        <v>0</v>
      </c>
      <c r="P795" s="46">
        <v>0</v>
      </c>
      <c r="Q795" s="46">
        <v>45333748</v>
      </c>
      <c r="R795" s="49">
        <f t="shared" si="254"/>
        <v>1</v>
      </c>
      <c r="S795" s="50">
        <f t="shared" si="255"/>
        <v>0.01</v>
      </c>
      <c r="T795" s="49">
        <f t="shared" si="256"/>
        <v>453337.48</v>
      </c>
      <c r="U795" s="51">
        <f t="shared" si="257"/>
        <v>0</v>
      </c>
      <c r="V795" s="52">
        <f>IF(0&lt;0.8,0,IF(0&lt;1,Sheet3!L561,1))*IF(G795&lt;3,0.12 - O795,0.01) *U795</f>
        <v>0</v>
      </c>
      <c r="W795" s="52">
        <f t="shared" si="258"/>
        <v>0</v>
      </c>
      <c r="X795" s="53">
        <f t="shared" si="259"/>
        <v>0</v>
      </c>
      <c r="Y795" s="53">
        <f t="shared" si="260"/>
        <v>0</v>
      </c>
      <c r="Z795" s="54">
        <f t="shared" si="250"/>
        <v>0</v>
      </c>
      <c r="AA795" s="54">
        <f t="shared" si="261"/>
        <v>0</v>
      </c>
      <c r="AB795" s="55">
        <f t="shared" si="251"/>
        <v>0</v>
      </c>
      <c r="AC795" s="55">
        <f t="shared" si="262"/>
        <v>0</v>
      </c>
      <c r="AD795" s="56">
        <f t="shared" si="263"/>
        <v>453337.48</v>
      </c>
    </row>
    <row r="796" spans="3:30">
      <c r="C796" s="43" t="s">
        <v>1398</v>
      </c>
      <c r="D796" s="44" t="s">
        <v>1399</v>
      </c>
      <c r="E796" s="44"/>
      <c r="F796" s="45">
        <v>38950.765289351853</v>
      </c>
      <c r="G796" s="46">
        <v>145</v>
      </c>
      <c r="H796" s="47">
        <v>43419</v>
      </c>
      <c r="I796" s="47">
        <v>43447</v>
      </c>
      <c r="J796" s="46">
        <v>11433816</v>
      </c>
      <c r="K796" s="46">
        <v>1033388</v>
      </c>
      <c r="L796" s="46">
        <v>0</v>
      </c>
      <c r="M796" s="46">
        <f t="shared" si="252"/>
        <v>10400428</v>
      </c>
      <c r="N796" s="46">
        <v>18773816</v>
      </c>
      <c r="O796" s="48">
        <f t="shared" si="253"/>
        <v>0.44601417207881444</v>
      </c>
      <c r="P796" s="46">
        <v>0</v>
      </c>
      <c r="Q796" s="46">
        <v>11749384</v>
      </c>
      <c r="R796" s="49">
        <f t="shared" si="254"/>
        <v>1</v>
      </c>
      <c r="S796" s="50">
        <f t="shared" si="255"/>
        <v>0.01</v>
      </c>
      <c r="T796" s="49">
        <f t="shared" si="256"/>
        <v>104004.28</v>
      </c>
      <c r="U796" s="51">
        <f t="shared" si="257"/>
        <v>0</v>
      </c>
      <c r="V796" s="52">
        <f>IF(0&lt;0.8,0,IF(0&lt;1,Sheet3!L561,1))*IF(G796&lt;3,0.12 - O796,0.01) *U796</f>
        <v>0</v>
      </c>
      <c r="W796" s="52">
        <f t="shared" si="258"/>
        <v>0</v>
      </c>
      <c r="X796" s="53">
        <f t="shared" si="259"/>
        <v>0</v>
      </c>
      <c r="Y796" s="53">
        <f t="shared" si="260"/>
        <v>0</v>
      </c>
      <c r="Z796" s="54">
        <f t="shared" si="250"/>
        <v>0</v>
      </c>
      <c r="AA796" s="54">
        <f t="shared" si="261"/>
        <v>0</v>
      </c>
      <c r="AB796" s="55">
        <f t="shared" si="251"/>
        <v>0</v>
      </c>
      <c r="AC796" s="55">
        <f t="shared" si="262"/>
        <v>0</v>
      </c>
      <c r="AD796" s="56">
        <f t="shared" si="263"/>
        <v>104004.28</v>
      </c>
    </row>
    <row r="797" spans="3:30">
      <c r="C797" s="43" t="s">
        <v>1400</v>
      </c>
      <c r="D797" s="44" t="s">
        <v>1401</v>
      </c>
      <c r="E797" s="44"/>
      <c r="F797" s="45">
        <v>38950.765300925923</v>
      </c>
      <c r="G797" s="46">
        <v>145</v>
      </c>
      <c r="H797" s="47">
        <v>43379</v>
      </c>
      <c r="I797" s="47">
        <v>43398</v>
      </c>
      <c r="J797" s="46">
        <v>340178</v>
      </c>
      <c r="K797" s="46">
        <v>0</v>
      </c>
      <c r="L797" s="46">
        <v>0</v>
      </c>
      <c r="M797" s="46">
        <f t="shared" si="252"/>
        <v>340178</v>
      </c>
      <c r="N797" s="46">
        <v>340178</v>
      </c>
      <c r="O797" s="48">
        <f t="shared" si="253"/>
        <v>0</v>
      </c>
      <c r="P797" s="46">
        <v>0</v>
      </c>
      <c r="Q797" s="46">
        <v>340178</v>
      </c>
      <c r="R797" s="49">
        <f t="shared" si="254"/>
        <v>1</v>
      </c>
      <c r="S797" s="50">
        <f t="shared" si="255"/>
        <v>0.01</v>
      </c>
      <c r="T797" s="49">
        <f t="shared" si="256"/>
        <v>3401.78</v>
      </c>
      <c r="U797" s="51">
        <f t="shared" si="257"/>
        <v>0</v>
      </c>
      <c r="V797" s="52">
        <f>IF(0&lt;0.8,0,IF(0&lt;1,Sheet3!L561,1))*IF(G797&lt;3,0.12 - O797,0.01) *U797</f>
        <v>0</v>
      </c>
      <c r="W797" s="52">
        <f t="shared" si="258"/>
        <v>0</v>
      </c>
      <c r="X797" s="53">
        <f t="shared" si="259"/>
        <v>0</v>
      </c>
      <c r="Y797" s="53">
        <f t="shared" si="260"/>
        <v>0</v>
      </c>
      <c r="Z797" s="54">
        <f t="shared" si="250"/>
        <v>0</v>
      </c>
      <c r="AA797" s="54">
        <f t="shared" si="261"/>
        <v>0</v>
      </c>
      <c r="AB797" s="55">
        <f t="shared" si="251"/>
        <v>0</v>
      </c>
      <c r="AC797" s="55">
        <f t="shared" si="262"/>
        <v>0</v>
      </c>
      <c r="AD797" s="56">
        <f t="shared" si="263"/>
        <v>3401.78</v>
      </c>
    </row>
    <row r="798" spans="3:30">
      <c r="C798" s="43" t="s">
        <v>1402</v>
      </c>
      <c r="D798" s="44" t="s">
        <v>1403</v>
      </c>
      <c r="E798" s="44"/>
      <c r="F798" s="45">
        <v>38950.765300925923</v>
      </c>
      <c r="G798" s="46">
        <v>145</v>
      </c>
      <c r="H798" s="47">
        <v>43372</v>
      </c>
      <c r="I798" s="47">
        <v>43403</v>
      </c>
      <c r="J798" s="46">
        <v>3280538</v>
      </c>
      <c r="K798" s="46">
        <v>0</v>
      </c>
      <c r="L798" s="46">
        <v>0</v>
      </c>
      <c r="M798" s="46">
        <f t="shared" si="252"/>
        <v>3280538</v>
      </c>
      <c r="N798" s="46">
        <v>3280538</v>
      </c>
      <c r="O798" s="48">
        <f t="shared" si="253"/>
        <v>0</v>
      </c>
      <c r="P798" s="46">
        <v>0</v>
      </c>
      <c r="Q798" s="46">
        <v>3280538</v>
      </c>
      <c r="R798" s="49">
        <f t="shared" si="254"/>
        <v>1</v>
      </c>
      <c r="S798" s="50">
        <f t="shared" si="255"/>
        <v>0.01</v>
      </c>
      <c r="T798" s="49">
        <f t="shared" si="256"/>
        <v>32805.379999999997</v>
      </c>
      <c r="U798" s="51">
        <f t="shared" si="257"/>
        <v>0</v>
      </c>
      <c r="V798" s="52">
        <f>IF(0&lt;0.8,0,IF(0&lt;1,Sheet3!L561,1))*IF(G798&lt;3,0.12 - O798,0.01) *U798</f>
        <v>0</v>
      </c>
      <c r="W798" s="52">
        <f t="shared" si="258"/>
        <v>0</v>
      </c>
      <c r="X798" s="53">
        <f t="shared" si="259"/>
        <v>0</v>
      </c>
      <c r="Y798" s="53">
        <f t="shared" si="260"/>
        <v>0</v>
      </c>
      <c r="Z798" s="54">
        <f t="shared" si="250"/>
        <v>0</v>
      </c>
      <c r="AA798" s="54">
        <f t="shared" si="261"/>
        <v>0</v>
      </c>
      <c r="AB798" s="55">
        <f t="shared" si="251"/>
        <v>0</v>
      </c>
      <c r="AC798" s="55">
        <f t="shared" si="262"/>
        <v>0</v>
      </c>
      <c r="AD798" s="56">
        <f t="shared" si="263"/>
        <v>32805.379999999997</v>
      </c>
    </row>
    <row r="799" spans="3:30">
      <c r="C799" s="43" t="s">
        <v>1404</v>
      </c>
      <c r="D799" s="44" t="s">
        <v>1405</v>
      </c>
      <c r="E799" s="44"/>
      <c r="F799" s="45">
        <v>38950.765324074069</v>
      </c>
      <c r="G799" s="46">
        <v>145</v>
      </c>
      <c r="H799" s="47">
        <v>43372</v>
      </c>
      <c r="I799" s="47">
        <v>43448</v>
      </c>
      <c r="J799" s="46">
        <v>967516</v>
      </c>
      <c r="K799" s="46">
        <v>0</v>
      </c>
      <c r="L799" s="46">
        <v>0</v>
      </c>
      <c r="M799" s="46">
        <f t="shared" si="252"/>
        <v>967516</v>
      </c>
      <c r="N799" s="46">
        <v>967516</v>
      </c>
      <c r="O799" s="48">
        <f t="shared" si="253"/>
        <v>0</v>
      </c>
      <c r="P799" s="46">
        <v>0</v>
      </c>
      <c r="Q799" s="46">
        <v>967516</v>
      </c>
      <c r="R799" s="49">
        <f t="shared" si="254"/>
        <v>1</v>
      </c>
      <c r="S799" s="50">
        <f t="shared" si="255"/>
        <v>0.01</v>
      </c>
      <c r="T799" s="49">
        <f t="shared" si="256"/>
        <v>9675.16</v>
      </c>
      <c r="U799" s="51">
        <f t="shared" si="257"/>
        <v>0</v>
      </c>
      <c r="V799" s="52">
        <f>IF(0&lt;0.8,0,IF(0&lt;1,Sheet3!L561,1))*IF(G799&lt;3,0.12 - O799,0.01) *U799</f>
        <v>0</v>
      </c>
      <c r="W799" s="52">
        <f t="shared" si="258"/>
        <v>0</v>
      </c>
      <c r="X799" s="53">
        <f t="shared" si="259"/>
        <v>0</v>
      </c>
      <c r="Y799" s="53">
        <f t="shared" si="260"/>
        <v>0</v>
      </c>
      <c r="Z799" s="54">
        <f t="shared" si="250"/>
        <v>0</v>
      </c>
      <c r="AA799" s="54">
        <f t="shared" si="261"/>
        <v>0</v>
      </c>
      <c r="AB799" s="55">
        <f t="shared" si="251"/>
        <v>0</v>
      </c>
      <c r="AC799" s="55">
        <f t="shared" si="262"/>
        <v>0</v>
      </c>
      <c r="AD799" s="56">
        <f t="shared" si="263"/>
        <v>9675.16</v>
      </c>
    </row>
    <row r="800" spans="3:30">
      <c r="C800" s="43" t="s">
        <v>1406</v>
      </c>
      <c r="D800" s="44" t="s">
        <v>1407</v>
      </c>
      <c r="E800" s="44"/>
      <c r="F800" s="45">
        <v>38950.765324074069</v>
      </c>
      <c r="G800" s="46">
        <v>145</v>
      </c>
      <c r="H800" s="47">
        <v>43379</v>
      </c>
      <c r="I800" s="47">
        <v>43494</v>
      </c>
      <c r="J800" s="46">
        <v>1136432</v>
      </c>
      <c r="K800" s="46">
        <v>0</v>
      </c>
      <c r="L800" s="46">
        <v>0</v>
      </c>
      <c r="M800" s="46">
        <f t="shared" si="252"/>
        <v>1136432</v>
      </c>
      <c r="N800" s="46">
        <v>1136432</v>
      </c>
      <c r="O800" s="48">
        <f t="shared" si="253"/>
        <v>0</v>
      </c>
      <c r="P800" s="46">
        <v>0</v>
      </c>
      <c r="Q800" s="46">
        <v>1136432</v>
      </c>
      <c r="R800" s="49">
        <f t="shared" si="254"/>
        <v>1</v>
      </c>
      <c r="S800" s="50">
        <f t="shared" si="255"/>
        <v>0.01</v>
      </c>
      <c r="T800" s="49">
        <f t="shared" si="256"/>
        <v>11364.32</v>
      </c>
      <c r="U800" s="51">
        <f t="shared" si="257"/>
        <v>0</v>
      </c>
      <c r="V800" s="52">
        <f>IF(0&lt;0.8,0,IF(0&lt;1,Sheet3!L561,1))*IF(G800&lt;3,0.12 - O800,0.01) *U800</f>
        <v>0</v>
      </c>
      <c r="W800" s="52">
        <f t="shared" si="258"/>
        <v>0</v>
      </c>
      <c r="X800" s="53">
        <f t="shared" si="259"/>
        <v>0</v>
      </c>
      <c r="Y800" s="53">
        <f t="shared" si="260"/>
        <v>0</v>
      </c>
      <c r="Z800" s="54">
        <f t="shared" si="250"/>
        <v>0</v>
      </c>
      <c r="AA800" s="54">
        <f t="shared" si="261"/>
        <v>0</v>
      </c>
      <c r="AB800" s="55">
        <f t="shared" si="251"/>
        <v>0</v>
      </c>
      <c r="AC800" s="55">
        <f t="shared" si="262"/>
        <v>0</v>
      </c>
      <c r="AD800" s="56">
        <f t="shared" si="263"/>
        <v>11364.32</v>
      </c>
    </row>
    <row r="801" spans="3:30">
      <c r="C801" s="43" t="s">
        <v>1408</v>
      </c>
      <c r="D801" s="44" t="s">
        <v>1409</v>
      </c>
      <c r="E801" s="44"/>
      <c r="F801" s="45">
        <v>38950.765347222223</v>
      </c>
      <c r="G801" s="46">
        <v>145</v>
      </c>
      <c r="H801" s="47" t="s">
        <v>24</v>
      </c>
      <c r="I801" s="47" t="s">
        <v>24</v>
      </c>
      <c r="J801" s="46">
        <v>11039740</v>
      </c>
      <c r="K801" s="46">
        <v>0</v>
      </c>
      <c r="L801" s="46">
        <v>0</v>
      </c>
      <c r="M801" s="46">
        <f t="shared" si="252"/>
        <v>11039740</v>
      </c>
      <c r="N801" s="46" t="s">
        <v>24</v>
      </c>
      <c r="O801" s="48">
        <f t="shared" si="253"/>
        <v>0</v>
      </c>
      <c r="P801" s="46">
        <v>0</v>
      </c>
      <c r="Q801" s="46">
        <v>0</v>
      </c>
      <c r="R801" s="49">
        <f t="shared" si="254"/>
        <v>1</v>
      </c>
      <c r="S801" s="50">
        <f t="shared" si="255"/>
        <v>0.01</v>
      </c>
      <c r="T801" s="49">
        <f t="shared" si="256"/>
        <v>110397.40000000001</v>
      </c>
      <c r="U801" s="51">
        <f t="shared" si="257"/>
        <v>0</v>
      </c>
      <c r="V801" s="52">
        <f>IF(0&lt;0.8,0,IF(0&lt;1,Sheet3!L561,1))*IF(G801&lt;3,0.12 - O801,0.01) *U801</f>
        <v>0</v>
      </c>
      <c r="W801" s="52">
        <f t="shared" si="258"/>
        <v>0</v>
      </c>
      <c r="X801" s="53">
        <f t="shared" si="259"/>
        <v>0</v>
      </c>
      <c r="Y801" s="53">
        <f t="shared" si="260"/>
        <v>0</v>
      </c>
      <c r="Z801" s="54">
        <f>IF(R801=1,0,"")</f>
        <v>0</v>
      </c>
      <c r="AA801" s="54">
        <f t="shared" si="261"/>
        <v>0</v>
      </c>
      <c r="AB801" s="55">
        <f>IF(R801=0,"",0)</f>
        <v>0</v>
      </c>
      <c r="AC801" s="55">
        <f t="shared" si="262"/>
        <v>0</v>
      </c>
      <c r="AD801" s="56">
        <f t="shared" si="263"/>
        <v>110397.40000000001</v>
      </c>
    </row>
    <row r="802" spans="3:30">
      <c r="C802" s="43" t="s">
        <v>1410</v>
      </c>
      <c r="D802" s="44" t="s">
        <v>1411</v>
      </c>
      <c r="E802" s="44"/>
      <c r="F802" s="45">
        <v>38950.765370370369</v>
      </c>
      <c r="G802" s="46">
        <v>145</v>
      </c>
      <c r="H802" s="47">
        <v>43376</v>
      </c>
      <c r="I802" s="47">
        <v>43385</v>
      </c>
      <c r="J802" s="46">
        <v>1091774</v>
      </c>
      <c r="K802" s="46">
        <v>0</v>
      </c>
      <c r="L802" s="46">
        <v>0</v>
      </c>
      <c r="M802" s="46">
        <f t="shared" si="252"/>
        <v>1091774</v>
      </c>
      <c r="N802" s="46">
        <v>1091774</v>
      </c>
      <c r="O802" s="48">
        <f t="shared" si="253"/>
        <v>0</v>
      </c>
      <c r="P802" s="46">
        <v>0</v>
      </c>
      <c r="Q802" s="46">
        <v>1091774</v>
      </c>
      <c r="R802" s="49">
        <f t="shared" si="254"/>
        <v>1</v>
      </c>
      <c r="S802" s="50">
        <f t="shared" si="255"/>
        <v>0.01</v>
      </c>
      <c r="T802" s="49">
        <f t="shared" si="256"/>
        <v>10917.74</v>
      </c>
      <c r="U802" s="51">
        <f t="shared" si="257"/>
        <v>0</v>
      </c>
      <c r="V802" s="52">
        <f>IF(0&lt;0.8,0,IF(0&lt;1,Sheet3!L561,1))*IF(G802&lt;3,0.12 - O802,0.01) *U802</f>
        <v>0</v>
      </c>
      <c r="W802" s="52">
        <f t="shared" si="258"/>
        <v>0</v>
      </c>
      <c r="X802" s="53">
        <f t="shared" si="259"/>
        <v>0</v>
      </c>
      <c r="Y802" s="53">
        <f t="shared" si="260"/>
        <v>0</v>
      </c>
      <c r="Z802" s="54">
        <f t="shared" ref="Z802:Z865" si="264">IF(R802=1,0,0)</f>
        <v>0</v>
      </c>
      <c r="AA802" s="54">
        <f t="shared" si="261"/>
        <v>0</v>
      </c>
      <c r="AB802" s="55">
        <f t="shared" ref="AB802:AB865" si="265">IF(R802=0,0,0)</f>
        <v>0</v>
      </c>
      <c r="AC802" s="55">
        <f t="shared" si="262"/>
        <v>0</v>
      </c>
      <c r="AD802" s="56">
        <f t="shared" si="263"/>
        <v>10917.74</v>
      </c>
    </row>
    <row r="803" spans="3:30">
      <c r="C803" s="43" t="s">
        <v>1412</v>
      </c>
      <c r="D803" s="44" t="s">
        <v>1413</v>
      </c>
      <c r="E803" s="44"/>
      <c r="F803" s="45">
        <v>38950.765381944446</v>
      </c>
      <c r="G803" s="46">
        <v>145</v>
      </c>
      <c r="H803" s="47">
        <v>43388</v>
      </c>
      <c r="I803" s="47">
        <v>43400</v>
      </c>
      <c r="J803" s="46">
        <v>8705654</v>
      </c>
      <c r="K803" s="46">
        <v>0</v>
      </c>
      <c r="L803" s="46">
        <v>0</v>
      </c>
      <c r="M803" s="46">
        <f t="shared" si="252"/>
        <v>8705654</v>
      </c>
      <c r="N803" s="46">
        <v>8705654</v>
      </c>
      <c r="O803" s="48">
        <f t="shared" si="253"/>
        <v>0</v>
      </c>
      <c r="P803" s="46">
        <v>0</v>
      </c>
      <c r="Q803" s="46">
        <v>8705654</v>
      </c>
      <c r="R803" s="49">
        <f t="shared" si="254"/>
        <v>1</v>
      </c>
      <c r="S803" s="50">
        <f t="shared" si="255"/>
        <v>0.01</v>
      </c>
      <c r="T803" s="49">
        <f t="shared" si="256"/>
        <v>87056.540000000008</v>
      </c>
      <c r="U803" s="51">
        <f t="shared" si="257"/>
        <v>0</v>
      </c>
      <c r="V803" s="52">
        <f>IF(0&lt;0.8,0,IF(0&lt;1,Sheet3!L561,1))*IF(G803&lt;3,0.12 - O803,0.01) *U803</f>
        <v>0</v>
      </c>
      <c r="W803" s="52">
        <f t="shared" si="258"/>
        <v>0</v>
      </c>
      <c r="X803" s="53">
        <f t="shared" si="259"/>
        <v>0</v>
      </c>
      <c r="Y803" s="53">
        <f t="shared" si="260"/>
        <v>0</v>
      </c>
      <c r="Z803" s="54">
        <f t="shared" si="264"/>
        <v>0</v>
      </c>
      <c r="AA803" s="54">
        <f t="shared" si="261"/>
        <v>0</v>
      </c>
      <c r="AB803" s="55">
        <f t="shared" si="265"/>
        <v>0</v>
      </c>
      <c r="AC803" s="55">
        <f t="shared" si="262"/>
        <v>0</v>
      </c>
      <c r="AD803" s="56">
        <f t="shared" si="263"/>
        <v>87056.540000000008</v>
      </c>
    </row>
    <row r="804" spans="3:30">
      <c r="C804" s="43" t="s">
        <v>1414</v>
      </c>
      <c r="D804" s="44" t="s">
        <v>1415</v>
      </c>
      <c r="E804" s="44"/>
      <c r="F804" s="45">
        <v>38950.765081018515</v>
      </c>
      <c r="G804" s="46">
        <v>145</v>
      </c>
      <c r="H804" s="47">
        <v>43418</v>
      </c>
      <c r="I804" s="47">
        <v>43439</v>
      </c>
      <c r="J804" s="46">
        <v>14676500</v>
      </c>
      <c r="K804" s="46">
        <v>6005547</v>
      </c>
      <c r="L804" s="46">
        <v>0</v>
      </c>
      <c r="M804" s="46">
        <f t="shared" si="252"/>
        <v>8670953</v>
      </c>
      <c r="N804" s="46">
        <v>19860819</v>
      </c>
      <c r="O804" s="48">
        <f t="shared" si="253"/>
        <v>0.56341412708106353</v>
      </c>
      <c r="P804" s="46">
        <v>0</v>
      </c>
      <c r="Q804" s="46">
        <v>9788500</v>
      </c>
      <c r="R804" s="49">
        <f t="shared" si="254"/>
        <v>1</v>
      </c>
      <c r="S804" s="50">
        <f t="shared" si="255"/>
        <v>0.01</v>
      </c>
      <c r="T804" s="49">
        <f t="shared" si="256"/>
        <v>86709.53</v>
      </c>
      <c r="U804" s="51">
        <f t="shared" si="257"/>
        <v>0</v>
      </c>
      <c r="V804" s="52">
        <f>IF(0&lt;0.8,0,IF(0&lt;1,Sheet3!L561,1))*IF(G804&lt;3,0.12 - O804,0.01) *U804</f>
        <v>0</v>
      </c>
      <c r="W804" s="52">
        <f t="shared" si="258"/>
        <v>0</v>
      </c>
      <c r="X804" s="53">
        <f t="shared" si="259"/>
        <v>0</v>
      </c>
      <c r="Y804" s="53">
        <f t="shared" si="260"/>
        <v>0</v>
      </c>
      <c r="Z804" s="54">
        <f t="shared" si="264"/>
        <v>0</v>
      </c>
      <c r="AA804" s="54">
        <f t="shared" si="261"/>
        <v>0</v>
      </c>
      <c r="AB804" s="55">
        <f t="shared" si="265"/>
        <v>0</v>
      </c>
      <c r="AC804" s="55">
        <f t="shared" si="262"/>
        <v>0</v>
      </c>
      <c r="AD804" s="56">
        <f t="shared" si="263"/>
        <v>86709.53</v>
      </c>
    </row>
    <row r="805" spans="3:30">
      <c r="C805" s="43" t="s">
        <v>1416</v>
      </c>
      <c r="D805" s="44" t="s">
        <v>1417</v>
      </c>
      <c r="E805" s="44"/>
      <c r="F805" s="45">
        <v>38950.765138888884</v>
      </c>
      <c r="G805" s="46">
        <v>145</v>
      </c>
      <c r="H805" s="47">
        <v>43404</v>
      </c>
      <c r="I805" s="47">
        <v>43426</v>
      </c>
      <c r="J805" s="46">
        <v>14570593</v>
      </c>
      <c r="K805" s="46">
        <v>1986868</v>
      </c>
      <c r="L805" s="46">
        <v>0</v>
      </c>
      <c r="M805" s="46">
        <f t="shared" si="252"/>
        <v>12583725</v>
      </c>
      <c r="N805" s="46">
        <v>14570593</v>
      </c>
      <c r="O805" s="48">
        <f t="shared" si="253"/>
        <v>0.13636150567104577</v>
      </c>
      <c r="P805" s="46">
        <v>0</v>
      </c>
      <c r="Q805" s="46">
        <v>14747254</v>
      </c>
      <c r="R805" s="49">
        <f t="shared" si="254"/>
        <v>1</v>
      </c>
      <c r="S805" s="50">
        <f t="shared" si="255"/>
        <v>0.01</v>
      </c>
      <c r="T805" s="49">
        <f t="shared" si="256"/>
        <v>125837.25</v>
      </c>
      <c r="U805" s="51">
        <f t="shared" si="257"/>
        <v>0</v>
      </c>
      <c r="V805" s="52">
        <f>IF(0&lt;0.8,0,IF(0&lt;1,Sheet3!L561,1))*IF(G805&lt;3,0.12 - O805,0.01) *U805</f>
        <v>0</v>
      </c>
      <c r="W805" s="52">
        <f t="shared" si="258"/>
        <v>0</v>
      </c>
      <c r="X805" s="53">
        <f t="shared" si="259"/>
        <v>0</v>
      </c>
      <c r="Y805" s="53">
        <f t="shared" si="260"/>
        <v>0</v>
      </c>
      <c r="Z805" s="54">
        <f t="shared" si="264"/>
        <v>0</v>
      </c>
      <c r="AA805" s="54">
        <f t="shared" si="261"/>
        <v>0</v>
      </c>
      <c r="AB805" s="55">
        <f t="shared" si="265"/>
        <v>0</v>
      </c>
      <c r="AC805" s="55">
        <f t="shared" si="262"/>
        <v>0</v>
      </c>
      <c r="AD805" s="56">
        <f t="shared" si="263"/>
        <v>125837.25</v>
      </c>
    </row>
    <row r="806" spans="3:30">
      <c r="C806" s="43" t="s">
        <v>1418</v>
      </c>
      <c r="D806" s="44" t="s">
        <v>1419</v>
      </c>
      <c r="E806" s="44"/>
      <c r="F806" s="45">
        <v>38950.765162037038</v>
      </c>
      <c r="G806" s="46">
        <v>145</v>
      </c>
      <c r="H806" s="47">
        <v>43395</v>
      </c>
      <c r="I806" s="47">
        <v>43423</v>
      </c>
      <c r="J806" s="46">
        <v>30819083</v>
      </c>
      <c r="K806" s="46">
        <v>0</v>
      </c>
      <c r="L806" s="46">
        <v>0</v>
      </c>
      <c r="M806" s="46">
        <f t="shared" si="252"/>
        <v>30819083</v>
      </c>
      <c r="N806" s="46">
        <v>49982083</v>
      </c>
      <c r="O806" s="48">
        <f t="shared" si="253"/>
        <v>0.38339738661952127</v>
      </c>
      <c r="P806" s="46">
        <v>0</v>
      </c>
      <c r="Q806" s="46">
        <v>44895784</v>
      </c>
      <c r="R806" s="49">
        <f t="shared" si="254"/>
        <v>1</v>
      </c>
      <c r="S806" s="50">
        <f t="shared" si="255"/>
        <v>0.01</v>
      </c>
      <c r="T806" s="49">
        <f t="shared" si="256"/>
        <v>308190.83</v>
      </c>
      <c r="U806" s="51">
        <f t="shared" si="257"/>
        <v>0</v>
      </c>
      <c r="V806" s="52">
        <f>IF(0&lt;0.8,0,IF(0&lt;1,Sheet3!L561,1))*IF(G806&lt;3,0.12 - O806,0.01) *U806</f>
        <v>0</v>
      </c>
      <c r="W806" s="52">
        <f t="shared" si="258"/>
        <v>0</v>
      </c>
      <c r="X806" s="53">
        <f t="shared" si="259"/>
        <v>0</v>
      </c>
      <c r="Y806" s="53">
        <f t="shared" si="260"/>
        <v>0</v>
      </c>
      <c r="Z806" s="54">
        <f t="shared" si="264"/>
        <v>0</v>
      </c>
      <c r="AA806" s="54">
        <f t="shared" si="261"/>
        <v>0</v>
      </c>
      <c r="AB806" s="55">
        <f t="shared" si="265"/>
        <v>0</v>
      </c>
      <c r="AC806" s="55">
        <f t="shared" si="262"/>
        <v>0</v>
      </c>
      <c r="AD806" s="56">
        <f t="shared" si="263"/>
        <v>308190.83</v>
      </c>
    </row>
    <row r="807" spans="3:30">
      <c r="C807" s="43" t="s">
        <v>1420</v>
      </c>
      <c r="D807" s="44" t="s">
        <v>1421</v>
      </c>
      <c r="E807" s="44"/>
      <c r="F807" s="45">
        <v>38950.765162037038</v>
      </c>
      <c r="G807" s="46">
        <v>145</v>
      </c>
      <c r="H807" s="47">
        <v>43375</v>
      </c>
      <c r="I807" s="47">
        <v>43386</v>
      </c>
      <c r="J807" s="46">
        <v>1319030</v>
      </c>
      <c r="K807" s="46">
        <v>0</v>
      </c>
      <c r="L807" s="46">
        <v>0</v>
      </c>
      <c r="M807" s="46">
        <f t="shared" si="252"/>
        <v>1319030</v>
      </c>
      <c r="N807" s="46">
        <v>1319030</v>
      </c>
      <c r="O807" s="48">
        <f t="shared" si="253"/>
        <v>0</v>
      </c>
      <c r="P807" s="46">
        <v>0</v>
      </c>
      <c r="Q807" s="46">
        <v>1319030</v>
      </c>
      <c r="R807" s="49">
        <f t="shared" si="254"/>
        <v>1</v>
      </c>
      <c r="S807" s="50">
        <f t="shared" si="255"/>
        <v>0.01</v>
      </c>
      <c r="T807" s="49">
        <f t="shared" si="256"/>
        <v>13190.300000000001</v>
      </c>
      <c r="U807" s="51">
        <f t="shared" si="257"/>
        <v>0</v>
      </c>
      <c r="V807" s="52">
        <f>IF(0&lt;0.8,0,IF(0&lt;1,Sheet3!L561,1))*IF(G807&lt;3,0.12 - O807,0.01) *U807</f>
        <v>0</v>
      </c>
      <c r="W807" s="52">
        <f t="shared" si="258"/>
        <v>0</v>
      </c>
      <c r="X807" s="53">
        <f t="shared" si="259"/>
        <v>0</v>
      </c>
      <c r="Y807" s="53">
        <f t="shared" si="260"/>
        <v>0</v>
      </c>
      <c r="Z807" s="54">
        <f t="shared" si="264"/>
        <v>0</v>
      </c>
      <c r="AA807" s="54">
        <f t="shared" si="261"/>
        <v>0</v>
      </c>
      <c r="AB807" s="55">
        <f t="shared" si="265"/>
        <v>0</v>
      </c>
      <c r="AC807" s="55">
        <f t="shared" si="262"/>
        <v>0</v>
      </c>
      <c r="AD807" s="56">
        <f t="shared" si="263"/>
        <v>13190.300000000001</v>
      </c>
    </row>
    <row r="808" spans="3:30">
      <c r="C808" s="43" t="s">
        <v>1422</v>
      </c>
      <c r="D808" s="44" t="s">
        <v>1423</v>
      </c>
      <c r="E808" s="44"/>
      <c r="F808" s="45">
        <v>38950.765219907407</v>
      </c>
      <c r="G808" s="46">
        <v>145</v>
      </c>
      <c r="H808" s="47">
        <v>43376</v>
      </c>
      <c r="I808" s="47">
        <v>43385</v>
      </c>
      <c r="J808" s="46">
        <v>749124</v>
      </c>
      <c r="K808" s="46">
        <v>0</v>
      </c>
      <c r="L808" s="46">
        <v>0</v>
      </c>
      <c r="M808" s="46">
        <f t="shared" si="252"/>
        <v>749124</v>
      </c>
      <c r="N808" s="46">
        <v>749124</v>
      </c>
      <c r="O808" s="48">
        <f t="shared" si="253"/>
        <v>0</v>
      </c>
      <c r="P808" s="46">
        <v>0</v>
      </c>
      <c r="Q808" s="46">
        <v>749124</v>
      </c>
      <c r="R808" s="49">
        <f t="shared" si="254"/>
        <v>1</v>
      </c>
      <c r="S808" s="50">
        <f t="shared" si="255"/>
        <v>0.01</v>
      </c>
      <c r="T808" s="49">
        <f t="shared" si="256"/>
        <v>7491.24</v>
      </c>
      <c r="U808" s="51">
        <f t="shared" si="257"/>
        <v>0</v>
      </c>
      <c r="V808" s="52">
        <f>IF(0&lt;0.8,0,IF(0&lt;1,Sheet3!L561,1))*IF(G808&lt;3,0.12 - O808,0.01) *U808</f>
        <v>0</v>
      </c>
      <c r="W808" s="52">
        <f t="shared" si="258"/>
        <v>0</v>
      </c>
      <c r="X808" s="53">
        <f t="shared" si="259"/>
        <v>0</v>
      </c>
      <c r="Y808" s="53">
        <f t="shared" si="260"/>
        <v>0</v>
      </c>
      <c r="Z808" s="54">
        <f t="shared" si="264"/>
        <v>0</v>
      </c>
      <c r="AA808" s="54">
        <f t="shared" si="261"/>
        <v>0</v>
      </c>
      <c r="AB808" s="55">
        <f t="shared" si="265"/>
        <v>0</v>
      </c>
      <c r="AC808" s="55">
        <f t="shared" si="262"/>
        <v>0</v>
      </c>
      <c r="AD808" s="56">
        <f t="shared" si="263"/>
        <v>7491.24</v>
      </c>
    </row>
    <row r="809" spans="3:30">
      <c r="C809" s="43" t="s">
        <v>1424</v>
      </c>
      <c r="D809" s="44" t="s">
        <v>1425</v>
      </c>
      <c r="E809" s="44"/>
      <c r="F809" s="45">
        <v>38950.765219907407</v>
      </c>
      <c r="G809" s="46">
        <v>145</v>
      </c>
      <c r="H809" s="47">
        <v>43372</v>
      </c>
      <c r="I809" s="47">
        <v>43388</v>
      </c>
      <c r="J809" s="46">
        <v>4026236</v>
      </c>
      <c r="K809" s="46">
        <v>355062</v>
      </c>
      <c r="L809" s="46">
        <v>0</v>
      </c>
      <c r="M809" s="46">
        <f t="shared" si="252"/>
        <v>3671174</v>
      </c>
      <c r="N809" s="46">
        <v>4026236</v>
      </c>
      <c r="O809" s="48">
        <f t="shared" si="253"/>
        <v>8.8187080936139806E-2</v>
      </c>
      <c r="P809" s="46">
        <v>0</v>
      </c>
      <c r="Q809" s="46">
        <v>4026236</v>
      </c>
      <c r="R809" s="49">
        <f t="shared" si="254"/>
        <v>1</v>
      </c>
      <c r="S809" s="50">
        <f t="shared" si="255"/>
        <v>0.01</v>
      </c>
      <c r="T809" s="49">
        <f t="shared" si="256"/>
        <v>36711.74</v>
      </c>
      <c r="U809" s="51">
        <f t="shared" si="257"/>
        <v>0</v>
      </c>
      <c r="V809" s="52">
        <f>IF(0&lt;0.8,0,IF(0&lt;1,Sheet3!L561,1))*IF(G809&lt;3,0.12 - O809,0.01) *U809</f>
        <v>0</v>
      </c>
      <c r="W809" s="52">
        <f t="shared" si="258"/>
        <v>0</v>
      </c>
      <c r="X809" s="53">
        <f t="shared" si="259"/>
        <v>0</v>
      </c>
      <c r="Y809" s="53">
        <f t="shared" si="260"/>
        <v>0</v>
      </c>
      <c r="Z809" s="54">
        <f t="shared" si="264"/>
        <v>0</v>
      </c>
      <c r="AA809" s="54">
        <f t="shared" si="261"/>
        <v>0</v>
      </c>
      <c r="AB809" s="55">
        <f t="shared" si="265"/>
        <v>0</v>
      </c>
      <c r="AC809" s="55">
        <f t="shared" si="262"/>
        <v>0</v>
      </c>
      <c r="AD809" s="56">
        <f t="shared" si="263"/>
        <v>36711.74</v>
      </c>
    </row>
    <row r="810" spans="3:30">
      <c r="C810" s="43" t="s">
        <v>1426</v>
      </c>
      <c r="D810" s="44" t="s">
        <v>1427</v>
      </c>
      <c r="E810" s="44"/>
      <c r="F810" s="45">
        <v>38950.76525462963</v>
      </c>
      <c r="G810" s="46">
        <v>145</v>
      </c>
      <c r="H810" s="47">
        <v>43402</v>
      </c>
      <c r="I810" s="47">
        <v>43434</v>
      </c>
      <c r="J810" s="46">
        <v>1087614</v>
      </c>
      <c r="K810" s="46">
        <v>0</v>
      </c>
      <c r="L810" s="46">
        <v>0</v>
      </c>
      <c r="M810" s="46">
        <f t="shared" si="252"/>
        <v>1087614</v>
      </c>
      <c r="N810" s="46">
        <v>1013175</v>
      </c>
      <c r="O810" s="48">
        <f t="shared" si="253"/>
        <v>0</v>
      </c>
      <c r="P810" s="46">
        <v>0</v>
      </c>
      <c r="Q810" s="46">
        <v>1087614</v>
      </c>
      <c r="R810" s="49">
        <f t="shared" si="254"/>
        <v>1</v>
      </c>
      <c r="S810" s="50">
        <f t="shared" si="255"/>
        <v>0.01</v>
      </c>
      <c r="T810" s="49">
        <f t="shared" si="256"/>
        <v>10876.14</v>
      </c>
      <c r="U810" s="51">
        <f t="shared" si="257"/>
        <v>0</v>
      </c>
      <c r="V810" s="52">
        <f>IF(0&lt;0.8,0,IF(0&lt;1,Sheet3!L561,1))*IF(G810&lt;3,0.12 - O810,0.01) *U810</f>
        <v>0</v>
      </c>
      <c r="W810" s="52">
        <f t="shared" si="258"/>
        <v>0</v>
      </c>
      <c r="X810" s="53">
        <f t="shared" si="259"/>
        <v>0</v>
      </c>
      <c r="Y810" s="53">
        <f t="shared" si="260"/>
        <v>0</v>
      </c>
      <c r="Z810" s="54">
        <f t="shared" si="264"/>
        <v>0</v>
      </c>
      <c r="AA810" s="54">
        <f t="shared" si="261"/>
        <v>0</v>
      </c>
      <c r="AB810" s="55">
        <f t="shared" si="265"/>
        <v>0</v>
      </c>
      <c r="AC810" s="55">
        <f t="shared" si="262"/>
        <v>0</v>
      </c>
      <c r="AD810" s="56">
        <f t="shared" si="263"/>
        <v>10876.14</v>
      </c>
    </row>
    <row r="811" spans="3:30">
      <c r="C811" s="43" t="s">
        <v>1428</v>
      </c>
      <c r="D811" s="44" t="s">
        <v>1429</v>
      </c>
      <c r="E811" s="44"/>
      <c r="F811" s="45">
        <v>38966.462696759256</v>
      </c>
      <c r="G811" s="46">
        <v>144</v>
      </c>
      <c r="H811" s="47">
        <v>43377</v>
      </c>
      <c r="I811" s="47">
        <v>43385</v>
      </c>
      <c r="J811" s="46">
        <v>183518</v>
      </c>
      <c r="K811" s="46">
        <v>0</v>
      </c>
      <c r="L811" s="46">
        <v>0</v>
      </c>
      <c r="M811" s="46">
        <f t="shared" si="252"/>
        <v>183518</v>
      </c>
      <c r="N811" s="46">
        <v>183518</v>
      </c>
      <c r="O811" s="48">
        <f t="shared" si="253"/>
        <v>0</v>
      </c>
      <c r="P811" s="46">
        <v>0</v>
      </c>
      <c r="Q811" s="46">
        <v>183518</v>
      </c>
      <c r="R811" s="49">
        <f t="shared" si="254"/>
        <v>1</v>
      </c>
      <c r="S811" s="50">
        <f t="shared" si="255"/>
        <v>0.01</v>
      </c>
      <c r="T811" s="49">
        <f t="shared" si="256"/>
        <v>1835.18</v>
      </c>
      <c r="U811" s="51">
        <f t="shared" si="257"/>
        <v>0</v>
      </c>
      <c r="V811" s="52">
        <f>IF(0&lt;0.8,0,IF(0&lt;1,Sheet3!L561,1))*IF(G811&lt;3,0.12 - O811,0.01) *U811</f>
        <v>0</v>
      </c>
      <c r="W811" s="52">
        <f t="shared" si="258"/>
        <v>0</v>
      </c>
      <c r="X811" s="53">
        <f t="shared" si="259"/>
        <v>0</v>
      </c>
      <c r="Y811" s="53">
        <f t="shared" si="260"/>
        <v>0</v>
      </c>
      <c r="Z811" s="54">
        <f t="shared" si="264"/>
        <v>0</v>
      </c>
      <c r="AA811" s="54">
        <f t="shared" si="261"/>
        <v>0</v>
      </c>
      <c r="AB811" s="55">
        <f t="shared" si="265"/>
        <v>0</v>
      </c>
      <c r="AC811" s="55">
        <f t="shared" si="262"/>
        <v>0</v>
      </c>
      <c r="AD811" s="56">
        <f t="shared" si="263"/>
        <v>1835.18</v>
      </c>
    </row>
    <row r="812" spans="3:30">
      <c r="C812" s="43" t="s">
        <v>1430</v>
      </c>
      <c r="D812" s="44" t="s">
        <v>1431</v>
      </c>
      <c r="E812" s="44"/>
      <c r="F812" s="45">
        <v>38975.450520833328</v>
      </c>
      <c r="G812" s="46">
        <v>144</v>
      </c>
      <c r="H812" s="47">
        <v>43377</v>
      </c>
      <c r="I812" s="47">
        <v>43385</v>
      </c>
      <c r="J812" s="46">
        <v>1443519</v>
      </c>
      <c r="K812" s="46">
        <v>103238</v>
      </c>
      <c r="L812" s="46">
        <v>0</v>
      </c>
      <c r="M812" s="46">
        <f t="shared" si="252"/>
        <v>1340281</v>
      </c>
      <c r="N812" s="46">
        <v>1443519</v>
      </c>
      <c r="O812" s="48">
        <f t="shared" si="253"/>
        <v>7.1518282752080164E-2</v>
      </c>
      <c r="P812" s="46">
        <v>0</v>
      </c>
      <c r="Q812" s="46">
        <v>1443519</v>
      </c>
      <c r="R812" s="49">
        <f t="shared" si="254"/>
        <v>1</v>
      </c>
      <c r="S812" s="50">
        <f t="shared" si="255"/>
        <v>0.01</v>
      </c>
      <c r="T812" s="49">
        <f t="shared" si="256"/>
        <v>13402.81</v>
      </c>
      <c r="U812" s="51">
        <f t="shared" si="257"/>
        <v>0</v>
      </c>
      <c r="V812" s="52">
        <f>IF(0&lt;0.8,0,IF(0&lt;1,Sheet3!L561,1))*IF(G812&lt;3,0.12 - O812,0.01) *U812</f>
        <v>0</v>
      </c>
      <c r="W812" s="52">
        <f t="shared" si="258"/>
        <v>0</v>
      </c>
      <c r="X812" s="53">
        <f t="shared" si="259"/>
        <v>0</v>
      </c>
      <c r="Y812" s="53">
        <f t="shared" si="260"/>
        <v>0</v>
      </c>
      <c r="Z812" s="54">
        <f t="shared" si="264"/>
        <v>0</v>
      </c>
      <c r="AA812" s="54">
        <f t="shared" si="261"/>
        <v>0</v>
      </c>
      <c r="AB812" s="55">
        <f t="shared" si="265"/>
        <v>0</v>
      </c>
      <c r="AC812" s="55">
        <f t="shared" si="262"/>
        <v>0</v>
      </c>
      <c r="AD812" s="56">
        <f t="shared" si="263"/>
        <v>13402.81</v>
      </c>
    </row>
    <row r="813" spans="3:30">
      <c r="C813" s="43" t="s">
        <v>1432</v>
      </c>
      <c r="D813" s="44" t="s">
        <v>1433</v>
      </c>
      <c r="E813" s="44"/>
      <c r="F813" s="45">
        <v>38976.635949074072</v>
      </c>
      <c r="G813" s="46">
        <v>144</v>
      </c>
      <c r="H813" s="47">
        <v>43372</v>
      </c>
      <c r="I813" s="47">
        <v>43383</v>
      </c>
      <c r="J813" s="46">
        <v>1069402</v>
      </c>
      <c r="K813" s="46">
        <v>0</v>
      </c>
      <c r="L813" s="46">
        <v>0</v>
      </c>
      <c r="M813" s="46">
        <f t="shared" si="252"/>
        <v>1069402</v>
      </c>
      <c r="N813" s="46">
        <v>1069402</v>
      </c>
      <c r="O813" s="48">
        <f t="shared" si="253"/>
        <v>0</v>
      </c>
      <c r="P813" s="46">
        <v>0</v>
      </c>
      <c r="Q813" s="46">
        <v>1069402</v>
      </c>
      <c r="R813" s="49">
        <f t="shared" si="254"/>
        <v>1</v>
      </c>
      <c r="S813" s="50">
        <f t="shared" si="255"/>
        <v>0.01</v>
      </c>
      <c r="T813" s="49">
        <f t="shared" si="256"/>
        <v>10694.02</v>
      </c>
      <c r="U813" s="51">
        <f t="shared" si="257"/>
        <v>0</v>
      </c>
      <c r="V813" s="52">
        <f>IF(0&lt;0.8,0,IF(0&lt;1,Sheet3!L561,1))*IF(G813&lt;3,0.12 - O813,0.01) *U813</f>
        <v>0</v>
      </c>
      <c r="W813" s="52">
        <f t="shared" si="258"/>
        <v>0</v>
      </c>
      <c r="X813" s="53">
        <f t="shared" si="259"/>
        <v>0</v>
      </c>
      <c r="Y813" s="53">
        <f t="shared" si="260"/>
        <v>0</v>
      </c>
      <c r="Z813" s="54">
        <f t="shared" si="264"/>
        <v>0</v>
      </c>
      <c r="AA813" s="54">
        <f t="shared" si="261"/>
        <v>0</v>
      </c>
      <c r="AB813" s="55">
        <f t="shared" si="265"/>
        <v>0</v>
      </c>
      <c r="AC813" s="55">
        <f t="shared" si="262"/>
        <v>0</v>
      </c>
      <c r="AD813" s="56">
        <f t="shared" si="263"/>
        <v>10694.02</v>
      </c>
    </row>
    <row r="814" spans="3:30">
      <c r="C814" s="43" t="s">
        <v>1434</v>
      </c>
      <c r="D814" s="44" t="s">
        <v>1435</v>
      </c>
      <c r="E814" s="44"/>
      <c r="F814" s="45">
        <v>39050.456469907404</v>
      </c>
      <c r="G814" s="46">
        <v>142</v>
      </c>
      <c r="H814" s="47">
        <v>43377</v>
      </c>
      <c r="I814" s="47">
        <v>43391</v>
      </c>
      <c r="J814" s="46">
        <v>304992</v>
      </c>
      <c r="K814" s="46">
        <v>0</v>
      </c>
      <c r="L814" s="46">
        <v>0</v>
      </c>
      <c r="M814" s="46">
        <f t="shared" si="252"/>
        <v>304992</v>
      </c>
      <c r="N814" s="46">
        <v>304992</v>
      </c>
      <c r="O814" s="48">
        <f t="shared" si="253"/>
        <v>0</v>
      </c>
      <c r="P814" s="46">
        <v>0</v>
      </c>
      <c r="Q814" s="46">
        <v>304992</v>
      </c>
      <c r="R814" s="49">
        <f t="shared" si="254"/>
        <v>1</v>
      </c>
      <c r="S814" s="50">
        <f t="shared" si="255"/>
        <v>0.01</v>
      </c>
      <c r="T814" s="49">
        <f t="shared" si="256"/>
        <v>3049.92</v>
      </c>
      <c r="U814" s="51">
        <f t="shared" si="257"/>
        <v>0</v>
      </c>
      <c r="V814" s="52">
        <f>IF(0&lt;0.8,0,IF(0&lt;1,Sheet3!L561,1))*IF(G814&lt;3,0.12 - O814,0.01) *U814</f>
        <v>0</v>
      </c>
      <c r="W814" s="52">
        <f t="shared" si="258"/>
        <v>0</v>
      </c>
      <c r="X814" s="53">
        <f t="shared" si="259"/>
        <v>0</v>
      </c>
      <c r="Y814" s="53">
        <f t="shared" si="260"/>
        <v>0</v>
      </c>
      <c r="Z814" s="54">
        <f t="shared" si="264"/>
        <v>0</v>
      </c>
      <c r="AA814" s="54">
        <f t="shared" si="261"/>
        <v>0</v>
      </c>
      <c r="AB814" s="55">
        <f t="shared" si="265"/>
        <v>0</v>
      </c>
      <c r="AC814" s="55">
        <f t="shared" si="262"/>
        <v>0</v>
      </c>
      <c r="AD814" s="56">
        <f t="shared" si="263"/>
        <v>3049.92</v>
      </c>
    </row>
    <row r="815" spans="3:30">
      <c r="C815" s="43" t="s">
        <v>1436</v>
      </c>
      <c r="D815" s="44" t="s">
        <v>1437</v>
      </c>
      <c r="E815" s="44"/>
      <c r="F815" s="45">
        <v>39197.469733796293</v>
      </c>
      <c r="G815" s="46">
        <v>137</v>
      </c>
      <c r="H815" s="47">
        <v>43404</v>
      </c>
      <c r="I815" s="47">
        <v>43412</v>
      </c>
      <c r="J815" s="46">
        <v>6808559</v>
      </c>
      <c r="K815" s="46">
        <v>0</v>
      </c>
      <c r="L815" s="46">
        <v>0</v>
      </c>
      <c r="M815" s="46">
        <f t="shared" si="252"/>
        <v>6808559</v>
      </c>
      <c r="N815" s="46">
        <v>9063531</v>
      </c>
      <c r="O815" s="48">
        <f t="shared" si="253"/>
        <v>0.24879619212423942</v>
      </c>
      <c r="P815" s="46">
        <v>0</v>
      </c>
      <c r="Q815" s="46">
        <v>6815874</v>
      </c>
      <c r="R815" s="49">
        <f t="shared" si="254"/>
        <v>1</v>
      </c>
      <c r="S815" s="50">
        <f t="shared" si="255"/>
        <v>0.01</v>
      </c>
      <c r="T815" s="49">
        <f t="shared" si="256"/>
        <v>68085.59</v>
      </c>
      <c r="U815" s="51">
        <f t="shared" si="257"/>
        <v>0</v>
      </c>
      <c r="V815" s="52">
        <f>IF(0&lt;0.8,0,IF(0&lt;1,Sheet3!L561,1))*IF(G815&lt;3,0.12 - O815,0.01) *U815</f>
        <v>0</v>
      </c>
      <c r="W815" s="52">
        <f t="shared" si="258"/>
        <v>0</v>
      </c>
      <c r="X815" s="53">
        <f t="shared" si="259"/>
        <v>0</v>
      </c>
      <c r="Y815" s="53">
        <f t="shared" si="260"/>
        <v>0</v>
      </c>
      <c r="Z815" s="54">
        <f t="shared" si="264"/>
        <v>0</v>
      </c>
      <c r="AA815" s="54">
        <f t="shared" si="261"/>
        <v>0</v>
      </c>
      <c r="AB815" s="55">
        <f t="shared" si="265"/>
        <v>0</v>
      </c>
      <c r="AC815" s="55">
        <f t="shared" si="262"/>
        <v>0</v>
      </c>
      <c r="AD815" s="56">
        <f t="shared" si="263"/>
        <v>68085.59</v>
      </c>
    </row>
    <row r="816" spans="3:30">
      <c r="C816" s="43" t="s">
        <v>1438</v>
      </c>
      <c r="D816" s="44" t="s">
        <v>1439</v>
      </c>
      <c r="E816" s="44"/>
      <c r="F816" s="45">
        <v>39225.377372685187</v>
      </c>
      <c r="G816" s="46">
        <v>136</v>
      </c>
      <c r="H816" s="47">
        <v>43431</v>
      </c>
      <c r="I816" s="47">
        <v>43459</v>
      </c>
      <c r="J816" s="46">
        <v>105899152</v>
      </c>
      <c r="K816" s="46">
        <v>0</v>
      </c>
      <c r="L816" s="46">
        <v>0</v>
      </c>
      <c r="M816" s="46">
        <f t="shared" si="252"/>
        <v>105899152</v>
      </c>
      <c r="N816" s="46">
        <v>167546807</v>
      </c>
      <c r="O816" s="48">
        <f t="shared" si="253"/>
        <v>0.36794288177631462</v>
      </c>
      <c r="P816" s="46">
        <v>0</v>
      </c>
      <c r="Q816" s="46">
        <v>105974293</v>
      </c>
      <c r="R816" s="49">
        <f t="shared" si="254"/>
        <v>1</v>
      </c>
      <c r="S816" s="50">
        <f t="shared" si="255"/>
        <v>0.01</v>
      </c>
      <c r="T816" s="49">
        <f t="shared" si="256"/>
        <v>1058991.52</v>
      </c>
      <c r="U816" s="51">
        <f t="shared" si="257"/>
        <v>0</v>
      </c>
      <c r="V816" s="52">
        <f>IF(0&lt;0.8,0,IF(0&lt;1,Sheet3!L561,1))*IF(G816&lt;3,0.12 - O816,0.01) *U816</f>
        <v>0</v>
      </c>
      <c r="W816" s="52">
        <f t="shared" si="258"/>
        <v>0</v>
      </c>
      <c r="X816" s="53">
        <f t="shared" si="259"/>
        <v>0</v>
      </c>
      <c r="Y816" s="53">
        <f t="shared" si="260"/>
        <v>0</v>
      </c>
      <c r="Z816" s="54">
        <f t="shared" si="264"/>
        <v>0</v>
      </c>
      <c r="AA816" s="54">
        <f t="shared" si="261"/>
        <v>0</v>
      </c>
      <c r="AB816" s="55">
        <f t="shared" si="265"/>
        <v>0</v>
      </c>
      <c r="AC816" s="55">
        <f t="shared" si="262"/>
        <v>0</v>
      </c>
      <c r="AD816" s="56">
        <f t="shared" si="263"/>
        <v>1058991.52</v>
      </c>
    </row>
    <row r="817" spans="3:30">
      <c r="C817" s="43" t="s">
        <v>1440</v>
      </c>
      <c r="D817" s="44" t="s">
        <v>1441</v>
      </c>
      <c r="E817" s="44"/>
      <c r="F817" s="45">
        <v>39231.587187500001</v>
      </c>
      <c r="G817" s="46">
        <v>136</v>
      </c>
      <c r="H817" s="47">
        <v>43372</v>
      </c>
      <c r="I817" s="47">
        <v>43392</v>
      </c>
      <c r="J817" s="46">
        <v>16546226</v>
      </c>
      <c r="K817" s="46">
        <v>0</v>
      </c>
      <c r="L817" s="46">
        <v>0</v>
      </c>
      <c r="M817" s="46">
        <f t="shared" si="252"/>
        <v>16546226</v>
      </c>
      <c r="N817" s="46">
        <v>36755663</v>
      </c>
      <c r="O817" s="48">
        <f t="shared" si="253"/>
        <v>0.54983192657958591</v>
      </c>
      <c r="P817" s="46">
        <v>0</v>
      </c>
      <c r="Q817" s="46">
        <v>16546226</v>
      </c>
      <c r="R817" s="49">
        <f t="shared" si="254"/>
        <v>1</v>
      </c>
      <c r="S817" s="50">
        <f t="shared" si="255"/>
        <v>0.01</v>
      </c>
      <c r="T817" s="49">
        <f t="shared" si="256"/>
        <v>165462.26</v>
      </c>
      <c r="U817" s="51">
        <f t="shared" si="257"/>
        <v>0</v>
      </c>
      <c r="V817" s="52">
        <f>IF(0&lt;0.8,0,IF(0&lt;1,Sheet3!L561,1))*IF(G817&lt;3,0.12 - O817,0.01) *U817</f>
        <v>0</v>
      </c>
      <c r="W817" s="52">
        <f t="shared" si="258"/>
        <v>0</v>
      </c>
      <c r="X817" s="53">
        <f t="shared" si="259"/>
        <v>0</v>
      </c>
      <c r="Y817" s="53">
        <f t="shared" si="260"/>
        <v>0</v>
      </c>
      <c r="Z817" s="54">
        <f t="shared" si="264"/>
        <v>0</v>
      </c>
      <c r="AA817" s="54">
        <f t="shared" si="261"/>
        <v>0</v>
      </c>
      <c r="AB817" s="55">
        <f t="shared" si="265"/>
        <v>0</v>
      </c>
      <c r="AC817" s="55">
        <f t="shared" si="262"/>
        <v>0</v>
      </c>
      <c r="AD817" s="56">
        <f t="shared" si="263"/>
        <v>165462.26</v>
      </c>
    </row>
    <row r="818" spans="3:30">
      <c r="C818" s="43" t="s">
        <v>1442</v>
      </c>
      <c r="D818" s="44" t="s">
        <v>1443</v>
      </c>
      <c r="E818" s="44"/>
      <c r="F818" s="45">
        <v>39239.450775462959</v>
      </c>
      <c r="G818" s="46">
        <v>135</v>
      </c>
      <c r="H818" s="47">
        <v>43379</v>
      </c>
      <c r="I818" s="47">
        <v>43418</v>
      </c>
      <c r="J818" s="46">
        <v>50418</v>
      </c>
      <c r="K818" s="46">
        <v>0</v>
      </c>
      <c r="L818" s="46">
        <v>0</v>
      </c>
      <c r="M818" s="46">
        <f t="shared" si="252"/>
        <v>50418</v>
      </c>
      <c r="N818" s="46">
        <v>50418</v>
      </c>
      <c r="O818" s="48">
        <f t="shared" si="253"/>
        <v>0</v>
      </c>
      <c r="P818" s="46">
        <v>0</v>
      </c>
      <c r="Q818" s="46">
        <v>50418</v>
      </c>
      <c r="R818" s="49">
        <f t="shared" si="254"/>
        <v>1</v>
      </c>
      <c r="S818" s="50">
        <f t="shared" si="255"/>
        <v>0.01</v>
      </c>
      <c r="T818" s="49">
        <f t="shared" si="256"/>
        <v>504.18</v>
      </c>
      <c r="U818" s="51">
        <f t="shared" si="257"/>
        <v>0</v>
      </c>
      <c r="V818" s="52">
        <f>IF(0&lt;0.8,0,IF(0&lt;1,Sheet3!L561,1))*IF(G818&lt;3,0.12 - O818,0.01) *U818</f>
        <v>0</v>
      </c>
      <c r="W818" s="52">
        <f t="shared" si="258"/>
        <v>0</v>
      </c>
      <c r="X818" s="53">
        <f t="shared" si="259"/>
        <v>0</v>
      </c>
      <c r="Y818" s="53">
        <f t="shared" si="260"/>
        <v>0</v>
      </c>
      <c r="Z818" s="54">
        <f t="shared" si="264"/>
        <v>0</v>
      </c>
      <c r="AA818" s="54">
        <f t="shared" si="261"/>
        <v>0</v>
      </c>
      <c r="AB818" s="55">
        <f t="shared" si="265"/>
        <v>0</v>
      </c>
      <c r="AC818" s="55">
        <f t="shared" si="262"/>
        <v>0</v>
      </c>
      <c r="AD818" s="56">
        <f t="shared" si="263"/>
        <v>504.18</v>
      </c>
    </row>
    <row r="819" spans="3:30">
      <c r="C819" s="43" t="s">
        <v>1444</v>
      </c>
      <c r="D819" s="44" t="s">
        <v>1445</v>
      </c>
      <c r="E819" s="44"/>
      <c r="F819" s="45">
        <v>39239.451481481483</v>
      </c>
      <c r="G819" s="46">
        <v>135</v>
      </c>
      <c r="H819" s="47">
        <v>43379</v>
      </c>
      <c r="I819" s="47">
        <v>43393</v>
      </c>
      <c r="J819" s="46">
        <v>413802</v>
      </c>
      <c r="K819" s="46">
        <v>0</v>
      </c>
      <c r="L819" s="46">
        <v>0</v>
      </c>
      <c r="M819" s="46">
        <f t="shared" ref="M819:M882" si="266">IFERROR(J819-K819-L819,0)</f>
        <v>413802</v>
      </c>
      <c r="N819" s="46">
        <v>413802</v>
      </c>
      <c r="O819" s="48">
        <f t="shared" ref="O819:O882" si="267">IFERROR(IF(1 - M819/N819&lt;0,0,1-M819/N819),0)</f>
        <v>0</v>
      </c>
      <c r="P819" s="46">
        <v>0</v>
      </c>
      <c r="Q819" s="46">
        <v>413802</v>
      </c>
      <c r="R819" s="49">
        <f t="shared" ref="R819:R882" si="268">IF(F819&lt;DATEVALUE("2018-07-01"),1,0)</f>
        <v>1</v>
      </c>
      <c r="S819" s="50">
        <f t="shared" ref="S819:S882" si="269">IF(R819=1,1%,0)</f>
        <v>0.01</v>
      </c>
      <c r="T819" s="49">
        <f t="shared" ref="T819:T882" si="270">IFERROR(S819*M819,0)</f>
        <v>4138.0200000000004</v>
      </c>
      <c r="U819" s="51">
        <f t="shared" ref="U819:U882" si="271">IF(O819&lt;=0.12,1,0)*(1-R819)*M819</f>
        <v>0</v>
      </c>
      <c r="V819" s="52">
        <f>IF(0&lt;0.8,0,IF(0&lt;1,Sheet3!L561,1))*IF(G819&lt;3,0.12 - O819,0.01) *U819</f>
        <v>0</v>
      </c>
      <c r="W819" s="52">
        <f t="shared" ref="W819:W882" si="272">IF(0&gt;1,IF(0&lt;=1.1,1,IF(0&lt;=1.2,2,IF(0&lt;=1.5,3,5))),0) * 1000000</f>
        <v>0</v>
      </c>
      <c r="X819" s="53">
        <f t="shared" ref="X819:X882" si="273">IF(AND(P819&gt;=150000000,P819&lt;300000000),5000000,IF(AND(P819&gt;=300000000,P819&lt;500000000),10000000,IF(AND(P819&gt;=300000000,P819&lt;500000000),15000000,IF(AND(P819&gt;=500000000,P819&lt;3000000000),20000000,IF(P819&gt;=30000000000,35000000,0))))) * (1-R819)</f>
        <v>0</v>
      </c>
      <c r="Y819" s="53">
        <f t="shared" ref="Y819:Y882" si="274">IFERROR(Q819 * (1-R819),0)</f>
        <v>0</v>
      </c>
      <c r="Z819" s="54">
        <f t="shared" si="264"/>
        <v>0</v>
      </c>
      <c r="AA819" s="54">
        <f t="shared" ref="AA819:AA882" si="275">IFERROR((1-R819) * Z819 * 2%,0)</f>
        <v>0</v>
      </c>
      <c r="AB819" s="55">
        <f t="shared" si="265"/>
        <v>0</v>
      </c>
      <c r="AC819" s="55">
        <f t="shared" ref="AC819:AC882" si="276">IFERROR(AB819 * (1-R819) * 2%,0)</f>
        <v>0</v>
      </c>
      <c r="AD819" s="56">
        <f t="shared" ref="AD819:AD882" si="277">T819+V819+W819+X819+AA819+AC819</f>
        <v>4138.0200000000004</v>
      </c>
    </row>
    <row r="820" spans="3:30">
      <c r="C820" s="43" t="s">
        <v>1446</v>
      </c>
      <c r="D820" s="44" t="s">
        <v>1447</v>
      </c>
      <c r="E820" s="44"/>
      <c r="F820" s="45">
        <v>39265.584918981483</v>
      </c>
      <c r="G820" s="46">
        <v>134</v>
      </c>
      <c r="H820" s="47">
        <v>43376</v>
      </c>
      <c r="I820" s="47">
        <v>43385</v>
      </c>
      <c r="J820" s="46">
        <v>1005050</v>
      </c>
      <c r="K820" s="46">
        <v>0</v>
      </c>
      <c r="L820" s="46">
        <v>0</v>
      </c>
      <c r="M820" s="46">
        <f t="shared" si="266"/>
        <v>1005050</v>
      </c>
      <c r="N820" s="46">
        <v>1005050</v>
      </c>
      <c r="O820" s="48">
        <f t="shared" si="267"/>
        <v>0</v>
      </c>
      <c r="P820" s="46">
        <v>0</v>
      </c>
      <c r="Q820" s="46">
        <v>1005050</v>
      </c>
      <c r="R820" s="49">
        <f t="shared" si="268"/>
        <v>1</v>
      </c>
      <c r="S820" s="50">
        <f t="shared" si="269"/>
        <v>0.01</v>
      </c>
      <c r="T820" s="49">
        <f t="shared" si="270"/>
        <v>10050.5</v>
      </c>
      <c r="U820" s="51">
        <f t="shared" si="271"/>
        <v>0</v>
      </c>
      <c r="V820" s="52">
        <f>IF(0&lt;0.8,0,IF(0&lt;1,Sheet3!L561,1))*IF(G820&lt;3,0.12 - O820,0.01) *U820</f>
        <v>0</v>
      </c>
      <c r="W820" s="52">
        <f t="shared" si="272"/>
        <v>0</v>
      </c>
      <c r="X820" s="53">
        <f t="shared" si="273"/>
        <v>0</v>
      </c>
      <c r="Y820" s="53">
        <f t="shared" si="274"/>
        <v>0</v>
      </c>
      <c r="Z820" s="54">
        <f t="shared" si="264"/>
        <v>0</v>
      </c>
      <c r="AA820" s="54">
        <f t="shared" si="275"/>
        <v>0</v>
      </c>
      <c r="AB820" s="55">
        <f t="shared" si="265"/>
        <v>0</v>
      </c>
      <c r="AC820" s="55">
        <f t="shared" si="276"/>
        <v>0</v>
      </c>
      <c r="AD820" s="56">
        <f t="shared" si="277"/>
        <v>10050.5</v>
      </c>
    </row>
    <row r="821" spans="3:30">
      <c r="C821" s="43" t="s">
        <v>1448</v>
      </c>
      <c r="D821" s="44" t="s">
        <v>1449</v>
      </c>
      <c r="E821" s="44"/>
      <c r="F821" s="45">
        <v>39273.613842592589</v>
      </c>
      <c r="G821" s="46">
        <v>134</v>
      </c>
      <c r="H821" s="47">
        <v>43391</v>
      </c>
      <c r="I821" s="47">
        <v>43393</v>
      </c>
      <c r="J821" s="46">
        <v>574837</v>
      </c>
      <c r="K821" s="46">
        <v>0</v>
      </c>
      <c r="L821" s="46">
        <v>0</v>
      </c>
      <c r="M821" s="46">
        <f t="shared" si="266"/>
        <v>574837</v>
      </c>
      <c r="N821" s="46">
        <v>574837</v>
      </c>
      <c r="O821" s="48">
        <f t="shared" si="267"/>
        <v>0</v>
      </c>
      <c r="P821" s="46">
        <v>0</v>
      </c>
      <c r="Q821" s="46">
        <v>574837</v>
      </c>
      <c r="R821" s="49">
        <f t="shared" si="268"/>
        <v>1</v>
      </c>
      <c r="S821" s="50">
        <f t="shared" si="269"/>
        <v>0.01</v>
      </c>
      <c r="T821" s="49">
        <f t="shared" si="270"/>
        <v>5748.37</v>
      </c>
      <c r="U821" s="51">
        <f t="shared" si="271"/>
        <v>0</v>
      </c>
      <c r="V821" s="52">
        <f>IF(0&lt;0.8,0,IF(0&lt;1,Sheet3!L561,1))*IF(G821&lt;3,0.12 - O821,0.01) *U821</f>
        <v>0</v>
      </c>
      <c r="W821" s="52">
        <f t="shared" si="272"/>
        <v>0</v>
      </c>
      <c r="X821" s="53">
        <f t="shared" si="273"/>
        <v>0</v>
      </c>
      <c r="Y821" s="53">
        <f t="shared" si="274"/>
        <v>0</v>
      </c>
      <c r="Z821" s="54">
        <f t="shared" si="264"/>
        <v>0</v>
      </c>
      <c r="AA821" s="54">
        <f t="shared" si="275"/>
        <v>0</v>
      </c>
      <c r="AB821" s="55">
        <f t="shared" si="265"/>
        <v>0</v>
      </c>
      <c r="AC821" s="55">
        <f t="shared" si="276"/>
        <v>0</v>
      </c>
      <c r="AD821" s="56">
        <f t="shared" si="277"/>
        <v>5748.37</v>
      </c>
    </row>
    <row r="822" spans="3:30">
      <c r="C822" s="43" t="s">
        <v>1450</v>
      </c>
      <c r="D822" s="44" t="s">
        <v>1451</v>
      </c>
      <c r="E822" s="44"/>
      <c r="F822" s="45">
        <v>39297.664560185185</v>
      </c>
      <c r="G822" s="46">
        <v>133</v>
      </c>
      <c r="H822" s="47">
        <v>43379</v>
      </c>
      <c r="I822" s="47">
        <v>43393</v>
      </c>
      <c r="J822" s="46">
        <v>261354</v>
      </c>
      <c r="K822" s="46">
        <v>0</v>
      </c>
      <c r="L822" s="46">
        <v>0</v>
      </c>
      <c r="M822" s="46">
        <f t="shared" si="266"/>
        <v>261354</v>
      </c>
      <c r="N822" s="46">
        <v>261354</v>
      </c>
      <c r="O822" s="48">
        <f t="shared" si="267"/>
        <v>0</v>
      </c>
      <c r="P822" s="46">
        <v>0</v>
      </c>
      <c r="Q822" s="46">
        <v>261354</v>
      </c>
      <c r="R822" s="49">
        <f t="shared" si="268"/>
        <v>1</v>
      </c>
      <c r="S822" s="50">
        <f t="shared" si="269"/>
        <v>0.01</v>
      </c>
      <c r="T822" s="49">
        <f t="shared" si="270"/>
        <v>2613.54</v>
      </c>
      <c r="U822" s="51">
        <f t="shared" si="271"/>
        <v>0</v>
      </c>
      <c r="V822" s="52">
        <f>IF(0&lt;0.8,0,IF(0&lt;1,Sheet3!L561,1))*IF(G822&lt;3,0.12 - O822,0.01) *U822</f>
        <v>0</v>
      </c>
      <c r="W822" s="52">
        <f t="shared" si="272"/>
        <v>0</v>
      </c>
      <c r="X822" s="53">
        <f t="shared" si="273"/>
        <v>0</v>
      </c>
      <c r="Y822" s="53">
        <f t="shared" si="274"/>
        <v>0</v>
      </c>
      <c r="Z822" s="54">
        <f t="shared" si="264"/>
        <v>0</v>
      </c>
      <c r="AA822" s="54">
        <f t="shared" si="275"/>
        <v>0</v>
      </c>
      <c r="AB822" s="55">
        <f t="shared" si="265"/>
        <v>0</v>
      </c>
      <c r="AC822" s="55">
        <f t="shared" si="276"/>
        <v>0</v>
      </c>
      <c r="AD822" s="56">
        <f t="shared" si="277"/>
        <v>2613.54</v>
      </c>
    </row>
    <row r="823" spans="3:30">
      <c r="C823" s="43" t="s">
        <v>1452</v>
      </c>
      <c r="D823" s="44" t="s">
        <v>1453</v>
      </c>
      <c r="E823" s="44"/>
      <c r="F823" s="45">
        <v>39339.639907407407</v>
      </c>
      <c r="G823" s="46">
        <v>132</v>
      </c>
      <c r="H823" s="47">
        <v>43375</v>
      </c>
      <c r="I823" s="47">
        <v>43396</v>
      </c>
      <c r="J823" s="46">
        <v>325097</v>
      </c>
      <c r="K823" s="46">
        <v>0</v>
      </c>
      <c r="L823" s="46">
        <v>0</v>
      </c>
      <c r="M823" s="46">
        <f t="shared" si="266"/>
        <v>325097</v>
      </c>
      <c r="N823" s="46">
        <v>325097</v>
      </c>
      <c r="O823" s="48">
        <f t="shared" si="267"/>
        <v>0</v>
      </c>
      <c r="P823" s="46">
        <v>0</v>
      </c>
      <c r="Q823" s="46">
        <v>325097</v>
      </c>
      <c r="R823" s="49">
        <f t="shared" si="268"/>
        <v>1</v>
      </c>
      <c r="S823" s="50">
        <f t="shared" si="269"/>
        <v>0.01</v>
      </c>
      <c r="T823" s="49">
        <f t="shared" si="270"/>
        <v>3250.9700000000003</v>
      </c>
      <c r="U823" s="51">
        <f t="shared" si="271"/>
        <v>0</v>
      </c>
      <c r="V823" s="52">
        <f>IF(0&lt;0.8,0,IF(0&lt;1,Sheet3!L561,1))*IF(G823&lt;3,0.12 - O823,0.01) *U823</f>
        <v>0</v>
      </c>
      <c r="W823" s="52">
        <f t="shared" si="272"/>
        <v>0</v>
      </c>
      <c r="X823" s="53">
        <f t="shared" si="273"/>
        <v>0</v>
      </c>
      <c r="Y823" s="53">
        <f t="shared" si="274"/>
        <v>0</v>
      </c>
      <c r="Z823" s="54">
        <f t="shared" si="264"/>
        <v>0</v>
      </c>
      <c r="AA823" s="54">
        <f t="shared" si="275"/>
        <v>0</v>
      </c>
      <c r="AB823" s="55">
        <f t="shared" si="265"/>
        <v>0</v>
      </c>
      <c r="AC823" s="55">
        <f t="shared" si="276"/>
        <v>0</v>
      </c>
      <c r="AD823" s="56">
        <f t="shared" si="277"/>
        <v>3250.9700000000003</v>
      </c>
    </row>
    <row r="824" spans="3:30">
      <c r="C824" s="43" t="s">
        <v>1454</v>
      </c>
      <c r="D824" s="44" t="s">
        <v>1455</v>
      </c>
      <c r="E824" s="44"/>
      <c r="F824" s="45">
        <v>39350.363819444443</v>
      </c>
      <c r="G824" s="46">
        <v>132</v>
      </c>
      <c r="H824" s="47">
        <v>43379</v>
      </c>
      <c r="I824" s="47">
        <v>43403</v>
      </c>
      <c r="J824" s="46">
        <v>493038</v>
      </c>
      <c r="K824" s="46">
        <v>0</v>
      </c>
      <c r="L824" s="46">
        <v>0</v>
      </c>
      <c r="M824" s="46">
        <f t="shared" si="266"/>
        <v>493038</v>
      </c>
      <c r="N824" s="46">
        <v>493038</v>
      </c>
      <c r="O824" s="48">
        <f t="shared" si="267"/>
        <v>0</v>
      </c>
      <c r="P824" s="46">
        <v>0</v>
      </c>
      <c r="Q824" s="46">
        <v>493038</v>
      </c>
      <c r="R824" s="49">
        <f t="shared" si="268"/>
        <v>1</v>
      </c>
      <c r="S824" s="50">
        <f t="shared" si="269"/>
        <v>0.01</v>
      </c>
      <c r="T824" s="49">
        <f t="shared" si="270"/>
        <v>4930.38</v>
      </c>
      <c r="U824" s="51">
        <f t="shared" si="271"/>
        <v>0</v>
      </c>
      <c r="V824" s="52">
        <f>IF(0&lt;0.8,0,IF(0&lt;1,Sheet3!L561,1))*IF(G824&lt;3,0.12 - O824,0.01) *U824</f>
        <v>0</v>
      </c>
      <c r="W824" s="52">
        <f t="shared" si="272"/>
        <v>0</v>
      </c>
      <c r="X824" s="53">
        <f t="shared" si="273"/>
        <v>0</v>
      </c>
      <c r="Y824" s="53">
        <f t="shared" si="274"/>
        <v>0</v>
      </c>
      <c r="Z824" s="54">
        <f t="shared" si="264"/>
        <v>0</v>
      </c>
      <c r="AA824" s="54">
        <f t="shared" si="275"/>
        <v>0</v>
      </c>
      <c r="AB824" s="55">
        <f t="shared" si="265"/>
        <v>0</v>
      </c>
      <c r="AC824" s="55">
        <f t="shared" si="276"/>
        <v>0</v>
      </c>
      <c r="AD824" s="56">
        <f t="shared" si="277"/>
        <v>4930.38</v>
      </c>
    </row>
    <row r="825" spans="3:30">
      <c r="C825" s="43" t="s">
        <v>1456</v>
      </c>
      <c r="D825" s="44" t="s">
        <v>1457</v>
      </c>
      <c r="E825" s="44"/>
      <c r="F825" s="45">
        <v>39354.651840277773</v>
      </c>
      <c r="G825" s="46">
        <v>132</v>
      </c>
      <c r="H825" s="47">
        <v>43372</v>
      </c>
      <c r="I825" s="47">
        <v>43420</v>
      </c>
      <c r="J825" s="46">
        <v>3562261</v>
      </c>
      <c r="K825" s="46">
        <v>0</v>
      </c>
      <c r="L825" s="46">
        <v>0</v>
      </c>
      <c r="M825" s="46">
        <f t="shared" si="266"/>
        <v>3562261</v>
      </c>
      <c r="N825" s="46">
        <v>3562261</v>
      </c>
      <c r="O825" s="48">
        <f t="shared" si="267"/>
        <v>0</v>
      </c>
      <c r="P825" s="46">
        <v>0</v>
      </c>
      <c r="Q825" s="46">
        <v>3562261</v>
      </c>
      <c r="R825" s="49">
        <f t="shared" si="268"/>
        <v>1</v>
      </c>
      <c r="S825" s="50">
        <f t="shared" si="269"/>
        <v>0.01</v>
      </c>
      <c r="T825" s="49">
        <f t="shared" si="270"/>
        <v>35622.61</v>
      </c>
      <c r="U825" s="51">
        <f t="shared" si="271"/>
        <v>0</v>
      </c>
      <c r="V825" s="52">
        <f>IF(0&lt;0.8,0,IF(0&lt;1,Sheet3!L561,1))*IF(G825&lt;3,0.12 - O825,0.01) *U825</f>
        <v>0</v>
      </c>
      <c r="W825" s="52">
        <f t="shared" si="272"/>
        <v>0</v>
      </c>
      <c r="X825" s="53">
        <f t="shared" si="273"/>
        <v>0</v>
      </c>
      <c r="Y825" s="53">
        <f t="shared" si="274"/>
        <v>0</v>
      </c>
      <c r="Z825" s="54">
        <f t="shared" si="264"/>
        <v>0</v>
      </c>
      <c r="AA825" s="54">
        <f t="shared" si="275"/>
        <v>0</v>
      </c>
      <c r="AB825" s="55">
        <f t="shared" si="265"/>
        <v>0</v>
      </c>
      <c r="AC825" s="55">
        <f t="shared" si="276"/>
        <v>0</v>
      </c>
      <c r="AD825" s="56">
        <f t="shared" si="277"/>
        <v>35622.61</v>
      </c>
    </row>
    <row r="826" spans="3:30">
      <c r="C826" s="43" t="s">
        <v>1458</v>
      </c>
      <c r="D826" s="44" t="s">
        <v>1459</v>
      </c>
      <c r="E826" s="44"/>
      <c r="F826" s="45">
        <v>39405.362662037034</v>
      </c>
      <c r="G826" s="46">
        <v>130</v>
      </c>
      <c r="H826" s="47">
        <v>43398</v>
      </c>
      <c r="I826" s="47">
        <v>43426</v>
      </c>
      <c r="J826" s="46">
        <v>951353</v>
      </c>
      <c r="K826" s="46">
        <v>0</v>
      </c>
      <c r="L826" s="46">
        <v>0</v>
      </c>
      <c r="M826" s="46">
        <f t="shared" si="266"/>
        <v>951353</v>
      </c>
      <c r="N826" s="46">
        <v>951353</v>
      </c>
      <c r="O826" s="48">
        <f t="shared" si="267"/>
        <v>0</v>
      </c>
      <c r="P826" s="46">
        <v>0</v>
      </c>
      <c r="Q826" s="46">
        <v>1132853</v>
      </c>
      <c r="R826" s="49">
        <f t="shared" si="268"/>
        <v>1</v>
      </c>
      <c r="S826" s="50">
        <f t="shared" si="269"/>
        <v>0.01</v>
      </c>
      <c r="T826" s="49">
        <f t="shared" si="270"/>
        <v>9513.5300000000007</v>
      </c>
      <c r="U826" s="51">
        <f t="shared" si="271"/>
        <v>0</v>
      </c>
      <c r="V826" s="52">
        <f>IF(0&lt;0.8,0,IF(0&lt;1,Sheet3!L561,1))*IF(G826&lt;3,0.12 - O826,0.01) *U826</f>
        <v>0</v>
      </c>
      <c r="W826" s="52">
        <f t="shared" si="272"/>
        <v>0</v>
      </c>
      <c r="X826" s="53">
        <f t="shared" si="273"/>
        <v>0</v>
      </c>
      <c r="Y826" s="53">
        <f t="shared" si="274"/>
        <v>0</v>
      </c>
      <c r="Z826" s="54">
        <f t="shared" si="264"/>
        <v>0</v>
      </c>
      <c r="AA826" s="54">
        <f t="shared" si="275"/>
        <v>0</v>
      </c>
      <c r="AB826" s="55">
        <f t="shared" si="265"/>
        <v>0</v>
      </c>
      <c r="AC826" s="55">
        <f t="shared" si="276"/>
        <v>0</v>
      </c>
      <c r="AD826" s="56">
        <f t="shared" si="277"/>
        <v>9513.5300000000007</v>
      </c>
    </row>
    <row r="827" spans="3:30">
      <c r="C827" s="43" t="s">
        <v>1460</v>
      </c>
      <c r="D827" s="44" t="s">
        <v>1461</v>
      </c>
      <c r="E827" s="44"/>
      <c r="F827" s="45">
        <v>39410.390868055554</v>
      </c>
      <c r="G827" s="46">
        <v>130</v>
      </c>
      <c r="H827" s="47">
        <v>43375</v>
      </c>
      <c r="I827" s="47">
        <v>43354</v>
      </c>
      <c r="J827" s="46">
        <v>867620</v>
      </c>
      <c r="K827" s="46">
        <v>0</v>
      </c>
      <c r="L827" s="46">
        <v>0</v>
      </c>
      <c r="M827" s="46">
        <f t="shared" si="266"/>
        <v>867620</v>
      </c>
      <c r="N827" s="46">
        <v>867620</v>
      </c>
      <c r="O827" s="48">
        <f t="shared" si="267"/>
        <v>0</v>
      </c>
      <c r="P827" s="46">
        <v>0</v>
      </c>
      <c r="Q827" s="46">
        <v>867620</v>
      </c>
      <c r="R827" s="49">
        <f t="shared" si="268"/>
        <v>1</v>
      </c>
      <c r="S827" s="50">
        <f t="shared" si="269"/>
        <v>0.01</v>
      </c>
      <c r="T827" s="49">
        <f t="shared" si="270"/>
        <v>8676.2000000000007</v>
      </c>
      <c r="U827" s="51">
        <f t="shared" si="271"/>
        <v>0</v>
      </c>
      <c r="V827" s="52">
        <f>IF(0&lt;0.8,0,IF(0&lt;1,Sheet3!L561,1))*IF(G827&lt;3,0.12 - O827,0.01) *U827</f>
        <v>0</v>
      </c>
      <c r="W827" s="52">
        <f t="shared" si="272"/>
        <v>0</v>
      </c>
      <c r="X827" s="53">
        <f t="shared" si="273"/>
        <v>0</v>
      </c>
      <c r="Y827" s="53">
        <f t="shared" si="274"/>
        <v>0</v>
      </c>
      <c r="Z827" s="54">
        <f t="shared" si="264"/>
        <v>0</v>
      </c>
      <c r="AA827" s="54">
        <f t="shared" si="275"/>
        <v>0</v>
      </c>
      <c r="AB827" s="55">
        <f t="shared" si="265"/>
        <v>0</v>
      </c>
      <c r="AC827" s="55">
        <f t="shared" si="276"/>
        <v>0</v>
      </c>
      <c r="AD827" s="56">
        <f t="shared" si="277"/>
        <v>8676.2000000000007</v>
      </c>
    </row>
    <row r="828" spans="3:30">
      <c r="C828" s="43" t="s">
        <v>1462</v>
      </c>
      <c r="D828" s="44" t="s">
        <v>1463</v>
      </c>
      <c r="E828" s="44"/>
      <c r="F828" s="45">
        <v>39423.620104166665</v>
      </c>
      <c r="G828" s="46">
        <v>129</v>
      </c>
      <c r="H828" s="47">
        <v>43375</v>
      </c>
      <c r="I828" s="47">
        <v>43393</v>
      </c>
      <c r="J828" s="46">
        <v>164724</v>
      </c>
      <c r="K828" s="46">
        <v>0</v>
      </c>
      <c r="L828" s="46">
        <v>0</v>
      </c>
      <c r="M828" s="46">
        <f t="shared" si="266"/>
        <v>164724</v>
      </c>
      <c r="N828" s="46">
        <v>164724</v>
      </c>
      <c r="O828" s="48">
        <f t="shared" si="267"/>
        <v>0</v>
      </c>
      <c r="P828" s="46">
        <v>0</v>
      </c>
      <c r="Q828" s="46">
        <v>164724</v>
      </c>
      <c r="R828" s="49">
        <f t="shared" si="268"/>
        <v>1</v>
      </c>
      <c r="S828" s="50">
        <f t="shared" si="269"/>
        <v>0.01</v>
      </c>
      <c r="T828" s="49">
        <f t="shared" si="270"/>
        <v>1647.24</v>
      </c>
      <c r="U828" s="51">
        <f t="shared" si="271"/>
        <v>0</v>
      </c>
      <c r="V828" s="52">
        <f>IF(0&lt;0.8,0,IF(0&lt;1,Sheet3!L561,1))*IF(G828&lt;3,0.12 - O828,0.01) *U828</f>
        <v>0</v>
      </c>
      <c r="W828" s="52">
        <f t="shared" si="272"/>
        <v>0</v>
      </c>
      <c r="X828" s="53">
        <f t="shared" si="273"/>
        <v>0</v>
      </c>
      <c r="Y828" s="53">
        <f t="shared" si="274"/>
        <v>0</v>
      </c>
      <c r="Z828" s="54">
        <f t="shared" si="264"/>
        <v>0</v>
      </c>
      <c r="AA828" s="54">
        <f t="shared" si="275"/>
        <v>0</v>
      </c>
      <c r="AB828" s="55">
        <f t="shared" si="265"/>
        <v>0</v>
      </c>
      <c r="AC828" s="55">
        <f t="shared" si="276"/>
        <v>0</v>
      </c>
      <c r="AD828" s="56">
        <f t="shared" si="277"/>
        <v>1647.24</v>
      </c>
    </row>
    <row r="829" spans="3:30">
      <c r="C829" s="43" t="s">
        <v>1464</v>
      </c>
      <c r="D829" s="44" t="s">
        <v>1465</v>
      </c>
      <c r="E829" s="44"/>
      <c r="F829" s="45">
        <v>39464.646412037036</v>
      </c>
      <c r="G829" s="46">
        <v>128</v>
      </c>
      <c r="H829" s="47">
        <v>43375</v>
      </c>
      <c r="I829" s="47">
        <v>43375</v>
      </c>
      <c r="J829" s="46">
        <v>3060618</v>
      </c>
      <c r="K829" s="46">
        <v>0</v>
      </c>
      <c r="L829" s="46">
        <v>0</v>
      </c>
      <c r="M829" s="46">
        <f t="shared" si="266"/>
        <v>3060618</v>
      </c>
      <c r="N829" s="46">
        <v>3060618</v>
      </c>
      <c r="O829" s="48">
        <f t="shared" si="267"/>
        <v>0</v>
      </c>
      <c r="P829" s="46">
        <v>0</v>
      </c>
      <c r="Q829" s="46">
        <v>3060618</v>
      </c>
      <c r="R829" s="49">
        <f t="shared" si="268"/>
        <v>1</v>
      </c>
      <c r="S829" s="50">
        <f t="shared" si="269"/>
        <v>0.01</v>
      </c>
      <c r="T829" s="49">
        <f t="shared" si="270"/>
        <v>30606.18</v>
      </c>
      <c r="U829" s="51">
        <f t="shared" si="271"/>
        <v>0</v>
      </c>
      <c r="V829" s="52">
        <f>IF(0&lt;0.8,0,IF(0&lt;1,Sheet3!L561,1))*IF(G829&lt;3,0.12 - O829,0.01) *U829</f>
        <v>0</v>
      </c>
      <c r="W829" s="52">
        <f t="shared" si="272"/>
        <v>0</v>
      </c>
      <c r="X829" s="53">
        <f t="shared" si="273"/>
        <v>0</v>
      </c>
      <c r="Y829" s="53">
        <f t="shared" si="274"/>
        <v>0</v>
      </c>
      <c r="Z829" s="54">
        <f t="shared" si="264"/>
        <v>0</v>
      </c>
      <c r="AA829" s="54">
        <f t="shared" si="275"/>
        <v>0</v>
      </c>
      <c r="AB829" s="55">
        <f t="shared" si="265"/>
        <v>0</v>
      </c>
      <c r="AC829" s="55">
        <f t="shared" si="276"/>
        <v>0</v>
      </c>
      <c r="AD829" s="56">
        <f t="shared" si="277"/>
        <v>30606.18</v>
      </c>
    </row>
    <row r="830" spans="3:30">
      <c r="C830" s="43" t="s">
        <v>1466</v>
      </c>
      <c r="D830" s="44" t="s">
        <v>1467</v>
      </c>
      <c r="E830" s="44"/>
      <c r="F830" s="45">
        <v>39563.417939814812</v>
      </c>
      <c r="G830" s="46">
        <v>125</v>
      </c>
      <c r="H830" s="47">
        <v>43375</v>
      </c>
      <c r="I830" s="47">
        <v>43487</v>
      </c>
      <c r="J830" s="46">
        <v>175692</v>
      </c>
      <c r="K830" s="46">
        <v>0</v>
      </c>
      <c r="L830" s="46">
        <v>0</v>
      </c>
      <c r="M830" s="46">
        <f t="shared" si="266"/>
        <v>175692</v>
      </c>
      <c r="N830" s="46">
        <v>175692</v>
      </c>
      <c r="O830" s="48">
        <f t="shared" si="267"/>
        <v>0</v>
      </c>
      <c r="P830" s="46">
        <v>0</v>
      </c>
      <c r="Q830" s="46">
        <v>175692</v>
      </c>
      <c r="R830" s="49">
        <f t="shared" si="268"/>
        <v>1</v>
      </c>
      <c r="S830" s="50">
        <f t="shared" si="269"/>
        <v>0.01</v>
      </c>
      <c r="T830" s="49">
        <f t="shared" si="270"/>
        <v>1756.92</v>
      </c>
      <c r="U830" s="51">
        <f t="shared" si="271"/>
        <v>0</v>
      </c>
      <c r="V830" s="52">
        <f>IF(0&lt;0.8,0,IF(0&lt;1,Sheet3!L561,1))*IF(G830&lt;3,0.12 - O830,0.01) *U830</f>
        <v>0</v>
      </c>
      <c r="W830" s="52">
        <f t="shared" si="272"/>
        <v>0</v>
      </c>
      <c r="X830" s="53">
        <f t="shared" si="273"/>
        <v>0</v>
      </c>
      <c r="Y830" s="53">
        <f t="shared" si="274"/>
        <v>0</v>
      </c>
      <c r="Z830" s="54">
        <f t="shared" si="264"/>
        <v>0</v>
      </c>
      <c r="AA830" s="54">
        <f t="shared" si="275"/>
        <v>0</v>
      </c>
      <c r="AB830" s="55">
        <f t="shared" si="265"/>
        <v>0</v>
      </c>
      <c r="AC830" s="55">
        <f t="shared" si="276"/>
        <v>0</v>
      </c>
      <c r="AD830" s="56">
        <f t="shared" si="277"/>
        <v>1756.92</v>
      </c>
    </row>
    <row r="831" spans="3:30">
      <c r="C831" s="43" t="s">
        <v>1468</v>
      </c>
      <c r="D831" s="44" t="s">
        <v>1469</v>
      </c>
      <c r="E831" s="44"/>
      <c r="F831" s="45">
        <v>39578.490277777775</v>
      </c>
      <c r="G831" s="46">
        <v>124</v>
      </c>
      <c r="H831" s="47">
        <v>43375</v>
      </c>
      <c r="I831" s="47">
        <v>43398</v>
      </c>
      <c r="J831" s="46">
        <v>1827584</v>
      </c>
      <c r="K831" s="46">
        <v>0</v>
      </c>
      <c r="L831" s="46">
        <v>0</v>
      </c>
      <c r="M831" s="46">
        <f t="shared" si="266"/>
        <v>1827584</v>
      </c>
      <c r="N831" s="46">
        <v>1827584</v>
      </c>
      <c r="O831" s="48">
        <f t="shared" si="267"/>
        <v>0</v>
      </c>
      <c r="P831" s="46">
        <v>0</v>
      </c>
      <c r="Q831" s="46">
        <v>1827584</v>
      </c>
      <c r="R831" s="49">
        <f t="shared" si="268"/>
        <v>1</v>
      </c>
      <c r="S831" s="50">
        <f t="shared" si="269"/>
        <v>0.01</v>
      </c>
      <c r="T831" s="49">
        <f t="shared" si="270"/>
        <v>18275.84</v>
      </c>
      <c r="U831" s="51">
        <f t="shared" si="271"/>
        <v>0</v>
      </c>
      <c r="V831" s="52">
        <f>IF(0&lt;0.8,0,IF(0&lt;1,Sheet3!L561,1))*IF(G831&lt;3,0.12 - O831,0.01) *U831</f>
        <v>0</v>
      </c>
      <c r="W831" s="52">
        <f t="shared" si="272"/>
        <v>0</v>
      </c>
      <c r="X831" s="53">
        <f t="shared" si="273"/>
        <v>0</v>
      </c>
      <c r="Y831" s="53">
        <f t="shared" si="274"/>
        <v>0</v>
      </c>
      <c r="Z831" s="54">
        <f t="shared" si="264"/>
        <v>0</v>
      </c>
      <c r="AA831" s="54">
        <f t="shared" si="275"/>
        <v>0</v>
      </c>
      <c r="AB831" s="55">
        <f t="shared" si="265"/>
        <v>0</v>
      </c>
      <c r="AC831" s="55">
        <f t="shared" si="276"/>
        <v>0</v>
      </c>
      <c r="AD831" s="56">
        <f t="shared" si="277"/>
        <v>18275.84</v>
      </c>
    </row>
    <row r="832" spans="3:30">
      <c r="C832" s="43" t="s">
        <v>1470</v>
      </c>
      <c r="D832" s="44" t="s">
        <v>1471</v>
      </c>
      <c r="E832" s="44"/>
      <c r="F832" s="45">
        <v>39583.387060185181</v>
      </c>
      <c r="G832" s="46">
        <v>124</v>
      </c>
      <c r="H832" s="47">
        <v>43375</v>
      </c>
      <c r="I832" s="47">
        <v>43403</v>
      </c>
      <c r="J832" s="46">
        <v>6713277</v>
      </c>
      <c r="K832" s="46">
        <v>0</v>
      </c>
      <c r="L832" s="46">
        <v>0</v>
      </c>
      <c r="M832" s="46">
        <f t="shared" si="266"/>
        <v>6713277</v>
      </c>
      <c r="N832" s="46">
        <v>6713277</v>
      </c>
      <c r="O832" s="48">
        <f t="shared" si="267"/>
        <v>0</v>
      </c>
      <c r="P832" s="46">
        <v>0</v>
      </c>
      <c r="Q832" s="46">
        <v>6713277</v>
      </c>
      <c r="R832" s="49">
        <f t="shared" si="268"/>
        <v>1</v>
      </c>
      <c r="S832" s="50">
        <f t="shared" si="269"/>
        <v>0.01</v>
      </c>
      <c r="T832" s="49">
        <f t="shared" si="270"/>
        <v>67132.77</v>
      </c>
      <c r="U832" s="51">
        <f t="shared" si="271"/>
        <v>0</v>
      </c>
      <c r="V832" s="52">
        <f>IF(0&lt;0.8,0,IF(0&lt;1,Sheet3!L561,1))*IF(G832&lt;3,0.12 - O832,0.01) *U832</f>
        <v>0</v>
      </c>
      <c r="W832" s="52">
        <f t="shared" si="272"/>
        <v>0</v>
      </c>
      <c r="X832" s="53">
        <f t="shared" si="273"/>
        <v>0</v>
      </c>
      <c r="Y832" s="53">
        <f t="shared" si="274"/>
        <v>0</v>
      </c>
      <c r="Z832" s="54">
        <f t="shared" si="264"/>
        <v>0</v>
      </c>
      <c r="AA832" s="54">
        <f t="shared" si="275"/>
        <v>0</v>
      </c>
      <c r="AB832" s="55">
        <f t="shared" si="265"/>
        <v>0</v>
      </c>
      <c r="AC832" s="55">
        <f t="shared" si="276"/>
        <v>0</v>
      </c>
      <c r="AD832" s="56">
        <f t="shared" si="277"/>
        <v>67132.77</v>
      </c>
    </row>
    <row r="833" spans="3:30">
      <c r="C833" s="43" t="s">
        <v>1472</v>
      </c>
      <c r="D833" s="44" t="s">
        <v>1473</v>
      </c>
      <c r="E833" s="44"/>
      <c r="F833" s="45">
        <v>39609.45957175926</v>
      </c>
      <c r="G833" s="46">
        <v>123</v>
      </c>
      <c r="H833" s="47">
        <v>43439</v>
      </c>
      <c r="I833" s="47">
        <v>43462</v>
      </c>
      <c r="J833" s="46">
        <v>1365790</v>
      </c>
      <c r="K833" s="46">
        <v>0</v>
      </c>
      <c r="L833" s="46">
        <v>0</v>
      </c>
      <c r="M833" s="46">
        <f t="shared" si="266"/>
        <v>1365790</v>
      </c>
      <c r="N833" s="46">
        <v>1365790</v>
      </c>
      <c r="O833" s="48">
        <f t="shared" si="267"/>
        <v>0</v>
      </c>
      <c r="P833" s="46">
        <v>0</v>
      </c>
      <c r="Q833" s="46">
        <v>1365790</v>
      </c>
      <c r="R833" s="49">
        <f t="shared" si="268"/>
        <v>1</v>
      </c>
      <c r="S833" s="50">
        <f t="shared" si="269"/>
        <v>0.01</v>
      </c>
      <c r="T833" s="49">
        <f t="shared" si="270"/>
        <v>13657.9</v>
      </c>
      <c r="U833" s="51">
        <f t="shared" si="271"/>
        <v>0</v>
      </c>
      <c r="V833" s="52">
        <f>IF(0&lt;0.8,0,IF(0&lt;1,Sheet3!L561,1))*IF(G833&lt;3,0.12 - O833,0.01) *U833</f>
        <v>0</v>
      </c>
      <c r="W833" s="52">
        <f t="shared" si="272"/>
        <v>0</v>
      </c>
      <c r="X833" s="53">
        <f t="shared" si="273"/>
        <v>0</v>
      </c>
      <c r="Y833" s="53">
        <f t="shared" si="274"/>
        <v>0</v>
      </c>
      <c r="Z833" s="54">
        <f t="shared" si="264"/>
        <v>0</v>
      </c>
      <c r="AA833" s="54">
        <f t="shared" si="275"/>
        <v>0</v>
      </c>
      <c r="AB833" s="55">
        <f t="shared" si="265"/>
        <v>0</v>
      </c>
      <c r="AC833" s="55">
        <f t="shared" si="276"/>
        <v>0</v>
      </c>
      <c r="AD833" s="56">
        <f t="shared" si="277"/>
        <v>13657.9</v>
      </c>
    </row>
    <row r="834" spans="3:30">
      <c r="C834" s="43" t="s">
        <v>1474</v>
      </c>
      <c r="D834" s="44" t="s">
        <v>1475</v>
      </c>
      <c r="E834" s="44"/>
      <c r="F834" s="45">
        <v>39612.366423611107</v>
      </c>
      <c r="G834" s="46">
        <v>123</v>
      </c>
      <c r="H834" s="47">
        <v>43381</v>
      </c>
      <c r="I834" s="47">
        <v>43400</v>
      </c>
      <c r="J834" s="46">
        <v>268695</v>
      </c>
      <c r="K834" s="46">
        <v>0</v>
      </c>
      <c r="L834" s="46">
        <v>0</v>
      </c>
      <c r="M834" s="46">
        <f t="shared" si="266"/>
        <v>268695</v>
      </c>
      <c r="N834" s="46">
        <v>268695</v>
      </c>
      <c r="O834" s="48">
        <f t="shared" si="267"/>
        <v>0</v>
      </c>
      <c r="P834" s="46">
        <v>0</v>
      </c>
      <c r="Q834" s="46">
        <v>268695</v>
      </c>
      <c r="R834" s="49">
        <f t="shared" si="268"/>
        <v>1</v>
      </c>
      <c r="S834" s="50">
        <f t="shared" si="269"/>
        <v>0.01</v>
      </c>
      <c r="T834" s="49">
        <f t="shared" si="270"/>
        <v>2686.9500000000003</v>
      </c>
      <c r="U834" s="51">
        <f t="shared" si="271"/>
        <v>0</v>
      </c>
      <c r="V834" s="52">
        <f>IF(0&lt;0.8,0,IF(0&lt;1,Sheet3!L561,1))*IF(G834&lt;3,0.12 - O834,0.01) *U834</f>
        <v>0</v>
      </c>
      <c r="W834" s="52">
        <f t="shared" si="272"/>
        <v>0</v>
      </c>
      <c r="X834" s="53">
        <f t="shared" si="273"/>
        <v>0</v>
      </c>
      <c r="Y834" s="53">
        <f t="shared" si="274"/>
        <v>0</v>
      </c>
      <c r="Z834" s="54">
        <f t="shared" si="264"/>
        <v>0</v>
      </c>
      <c r="AA834" s="54">
        <f t="shared" si="275"/>
        <v>0</v>
      </c>
      <c r="AB834" s="55">
        <f t="shared" si="265"/>
        <v>0</v>
      </c>
      <c r="AC834" s="55">
        <f t="shared" si="276"/>
        <v>0</v>
      </c>
      <c r="AD834" s="56">
        <f t="shared" si="277"/>
        <v>2686.9500000000003</v>
      </c>
    </row>
    <row r="835" spans="3:30">
      <c r="C835" s="43" t="s">
        <v>1476</v>
      </c>
      <c r="D835" s="44" t="s">
        <v>1477</v>
      </c>
      <c r="E835" s="44"/>
      <c r="F835" s="45">
        <v>39612.377141203702</v>
      </c>
      <c r="G835" s="46">
        <v>123</v>
      </c>
      <c r="H835" s="47">
        <v>43406</v>
      </c>
      <c r="I835" s="47">
        <v>43434</v>
      </c>
      <c r="J835" s="46">
        <v>7424955</v>
      </c>
      <c r="K835" s="46">
        <v>0</v>
      </c>
      <c r="L835" s="46">
        <v>0</v>
      </c>
      <c r="M835" s="46">
        <f t="shared" si="266"/>
        <v>7424955</v>
      </c>
      <c r="N835" s="46">
        <v>7914955</v>
      </c>
      <c r="O835" s="48">
        <f t="shared" si="267"/>
        <v>6.1908122029752488E-2</v>
      </c>
      <c r="P835" s="46">
        <v>0</v>
      </c>
      <c r="Q835" s="46">
        <v>7424955</v>
      </c>
      <c r="R835" s="49">
        <f t="shared" si="268"/>
        <v>1</v>
      </c>
      <c r="S835" s="50">
        <f t="shared" si="269"/>
        <v>0.01</v>
      </c>
      <c r="T835" s="49">
        <f t="shared" si="270"/>
        <v>74249.55</v>
      </c>
      <c r="U835" s="51">
        <f t="shared" si="271"/>
        <v>0</v>
      </c>
      <c r="V835" s="52">
        <f>IF(0&lt;0.8,0,IF(0&lt;1,Sheet3!L561,1))*IF(G835&lt;3,0.12 - O835,0.01) *U835</f>
        <v>0</v>
      </c>
      <c r="W835" s="52">
        <f t="shared" si="272"/>
        <v>0</v>
      </c>
      <c r="X835" s="53">
        <f t="shared" si="273"/>
        <v>0</v>
      </c>
      <c r="Y835" s="53">
        <f t="shared" si="274"/>
        <v>0</v>
      </c>
      <c r="Z835" s="54">
        <f t="shared" si="264"/>
        <v>0</v>
      </c>
      <c r="AA835" s="54">
        <f t="shared" si="275"/>
        <v>0</v>
      </c>
      <c r="AB835" s="55">
        <f t="shared" si="265"/>
        <v>0</v>
      </c>
      <c r="AC835" s="55">
        <f t="shared" si="276"/>
        <v>0</v>
      </c>
      <c r="AD835" s="56">
        <f t="shared" si="277"/>
        <v>74249.55</v>
      </c>
    </row>
    <row r="836" spans="3:30">
      <c r="C836" s="43" t="s">
        <v>1478</v>
      </c>
      <c r="D836" s="44" t="s">
        <v>1479</v>
      </c>
      <c r="E836" s="44"/>
      <c r="F836" s="45">
        <v>39617.373402777775</v>
      </c>
      <c r="G836" s="46">
        <v>123</v>
      </c>
      <c r="H836" s="47">
        <v>43379</v>
      </c>
      <c r="I836" s="47">
        <v>43397</v>
      </c>
      <c r="J836" s="46">
        <v>510134</v>
      </c>
      <c r="K836" s="46">
        <v>0</v>
      </c>
      <c r="L836" s="46">
        <v>0</v>
      </c>
      <c r="M836" s="46">
        <f t="shared" si="266"/>
        <v>510134</v>
      </c>
      <c r="N836" s="46">
        <v>510134</v>
      </c>
      <c r="O836" s="48">
        <f t="shared" si="267"/>
        <v>0</v>
      </c>
      <c r="P836" s="46">
        <v>0</v>
      </c>
      <c r="Q836" s="46">
        <v>510134</v>
      </c>
      <c r="R836" s="49">
        <f t="shared" si="268"/>
        <v>1</v>
      </c>
      <c r="S836" s="50">
        <f t="shared" si="269"/>
        <v>0.01</v>
      </c>
      <c r="T836" s="49">
        <f t="shared" si="270"/>
        <v>5101.34</v>
      </c>
      <c r="U836" s="51">
        <f t="shared" si="271"/>
        <v>0</v>
      </c>
      <c r="V836" s="52">
        <f>IF(0&lt;0.8,0,IF(0&lt;1,Sheet3!L561,1))*IF(G836&lt;3,0.12 - O836,0.01) *U836</f>
        <v>0</v>
      </c>
      <c r="W836" s="52">
        <f t="shared" si="272"/>
        <v>0</v>
      </c>
      <c r="X836" s="53">
        <f t="shared" si="273"/>
        <v>0</v>
      </c>
      <c r="Y836" s="53">
        <f t="shared" si="274"/>
        <v>0</v>
      </c>
      <c r="Z836" s="54">
        <f t="shared" si="264"/>
        <v>0</v>
      </c>
      <c r="AA836" s="54">
        <f t="shared" si="275"/>
        <v>0</v>
      </c>
      <c r="AB836" s="55">
        <f t="shared" si="265"/>
        <v>0</v>
      </c>
      <c r="AC836" s="55">
        <f t="shared" si="276"/>
        <v>0</v>
      </c>
      <c r="AD836" s="56">
        <f t="shared" si="277"/>
        <v>5101.34</v>
      </c>
    </row>
    <row r="837" spans="3:30">
      <c r="C837" s="43" t="s">
        <v>1480</v>
      </c>
      <c r="D837" s="44" t="s">
        <v>1481</v>
      </c>
      <c r="E837" s="44"/>
      <c r="F837" s="45">
        <v>39626.41538194444</v>
      </c>
      <c r="G837" s="46">
        <v>123</v>
      </c>
      <c r="H837" s="47">
        <v>43376</v>
      </c>
      <c r="I837" s="47">
        <v>43399</v>
      </c>
      <c r="J837" s="46">
        <v>772162</v>
      </c>
      <c r="K837" s="46">
        <v>0</v>
      </c>
      <c r="L837" s="46">
        <v>0</v>
      </c>
      <c r="M837" s="46">
        <f t="shared" si="266"/>
        <v>772162</v>
      </c>
      <c r="N837" s="46">
        <v>772162</v>
      </c>
      <c r="O837" s="48">
        <f t="shared" si="267"/>
        <v>0</v>
      </c>
      <c r="P837" s="46">
        <v>0</v>
      </c>
      <c r="Q837" s="46">
        <v>772162</v>
      </c>
      <c r="R837" s="49">
        <f t="shared" si="268"/>
        <v>1</v>
      </c>
      <c r="S837" s="50">
        <f t="shared" si="269"/>
        <v>0.01</v>
      </c>
      <c r="T837" s="49">
        <f t="shared" si="270"/>
        <v>7721.62</v>
      </c>
      <c r="U837" s="51">
        <f t="shared" si="271"/>
        <v>0</v>
      </c>
      <c r="V837" s="52">
        <f>IF(0&lt;0.8,0,IF(0&lt;1,Sheet3!L561,1))*IF(G837&lt;3,0.12 - O837,0.01) *U837</f>
        <v>0</v>
      </c>
      <c r="W837" s="52">
        <f t="shared" si="272"/>
        <v>0</v>
      </c>
      <c r="X837" s="53">
        <f t="shared" si="273"/>
        <v>0</v>
      </c>
      <c r="Y837" s="53">
        <f t="shared" si="274"/>
        <v>0</v>
      </c>
      <c r="Z837" s="54">
        <f t="shared" si="264"/>
        <v>0</v>
      </c>
      <c r="AA837" s="54">
        <f t="shared" si="275"/>
        <v>0</v>
      </c>
      <c r="AB837" s="55">
        <f t="shared" si="265"/>
        <v>0</v>
      </c>
      <c r="AC837" s="55">
        <f t="shared" si="276"/>
        <v>0</v>
      </c>
      <c r="AD837" s="56">
        <f t="shared" si="277"/>
        <v>7721.62</v>
      </c>
    </row>
    <row r="838" spans="3:30">
      <c r="C838" s="43" t="s">
        <v>1482</v>
      </c>
      <c r="D838" s="44" t="s">
        <v>1483</v>
      </c>
      <c r="E838" s="44"/>
      <c r="F838" s="45">
        <v>39640.459652777776</v>
      </c>
      <c r="G838" s="46">
        <v>122</v>
      </c>
      <c r="H838" s="47">
        <v>43379</v>
      </c>
      <c r="I838" s="47">
        <v>43390</v>
      </c>
      <c r="J838" s="46">
        <v>115631</v>
      </c>
      <c r="K838" s="46">
        <v>0</v>
      </c>
      <c r="L838" s="46">
        <v>0</v>
      </c>
      <c r="M838" s="46">
        <f t="shared" si="266"/>
        <v>115631</v>
      </c>
      <c r="N838" s="46">
        <v>115631</v>
      </c>
      <c r="O838" s="48">
        <f t="shared" si="267"/>
        <v>0</v>
      </c>
      <c r="P838" s="46">
        <v>0</v>
      </c>
      <c r="Q838" s="46">
        <v>115631</v>
      </c>
      <c r="R838" s="49">
        <f t="shared" si="268"/>
        <v>1</v>
      </c>
      <c r="S838" s="50">
        <f t="shared" si="269"/>
        <v>0.01</v>
      </c>
      <c r="T838" s="49">
        <f t="shared" si="270"/>
        <v>1156.31</v>
      </c>
      <c r="U838" s="51">
        <f t="shared" si="271"/>
        <v>0</v>
      </c>
      <c r="V838" s="52">
        <f>IF(0&lt;0.8,0,IF(0&lt;1,Sheet3!L561,1))*IF(G838&lt;3,0.12 - O838,0.01) *U838</f>
        <v>0</v>
      </c>
      <c r="W838" s="52">
        <f t="shared" si="272"/>
        <v>0</v>
      </c>
      <c r="X838" s="53">
        <f t="shared" si="273"/>
        <v>0</v>
      </c>
      <c r="Y838" s="53">
        <f t="shared" si="274"/>
        <v>0</v>
      </c>
      <c r="Z838" s="54">
        <f t="shared" si="264"/>
        <v>0</v>
      </c>
      <c r="AA838" s="54">
        <f t="shared" si="275"/>
        <v>0</v>
      </c>
      <c r="AB838" s="55">
        <f t="shared" si="265"/>
        <v>0</v>
      </c>
      <c r="AC838" s="55">
        <f t="shared" si="276"/>
        <v>0</v>
      </c>
      <c r="AD838" s="56">
        <f t="shared" si="277"/>
        <v>1156.31</v>
      </c>
    </row>
    <row r="839" spans="3:30">
      <c r="C839" s="43" t="s">
        <v>1484</v>
      </c>
      <c r="D839" s="44" t="s">
        <v>1485</v>
      </c>
      <c r="E839" s="44"/>
      <c r="F839" s="45">
        <v>39650.647303240738</v>
      </c>
      <c r="G839" s="46">
        <v>122</v>
      </c>
      <c r="H839" s="47">
        <v>43377</v>
      </c>
      <c r="I839" s="47">
        <v>43385</v>
      </c>
      <c r="J839" s="46">
        <v>405376</v>
      </c>
      <c r="K839" s="46">
        <v>0</v>
      </c>
      <c r="L839" s="46">
        <v>0</v>
      </c>
      <c r="M839" s="46">
        <f t="shared" si="266"/>
        <v>405376</v>
      </c>
      <c r="N839" s="46">
        <v>405376</v>
      </c>
      <c r="O839" s="48">
        <f t="shared" si="267"/>
        <v>0</v>
      </c>
      <c r="P839" s="46">
        <v>0</v>
      </c>
      <c r="Q839" s="46">
        <v>405376</v>
      </c>
      <c r="R839" s="49">
        <f t="shared" si="268"/>
        <v>1</v>
      </c>
      <c r="S839" s="50">
        <f t="shared" si="269"/>
        <v>0.01</v>
      </c>
      <c r="T839" s="49">
        <f t="shared" si="270"/>
        <v>4053.76</v>
      </c>
      <c r="U839" s="51">
        <f t="shared" si="271"/>
        <v>0</v>
      </c>
      <c r="V839" s="52">
        <f>IF(0&lt;0.8,0,IF(0&lt;1,Sheet3!L561,1))*IF(G839&lt;3,0.12 - O839,0.01) *U839</f>
        <v>0</v>
      </c>
      <c r="W839" s="52">
        <f t="shared" si="272"/>
        <v>0</v>
      </c>
      <c r="X839" s="53">
        <f t="shared" si="273"/>
        <v>0</v>
      </c>
      <c r="Y839" s="53">
        <f t="shared" si="274"/>
        <v>0</v>
      </c>
      <c r="Z839" s="54">
        <f t="shared" si="264"/>
        <v>0</v>
      </c>
      <c r="AA839" s="54">
        <f t="shared" si="275"/>
        <v>0</v>
      </c>
      <c r="AB839" s="55">
        <f t="shared" si="265"/>
        <v>0</v>
      </c>
      <c r="AC839" s="55">
        <f t="shared" si="276"/>
        <v>0</v>
      </c>
      <c r="AD839" s="56">
        <f t="shared" si="277"/>
        <v>4053.76</v>
      </c>
    </row>
    <row r="840" spans="3:30">
      <c r="C840" s="43" t="s">
        <v>1486</v>
      </c>
      <c r="D840" s="44" t="s">
        <v>1487</v>
      </c>
      <c r="E840" s="44"/>
      <c r="F840" s="45">
        <v>39657.356527777774</v>
      </c>
      <c r="G840" s="46">
        <v>122</v>
      </c>
      <c r="H840" s="47">
        <v>43376</v>
      </c>
      <c r="I840" s="47">
        <v>43385</v>
      </c>
      <c r="J840" s="46">
        <v>419144</v>
      </c>
      <c r="K840" s="46">
        <v>0</v>
      </c>
      <c r="L840" s="46">
        <v>0</v>
      </c>
      <c r="M840" s="46">
        <f t="shared" si="266"/>
        <v>419144</v>
      </c>
      <c r="N840" s="46">
        <v>419144</v>
      </c>
      <c r="O840" s="48">
        <f t="shared" si="267"/>
        <v>0</v>
      </c>
      <c r="P840" s="46">
        <v>0</v>
      </c>
      <c r="Q840" s="46">
        <v>419144</v>
      </c>
      <c r="R840" s="49">
        <f t="shared" si="268"/>
        <v>1</v>
      </c>
      <c r="S840" s="50">
        <f t="shared" si="269"/>
        <v>0.01</v>
      </c>
      <c r="T840" s="49">
        <f t="shared" si="270"/>
        <v>4191.4400000000005</v>
      </c>
      <c r="U840" s="51">
        <f t="shared" si="271"/>
        <v>0</v>
      </c>
      <c r="V840" s="52">
        <f>IF(0&lt;0.8,0,IF(0&lt;1,Sheet3!L561,1))*IF(G840&lt;3,0.12 - O840,0.01) *U840</f>
        <v>0</v>
      </c>
      <c r="W840" s="52">
        <f t="shared" si="272"/>
        <v>0</v>
      </c>
      <c r="X840" s="53">
        <f t="shared" si="273"/>
        <v>0</v>
      </c>
      <c r="Y840" s="53">
        <f t="shared" si="274"/>
        <v>0</v>
      </c>
      <c r="Z840" s="54">
        <f t="shared" si="264"/>
        <v>0</v>
      </c>
      <c r="AA840" s="54">
        <f t="shared" si="275"/>
        <v>0</v>
      </c>
      <c r="AB840" s="55">
        <f t="shared" si="265"/>
        <v>0</v>
      </c>
      <c r="AC840" s="55">
        <f t="shared" si="276"/>
        <v>0</v>
      </c>
      <c r="AD840" s="56">
        <f t="shared" si="277"/>
        <v>4191.4400000000005</v>
      </c>
    </row>
    <row r="841" spans="3:30">
      <c r="C841" s="43" t="s">
        <v>1488</v>
      </c>
      <c r="D841" s="44" t="s">
        <v>1489</v>
      </c>
      <c r="E841" s="44"/>
      <c r="F841" s="45">
        <v>39661.620115740741</v>
      </c>
      <c r="G841" s="46">
        <v>121</v>
      </c>
      <c r="H841" s="47">
        <v>43375</v>
      </c>
      <c r="I841" s="47">
        <v>43386</v>
      </c>
      <c r="J841" s="46">
        <v>766276</v>
      </c>
      <c r="K841" s="46">
        <v>0</v>
      </c>
      <c r="L841" s="46">
        <v>0</v>
      </c>
      <c r="M841" s="46">
        <f t="shared" si="266"/>
        <v>766276</v>
      </c>
      <c r="N841" s="46">
        <v>766276</v>
      </c>
      <c r="O841" s="48">
        <f t="shared" si="267"/>
        <v>0</v>
      </c>
      <c r="P841" s="46">
        <v>0</v>
      </c>
      <c r="Q841" s="46">
        <v>766276</v>
      </c>
      <c r="R841" s="49">
        <f t="shared" si="268"/>
        <v>1</v>
      </c>
      <c r="S841" s="50">
        <f t="shared" si="269"/>
        <v>0.01</v>
      </c>
      <c r="T841" s="49">
        <f t="shared" si="270"/>
        <v>7662.76</v>
      </c>
      <c r="U841" s="51">
        <f t="shared" si="271"/>
        <v>0</v>
      </c>
      <c r="V841" s="52">
        <f>IF(0&lt;0.8,0,IF(0&lt;1,Sheet3!L561,1))*IF(G841&lt;3,0.12 - O841,0.01) *U841</f>
        <v>0</v>
      </c>
      <c r="W841" s="52">
        <f t="shared" si="272"/>
        <v>0</v>
      </c>
      <c r="X841" s="53">
        <f t="shared" si="273"/>
        <v>0</v>
      </c>
      <c r="Y841" s="53">
        <f t="shared" si="274"/>
        <v>0</v>
      </c>
      <c r="Z841" s="54">
        <f t="shared" si="264"/>
        <v>0</v>
      </c>
      <c r="AA841" s="54">
        <f t="shared" si="275"/>
        <v>0</v>
      </c>
      <c r="AB841" s="55">
        <f t="shared" si="265"/>
        <v>0</v>
      </c>
      <c r="AC841" s="55">
        <f t="shared" si="276"/>
        <v>0</v>
      </c>
      <c r="AD841" s="56">
        <f t="shared" si="277"/>
        <v>7662.76</v>
      </c>
    </row>
    <row r="842" spans="3:30">
      <c r="C842" s="43" t="s">
        <v>1490</v>
      </c>
      <c r="D842" s="44" t="s">
        <v>1491</v>
      </c>
      <c r="E842" s="44"/>
      <c r="F842" s="45">
        <v>39683.400787037033</v>
      </c>
      <c r="G842" s="46">
        <v>121</v>
      </c>
      <c r="H842" s="47">
        <v>43379</v>
      </c>
      <c r="I842" s="47">
        <v>43397</v>
      </c>
      <c r="J842" s="46">
        <v>288472</v>
      </c>
      <c r="K842" s="46">
        <v>0</v>
      </c>
      <c r="L842" s="46">
        <v>0</v>
      </c>
      <c r="M842" s="46">
        <f t="shared" si="266"/>
        <v>288472</v>
      </c>
      <c r="N842" s="46">
        <v>288472</v>
      </c>
      <c r="O842" s="48">
        <f t="shared" si="267"/>
        <v>0</v>
      </c>
      <c r="P842" s="46">
        <v>0</v>
      </c>
      <c r="Q842" s="46">
        <v>288472</v>
      </c>
      <c r="R842" s="49">
        <f t="shared" si="268"/>
        <v>1</v>
      </c>
      <c r="S842" s="50">
        <f t="shared" si="269"/>
        <v>0.01</v>
      </c>
      <c r="T842" s="49">
        <f t="shared" si="270"/>
        <v>2884.7200000000003</v>
      </c>
      <c r="U842" s="51">
        <f t="shared" si="271"/>
        <v>0</v>
      </c>
      <c r="V842" s="52">
        <f>IF(0&lt;0.8,0,IF(0&lt;1,Sheet3!L561,1))*IF(G842&lt;3,0.12 - O842,0.01) *U842</f>
        <v>0</v>
      </c>
      <c r="W842" s="52">
        <f t="shared" si="272"/>
        <v>0</v>
      </c>
      <c r="X842" s="53">
        <f t="shared" si="273"/>
        <v>0</v>
      </c>
      <c r="Y842" s="53">
        <f t="shared" si="274"/>
        <v>0</v>
      </c>
      <c r="Z842" s="54">
        <f t="shared" si="264"/>
        <v>0</v>
      </c>
      <c r="AA842" s="54">
        <f t="shared" si="275"/>
        <v>0</v>
      </c>
      <c r="AB842" s="55">
        <f t="shared" si="265"/>
        <v>0</v>
      </c>
      <c r="AC842" s="55">
        <f t="shared" si="276"/>
        <v>0</v>
      </c>
      <c r="AD842" s="56">
        <f t="shared" si="277"/>
        <v>2884.7200000000003</v>
      </c>
    </row>
    <row r="843" spans="3:30">
      <c r="C843" s="43" t="s">
        <v>1492</v>
      </c>
      <c r="D843" s="44" t="s">
        <v>1493</v>
      </c>
      <c r="E843" s="44"/>
      <c r="F843" s="45">
        <v>39715.358993055554</v>
      </c>
      <c r="G843" s="46">
        <v>120</v>
      </c>
      <c r="H843" s="47">
        <v>43376</v>
      </c>
      <c r="I843" s="47">
        <v>43420</v>
      </c>
      <c r="J843" s="46">
        <v>13417230</v>
      </c>
      <c r="K843" s="46">
        <v>0</v>
      </c>
      <c r="L843" s="46">
        <v>0</v>
      </c>
      <c r="M843" s="46">
        <f t="shared" si="266"/>
        <v>13417230</v>
      </c>
      <c r="N843" s="46">
        <v>22777854</v>
      </c>
      <c r="O843" s="48">
        <f t="shared" si="267"/>
        <v>0.41095284920168507</v>
      </c>
      <c r="P843" s="46">
        <v>0</v>
      </c>
      <c r="Q843" s="46">
        <v>13417230</v>
      </c>
      <c r="R843" s="49">
        <f t="shared" si="268"/>
        <v>1</v>
      </c>
      <c r="S843" s="50">
        <f t="shared" si="269"/>
        <v>0.01</v>
      </c>
      <c r="T843" s="49">
        <f t="shared" si="270"/>
        <v>134172.29999999999</v>
      </c>
      <c r="U843" s="51">
        <f t="shared" si="271"/>
        <v>0</v>
      </c>
      <c r="V843" s="52">
        <f>IF(0&lt;0.8,0,IF(0&lt;1,Sheet3!L561,1))*IF(G843&lt;3,0.12 - O843,0.01) *U843</f>
        <v>0</v>
      </c>
      <c r="W843" s="52">
        <f t="shared" si="272"/>
        <v>0</v>
      </c>
      <c r="X843" s="53">
        <f t="shared" si="273"/>
        <v>0</v>
      </c>
      <c r="Y843" s="53">
        <f t="shared" si="274"/>
        <v>0</v>
      </c>
      <c r="Z843" s="54">
        <f t="shared" si="264"/>
        <v>0</v>
      </c>
      <c r="AA843" s="54">
        <f t="shared" si="275"/>
        <v>0</v>
      </c>
      <c r="AB843" s="55">
        <f t="shared" si="265"/>
        <v>0</v>
      </c>
      <c r="AC843" s="55">
        <f t="shared" si="276"/>
        <v>0</v>
      </c>
      <c r="AD843" s="56">
        <f t="shared" si="277"/>
        <v>134172.29999999999</v>
      </c>
    </row>
    <row r="844" spans="3:30">
      <c r="C844" s="43" t="s">
        <v>1494</v>
      </c>
      <c r="D844" s="44" t="s">
        <v>1495</v>
      </c>
      <c r="E844" s="44"/>
      <c r="F844" s="45">
        <v>39723.370324074072</v>
      </c>
      <c r="G844" s="46">
        <v>119</v>
      </c>
      <c r="H844" s="47">
        <v>43375</v>
      </c>
      <c r="I844" s="47">
        <v>43469</v>
      </c>
      <c r="J844" s="46">
        <v>1097928</v>
      </c>
      <c r="K844" s="46">
        <v>0</v>
      </c>
      <c r="L844" s="46">
        <v>0</v>
      </c>
      <c r="M844" s="46">
        <f t="shared" si="266"/>
        <v>1097928</v>
      </c>
      <c r="N844" s="46">
        <v>1097928</v>
      </c>
      <c r="O844" s="48">
        <f t="shared" si="267"/>
        <v>0</v>
      </c>
      <c r="P844" s="46">
        <v>0</v>
      </c>
      <c r="Q844" s="46">
        <v>1097928</v>
      </c>
      <c r="R844" s="49">
        <f t="shared" si="268"/>
        <v>1</v>
      </c>
      <c r="S844" s="50">
        <f t="shared" si="269"/>
        <v>0.01</v>
      </c>
      <c r="T844" s="49">
        <f t="shared" si="270"/>
        <v>10979.28</v>
      </c>
      <c r="U844" s="51">
        <f t="shared" si="271"/>
        <v>0</v>
      </c>
      <c r="V844" s="52">
        <f>IF(0&lt;0.8,0,IF(0&lt;1,Sheet3!L561,1))*IF(G844&lt;3,0.12 - O844,0.01) *U844</f>
        <v>0</v>
      </c>
      <c r="W844" s="52">
        <f t="shared" si="272"/>
        <v>0</v>
      </c>
      <c r="X844" s="53">
        <f t="shared" si="273"/>
        <v>0</v>
      </c>
      <c r="Y844" s="53">
        <f t="shared" si="274"/>
        <v>0</v>
      </c>
      <c r="Z844" s="54">
        <f t="shared" si="264"/>
        <v>0</v>
      </c>
      <c r="AA844" s="54">
        <f t="shared" si="275"/>
        <v>0</v>
      </c>
      <c r="AB844" s="55">
        <f t="shared" si="265"/>
        <v>0</v>
      </c>
      <c r="AC844" s="55">
        <f t="shared" si="276"/>
        <v>0</v>
      </c>
      <c r="AD844" s="56">
        <f t="shared" si="277"/>
        <v>10979.28</v>
      </c>
    </row>
    <row r="845" spans="3:30">
      <c r="C845" s="43" t="s">
        <v>1496</v>
      </c>
      <c r="D845" s="44" t="s">
        <v>1497</v>
      </c>
      <c r="E845" s="44"/>
      <c r="F845" s="45">
        <v>39786.363703703704</v>
      </c>
      <c r="G845" s="46">
        <v>117</v>
      </c>
      <c r="H845" s="47">
        <v>43389</v>
      </c>
      <c r="I845" s="47">
        <v>43398</v>
      </c>
      <c r="J845" s="46">
        <v>1377604</v>
      </c>
      <c r="K845" s="46">
        <v>0</v>
      </c>
      <c r="L845" s="46">
        <v>0</v>
      </c>
      <c r="M845" s="46">
        <f t="shared" si="266"/>
        <v>1377604</v>
      </c>
      <c r="N845" s="46">
        <v>1377604</v>
      </c>
      <c r="O845" s="48">
        <f t="shared" si="267"/>
        <v>0</v>
      </c>
      <c r="P845" s="46">
        <v>0</v>
      </c>
      <c r="Q845" s="46">
        <v>1377604</v>
      </c>
      <c r="R845" s="49">
        <f t="shared" si="268"/>
        <v>1</v>
      </c>
      <c r="S845" s="50">
        <f t="shared" si="269"/>
        <v>0.01</v>
      </c>
      <c r="T845" s="49">
        <f t="shared" si="270"/>
        <v>13776.04</v>
      </c>
      <c r="U845" s="51">
        <f t="shared" si="271"/>
        <v>0</v>
      </c>
      <c r="V845" s="52">
        <f>IF(0&lt;0.8,0,IF(0&lt;1,Sheet3!L561,1))*IF(G845&lt;3,0.12 - O845,0.01) *U845</f>
        <v>0</v>
      </c>
      <c r="W845" s="52">
        <f t="shared" si="272"/>
        <v>0</v>
      </c>
      <c r="X845" s="53">
        <f t="shared" si="273"/>
        <v>0</v>
      </c>
      <c r="Y845" s="53">
        <f t="shared" si="274"/>
        <v>0</v>
      </c>
      <c r="Z845" s="54">
        <f t="shared" si="264"/>
        <v>0</v>
      </c>
      <c r="AA845" s="54">
        <f t="shared" si="275"/>
        <v>0</v>
      </c>
      <c r="AB845" s="55">
        <f t="shared" si="265"/>
        <v>0</v>
      </c>
      <c r="AC845" s="55">
        <f t="shared" si="276"/>
        <v>0</v>
      </c>
      <c r="AD845" s="56">
        <f t="shared" si="277"/>
        <v>13776.04</v>
      </c>
    </row>
    <row r="846" spans="3:30">
      <c r="C846" s="43" t="s">
        <v>1498</v>
      </c>
      <c r="D846" s="44" t="s">
        <v>1499</v>
      </c>
      <c r="E846" s="44"/>
      <c r="F846" s="45">
        <v>39867.37841435185</v>
      </c>
      <c r="G846" s="46">
        <v>115</v>
      </c>
      <c r="H846" s="47">
        <v>43376</v>
      </c>
      <c r="I846" s="47">
        <v>43397</v>
      </c>
      <c r="J846" s="46">
        <v>185914</v>
      </c>
      <c r="K846" s="46">
        <v>0</v>
      </c>
      <c r="L846" s="46">
        <v>0</v>
      </c>
      <c r="M846" s="46">
        <f t="shared" si="266"/>
        <v>185914</v>
      </c>
      <c r="N846" s="46">
        <v>185914</v>
      </c>
      <c r="O846" s="48">
        <f t="shared" si="267"/>
        <v>0</v>
      </c>
      <c r="P846" s="46">
        <v>0</v>
      </c>
      <c r="Q846" s="46">
        <v>185914</v>
      </c>
      <c r="R846" s="49">
        <f t="shared" si="268"/>
        <v>1</v>
      </c>
      <c r="S846" s="50">
        <f t="shared" si="269"/>
        <v>0.01</v>
      </c>
      <c r="T846" s="49">
        <f t="shared" si="270"/>
        <v>1859.14</v>
      </c>
      <c r="U846" s="51">
        <f t="shared" si="271"/>
        <v>0</v>
      </c>
      <c r="V846" s="52">
        <f>IF(0&lt;0.8,0,IF(0&lt;1,Sheet3!L561,1))*IF(G846&lt;3,0.12 - O846,0.01) *U846</f>
        <v>0</v>
      </c>
      <c r="W846" s="52">
        <f t="shared" si="272"/>
        <v>0</v>
      </c>
      <c r="X846" s="53">
        <f t="shared" si="273"/>
        <v>0</v>
      </c>
      <c r="Y846" s="53">
        <f t="shared" si="274"/>
        <v>0</v>
      </c>
      <c r="Z846" s="54">
        <f t="shared" si="264"/>
        <v>0</v>
      </c>
      <c r="AA846" s="54">
        <f t="shared" si="275"/>
        <v>0</v>
      </c>
      <c r="AB846" s="55">
        <f t="shared" si="265"/>
        <v>0</v>
      </c>
      <c r="AC846" s="55">
        <f t="shared" si="276"/>
        <v>0</v>
      </c>
      <c r="AD846" s="56">
        <f t="shared" si="277"/>
        <v>1859.14</v>
      </c>
    </row>
    <row r="847" spans="3:30">
      <c r="C847" s="43" t="s">
        <v>1500</v>
      </c>
      <c r="D847" s="44" t="s">
        <v>1501</v>
      </c>
      <c r="E847" s="44"/>
      <c r="F847" s="45">
        <v>39898.381168981483</v>
      </c>
      <c r="G847" s="46">
        <v>114</v>
      </c>
      <c r="H847" s="47">
        <v>43388</v>
      </c>
      <c r="I847" s="47">
        <v>43400</v>
      </c>
      <c r="J847" s="46">
        <v>195292</v>
      </c>
      <c r="K847" s="46">
        <v>0</v>
      </c>
      <c r="L847" s="46">
        <v>0</v>
      </c>
      <c r="M847" s="46">
        <f t="shared" si="266"/>
        <v>195292</v>
      </c>
      <c r="N847" s="46">
        <v>195292</v>
      </c>
      <c r="O847" s="48">
        <f t="shared" si="267"/>
        <v>0</v>
      </c>
      <c r="P847" s="46">
        <v>0</v>
      </c>
      <c r="Q847" s="46">
        <v>195292</v>
      </c>
      <c r="R847" s="49">
        <f t="shared" si="268"/>
        <v>1</v>
      </c>
      <c r="S847" s="50">
        <f t="shared" si="269"/>
        <v>0.01</v>
      </c>
      <c r="T847" s="49">
        <f t="shared" si="270"/>
        <v>1952.92</v>
      </c>
      <c r="U847" s="51">
        <f t="shared" si="271"/>
        <v>0</v>
      </c>
      <c r="V847" s="52">
        <f>IF(0&lt;0.8,0,IF(0&lt;1,Sheet3!L561,1))*IF(G847&lt;3,0.12 - O847,0.01) *U847</f>
        <v>0</v>
      </c>
      <c r="W847" s="52">
        <f t="shared" si="272"/>
        <v>0</v>
      </c>
      <c r="X847" s="53">
        <f t="shared" si="273"/>
        <v>0</v>
      </c>
      <c r="Y847" s="53">
        <f t="shared" si="274"/>
        <v>0</v>
      </c>
      <c r="Z847" s="54">
        <f t="shared" si="264"/>
        <v>0</v>
      </c>
      <c r="AA847" s="54">
        <f t="shared" si="275"/>
        <v>0</v>
      </c>
      <c r="AB847" s="55">
        <f t="shared" si="265"/>
        <v>0</v>
      </c>
      <c r="AC847" s="55">
        <f t="shared" si="276"/>
        <v>0</v>
      </c>
      <c r="AD847" s="56">
        <f t="shared" si="277"/>
        <v>1952.92</v>
      </c>
    </row>
    <row r="848" spans="3:30">
      <c r="C848" s="43" t="s">
        <v>1502</v>
      </c>
      <c r="D848" s="44" t="s">
        <v>1503</v>
      </c>
      <c r="E848" s="44"/>
      <c r="F848" s="45">
        <v>39898.383842592593</v>
      </c>
      <c r="G848" s="46">
        <v>114</v>
      </c>
      <c r="H848" s="47">
        <v>43377</v>
      </c>
      <c r="I848" s="47">
        <v>43385</v>
      </c>
      <c r="J848" s="46">
        <v>1119731</v>
      </c>
      <c r="K848" s="46">
        <v>101794</v>
      </c>
      <c r="L848" s="46">
        <v>0</v>
      </c>
      <c r="M848" s="46">
        <f t="shared" si="266"/>
        <v>1017937</v>
      </c>
      <c r="N848" s="46">
        <v>1119731</v>
      </c>
      <c r="O848" s="48">
        <f t="shared" si="267"/>
        <v>9.0909334474083558E-2</v>
      </c>
      <c r="P848" s="46">
        <v>0</v>
      </c>
      <c r="Q848" s="46">
        <v>1119731</v>
      </c>
      <c r="R848" s="49">
        <f t="shared" si="268"/>
        <v>1</v>
      </c>
      <c r="S848" s="50">
        <f t="shared" si="269"/>
        <v>0.01</v>
      </c>
      <c r="T848" s="49">
        <f t="shared" si="270"/>
        <v>10179.370000000001</v>
      </c>
      <c r="U848" s="51">
        <f t="shared" si="271"/>
        <v>0</v>
      </c>
      <c r="V848" s="52">
        <f>IF(0&lt;0.8,0,IF(0&lt;1,Sheet3!L561,1))*IF(G848&lt;3,0.12 - O848,0.01) *U848</f>
        <v>0</v>
      </c>
      <c r="W848" s="52">
        <f t="shared" si="272"/>
        <v>0</v>
      </c>
      <c r="X848" s="53">
        <f t="shared" si="273"/>
        <v>0</v>
      </c>
      <c r="Y848" s="53">
        <f t="shared" si="274"/>
        <v>0</v>
      </c>
      <c r="Z848" s="54">
        <f t="shared" si="264"/>
        <v>0</v>
      </c>
      <c r="AA848" s="54">
        <f t="shared" si="275"/>
        <v>0</v>
      </c>
      <c r="AB848" s="55">
        <f t="shared" si="265"/>
        <v>0</v>
      </c>
      <c r="AC848" s="55">
        <f t="shared" si="276"/>
        <v>0</v>
      </c>
      <c r="AD848" s="56">
        <f t="shared" si="277"/>
        <v>10179.370000000001</v>
      </c>
    </row>
    <row r="849" spans="3:30">
      <c r="C849" s="43" t="s">
        <v>1504</v>
      </c>
      <c r="D849" s="44" t="s">
        <v>1505</v>
      </c>
      <c r="E849" s="44"/>
      <c r="F849" s="45">
        <v>39898.395601851851</v>
      </c>
      <c r="G849" s="46">
        <v>114</v>
      </c>
      <c r="H849" s="47">
        <v>43379</v>
      </c>
      <c r="I849" s="47">
        <v>43420</v>
      </c>
      <c r="J849" s="46">
        <v>4818288</v>
      </c>
      <c r="K849" s="46">
        <v>0</v>
      </c>
      <c r="L849" s="46">
        <v>0</v>
      </c>
      <c r="M849" s="46">
        <f t="shared" si="266"/>
        <v>4818288</v>
      </c>
      <c r="N849" s="46">
        <v>4818288</v>
      </c>
      <c r="O849" s="48">
        <f t="shared" si="267"/>
        <v>0</v>
      </c>
      <c r="P849" s="46">
        <v>0</v>
      </c>
      <c r="Q849" s="46">
        <v>4818288</v>
      </c>
      <c r="R849" s="49">
        <f t="shared" si="268"/>
        <v>1</v>
      </c>
      <c r="S849" s="50">
        <f t="shared" si="269"/>
        <v>0.01</v>
      </c>
      <c r="T849" s="49">
        <f t="shared" si="270"/>
        <v>48182.879999999997</v>
      </c>
      <c r="U849" s="51">
        <f t="shared" si="271"/>
        <v>0</v>
      </c>
      <c r="V849" s="52">
        <f>IF(0&lt;0.8,0,IF(0&lt;1,Sheet3!L561,1))*IF(G849&lt;3,0.12 - O849,0.01) *U849</f>
        <v>0</v>
      </c>
      <c r="W849" s="52">
        <f t="shared" si="272"/>
        <v>0</v>
      </c>
      <c r="X849" s="53">
        <f t="shared" si="273"/>
        <v>0</v>
      </c>
      <c r="Y849" s="53">
        <f t="shared" si="274"/>
        <v>0</v>
      </c>
      <c r="Z849" s="54">
        <f t="shared" si="264"/>
        <v>0</v>
      </c>
      <c r="AA849" s="54">
        <f t="shared" si="275"/>
        <v>0</v>
      </c>
      <c r="AB849" s="55">
        <f t="shared" si="265"/>
        <v>0</v>
      </c>
      <c r="AC849" s="55">
        <f t="shared" si="276"/>
        <v>0</v>
      </c>
      <c r="AD849" s="56">
        <f t="shared" si="277"/>
        <v>48182.879999999997</v>
      </c>
    </row>
    <row r="850" spans="3:30">
      <c r="C850" s="43" t="s">
        <v>1506</v>
      </c>
      <c r="D850" s="44" t="s">
        <v>1507</v>
      </c>
      <c r="E850" s="44"/>
      <c r="F850" s="45">
        <v>39940.389664351853</v>
      </c>
      <c r="G850" s="46">
        <v>112</v>
      </c>
      <c r="H850" s="47">
        <v>43375</v>
      </c>
      <c r="I850" s="47">
        <v>43386</v>
      </c>
      <c r="J850" s="46">
        <v>149970</v>
      </c>
      <c r="K850" s="46">
        <v>0</v>
      </c>
      <c r="L850" s="46">
        <v>0</v>
      </c>
      <c r="M850" s="46">
        <f t="shared" si="266"/>
        <v>149970</v>
      </c>
      <c r="N850" s="46">
        <v>149970</v>
      </c>
      <c r="O850" s="48">
        <f t="shared" si="267"/>
        <v>0</v>
      </c>
      <c r="P850" s="46">
        <v>0</v>
      </c>
      <c r="Q850" s="46">
        <v>149970</v>
      </c>
      <c r="R850" s="49">
        <f t="shared" si="268"/>
        <v>1</v>
      </c>
      <c r="S850" s="50">
        <f t="shared" si="269"/>
        <v>0.01</v>
      </c>
      <c r="T850" s="49">
        <f t="shared" si="270"/>
        <v>1499.7</v>
      </c>
      <c r="U850" s="51">
        <f t="shared" si="271"/>
        <v>0</v>
      </c>
      <c r="V850" s="52">
        <f>IF(0&lt;0.8,0,IF(0&lt;1,Sheet3!L561,1))*IF(G850&lt;3,0.12 - O850,0.01) *U850</f>
        <v>0</v>
      </c>
      <c r="W850" s="52">
        <f t="shared" si="272"/>
        <v>0</v>
      </c>
      <c r="X850" s="53">
        <f t="shared" si="273"/>
        <v>0</v>
      </c>
      <c r="Y850" s="53">
        <f t="shared" si="274"/>
        <v>0</v>
      </c>
      <c r="Z850" s="54">
        <f t="shared" si="264"/>
        <v>0</v>
      </c>
      <c r="AA850" s="54">
        <f t="shared" si="275"/>
        <v>0</v>
      </c>
      <c r="AB850" s="55">
        <f t="shared" si="265"/>
        <v>0</v>
      </c>
      <c r="AC850" s="55">
        <f t="shared" si="276"/>
        <v>0</v>
      </c>
      <c r="AD850" s="56">
        <f t="shared" si="277"/>
        <v>1499.7</v>
      </c>
    </row>
    <row r="851" spans="3:30">
      <c r="C851" s="43" t="s">
        <v>1508</v>
      </c>
      <c r="D851" s="44" t="s">
        <v>1509</v>
      </c>
      <c r="E851" s="44"/>
      <c r="F851" s="45">
        <v>39994.417708333334</v>
      </c>
      <c r="G851" s="46">
        <v>111</v>
      </c>
      <c r="H851" s="47">
        <v>43404</v>
      </c>
      <c r="I851" s="47">
        <v>43417</v>
      </c>
      <c r="J851" s="46">
        <v>2339318</v>
      </c>
      <c r="K851" s="46">
        <v>0</v>
      </c>
      <c r="L851" s="46">
        <v>0</v>
      </c>
      <c r="M851" s="46">
        <f t="shared" si="266"/>
        <v>2339318</v>
      </c>
      <c r="N851" s="46">
        <v>2339318</v>
      </c>
      <c r="O851" s="48">
        <f t="shared" si="267"/>
        <v>0</v>
      </c>
      <c r="P851" s="46">
        <v>0</v>
      </c>
      <c r="Q851" s="46">
        <v>2339318</v>
      </c>
      <c r="R851" s="49">
        <f t="shared" si="268"/>
        <v>1</v>
      </c>
      <c r="S851" s="50">
        <f t="shared" si="269"/>
        <v>0.01</v>
      </c>
      <c r="T851" s="49">
        <f t="shared" si="270"/>
        <v>23393.18</v>
      </c>
      <c r="U851" s="51">
        <f t="shared" si="271"/>
        <v>0</v>
      </c>
      <c r="V851" s="52">
        <f>IF(0&lt;0.8,0,IF(0&lt;1,Sheet3!L561,1))*IF(G851&lt;3,0.12 - O851,0.01) *U851</f>
        <v>0</v>
      </c>
      <c r="W851" s="52">
        <f t="shared" si="272"/>
        <v>0</v>
      </c>
      <c r="X851" s="53">
        <f t="shared" si="273"/>
        <v>0</v>
      </c>
      <c r="Y851" s="53">
        <f t="shared" si="274"/>
        <v>0</v>
      </c>
      <c r="Z851" s="54">
        <f t="shared" si="264"/>
        <v>0</v>
      </c>
      <c r="AA851" s="54">
        <f t="shared" si="275"/>
        <v>0</v>
      </c>
      <c r="AB851" s="55">
        <f t="shared" si="265"/>
        <v>0</v>
      </c>
      <c r="AC851" s="55">
        <f t="shared" si="276"/>
        <v>0</v>
      </c>
      <c r="AD851" s="56">
        <f t="shared" si="277"/>
        <v>23393.18</v>
      </c>
    </row>
    <row r="852" spans="3:30">
      <c r="C852" s="43" t="s">
        <v>1510</v>
      </c>
      <c r="D852" s="44" t="s">
        <v>1511</v>
      </c>
      <c r="E852" s="44"/>
      <c r="F852" s="45">
        <v>39996.630856481483</v>
      </c>
      <c r="G852" s="46">
        <v>110</v>
      </c>
      <c r="H852" s="47">
        <v>43372</v>
      </c>
      <c r="I852" s="47">
        <v>43417</v>
      </c>
      <c r="J852" s="46">
        <v>10118510</v>
      </c>
      <c r="K852" s="46">
        <v>0</v>
      </c>
      <c r="L852" s="46">
        <v>0</v>
      </c>
      <c r="M852" s="46">
        <f t="shared" si="266"/>
        <v>10118510</v>
      </c>
      <c r="N852" s="46">
        <v>10118510</v>
      </c>
      <c r="O852" s="48">
        <f t="shared" si="267"/>
        <v>0</v>
      </c>
      <c r="P852" s="46">
        <v>0</v>
      </c>
      <c r="Q852" s="46">
        <v>10118510</v>
      </c>
      <c r="R852" s="49">
        <f t="shared" si="268"/>
        <v>1</v>
      </c>
      <c r="S852" s="50">
        <f t="shared" si="269"/>
        <v>0.01</v>
      </c>
      <c r="T852" s="49">
        <f t="shared" si="270"/>
        <v>101185.1</v>
      </c>
      <c r="U852" s="51">
        <f t="shared" si="271"/>
        <v>0</v>
      </c>
      <c r="V852" s="52">
        <f>IF(0&lt;0.8,0,IF(0&lt;1,Sheet3!L561,1))*IF(G852&lt;3,0.12 - O852,0.01) *U852</f>
        <v>0</v>
      </c>
      <c r="W852" s="52">
        <f t="shared" si="272"/>
        <v>0</v>
      </c>
      <c r="X852" s="53">
        <f t="shared" si="273"/>
        <v>0</v>
      </c>
      <c r="Y852" s="53">
        <f t="shared" si="274"/>
        <v>0</v>
      </c>
      <c r="Z852" s="54">
        <f t="shared" si="264"/>
        <v>0</v>
      </c>
      <c r="AA852" s="54">
        <f t="shared" si="275"/>
        <v>0</v>
      </c>
      <c r="AB852" s="55">
        <f t="shared" si="265"/>
        <v>0</v>
      </c>
      <c r="AC852" s="55">
        <f t="shared" si="276"/>
        <v>0</v>
      </c>
      <c r="AD852" s="56">
        <f t="shared" si="277"/>
        <v>101185.1</v>
      </c>
    </row>
    <row r="853" spans="3:30">
      <c r="C853" s="43" t="s">
        <v>1512</v>
      </c>
      <c r="D853" s="44" t="s">
        <v>1513</v>
      </c>
      <c r="E853" s="44"/>
      <c r="F853" s="45">
        <v>40002.585138888884</v>
      </c>
      <c r="G853" s="46">
        <v>110</v>
      </c>
      <c r="H853" s="47">
        <v>43379</v>
      </c>
      <c r="I853" s="47">
        <v>43393</v>
      </c>
      <c r="J853" s="46">
        <v>312906</v>
      </c>
      <c r="K853" s="46">
        <v>0</v>
      </c>
      <c r="L853" s="46">
        <v>0</v>
      </c>
      <c r="M853" s="46">
        <f t="shared" si="266"/>
        <v>312906</v>
      </c>
      <c r="N853" s="46">
        <v>312906</v>
      </c>
      <c r="O853" s="48">
        <f t="shared" si="267"/>
        <v>0</v>
      </c>
      <c r="P853" s="46">
        <v>0</v>
      </c>
      <c r="Q853" s="46">
        <v>312906</v>
      </c>
      <c r="R853" s="49">
        <f t="shared" si="268"/>
        <v>1</v>
      </c>
      <c r="S853" s="50">
        <f t="shared" si="269"/>
        <v>0.01</v>
      </c>
      <c r="T853" s="49">
        <f t="shared" si="270"/>
        <v>3129.06</v>
      </c>
      <c r="U853" s="51">
        <f t="shared" si="271"/>
        <v>0</v>
      </c>
      <c r="V853" s="52">
        <f>IF(0&lt;0.8,0,IF(0&lt;1,Sheet3!L561,1))*IF(G853&lt;3,0.12 - O853,0.01) *U853</f>
        <v>0</v>
      </c>
      <c r="W853" s="52">
        <f t="shared" si="272"/>
        <v>0</v>
      </c>
      <c r="X853" s="53">
        <f t="shared" si="273"/>
        <v>0</v>
      </c>
      <c r="Y853" s="53">
        <f t="shared" si="274"/>
        <v>0</v>
      </c>
      <c r="Z853" s="54">
        <f t="shared" si="264"/>
        <v>0</v>
      </c>
      <c r="AA853" s="54">
        <f t="shared" si="275"/>
        <v>0</v>
      </c>
      <c r="AB853" s="55">
        <f t="shared" si="265"/>
        <v>0</v>
      </c>
      <c r="AC853" s="55">
        <f t="shared" si="276"/>
        <v>0</v>
      </c>
      <c r="AD853" s="56">
        <f t="shared" si="277"/>
        <v>3129.06</v>
      </c>
    </row>
    <row r="854" spans="3:30">
      <c r="C854" s="43" t="s">
        <v>1514</v>
      </c>
      <c r="D854" s="44" t="s">
        <v>1515</v>
      </c>
      <c r="E854" s="44"/>
      <c r="F854" s="45">
        <v>40011.37232638889</v>
      </c>
      <c r="G854" s="46">
        <v>110</v>
      </c>
      <c r="H854" s="47">
        <v>43376</v>
      </c>
      <c r="I854" s="47">
        <v>43391</v>
      </c>
      <c r="J854" s="46">
        <v>154880</v>
      </c>
      <c r="K854" s="46">
        <v>0</v>
      </c>
      <c r="L854" s="46">
        <v>0</v>
      </c>
      <c r="M854" s="46">
        <f t="shared" si="266"/>
        <v>154880</v>
      </c>
      <c r="N854" s="46">
        <v>154880</v>
      </c>
      <c r="O854" s="48">
        <f t="shared" si="267"/>
        <v>0</v>
      </c>
      <c r="P854" s="46">
        <v>0</v>
      </c>
      <c r="Q854" s="46">
        <v>154880</v>
      </c>
      <c r="R854" s="49">
        <f t="shared" si="268"/>
        <v>1</v>
      </c>
      <c r="S854" s="50">
        <f t="shared" si="269"/>
        <v>0.01</v>
      </c>
      <c r="T854" s="49">
        <f t="shared" si="270"/>
        <v>1548.8</v>
      </c>
      <c r="U854" s="51">
        <f t="shared" si="271"/>
        <v>0</v>
      </c>
      <c r="V854" s="52">
        <f>IF(0&lt;0.8,0,IF(0&lt;1,Sheet3!L561,1))*IF(G854&lt;3,0.12 - O854,0.01) *U854</f>
        <v>0</v>
      </c>
      <c r="W854" s="52">
        <f t="shared" si="272"/>
        <v>0</v>
      </c>
      <c r="X854" s="53">
        <f t="shared" si="273"/>
        <v>0</v>
      </c>
      <c r="Y854" s="53">
        <f t="shared" si="274"/>
        <v>0</v>
      </c>
      <c r="Z854" s="54">
        <f t="shared" si="264"/>
        <v>0</v>
      </c>
      <c r="AA854" s="54">
        <f t="shared" si="275"/>
        <v>0</v>
      </c>
      <c r="AB854" s="55">
        <f t="shared" si="265"/>
        <v>0</v>
      </c>
      <c r="AC854" s="55">
        <f t="shared" si="276"/>
        <v>0</v>
      </c>
      <c r="AD854" s="56">
        <f t="shared" si="277"/>
        <v>1548.8</v>
      </c>
    </row>
    <row r="855" spans="3:30">
      <c r="C855" s="43" t="s">
        <v>1516</v>
      </c>
      <c r="D855" s="44" t="s">
        <v>1517</v>
      </c>
      <c r="E855" s="44"/>
      <c r="F855" s="45">
        <v>40011.373518518514</v>
      </c>
      <c r="G855" s="46">
        <v>110</v>
      </c>
      <c r="H855" s="47">
        <v>43377</v>
      </c>
      <c r="I855" s="47">
        <v>43385</v>
      </c>
      <c r="J855" s="46">
        <v>1234158</v>
      </c>
      <c r="K855" s="46">
        <v>0</v>
      </c>
      <c r="L855" s="46">
        <v>0</v>
      </c>
      <c r="M855" s="46">
        <f t="shared" si="266"/>
        <v>1234158</v>
      </c>
      <c r="N855" s="46">
        <v>1234158</v>
      </c>
      <c r="O855" s="48">
        <f t="shared" si="267"/>
        <v>0</v>
      </c>
      <c r="P855" s="46">
        <v>0</v>
      </c>
      <c r="Q855" s="46">
        <v>1234158</v>
      </c>
      <c r="R855" s="49">
        <f t="shared" si="268"/>
        <v>1</v>
      </c>
      <c r="S855" s="50">
        <f t="shared" si="269"/>
        <v>0.01</v>
      </c>
      <c r="T855" s="49">
        <f t="shared" si="270"/>
        <v>12341.58</v>
      </c>
      <c r="U855" s="51">
        <f t="shared" si="271"/>
        <v>0</v>
      </c>
      <c r="V855" s="52">
        <f>IF(0&lt;0.8,0,IF(0&lt;1,Sheet3!L561,1))*IF(G855&lt;3,0.12 - O855,0.01) *U855</f>
        <v>0</v>
      </c>
      <c r="W855" s="52">
        <f t="shared" si="272"/>
        <v>0</v>
      </c>
      <c r="X855" s="53">
        <f t="shared" si="273"/>
        <v>0</v>
      </c>
      <c r="Y855" s="53">
        <f t="shared" si="274"/>
        <v>0</v>
      </c>
      <c r="Z855" s="54">
        <f t="shared" si="264"/>
        <v>0</v>
      </c>
      <c r="AA855" s="54">
        <f t="shared" si="275"/>
        <v>0</v>
      </c>
      <c r="AB855" s="55">
        <f t="shared" si="265"/>
        <v>0</v>
      </c>
      <c r="AC855" s="55">
        <f t="shared" si="276"/>
        <v>0</v>
      </c>
      <c r="AD855" s="56">
        <f t="shared" si="277"/>
        <v>12341.58</v>
      </c>
    </row>
    <row r="856" spans="3:30">
      <c r="C856" s="43" t="s">
        <v>1518</v>
      </c>
      <c r="D856" s="44" t="s">
        <v>1519</v>
      </c>
      <c r="E856" s="44"/>
      <c r="F856" s="45">
        <v>40014.429444444446</v>
      </c>
      <c r="G856" s="46">
        <v>110</v>
      </c>
      <c r="H856" s="47">
        <v>43376</v>
      </c>
      <c r="I856" s="47">
        <v>43424</v>
      </c>
      <c r="J856" s="46">
        <v>4109886</v>
      </c>
      <c r="K856" s="46">
        <v>0</v>
      </c>
      <c r="L856" s="46">
        <v>0</v>
      </c>
      <c r="M856" s="46">
        <f t="shared" si="266"/>
        <v>4109886</v>
      </c>
      <c r="N856" s="46">
        <v>4109886</v>
      </c>
      <c r="O856" s="48">
        <f t="shared" si="267"/>
        <v>0</v>
      </c>
      <c r="P856" s="46">
        <v>0</v>
      </c>
      <c r="Q856" s="46">
        <v>4109886</v>
      </c>
      <c r="R856" s="49">
        <f t="shared" si="268"/>
        <v>1</v>
      </c>
      <c r="S856" s="50">
        <f t="shared" si="269"/>
        <v>0.01</v>
      </c>
      <c r="T856" s="49">
        <f t="shared" si="270"/>
        <v>41098.86</v>
      </c>
      <c r="U856" s="51">
        <f t="shared" si="271"/>
        <v>0</v>
      </c>
      <c r="V856" s="52">
        <f>IF(0&lt;0.8,0,IF(0&lt;1,Sheet3!L561,1))*IF(G856&lt;3,0.12 - O856,0.01) *U856</f>
        <v>0</v>
      </c>
      <c r="W856" s="52">
        <f t="shared" si="272"/>
        <v>0</v>
      </c>
      <c r="X856" s="53">
        <f t="shared" si="273"/>
        <v>0</v>
      </c>
      <c r="Y856" s="53">
        <f t="shared" si="274"/>
        <v>0</v>
      </c>
      <c r="Z856" s="54">
        <f t="shared" si="264"/>
        <v>0</v>
      </c>
      <c r="AA856" s="54">
        <f t="shared" si="275"/>
        <v>0</v>
      </c>
      <c r="AB856" s="55">
        <f t="shared" si="265"/>
        <v>0</v>
      </c>
      <c r="AC856" s="55">
        <f t="shared" si="276"/>
        <v>0</v>
      </c>
      <c r="AD856" s="56">
        <f t="shared" si="277"/>
        <v>41098.86</v>
      </c>
    </row>
    <row r="857" spans="3:30">
      <c r="C857" s="43" t="s">
        <v>1520</v>
      </c>
      <c r="D857" s="44" t="s">
        <v>1521</v>
      </c>
      <c r="E857" s="44"/>
      <c r="F857" s="45">
        <v>40015.597905092589</v>
      </c>
      <c r="G857" s="46">
        <v>110</v>
      </c>
      <c r="H857" s="47">
        <v>43375</v>
      </c>
      <c r="I857" s="47">
        <v>43398</v>
      </c>
      <c r="J857" s="46">
        <v>5244371</v>
      </c>
      <c r="K857" s="46">
        <v>0</v>
      </c>
      <c r="L857" s="46">
        <v>0</v>
      </c>
      <c r="M857" s="46">
        <f t="shared" si="266"/>
        <v>5244371</v>
      </c>
      <c r="N857" s="46">
        <v>5244371</v>
      </c>
      <c r="O857" s="48">
        <f t="shared" si="267"/>
        <v>0</v>
      </c>
      <c r="P857" s="46">
        <v>0</v>
      </c>
      <c r="Q857" s="46">
        <v>5244371</v>
      </c>
      <c r="R857" s="49">
        <f t="shared" si="268"/>
        <v>1</v>
      </c>
      <c r="S857" s="50">
        <f t="shared" si="269"/>
        <v>0.01</v>
      </c>
      <c r="T857" s="49">
        <f t="shared" si="270"/>
        <v>52443.71</v>
      </c>
      <c r="U857" s="51">
        <f t="shared" si="271"/>
        <v>0</v>
      </c>
      <c r="V857" s="52">
        <f>IF(0&lt;0.8,0,IF(0&lt;1,Sheet3!L561,1))*IF(G857&lt;3,0.12 - O857,0.01) *U857</f>
        <v>0</v>
      </c>
      <c r="W857" s="52">
        <f t="shared" si="272"/>
        <v>0</v>
      </c>
      <c r="X857" s="53">
        <f t="shared" si="273"/>
        <v>0</v>
      </c>
      <c r="Y857" s="53">
        <f t="shared" si="274"/>
        <v>0</v>
      </c>
      <c r="Z857" s="54">
        <f t="shared" si="264"/>
        <v>0</v>
      </c>
      <c r="AA857" s="54">
        <f t="shared" si="275"/>
        <v>0</v>
      </c>
      <c r="AB857" s="55">
        <f t="shared" si="265"/>
        <v>0</v>
      </c>
      <c r="AC857" s="55">
        <f t="shared" si="276"/>
        <v>0</v>
      </c>
      <c r="AD857" s="56">
        <f t="shared" si="277"/>
        <v>52443.71</v>
      </c>
    </row>
    <row r="858" spans="3:30">
      <c r="C858" s="43" t="s">
        <v>1522</v>
      </c>
      <c r="D858" s="44" t="s">
        <v>1523</v>
      </c>
      <c r="E858" s="44"/>
      <c r="F858" s="45">
        <v>40015.599664351852</v>
      </c>
      <c r="G858" s="46">
        <v>110</v>
      </c>
      <c r="H858" s="47">
        <v>43379</v>
      </c>
      <c r="I858" s="47">
        <v>43405</v>
      </c>
      <c r="J858" s="46">
        <v>581042</v>
      </c>
      <c r="K858" s="46">
        <v>0</v>
      </c>
      <c r="L858" s="46">
        <v>0</v>
      </c>
      <c r="M858" s="46">
        <f t="shared" si="266"/>
        <v>581042</v>
      </c>
      <c r="N858" s="46">
        <v>581042</v>
      </c>
      <c r="O858" s="48">
        <f t="shared" si="267"/>
        <v>0</v>
      </c>
      <c r="P858" s="46">
        <v>0</v>
      </c>
      <c r="Q858" s="46">
        <v>581042</v>
      </c>
      <c r="R858" s="49">
        <f t="shared" si="268"/>
        <v>1</v>
      </c>
      <c r="S858" s="50">
        <f t="shared" si="269"/>
        <v>0.01</v>
      </c>
      <c r="T858" s="49">
        <f t="shared" si="270"/>
        <v>5810.42</v>
      </c>
      <c r="U858" s="51">
        <f t="shared" si="271"/>
        <v>0</v>
      </c>
      <c r="V858" s="52">
        <f>IF(0&lt;0.8,0,IF(0&lt;1,Sheet3!L561,1))*IF(G858&lt;3,0.12 - O858,0.01) *U858</f>
        <v>0</v>
      </c>
      <c r="W858" s="52">
        <f t="shared" si="272"/>
        <v>0</v>
      </c>
      <c r="X858" s="53">
        <f t="shared" si="273"/>
        <v>0</v>
      </c>
      <c r="Y858" s="53">
        <f t="shared" si="274"/>
        <v>0</v>
      </c>
      <c r="Z858" s="54">
        <f t="shared" si="264"/>
        <v>0</v>
      </c>
      <c r="AA858" s="54">
        <f t="shared" si="275"/>
        <v>0</v>
      </c>
      <c r="AB858" s="55">
        <f t="shared" si="265"/>
        <v>0</v>
      </c>
      <c r="AC858" s="55">
        <f t="shared" si="276"/>
        <v>0</v>
      </c>
      <c r="AD858" s="56">
        <f t="shared" si="277"/>
        <v>5810.42</v>
      </c>
    </row>
    <row r="859" spans="3:30">
      <c r="C859" s="43" t="s">
        <v>1524</v>
      </c>
      <c r="D859" s="44" t="s">
        <v>1525</v>
      </c>
      <c r="E859" s="44"/>
      <c r="F859" s="45">
        <v>40015.638819444444</v>
      </c>
      <c r="G859" s="46">
        <v>110</v>
      </c>
      <c r="H859" s="47">
        <v>43377</v>
      </c>
      <c r="I859" s="47">
        <v>43385</v>
      </c>
      <c r="J859" s="46">
        <v>1321556</v>
      </c>
      <c r="K859" s="46">
        <v>0</v>
      </c>
      <c r="L859" s="46">
        <v>0</v>
      </c>
      <c r="M859" s="46">
        <f t="shared" si="266"/>
        <v>1321556</v>
      </c>
      <c r="N859" s="46">
        <v>1321556</v>
      </c>
      <c r="O859" s="48">
        <f t="shared" si="267"/>
        <v>0</v>
      </c>
      <c r="P859" s="46">
        <v>0</v>
      </c>
      <c r="Q859" s="46">
        <v>1321556</v>
      </c>
      <c r="R859" s="49">
        <f t="shared" si="268"/>
        <v>1</v>
      </c>
      <c r="S859" s="50">
        <f t="shared" si="269"/>
        <v>0.01</v>
      </c>
      <c r="T859" s="49">
        <f t="shared" si="270"/>
        <v>13215.56</v>
      </c>
      <c r="U859" s="51">
        <f t="shared" si="271"/>
        <v>0</v>
      </c>
      <c r="V859" s="52">
        <f>IF(0&lt;0.8,0,IF(0&lt;1,Sheet3!L561,1))*IF(G859&lt;3,0.12 - O859,0.01) *U859</f>
        <v>0</v>
      </c>
      <c r="W859" s="52">
        <f t="shared" si="272"/>
        <v>0</v>
      </c>
      <c r="X859" s="53">
        <f t="shared" si="273"/>
        <v>0</v>
      </c>
      <c r="Y859" s="53">
        <f t="shared" si="274"/>
        <v>0</v>
      </c>
      <c r="Z859" s="54">
        <f t="shared" si="264"/>
        <v>0</v>
      </c>
      <c r="AA859" s="54">
        <f t="shared" si="275"/>
        <v>0</v>
      </c>
      <c r="AB859" s="55">
        <f t="shared" si="265"/>
        <v>0</v>
      </c>
      <c r="AC859" s="55">
        <f t="shared" si="276"/>
        <v>0</v>
      </c>
      <c r="AD859" s="56">
        <f t="shared" si="277"/>
        <v>13215.56</v>
      </c>
    </row>
    <row r="860" spans="3:30">
      <c r="C860" s="43" t="s">
        <v>1526</v>
      </c>
      <c r="D860" s="44" t="s">
        <v>1527</v>
      </c>
      <c r="E860" s="44"/>
      <c r="F860" s="45">
        <v>40018.392349537033</v>
      </c>
      <c r="G860" s="46">
        <v>110</v>
      </c>
      <c r="H860" s="47">
        <v>43372</v>
      </c>
      <c r="I860" s="47">
        <v>43399</v>
      </c>
      <c r="J860" s="46">
        <v>1188175</v>
      </c>
      <c r="K860" s="46">
        <v>108014</v>
      </c>
      <c r="L860" s="46">
        <v>0</v>
      </c>
      <c r="M860" s="46">
        <f t="shared" si="266"/>
        <v>1080161</v>
      </c>
      <c r="N860" s="46">
        <v>1188175</v>
      </c>
      <c r="O860" s="48">
        <f t="shared" si="267"/>
        <v>9.0907484166894648E-2</v>
      </c>
      <c r="P860" s="46">
        <v>0</v>
      </c>
      <c r="Q860" s="46">
        <v>1188175</v>
      </c>
      <c r="R860" s="49">
        <f t="shared" si="268"/>
        <v>1</v>
      </c>
      <c r="S860" s="50">
        <f t="shared" si="269"/>
        <v>0.01</v>
      </c>
      <c r="T860" s="49">
        <f t="shared" si="270"/>
        <v>10801.61</v>
      </c>
      <c r="U860" s="51">
        <f t="shared" si="271"/>
        <v>0</v>
      </c>
      <c r="V860" s="52">
        <f>IF(0&lt;0.8,0,IF(0&lt;1,Sheet3!L561,1))*IF(G860&lt;3,0.12 - O860,0.01) *U860</f>
        <v>0</v>
      </c>
      <c r="W860" s="52">
        <f t="shared" si="272"/>
        <v>0</v>
      </c>
      <c r="X860" s="53">
        <f t="shared" si="273"/>
        <v>0</v>
      </c>
      <c r="Y860" s="53">
        <f t="shared" si="274"/>
        <v>0</v>
      </c>
      <c r="Z860" s="54">
        <f t="shared" si="264"/>
        <v>0</v>
      </c>
      <c r="AA860" s="54">
        <f t="shared" si="275"/>
        <v>0</v>
      </c>
      <c r="AB860" s="55">
        <f t="shared" si="265"/>
        <v>0</v>
      </c>
      <c r="AC860" s="55">
        <f t="shared" si="276"/>
        <v>0</v>
      </c>
      <c r="AD860" s="56">
        <f t="shared" si="277"/>
        <v>10801.61</v>
      </c>
    </row>
    <row r="861" spans="3:30">
      <c r="C861" s="43" t="s">
        <v>1528</v>
      </c>
      <c r="D861" s="44" t="s">
        <v>1529</v>
      </c>
      <c r="E861" s="44"/>
      <c r="F861" s="45">
        <v>40026.376203703701</v>
      </c>
      <c r="G861" s="46">
        <v>109</v>
      </c>
      <c r="H861" s="47">
        <v>43381</v>
      </c>
      <c r="I861" s="47">
        <v>43390</v>
      </c>
      <c r="J861" s="46">
        <v>1675086</v>
      </c>
      <c r="K861" s="46">
        <v>180000</v>
      </c>
      <c r="L861" s="46">
        <v>0</v>
      </c>
      <c r="M861" s="46">
        <f t="shared" si="266"/>
        <v>1495086</v>
      </c>
      <c r="N861" s="46">
        <v>1675086</v>
      </c>
      <c r="O861" s="48">
        <f t="shared" si="267"/>
        <v>0.10745716936324468</v>
      </c>
      <c r="P861" s="46">
        <v>0</v>
      </c>
      <c r="Q861" s="46">
        <v>1675086</v>
      </c>
      <c r="R861" s="49">
        <f t="shared" si="268"/>
        <v>1</v>
      </c>
      <c r="S861" s="50">
        <f t="shared" si="269"/>
        <v>0.01</v>
      </c>
      <c r="T861" s="49">
        <f t="shared" si="270"/>
        <v>14950.86</v>
      </c>
      <c r="U861" s="51">
        <f t="shared" si="271"/>
        <v>0</v>
      </c>
      <c r="V861" s="52">
        <f>IF(0&lt;0.8,0,IF(0&lt;1,Sheet3!L561,1))*IF(G861&lt;3,0.12 - O861,0.01) *U861</f>
        <v>0</v>
      </c>
      <c r="W861" s="52">
        <f t="shared" si="272"/>
        <v>0</v>
      </c>
      <c r="X861" s="53">
        <f t="shared" si="273"/>
        <v>0</v>
      </c>
      <c r="Y861" s="53">
        <f t="shared" si="274"/>
        <v>0</v>
      </c>
      <c r="Z861" s="54">
        <f t="shared" si="264"/>
        <v>0</v>
      </c>
      <c r="AA861" s="54">
        <f t="shared" si="275"/>
        <v>0</v>
      </c>
      <c r="AB861" s="55">
        <f t="shared" si="265"/>
        <v>0</v>
      </c>
      <c r="AC861" s="55">
        <f t="shared" si="276"/>
        <v>0</v>
      </c>
      <c r="AD861" s="56">
        <f t="shared" si="277"/>
        <v>14950.86</v>
      </c>
    </row>
    <row r="862" spans="3:30">
      <c r="C862" s="43" t="s">
        <v>1530</v>
      </c>
      <c r="D862" s="44" t="s">
        <v>1531</v>
      </c>
      <c r="E862" s="44"/>
      <c r="F862" s="45">
        <v>40030.392337962963</v>
      </c>
      <c r="G862" s="46">
        <v>109</v>
      </c>
      <c r="H862" s="47">
        <v>43372</v>
      </c>
      <c r="I862" s="47">
        <v>43385</v>
      </c>
      <c r="J862" s="46">
        <v>7046474</v>
      </c>
      <c r="K862" s="46">
        <v>207067</v>
      </c>
      <c r="L862" s="46">
        <v>0</v>
      </c>
      <c r="M862" s="46">
        <f t="shared" si="266"/>
        <v>6839407</v>
      </c>
      <c r="N862" s="46">
        <v>7046474</v>
      </c>
      <c r="O862" s="48">
        <f t="shared" si="267"/>
        <v>2.9385902793368723E-2</v>
      </c>
      <c r="P862" s="46">
        <v>0</v>
      </c>
      <c r="Q862" s="46">
        <v>12469491</v>
      </c>
      <c r="R862" s="49">
        <f t="shared" si="268"/>
        <v>1</v>
      </c>
      <c r="S862" s="50">
        <f t="shared" si="269"/>
        <v>0.01</v>
      </c>
      <c r="T862" s="49">
        <f t="shared" si="270"/>
        <v>68394.070000000007</v>
      </c>
      <c r="U862" s="51">
        <f t="shared" si="271"/>
        <v>0</v>
      </c>
      <c r="V862" s="52">
        <f>IF(0&lt;0.8,0,IF(0&lt;1,Sheet3!L561,1))*IF(G862&lt;3,0.12 - O862,0.01) *U862</f>
        <v>0</v>
      </c>
      <c r="W862" s="52">
        <f t="shared" si="272"/>
        <v>0</v>
      </c>
      <c r="X862" s="53">
        <f t="shared" si="273"/>
        <v>0</v>
      </c>
      <c r="Y862" s="53">
        <f t="shared" si="274"/>
        <v>0</v>
      </c>
      <c r="Z862" s="54">
        <f t="shared" si="264"/>
        <v>0</v>
      </c>
      <c r="AA862" s="54">
        <f t="shared" si="275"/>
        <v>0</v>
      </c>
      <c r="AB862" s="55">
        <f t="shared" si="265"/>
        <v>0</v>
      </c>
      <c r="AC862" s="55">
        <f t="shared" si="276"/>
        <v>0</v>
      </c>
      <c r="AD862" s="56">
        <f t="shared" si="277"/>
        <v>68394.070000000007</v>
      </c>
    </row>
    <row r="863" spans="3:30">
      <c r="C863" s="43" t="s">
        <v>1532</v>
      </c>
      <c r="D863" s="44" t="s">
        <v>1533</v>
      </c>
      <c r="E863" s="44"/>
      <c r="F863" s="45">
        <v>40045.708738425921</v>
      </c>
      <c r="G863" s="46">
        <v>109</v>
      </c>
      <c r="H863" s="47">
        <v>43372</v>
      </c>
      <c r="I863" s="47">
        <v>43390</v>
      </c>
      <c r="J863" s="46">
        <v>233971</v>
      </c>
      <c r="K863" s="46">
        <v>0</v>
      </c>
      <c r="L863" s="46">
        <v>0</v>
      </c>
      <c r="M863" s="46">
        <f t="shared" si="266"/>
        <v>233971</v>
      </c>
      <c r="N863" s="46">
        <v>233971</v>
      </c>
      <c r="O863" s="48">
        <f t="shared" si="267"/>
        <v>0</v>
      </c>
      <c r="P863" s="46">
        <v>0</v>
      </c>
      <c r="Q863" s="46">
        <v>233971</v>
      </c>
      <c r="R863" s="49">
        <f t="shared" si="268"/>
        <v>1</v>
      </c>
      <c r="S863" s="50">
        <f t="shared" si="269"/>
        <v>0.01</v>
      </c>
      <c r="T863" s="49">
        <f t="shared" si="270"/>
        <v>2339.71</v>
      </c>
      <c r="U863" s="51">
        <f t="shared" si="271"/>
        <v>0</v>
      </c>
      <c r="V863" s="52">
        <f>IF(0&lt;0.8,0,IF(0&lt;1,Sheet3!L561,1))*IF(G863&lt;3,0.12 - O863,0.01) *U863</f>
        <v>0</v>
      </c>
      <c r="W863" s="52">
        <f t="shared" si="272"/>
        <v>0</v>
      </c>
      <c r="X863" s="53">
        <f t="shared" si="273"/>
        <v>0</v>
      </c>
      <c r="Y863" s="53">
        <f t="shared" si="274"/>
        <v>0</v>
      </c>
      <c r="Z863" s="54">
        <f t="shared" si="264"/>
        <v>0</v>
      </c>
      <c r="AA863" s="54">
        <f t="shared" si="275"/>
        <v>0</v>
      </c>
      <c r="AB863" s="55">
        <f t="shared" si="265"/>
        <v>0</v>
      </c>
      <c r="AC863" s="55">
        <f t="shared" si="276"/>
        <v>0</v>
      </c>
      <c r="AD863" s="56">
        <f t="shared" si="277"/>
        <v>2339.71</v>
      </c>
    </row>
    <row r="864" spans="3:30">
      <c r="C864" s="43" t="s">
        <v>1534</v>
      </c>
      <c r="D864" s="44" t="s">
        <v>1535</v>
      </c>
      <c r="E864" s="44"/>
      <c r="F864" s="45">
        <v>40064.678067129629</v>
      </c>
      <c r="G864" s="46">
        <v>108</v>
      </c>
      <c r="H864" s="47">
        <v>43404</v>
      </c>
      <c r="I864" s="47">
        <v>43406</v>
      </c>
      <c r="J864" s="46">
        <v>2142968</v>
      </c>
      <c r="K864" s="46">
        <v>0</v>
      </c>
      <c r="L864" s="46">
        <v>0</v>
      </c>
      <c r="M864" s="46">
        <f t="shared" si="266"/>
        <v>2142968</v>
      </c>
      <c r="N864" s="46">
        <v>3078968</v>
      </c>
      <c r="O864" s="48">
        <f t="shared" si="267"/>
        <v>0.30399796295382087</v>
      </c>
      <c r="P864" s="46">
        <v>0</v>
      </c>
      <c r="Q864" s="46">
        <v>2213188</v>
      </c>
      <c r="R864" s="49">
        <f t="shared" si="268"/>
        <v>1</v>
      </c>
      <c r="S864" s="50">
        <f t="shared" si="269"/>
        <v>0.01</v>
      </c>
      <c r="T864" s="49">
        <f t="shared" si="270"/>
        <v>21429.68</v>
      </c>
      <c r="U864" s="51">
        <f t="shared" si="271"/>
        <v>0</v>
      </c>
      <c r="V864" s="52">
        <f>IF(0&lt;0.8,0,IF(0&lt;1,Sheet3!L561,1))*IF(G864&lt;3,0.12 - O864,0.01) *U864</f>
        <v>0</v>
      </c>
      <c r="W864" s="52">
        <f t="shared" si="272"/>
        <v>0</v>
      </c>
      <c r="X864" s="53">
        <f t="shared" si="273"/>
        <v>0</v>
      </c>
      <c r="Y864" s="53">
        <f t="shared" si="274"/>
        <v>0</v>
      </c>
      <c r="Z864" s="54">
        <f t="shared" si="264"/>
        <v>0</v>
      </c>
      <c r="AA864" s="54">
        <f t="shared" si="275"/>
        <v>0</v>
      </c>
      <c r="AB864" s="55">
        <f t="shared" si="265"/>
        <v>0</v>
      </c>
      <c r="AC864" s="55">
        <f t="shared" si="276"/>
        <v>0</v>
      </c>
      <c r="AD864" s="56">
        <f t="shared" si="277"/>
        <v>21429.68</v>
      </c>
    </row>
    <row r="865" spans="3:30">
      <c r="C865" s="43" t="s">
        <v>1536</v>
      </c>
      <c r="D865" s="44" t="s">
        <v>1537</v>
      </c>
      <c r="E865" s="44"/>
      <c r="F865" s="45">
        <v>40079.669490740736</v>
      </c>
      <c r="G865" s="46">
        <v>108</v>
      </c>
      <c r="H865" s="47">
        <v>43375</v>
      </c>
      <c r="I865" s="47">
        <v>43386</v>
      </c>
      <c r="J865" s="46">
        <v>2061345</v>
      </c>
      <c r="K865" s="46">
        <v>0</v>
      </c>
      <c r="L865" s="46">
        <v>0</v>
      </c>
      <c r="M865" s="46">
        <f t="shared" si="266"/>
        <v>2061345</v>
      </c>
      <c r="N865" s="46">
        <v>2061345</v>
      </c>
      <c r="O865" s="48">
        <f t="shared" si="267"/>
        <v>0</v>
      </c>
      <c r="P865" s="46">
        <v>0</v>
      </c>
      <c r="Q865" s="46">
        <v>2061345</v>
      </c>
      <c r="R865" s="49">
        <f t="shared" si="268"/>
        <v>1</v>
      </c>
      <c r="S865" s="50">
        <f t="shared" si="269"/>
        <v>0.01</v>
      </c>
      <c r="T865" s="49">
        <f t="shared" si="270"/>
        <v>20613.45</v>
      </c>
      <c r="U865" s="51">
        <f t="shared" si="271"/>
        <v>0</v>
      </c>
      <c r="V865" s="52">
        <f>IF(0&lt;0.8,0,IF(0&lt;1,Sheet3!L561,1))*IF(G865&lt;3,0.12 - O865,0.01) *U865</f>
        <v>0</v>
      </c>
      <c r="W865" s="52">
        <f t="shared" si="272"/>
        <v>0</v>
      </c>
      <c r="X865" s="53">
        <f t="shared" si="273"/>
        <v>0</v>
      </c>
      <c r="Y865" s="53">
        <f t="shared" si="274"/>
        <v>0</v>
      </c>
      <c r="Z865" s="54">
        <f t="shared" si="264"/>
        <v>0</v>
      </c>
      <c r="AA865" s="54">
        <f t="shared" si="275"/>
        <v>0</v>
      </c>
      <c r="AB865" s="55">
        <f t="shared" si="265"/>
        <v>0</v>
      </c>
      <c r="AC865" s="55">
        <f t="shared" si="276"/>
        <v>0</v>
      </c>
      <c r="AD865" s="56">
        <f t="shared" si="277"/>
        <v>20613.45</v>
      </c>
    </row>
    <row r="866" spans="3:30">
      <c r="C866" s="43" t="s">
        <v>1538</v>
      </c>
      <c r="D866" s="44" t="s">
        <v>1539</v>
      </c>
      <c r="E866" s="44"/>
      <c r="F866" s="45">
        <v>40088.400196759256</v>
      </c>
      <c r="G866" s="46">
        <v>107</v>
      </c>
      <c r="H866" s="47">
        <v>43404</v>
      </c>
      <c r="I866" s="47">
        <v>43424</v>
      </c>
      <c r="J866" s="46">
        <v>91775511</v>
      </c>
      <c r="K866" s="46">
        <v>0</v>
      </c>
      <c r="L866" s="46">
        <v>0</v>
      </c>
      <c r="M866" s="46">
        <f t="shared" si="266"/>
        <v>91775511</v>
      </c>
      <c r="N866" s="46">
        <v>79497483</v>
      </c>
      <c r="O866" s="48">
        <f t="shared" si="267"/>
        <v>0</v>
      </c>
      <c r="P866" s="46">
        <v>0</v>
      </c>
      <c r="Q866" s="46">
        <v>95425094</v>
      </c>
      <c r="R866" s="49">
        <f t="shared" si="268"/>
        <v>1</v>
      </c>
      <c r="S866" s="50">
        <f t="shared" si="269"/>
        <v>0.01</v>
      </c>
      <c r="T866" s="49">
        <f t="shared" si="270"/>
        <v>917755.11</v>
      </c>
      <c r="U866" s="51">
        <f t="shared" si="271"/>
        <v>0</v>
      </c>
      <c r="V866" s="52">
        <f>IF(0&lt;0.8,0,IF(0&lt;1,Sheet3!L561,1))*IF(G866&lt;3,0.12 - O866,0.01) *U866</f>
        <v>0</v>
      </c>
      <c r="W866" s="52">
        <f t="shared" si="272"/>
        <v>0</v>
      </c>
      <c r="X866" s="53">
        <f t="shared" si="273"/>
        <v>0</v>
      </c>
      <c r="Y866" s="53">
        <f t="shared" si="274"/>
        <v>0</v>
      </c>
      <c r="Z866" s="54">
        <f t="shared" ref="Z866:Z929" si="278">IF(R866=1,0,0)</f>
        <v>0</v>
      </c>
      <c r="AA866" s="54">
        <f t="shared" si="275"/>
        <v>0</v>
      </c>
      <c r="AB866" s="55">
        <f t="shared" ref="AB866:AB883" si="279">IF(R866=0,0,0)</f>
        <v>0</v>
      </c>
      <c r="AC866" s="55">
        <f t="shared" si="276"/>
        <v>0</v>
      </c>
      <c r="AD866" s="56">
        <f t="shared" si="277"/>
        <v>917755.11</v>
      </c>
    </row>
    <row r="867" spans="3:30">
      <c r="C867" s="43" t="s">
        <v>1540</v>
      </c>
      <c r="D867" s="44" t="s">
        <v>1541</v>
      </c>
      <c r="E867" s="44"/>
      <c r="F867" s="45">
        <v>40105.409201388888</v>
      </c>
      <c r="G867" s="46">
        <v>107</v>
      </c>
      <c r="H867" s="47">
        <v>43379</v>
      </c>
      <c r="I867" s="47">
        <v>43389</v>
      </c>
      <c r="J867" s="46">
        <v>166003</v>
      </c>
      <c r="K867" s="46">
        <v>0</v>
      </c>
      <c r="L867" s="46">
        <v>0</v>
      </c>
      <c r="M867" s="46">
        <f t="shared" si="266"/>
        <v>166003</v>
      </c>
      <c r="N867" s="46">
        <v>166003</v>
      </c>
      <c r="O867" s="48">
        <f t="shared" si="267"/>
        <v>0</v>
      </c>
      <c r="P867" s="46">
        <v>0</v>
      </c>
      <c r="Q867" s="46">
        <v>166003</v>
      </c>
      <c r="R867" s="49">
        <f t="shared" si="268"/>
        <v>1</v>
      </c>
      <c r="S867" s="50">
        <f t="shared" si="269"/>
        <v>0.01</v>
      </c>
      <c r="T867" s="49">
        <f t="shared" si="270"/>
        <v>1660.03</v>
      </c>
      <c r="U867" s="51">
        <f t="shared" si="271"/>
        <v>0</v>
      </c>
      <c r="V867" s="52">
        <f>IF(0&lt;0.8,0,IF(0&lt;1,Sheet3!L561,1))*IF(G867&lt;3,0.12 - O867,0.01) *U867</f>
        <v>0</v>
      </c>
      <c r="W867" s="52">
        <f t="shared" si="272"/>
        <v>0</v>
      </c>
      <c r="X867" s="53">
        <f t="shared" si="273"/>
        <v>0</v>
      </c>
      <c r="Y867" s="53">
        <f t="shared" si="274"/>
        <v>0</v>
      </c>
      <c r="Z867" s="54">
        <f t="shared" si="278"/>
        <v>0</v>
      </c>
      <c r="AA867" s="54">
        <f t="shared" si="275"/>
        <v>0</v>
      </c>
      <c r="AB867" s="55">
        <f t="shared" si="279"/>
        <v>0</v>
      </c>
      <c r="AC867" s="55">
        <f t="shared" si="276"/>
        <v>0</v>
      </c>
      <c r="AD867" s="56">
        <f t="shared" si="277"/>
        <v>1660.03</v>
      </c>
    </row>
    <row r="868" spans="3:30">
      <c r="C868" s="43" t="s">
        <v>1542</v>
      </c>
      <c r="D868" s="44" t="s">
        <v>1543</v>
      </c>
      <c r="E868" s="44"/>
      <c r="F868" s="45">
        <v>40113.348252314812</v>
      </c>
      <c r="G868" s="46">
        <v>107</v>
      </c>
      <c r="H868" s="47">
        <v>43375</v>
      </c>
      <c r="I868" s="47">
        <v>43385</v>
      </c>
      <c r="J868" s="46">
        <v>14641</v>
      </c>
      <c r="K868" s="46">
        <v>0</v>
      </c>
      <c r="L868" s="46">
        <v>0</v>
      </c>
      <c r="M868" s="46">
        <f t="shared" si="266"/>
        <v>14641</v>
      </c>
      <c r="N868" s="46">
        <v>14641</v>
      </c>
      <c r="O868" s="48">
        <f t="shared" si="267"/>
        <v>0</v>
      </c>
      <c r="P868" s="46">
        <v>0</v>
      </c>
      <c r="Q868" s="46">
        <v>14641</v>
      </c>
      <c r="R868" s="49">
        <f t="shared" si="268"/>
        <v>1</v>
      </c>
      <c r="S868" s="50">
        <f t="shared" si="269"/>
        <v>0.01</v>
      </c>
      <c r="T868" s="49">
        <f t="shared" si="270"/>
        <v>146.41</v>
      </c>
      <c r="U868" s="51">
        <f t="shared" si="271"/>
        <v>0</v>
      </c>
      <c r="V868" s="52">
        <f>IF(0&lt;0.8,0,IF(0&lt;1,Sheet3!L561,1))*IF(G868&lt;3,0.12 - O868,0.01) *U868</f>
        <v>0</v>
      </c>
      <c r="W868" s="52">
        <f t="shared" si="272"/>
        <v>0</v>
      </c>
      <c r="X868" s="53">
        <f t="shared" si="273"/>
        <v>0</v>
      </c>
      <c r="Y868" s="53">
        <f t="shared" si="274"/>
        <v>0</v>
      </c>
      <c r="Z868" s="54">
        <f t="shared" si="278"/>
        <v>0</v>
      </c>
      <c r="AA868" s="54">
        <f t="shared" si="275"/>
        <v>0</v>
      </c>
      <c r="AB868" s="55">
        <f t="shared" si="279"/>
        <v>0</v>
      </c>
      <c r="AC868" s="55">
        <f t="shared" si="276"/>
        <v>0</v>
      </c>
      <c r="AD868" s="56">
        <f t="shared" si="277"/>
        <v>146.41</v>
      </c>
    </row>
    <row r="869" spans="3:30">
      <c r="C869" s="43" t="s">
        <v>1544</v>
      </c>
      <c r="D869" s="44" t="s">
        <v>1545</v>
      </c>
      <c r="E869" s="44"/>
      <c r="F869" s="45">
        <v>40117.637442129628</v>
      </c>
      <c r="G869" s="46">
        <v>107</v>
      </c>
      <c r="H869" s="47">
        <v>43379</v>
      </c>
      <c r="I869" s="47">
        <v>43433</v>
      </c>
      <c r="J869" s="46">
        <v>1225249</v>
      </c>
      <c r="K869" s="46">
        <v>0</v>
      </c>
      <c r="L869" s="46">
        <v>0</v>
      </c>
      <c r="M869" s="46">
        <f t="shared" si="266"/>
        <v>1225249</v>
      </c>
      <c r="N869" s="46">
        <v>1225249</v>
      </c>
      <c r="O869" s="48">
        <f t="shared" si="267"/>
        <v>0</v>
      </c>
      <c r="P869" s="46">
        <v>0</v>
      </c>
      <c r="Q869" s="46">
        <v>1225249</v>
      </c>
      <c r="R869" s="49">
        <f t="shared" si="268"/>
        <v>1</v>
      </c>
      <c r="S869" s="50">
        <f t="shared" si="269"/>
        <v>0.01</v>
      </c>
      <c r="T869" s="49">
        <f t="shared" si="270"/>
        <v>12252.49</v>
      </c>
      <c r="U869" s="51">
        <f t="shared" si="271"/>
        <v>0</v>
      </c>
      <c r="V869" s="52">
        <f>IF(0&lt;0.8,0,IF(0&lt;1,Sheet3!L561,1))*IF(G869&lt;3,0.12 - O869,0.01) *U869</f>
        <v>0</v>
      </c>
      <c r="W869" s="52">
        <f t="shared" si="272"/>
        <v>0</v>
      </c>
      <c r="X869" s="53">
        <f t="shared" si="273"/>
        <v>0</v>
      </c>
      <c r="Y869" s="53">
        <f t="shared" si="274"/>
        <v>0</v>
      </c>
      <c r="Z869" s="54">
        <f t="shared" si="278"/>
        <v>0</v>
      </c>
      <c r="AA869" s="54">
        <f t="shared" si="275"/>
        <v>0</v>
      </c>
      <c r="AB869" s="55">
        <f t="shared" si="279"/>
        <v>0</v>
      </c>
      <c r="AC869" s="55">
        <f t="shared" si="276"/>
        <v>0</v>
      </c>
      <c r="AD869" s="56">
        <f t="shared" si="277"/>
        <v>12252.49</v>
      </c>
    </row>
    <row r="870" spans="3:30">
      <c r="C870" s="43" t="s">
        <v>1546</v>
      </c>
      <c r="D870" s="44" t="s">
        <v>1547</v>
      </c>
      <c r="E870" s="44"/>
      <c r="F870" s="45">
        <v>40117.641203703701</v>
      </c>
      <c r="G870" s="46">
        <v>107</v>
      </c>
      <c r="H870" s="47">
        <v>43379</v>
      </c>
      <c r="I870" s="47">
        <v>43397</v>
      </c>
      <c r="J870" s="46">
        <v>518080</v>
      </c>
      <c r="K870" s="46">
        <v>0</v>
      </c>
      <c r="L870" s="46">
        <v>0</v>
      </c>
      <c r="M870" s="46">
        <f t="shared" si="266"/>
        <v>518080</v>
      </c>
      <c r="N870" s="46">
        <v>518080</v>
      </c>
      <c r="O870" s="48">
        <f t="shared" si="267"/>
        <v>0</v>
      </c>
      <c r="P870" s="46">
        <v>0</v>
      </c>
      <c r="Q870" s="46">
        <v>518080</v>
      </c>
      <c r="R870" s="49">
        <f t="shared" si="268"/>
        <v>1</v>
      </c>
      <c r="S870" s="50">
        <f t="shared" si="269"/>
        <v>0.01</v>
      </c>
      <c r="T870" s="49">
        <f t="shared" si="270"/>
        <v>5180.8</v>
      </c>
      <c r="U870" s="51">
        <f t="shared" si="271"/>
        <v>0</v>
      </c>
      <c r="V870" s="52">
        <f>IF(0&lt;0.8,0,IF(0&lt;1,Sheet3!L561,1))*IF(G870&lt;3,0.12 - O870,0.01) *U870</f>
        <v>0</v>
      </c>
      <c r="W870" s="52">
        <f t="shared" si="272"/>
        <v>0</v>
      </c>
      <c r="X870" s="53">
        <f t="shared" si="273"/>
        <v>0</v>
      </c>
      <c r="Y870" s="53">
        <f t="shared" si="274"/>
        <v>0</v>
      </c>
      <c r="Z870" s="54">
        <f t="shared" si="278"/>
        <v>0</v>
      </c>
      <c r="AA870" s="54">
        <f t="shared" si="275"/>
        <v>0</v>
      </c>
      <c r="AB870" s="55">
        <f t="shared" si="279"/>
        <v>0</v>
      </c>
      <c r="AC870" s="55">
        <f t="shared" si="276"/>
        <v>0</v>
      </c>
      <c r="AD870" s="56">
        <f t="shared" si="277"/>
        <v>5180.8</v>
      </c>
    </row>
    <row r="871" spans="3:30">
      <c r="C871" s="43" t="s">
        <v>1548</v>
      </c>
      <c r="D871" s="44" t="s">
        <v>1549</v>
      </c>
      <c r="E871" s="44"/>
      <c r="F871" s="45">
        <v>40127.630590277775</v>
      </c>
      <c r="G871" s="46">
        <v>106</v>
      </c>
      <c r="H871" s="47">
        <v>43372</v>
      </c>
      <c r="I871" s="47">
        <v>43410</v>
      </c>
      <c r="J871" s="46">
        <v>1107096</v>
      </c>
      <c r="K871" s="46">
        <v>0</v>
      </c>
      <c r="L871" s="46">
        <v>0</v>
      </c>
      <c r="M871" s="46">
        <f t="shared" si="266"/>
        <v>1107096</v>
      </c>
      <c r="N871" s="46">
        <v>1107096</v>
      </c>
      <c r="O871" s="48">
        <f t="shared" si="267"/>
        <v>0</v>
      </c>
      <c r="P871" s="46">
        <v>0</v>
      </c>
      <c r="Q871" s="46">
        <v>1107096</v>
      </c>
      <c r="R871" s="49">
        <f t="shared" si="268"/>
        <v>1</v>
      </c>
      <c r="S871" s="50">
        <f t="shared" si="269"/>
        <v>0.01</v>
      </c>
      <c r="T871" s="49">
        <f t="shared" si="270"/>
        <v>11070.960000000001</v>
      </c>
      <c r="U871" s="51">
        <f t="shared" si="271"/>
        <v>0</v>
      </c>
      <c r="V871" s="52">
        <f>IF(0&lt;0.8,0,IF(0&lt;1,Sheet3!L561,1))*IF(G871&lt;3,0.12 - O871,0.01) *U871</f>
        <v>0</v>
      </c>
      <c r="W871" s="52">
        <f t="shared" si="272"/>
        <v>0</v>
      </c>
      <c r="X871" s="53">
        <f t="shared" si="273"/>
        <v>0</v>
      </c>
      <c r="Y871" s="53">
        <f t="shared" si="274"/>
        <v>0</v>
      </c>
      <c r="Z871" s="54">
        <f t="shared" si="278"/>
        <v>0</v>
      </c>
      <c r="AA871" s="54">
        <f t="shared" si="275"/>
        <v>0</v>
      </c>
      <c r="AB871" s="55">
        <f t="shared" si="279"/>
        <v>0</v>
      </c>
      <c r="AC871" s="55">
        <f t="shared" si="276"/>
        <v>0</v>
      </c>
      <c r="AD871" s="56">
        <f t="shared" si="277"/>
        <v>11070.960000000001</v>
      </c>
    </row>
    <row r="872" spans="3:30">
      <c r="C872" s="43" t="s">
        <v>1550</v>
      </c>
      <c r="D872" s="44" t="s">
        <v>1551</v>
      </c>
      <c r="E872" s="44"/>
      <c r="F872" s="45">
        <v>40127.657777777778</v>
      </c>
      <c r="G872" s="46">
        <v>106</v>
      </c>
      <c r="H872" s="47">
        <v>43372</v>
      </c>
      <c r="I872" s="47">
        <v>43392</v>
      </c>
      <c r="J872" s="46">
        <v>8974449</v>
      </c>
      <c r="K872" s="46">
        <v>0</v>
      </c>
      <c r="L872" s="46">
        <v>0</v>
      </c>
      <c r="M872" s="46">
        <f t="shared" si="266"/>
        <v>8974449</v>
      </c>
      <c r="N872" s="46">
        <v>16353871</v>
      </c>
      <c r="O872" s="48">
        <f t="shared" si="267"/>
        <v>0.45123396167182683</v>
      </c>
      <c r="P872" s="46">
        <v>0</v>
      </c>
      <c r="Q872" s="46">
        <v>8974449</v>
      </c>
      <c r="R872" s="49">
        <f t="shared" si="268"/>
        <v>1</v>
      </c>
      <c r="S872" s="50">
        <f t="shared" si="269"/>
        <v>0.01</v>
      </c>
      <c r="T872" s="49">
        <f t="shared" si="270"/>
        <v>89744.49</v>
      </c>
      <c r="U872" s="51">
        <f t="shared" si="271"/>
        <v>0</v>
      </c>
      <c r="V872" s="52">
        <f>IF(0&lt;0.8,0,IF(0&lt;1,Sheet3!L561,1))*IF(G872&lt;3,0.12 - O872,0.01) *U872</f>
        <v>0</v>
      </c>
      <c r="W872" s="52">
        <f t="shared" si="272"/>
        <v>0</v>
      </c>
      <c r="X872" s="53">
        <f t="shared" si="273"/>
        <v>0</v>
      </c>
      <c r="Y872" s="53">
        <f t="shared" si="274"/>
        <v>0</v>
      </c>
      <c r="Z872" s="54">
        <f t="shared" si="278"/>
        <v>0</v>
      </c>
      <c r="AA872" s="54">
        <f t="shared" si="275"/>
        <v>0</v>
      </c>
      <c r="AB872" s="55">
        <f t="shared" si="279"/>
        <v>0</v>
      </c>
      <c r="AC872" s="55">
        <f t="shared" si="276"/>
        <v>0</v>
      </c>
      <c r="AD872" s="56">
        <f t="shared" si="277"/>
        <v>89744.49</v>
      </c>
    </row>
    <row r="873" spans="3:30">
      <c r="C873" s="43" t="s">
        <v>1552</v>
      </c>
      <c r="D873" s="44" t="s">
        <v>1553</v>
      </c>
      <c r="E873" s="44"/>
      <c r="F873" s="45">
        <v>40130.410451388889</v>
      </c>
      <c r="G873" s="46">
        <v>106</v>
      </c>
      <c r="H873" s="47">
        <v>43389</v>
      </c>
      <c r="I873" s="47">
        <v>43420</v>
      </c>
      <c r="J873" s="46">
        <v>8865104</v>
      </c>
      <c r="K873" s="46">
        <v>0</v>
      </c>
      <c r="L873" s="46">
        <v>0</v>
      </c>
      <c r="M873" s="46">
        <f t="shared" si="266"/>
        <v>8865104</v>
      </c>
      <c r="N873" s="46">
        <v>8865104</v>
      </c>
      <c r="O873" s="48">
        <f t="shared" si="267"/>
        <v>0</v>
      </c>
      <c r="P873" s="46">
        <v>0</v>
      </c>
      <c r="Q873" s="46">
        <v>8865104</v>
      </c>
      <c r="R873" s="49">
        <f t="shared" si="268"/>
        <v>1</v>
      </c>
      <c r="S873" s="50">
        <f t="shared" si="269"/>
        <v>0.01</v>
      </c>
      <c r="T873" s="49">
        <f t="shared" si="270"/>
        <v>88651.040000000008</v>
      </c>
      <c r="U873" s="51">
        <f t="shared" si="271"/>
        <v>0</v>
      </c>
      <c r="V873" s="52">
        <f>IF(0&lt;0.8,0,IF(0&lt;1,Sheet3!L561,1))*IF(G873&lt;3,0.12 - O873,0.01) *U873</f>
        <v>0</v>
      </c>
      <c r="W873" s="52">
        <f t="shared" si="272"/>
        <v>0</v>
      </c>
      <c r="X873" s="53">
        <f t="shared" si="273"/>
        <v>0</v>
      </c>
      <c r="Y873" s="53">
        <f t="shared" si="274"/>
        <v>0</v>
      </c>
      <c r="Z873" s="54">
        <f t="shared" si="278"/>
        <v>0</v>
      </c>
      <c r="AA873" s="54">
        <f t="shared" si="275"/>
        <v>0</v>
      </c>
      <c r="AB873" s="55">
        <f t="shared" si="279"/>
        <v>0</v>
      </c>
      <c r="AC873" s="55">
        <f t="shared" si="276"/>
        <v>0</v>
      </c>
      <c r="AD873" s="56">
        <f t="shared" si="277"/>
        <v>88651.040000000008</v>
      </c>
    </row>
    <row r="874" spans="3:30">
      <c r="C874" s="43" t="s">
        <v>1554</v>
      </c>
      <c r="D874" s="44" t="s">
        <v>1555</v>
      </c>
      <c r="E874" s="44"/>
      <c r="F874" s="45">
        <v>40159.560925925922</v>
      </c>
      <c r="G874" s="46">
        <v>105</v>
      </c>
      <c r="H874" s="47">
        <v>43379</v>
      </c>
      <c r="I874" s="47">
        <v>43393</v>
      </c>
      <c r="J874" s="46">
        <v>252892</v>
      </c>
      <c r="K874" s="46">
        <v>0</v>
      </c>
      <c r="L874" s="46">
        <v>0</v>
      </c>
      <c r="M874" s="46">
        <f t="shared" si="266"/>
        <v>252892</v>
      </c>
      <c r="N874" s="46">
        <v>252892</v>
      </c>
      <c r="O874" s="48">
        <f t="shared" si="267"/>
        <v>0</v>
      </c>
      <c r="P874" s="46">
        <v>0</v>
      </c>
      <c r="Q874" s="46">
        <v>252892</v>
      </c>
      <c r="R874" s="49">
        <f t="shared" si="268"/>
        <v>1</v>
      </c>
      <c r="S874" s="50">
        <f t="shared" si="269"/>
        <v>0.01</v>
      </c>
      <c r="T874" s="49">
        <f t="shared" si="270"/>
        <v>2528.92</v>
      </c>
      <c r="U874" s="51">
        <f t="shared" si="271"/>
        <v>0</v>
      </c>
      <c r="V874" s="52">
        <f>IF(0&lt;0.8,0,IF(0&lt;1,Sheet3!L561,1))*IF(G874&lt;3,0.12 - O874,0.01) *U874</f>
        <v>0</v>
      </c>
      <c r="W874" s="52">
        <f t="shared" si="272"/>
        <v>0</v>
      </c>
      <c r="X874" s="53">
        <f t="shared" si="273"/>
        <v>0</v>
      </c>
      <c r="Y874" s="53">
        <f t="shared" si="274"/>
        <v>0</v>
      </c>
      <c r="Z874" s="54">
        <f t="shared" si="278"/>
        <v>0</v>
      </c>
      <c r="AA874" s="54">
        <f t="shared" si="275"/>
        <v>0</v>
      </c>
      <c r="AB874" s="55">
        <f t="shared" si="279"/>
        <v>0</v>
      </c>
      <c r="AC874" s="55">
        <f t="shared" si="276"/>
        <v>0</v>
      </c>
      <c r="AD874" s="56">
        <f t="shared" si="277"/>
        <v>2528.92</v>
      </c>
    </row>
    <row r="875" spans="3:30">
      <c r="C875" s="43" t="s">
        <v>1556</v>
      </c>
      <c r="D875" s="44" t="s">
        <v>1557</v>
      </c>
      <c r="E875" s="44"/>
      <c r="F875" s="45">
        <v>40159.573564814811</v>
      </c>
      <c r="G875" s="46">
        <v>105</v>
      </c>
      <c r="H875" s="47">
        <v>43372</v>
      </c>
      <c r="I875" s="47">
        <v>43403</v>
      </c>
      <c r="J875" s="46">
        <v>29302120</v>
      </c>
      <c r="K875" s="46">
        <v>11576148</v>
      </c>
      <c r="L875" s="46">
        <v>0</v>
      </c>
      <c r="M875" s="46">
        <f t="shared" si="266"/>
        <v>17725972</v>
      </c>
      <c r="N875" s="46">
        <v>38202120</v>
      </c>
      <c r="O875" s="48">
        <f t="shared" si="267"/>
        <v>0.5359950704306462</v>
      </c>
      <c r="P875" s="46">
        <v>0</v>
      </c>
      <c r="Q875" s="46">
        <v>23252610</v>
      </c>
      <c r="R875" s="49">
        <f t="shared" si="268"/>
        <v>1</v>
      </c>
      <c r="S875" s="50">
        <f t="shared" si="269"/>
        <v>0.01</v>
      </c>
      <c r="T875" s="49">
        <f t="shared" si="270"/>
        <v>177259.72</v>
      </c>
      <c r="U875" s="51">
        <f t="shared" si="271"/>
        <v>0</v>
      </c>
      <c r="V875" s="52">
        <f>IF(0&lt;0.8,0,IF(0&lt;1,Sheet3!L561,1))*IF(G875&lt;3,0.12 - O875,0.01) *U875</f>
        <v>0</v>
      </c>
      <c r="W875" s="52">
        <f t="shared" si="272"/>
        <v>0</v>
      </c>
      <c r="X875" s="53">
        <f t="shared" si="273"/>
        <v>0</v>
      </c>
      <c r="Y875" s="53">
        <f t="shared" si="274"/>
        <v>0</v>
      </c>
      <c r="Z875" s="54">
        <f t="shared" si="278"/>
        <v>0</v>
      </c>
      <c r="AA875" s="54">
        <f t="shared" si="275"/>
        <v>0</v>
      </c>
      <c r="AB875" s="55">
        <f t="shared" si="279"/>
        <v>0</v>
      </c>
      <c r="AC875" s="55">
        <f t="shared" si="276"/>
        <v>0</v>
      </c>
      <c r="AD875" s="56">
        <f t="shared" si="277"/>
        <v>177259.72</v>
      </c>
    </row>
    <row r="876" spans="3:30">
      <c r="C876" s="43" t="s">
        <v>1558</v>
      </c>
      <c r="D876" s="44" t="s">
        <v>1559</v>
      </c>
      <c r="E876" s="44"/>
      <c r="F876" s="45">
        <v>40170.421666666662</v>
      </c>
      <c r="G876" s="46">
        <v>105</v>
      </c>
      <c r="H876" s="47">
        <v>43377</v>
      </c>
      <c r="I876" s="47">
        <v>43451</v>
      </c>
      <c r="J876" s="46">
        <v>1656241</v>
      </c>
      <c r="K876" s="46">
        <v>0</v>
      </c>
      <c r="L876" s="46">
        <v>0</v>
      </c>
      <c r="M876" s="46">
        <f t="shared" si="266"/>
        <v>1656241</v>
      </c>
      <c r="N876" s="46">
        <v>1656241</v>
      </c>
      <c r="O876" s="48">
        <f t="shared" si="267"/>
        <v>0</v>
      </c>
      <c r="P876" s="46">
        <v>0</v>
      </c>
      <c r="Q876" s="46">
        <v>1656241</v>
      </c>
      <c r="R876" s="49">
        <f t="shared" si="268"/>
        <v>1</v>
      </c>
      <c r="S876" s="50">
        <f t="shared" si="269"/>
        <v>0.01</v>
      </c>
      <c r="T876" s="49">
        <f t="shared" si="270"/>
        <v>16562.41</v>
      </c>
      <c r="U876" s="51">
        <f t="shared" si="271"/>
        <v>0</v>
      </c>
      <c r="V876" s="52">
        <f>IF(0&lt;0.8,0,IF(0&lt;1,Sheet3!L561,1))*IF(G876&lt;3,0.12 - O876,0.01) *U876</f>
        <v>0</v>
      </c>
      <c r="W876" s="52">
        <f t="shared" si="272"/>
        <v>0</v>
      </c>
      <c r="X876" s="53">
        <f t="shared" si="273"/>
        <v>0</v>
      </c>
      <c r="Y876" s="53">
        <f t="shared" si="274"/>
        <v>0</v>
      </c>
      <c r="Z876" s="54">
        <f t="shared" si="278"/>
        <v>0</v>
      </c>
      <c r="AA876" s="54">
        <f t="shared" si="275"/>
        <v>0</v>
      </c>
      <c r="AB876" s="55">
        <f t="shared" si="279"/>
        <v>0</v>
      </c>
      <c r="AC876" s="55">
        <f t="shared" si="276"/>
        <v>0</v>
      </c>
      <c r="AD876" s="56">
        <f t="shared" si="277"/>
        <v>16562.41</v>
      </c>
    </row>
    <row r="877" spans="3:30">
      <c r="C877" s="43" t="s">
        <v>1560</v>
      </c>
      <c r="D877" s="44" t="s">
        <v>1561</v>
      </c>
      <c r="E877" s="44"/>
      <c r="F877" s="45">
        <v>40184.618645833332</v>
      </c>
      <c r="G877" s="46">
        <v>104</v>
      </c>
      <c r="H877" s="47">
        <v>43419</v>
      </c>
      <c r="I877" s="47">
        <v>43448</v>
      </c>
      <c r="J877" s="46">
        <v>1563083865</v>
      </c>
      <c r="K877" s="46">
        <v>47229116</v>
      </c>
      <c r="L877" s="46">
        <v>0</v>
      </c>
      <c r="M877" s="46">
        <f t="shared" si="266"/>
        <v>1515854749</v>
      </c>
      <c r="N877" s="46">
        <v>1278010272</v>
      </c>
      <c r="O877" s="48">
        <f t="shared" si="267"/>
        <v>0</v>
      </c>
      <c r="P877" s="46">
        <v>0</v>
      </c>
      <c r="Q877" s="46">
        <v>1515992900</v>
      </c>
      <c r="R877" s="49">
        <f t="shared" si="268"/>
        <v>1</v>
      </c>
      <c r="S877" s="50">
        <f t="shared" si="269"/>
        <v>0.01</v>
      </c>
      <c r="T877" s="49">
        <f t="shared" si="270"/>
        <v>15158547.49</v>
      </c>
      <c r="U877" s="51">
        <f t="shared" si="271"/>
        <v>0</v>
      </c>
      <c r="V877" s="52">
        <f>IF(0&lt;0.8,0,IF(0&lt;1,Sheet3!L561,1))*IF(G877&lt;3,0.12 - O877,0.01) *U877</f>
        <v>0</v>
      </c>
      <c r="W877" s="52">
        <f t="shared" si="272"/>
        <v>0</v>
      </c>
      <c r="X877" s="53">
        <f t="shared" si="273"/>
        <v>0</v>
      </c>
      <c r="Y877" s="53">
        <f t="shared" si="274"/>
        <v>0</v>
      </c>
      <c r="Z877" s="54">
        <f t="shared" si="278"/>
        <v>0</v>
      </c>
      <c r="AA877" s="54">
        <f t="shared" si="275"/>
        <v>0</v>
      </c>
      <c r="AB877" s="55">
        <f t="shared" si="279"/>
        <v>0</v>
      </c>
      <c r="AC877" s="55">
        <f t="shared" si="276"/>
        <v>0</v>
      </c>
      <c r="AD877" s="56">
        <f t="shared" si="277"/>
        <v>15158547.49</v>
      </c>
    </row>
    <row r="878" spans="3:30">
      <c r="C878" s="43" t="s">
        <v>1562</v>
      </c>
      <c r="D878" s="44" t="s">
        <v>1563</v>
      </c>
      <c r="E878" s="44"/>
      <c r="F878" s="45">
        <v>40186.676782407405</v>
      </c>
      <c r="G878" s="46">
        <v>104</v>
      </c>
      <c r="H878" s="47">
        <v>43375</v>
      </c>
      <c r="I878" s="47">
        <v>43386</v>
      </c>
      <c r="J878" s="46">
        <v>796458</v>
      </c>
      <c r="K878" s="46">
        <v>0</v>
      </c>
      <c r="L878" s="46">
        <v>0</v>
      </c>
      <c r="M878" s="46">
        <f t="shared" si="266"/>
        <v>796458</v>
      </c>
      <c r="N878" s="46">
        <v>796458</v>
      </c>
      <c r="O878" s="48">
        <f t="shared" si="267"/>
        <v>0</v>
      </c>
      <c r="P878" s="46">
        <v>0</v>
      </c>
      <c r="Q878" s="46">
        <v>796458</v>
      </c>
      <c r="R878" s="49">
        <f t="shared" si="268"/>
        <v>1</v>
      </c>
      <c r="S878" s="50">
        <f t="shared" si="269"/>
        <v>0.01</v>
      </c>
      <c r="T878" s="49">
        <f t="shared" si="270"/>
        <v>7964.58</v>
      </c>
      <c r="U878" s="51">
        <f t="shared" si="271"/>
        <v>0</v>
      </c>
      <c r="V878" s="52">
        <f>IF(0&lt;0.8,0,IF(0&lt;1,Sheet3!L561,1))*IF(G878&lt;3,0.12 - O878,0.01) *U878</f>
        <v>0</v>
      </c>
      <c r="W878" s="52">
        <f t="shared" si="272"/>
        <v>0</v>
      </c>
      <c r="X878" s="53">
        <f t="shared" si="273"/>
        <v>0</v>
      </c>
      <c r="Y878" s="53">
        <f t="shared" si="274"/>
        <v>0</v>
      </c>
      <c r="Z878" s="54">
        <f t="shared" si="278"/>
        <v>0</v>
      </c>
      <c r="AA878" s="54">
        <f t="shared" si="275"/>
        <v>0</v>
      </c>
      <c r="AB878" s="55">
        <f t="shared" si="279"/>
        <v>0</v>
      </c>
      <c r="AC878" s="55">
        <f t="shared" si="276"/>
        <v>0</v>
      </c>
      <c r="AD878" s="56">
        <f t="shared" si="277"/>
        <v>7964.58</v>
      </c>
    </row>
    <row r="879" spans="3:30">
      <c r="C879" s="43" t="s">
        <v>1564</v>
      </c>
      <c r="D879" s="44" t="s">
        <v>1565</v>
      </c>
      <c r="E879" s="44"/>
      <c r="F879" s="45">
        <v>40193.442060185182</v>
      </c>
      <c r="G879" s="46">
        <v>104</v>
      </c>
      <c r="H879" s="47">
        <v>43377</v>
      </c>
      <c r="I879" s="47">
        <v>43383</v>
      </c>
      <c r="J879" s="46">
        <v>2385573</v>
      </c>
      <c r="K879" s="46">
        <v>0</v>
      </c>
      <c r="L879" s="46">
        <v>0</v>
      </c>
      <c r="M879" s="46">
        <f t="shared" si="266"/>
        <v>2385573</v>
      </c>
      <c r="N879" s="46">
        <v>2385573</v>
      </c>
      <c r="O879" s="48">
        <f t="shared" si="267"/>
        <v>0</v>
      </c>
      <c r="P879" s="46">
        <v>0</v>
      </c>
      <c r="Q879" s="46">
        <v>2385573</v>
      </c>
      <c r="R879" s="49">
        <f t="shared" si="268"/>
        <v>1</v>
      </c>
      <c r="S879" s="50">
        <f t="shared" si="269"/>
        <v>0.01</v>
      </c>
      <c r="T879" s="49">
        <f t="shared" si="270"/>
        <v>23855.73</v>
      </c>
      <c r="U879" s="51">
        <f t="shared" si="271"/>
        <v>0</v>
      </c>
      <c r="V879" s="52">
        <f>IF(0&lt;0.8,0,IF(0&lt;1,Sheet3!L561,1))*IF(G879&lt;3,0.12 - O879,0.01) *U879</f>
        <v>0</v>
      </c>
      <c r="W879" s="52">
        <f t="shared" si="272"/>
        <v>0</v>
      </c>
      <c r="X879" s="53">
        <f t="shared" si="273"/>
        <v>0</v>
      </c>
      <c r="Y879" s="53">
        <f t="shared" si="274"/>
        <v>0</v>
      </c>
      <c r="Z879" s="54">
        <f t="shared" si="278"/>
        <v>0</v>
      </c>
      <c r="AA879" s="54">
        <f t="shared" si="275"/>
        <v>0</v>
      </c>
      <c r="AB879" s="55">
        <f t="shared" si="279"/>
        <v>0</v>
      </c>
      <c r="AC879" s="55">
        <f t="shared" si="276"/>
        <v>0</v>
      </c>
      <c r="AD879" s="56">
        <f t="shared" si="277"/>
        <v>23855.73</v>
      </c>
    </row>
    <row r="880" spans="3:30">
      <c r="C880" s="43" t="s">
        <v>1566</v>
      </c>
      <c r="D880" s="44" t="s">
        <v>1567</v>
      </c>
      <c r="E880" s="44"/>
      <c r="F880" s="45">
        <v>40193.457615740735</v>
      </c>
      <c r="G880" s="46">
        <v>104</v>
      </c>
      <c r="H880" s="47">
        <v>43377</v>
      </c>
      <c r="I880" s="47">
        <v>43385</v>
      </c>
      <c r="J880" s="46">
        <v>1224389</v>
      </c>
      <c r="K880" s="46">
        <v>0</v>
      </c>
      <c r="L880" s="46">
        <v>0</v>
      </c>
      <c r="M880" s="46">
        <f t="shared" si="266"/>
        <v>1224389</v>
      </c>
      <c r="N880" s="46">
        <v>1224389</v>
      </c>
      <c r="O880" s="48">
        <f t="shared" si="267"/>
        <v>0</v>
      </c>
      <c r="P880" s="46">
        <v>0</v>
      </c>
      <c r="Q880" s="46">
        <v>1224389</v>
      </c>
      <c r="R880" s="49">
        <f t="shared" si="268"/>
        <v>1</v>
      </c>
      <c r="S880" s="50">
        <f t="shared" si="269"/>
        <v>0.01</v>
      </c>
      <c r="T880" s="49">
        <f t="shared" si="270"/>
        <v>12243.89</v>
      </c>
      <c r="U880" s="51">
        <f t="shared" si="271"/>
        <v>0</v>
      </c>
      <c r="V880" s="52">
        <f>IF(0&lt;0.8,0,IF(0&lt;1,Sheet3!L561,1))*IF(G880&lt;3,0.12 - O880,0.01) *U880</f>
        <v>0</v>
      </c>
      <c r="W880" s="52">
        <f t="shared" si="272"/>
        <v>0</v>
      </c>
      <c r="X880" s="53">
        <f t="shared" si="273"/>
        <v>0</v>
      </c>
      <c r="Y880" s="53">
        <f t="shared" si="274"/>
        <v>0</v>
      </c>
      <c r="Z880" s="54">
        <f t="shared" si="278"/>
        <v>0</v>
      </c>
      <c r="AA880" s="54">
        <f t="shared" si="275"/>
        <v>0</v>
      </c>
      <c r="AB880" s="55">
        <f t="shared" si="279"/>
        <v>0</v>
      </c>
      <c r="AC880" s="55">
        <f t="shared" si="276"/>
        <v>0</v>
      </c>
      <c r="AD880" s="56">
        <f t="shared" si="277"/>
        <v>12243.89</v>
      </c>
    </row>
    <row r="881" spans="3:30">
      <c r="C881" s="43" t="s">
        <v>1568</v>
      </c>
      <c r="D881" s="44" t="s">
        <v>1569</v>
      </c>
      <c r="E881" s="44"/>
      <c r="F881" s="45">
        <v>40200.379918981482</v>
      </c>
      <c r="G881" s="46">
        <v>104</v>
      </c>
      <c r="H881" s="47">
        <v>43375</v>
      </c>
      <c r="I881" s="47">
        <v>43400</v>
      </c>
      <c r="J881" s="46">
        <v>2308195</v>
      </c>
      <c r="K881" s="46">
        <v>0</v>
      </c>
      <c r="L881" s="46">
        <v>0</v>
      </c>
      <c r="M881" s="46">
        <f t="shared" si="266"/>
        <v>2308195</v>
      </c>
      <c r="N881" s="46">
        <v>2308195</v>
      </c>
      <c r="O881" s="48">
        <f t="shared" si="267"/>
        <v>0</v>
      </c>
      <c r="P881" s="46">
        <v>0</v>
      </c>
      <c r="Q881" s="46">
        <v>2308195</v>
      </c>
      <c r="R881" s="49">
        <f t="shared" si="268"/>
        <v>1</v>
      </c>
      <c r="S881" s="50">
        <f t="shared" si="269"/>
        <v>0.01</v>
      </c>
      <c r="T881" s="49">
        <f t="shared" si="270"/>
        <v>23081.95</v>
      </c>
      <c r="U881" s="51">
        <f t="shared" si="271"/>
        <v>0</v>
      </c>
      <c r="V881" s="52">
        <f>IF(0&lt;0.8,0,IF(0&lt;1,Sheet3!L561,1))*IF(G881&lt;3,0.12 - O881,0.01) *U881</f>
        <v>0</v>
      </c>
      <c r="W881" s="52">
        <f t="shared" si="272"/>
        <v>0</v>
      </c>
      <c r="X881" s="53">
        <f t="shared" si="273"/>
        <v>0</v>
      </c>
      <c r="Y881" s="53">
        <f t="shared" si="274"/>
        <v>0</v>
      </c>
      <c r="Z881" s="54">
        <f t="shared" si="278"/>
        <v>0</v>
      </c>
      <c r="AA881" s="54">
        <f t="shared" si="275"/>
        <v>0</v>
      </c>
      <c r="AB881" s="55">
        <f t="shared" si="279"/>
        <v>0</v>
      </c>
      <c r="AC881" s="55">
        <f t="shared" si="276"/>
        <v>0</v>
      </c>
      <c r="AD881" s="56">
        <f t="shared" si="277"/>
        <v>23081.95</v>
      </c>
    </row>
    <row r="882" spans="3:30">
      <c r="C882" s="43" t="s">
        <v>1570</v>
      </c>
      <c r="D882" s="44" t="s">
        <v>1571</v>
      </c>
      <c r="E882" s="44"/>
      <c r="F882" s="45">
        <v>40211.576782407406</v>
      </c>
      <c r="G882" s="46">
        <v>103</v>
      </c>
      <c r="H882" s="47">
        <v>43372</v>
      </c>
      <c r="I882" s="47">
        <v>43407</v>
      </c>
      <c r="J882" s="46">
        <v>3797706</v>
      </c>
      <c r="K882" s="46">
        <v>0</v>
      </c>
      <c r="L882" s="46">
        <v>0</v>
      </c>
      <c r="M882" s="46">
        <f t="shared" si="266"/>
        <v>3797706</v>
      </c>
      <c r="N882" s="46">
        <v>3797706</v>
      </c>
      <c r="O882" s="48">
        <f t="shared" si="267"/>
        <v>0</v>
      </c>
      <c r="P882" s="46">
        <v>0</v>
      </c>
      <c r="Q882" s="46">
        <v>3797706</v>
      </c>
      <c r="R882" s="49">
        <f t="shared" si="268"/>
        <v>1</v>
      </c>
      <c r="S882" s="50">
        <f t="shared" si="269"/>
        <v>0.01</v>
      </c>
      <c r="T882" s="49">
        <f t="shared" si="270"/>
        <v>37977.06</v>
      </c>
      <c r="U882" s="51">
        <f t="shared" si="271"/>
        <v>0</v>
      </c>
      <c r="V882" s="52">
        <f>IF(0&lt;0.8,0,IF(0&lt;1,Sheet3!L561,1))*IF(G882&lt;3,0.12 - O882,0.01) *U882</f>
        <v>0</v>
      </c>
      <c r="W882" s="52">
        <f t="shared" si="272"/>
        <v>0</v>
      </c>
      <c r="X882" s="53">
        <f t="shared" si="273"/>
        <v>0</v>
      </c>
      <c r="Y882" s="53">
        <f t="shared" si="274"/>
        <v>0</v>
      </c>
      <c r="Z882" s="54">
        <f t="shared" si="278"/>
        <v>0</v>
      </c>
      <c r="AA882" s="54">
        <f t="shared" si="275"/>
        <v>0</v>
      </c>
      <c r="AB882" s="55">
        <f t="shared" si="279"/>
        <v>0</v>
      </c>
      <c r="AC882" s="55">
        <f t="shared" si="276"/>
        <v>0</v>
      </c>
      <c r="AD882" s="56">
        <f t="shared" si="277"/>
        <v>37977.06</v>
      </c>
    </row>
    <row r="883" spans="3:30">
      <c r="C883" s="43" t="s">
        <v>1572</v>
      </c>
      <c r="D883" s="44" t="s">
        <v>1573</v>
      </c>
      <c r="E883" s="44"/>
      <c r="F883" s="45">
        <v>40235.647835648146</v>
      </c>
      <c r="G883" s="46">
        <v>103</v>
      </c>
      <c r="H883" s="47">
        <v>43379</v>
      </c>
      <c r="I883" s="47">
        <v>43397</v>
      </c>
      <c r="J883" s="46">
        <v>572041</v>
      </c>
      <c r="K883" s="46">
        <v>0</v>
      </c>
      <c r="L883" s="46">
        <v>0</v>
      </c>
      <c r="M883" s="46">
        <f t="shared" ref="M883:M946" si="280">IFERROR(J883-K883-L883,0)</f>
        <v>572041</v>
      </c>
      <c r="N883" s="46">
        <v>572041</v>
      </c>
      <c r="O883" s="48">
        <f t="shared" ref="O883:O946" si="281">IFERROR(IF(1 - M883/N883&lt;0,0,1-M883/N883),0)</f>
        <v>0</v>
      </c>
      <c r="P883" s="46">
        <v>0</v>
      </c>
      <c r="Q883" s="46">
        <v>572041</v>
      </c>
      <c r="R883" s="49">
        <f t="shared" ref="R883:R946" si="282">IF(F883&lt;DATEVALUE("2018-07-01"),1,0)</f>
        <v>1</v>
      </c>
      <c r="S883" s="50">
        <f t="shared" ref="S883:S946" si="283">IF(R883=1,1%,0)</f>
        <v>0.01</v>
      </c>
      <c r="T883" s="49">
        <f t="shared" ref="T883:T946" si="284">IFERROR(S883*M883,0)</f>
        <v>5720.41</v>
      </c>
      <c r="U883" s="51">
        <f t="shared" ref="U883:U946" si="285">IF(O883&lt;=0.12,1,0)*(1-R883)*M883</f>
        <v>0</v>
      </c>
      <c r="V883" s="52">
        <f>IF(0&lt;0.8,0,IF(0&lt;1,Sheet3!L561,1))*IF(G883&lt;3,0.12 - O883,0.01) *U883</f>
        <v>0</v>
      </c>
      <c r="W883" s="52">
        <f t="shared" ref="W883:W946" si="286">IF(0&gt;1,IF(0&lt;=1.1,1,IF(0&lt;=1.2,2,IF(0&lt;=1.5,3,5))),0) * 1000000</f>
        <v>0</v>
      </c>
      <c r="X883" s="53">
        <f t="shared" ref="X883:X946" si="287">IF(AND(P883&gt;=150000000,P883&lt;300000000),5000000,IF(AND(P883&gt;=300000000,P883&lt;500000000),10000000,IF(AND(P883&gt;=300000000,P883&lt;500000000),15000000,IF(AND(P883&gt;=500000000,P883&lt;3000000000),20000000,IF(P883&gt;=30000000000,35000000,0))))) * (1-R883)</f>
        <v>0</v>
      </c>
      <c r="Y883" s="53">
        <f t="shared" ref="Y883:Y946" si="288">IFERROR(Q883 * (1-R883),0)</f>
        <v>0</v>
      </c>
      <c r="Z883" s="54">
        <f t="shared" si="278"/>
        <v>0</v>
      </c>
      <c r="AA883" s="54">
        <f t="shared" ref="AA883:AA946" si="289">IFERROR((1-R883) * Z883 * 2%,0)</f>
        <v>0</v>
      </c>
      <c r="AB883" s="55">
        <f t="shared" si="279"/>
        <v>0</v>
      </c>
      <c r="AC883" s="55">
        <f t="shared" ref="AC883:AC946" si="290">IFERROR(AB883 * (1-R883) * 2%,0)</f>
        <v>0</v>
      </c>
      <c r="AD883" s="56">
        <f t="shared" ref="AD883:AD946" si="291">T883+V883+W883+X883+AA883+AC883</f>
        <v>5720.41</v>
      </c>
    </row>
    <row r="884" spans="3:30">
      <c r="C884" s="43" t="s">
        <v>1574</v>
      </c>
      <c r="D884" s="44" t="s">
        <v>1575</v>
      </c>
      <c r="E884" s="44"/>
      <c r="F884" s="45">
        <v>43119</v>
      </c>
      <c r="G884" s="46">
        <v>8</v>
      </c>
      <c r="H884" s="47">
        <v>43420</v>
      </c>
      <c r="I884" s="47">
        <v>43430</v>
      </c>
      <c r="J884" s="46">
        <v>14092999</v>
      </c>
      <c r="K884" s="46">
        <v>0</v>
      </c>
      <c r="L884" s="46">
        <v>0</v>
      </c>
      <c r="M884" s="46">
        <f t="shared" si="280"/>
        <v>14092999</v>
      </c>
      <c r="N884" s="46">
        <v>13596088</v>
      </c>
      <c r="O884" s="48">
        <f t="shared" si="281"/>
        <v>0</v>
      </c>
      <c r="P884" s="46">
        <v>0</v>
      </c>
      <c r="Q884" s="46">
        <v>14092999</v>
      </c>
      <c r="R884" s="49">
        <f t="shared" si="282"/>
        <v>1</v>
      </c>
      <c r="S884" s="50">
        <f t="shared" si="283"/>
        <v>0.01</v>
      </c>
      <c r="T884" s="49">
        <f t="shared" si="284"/>
        <v>140929.99</v>
      </c>
      <c r="U884" s="51">
        <f t="shared" si="285"/>
        <v>0</v>
      </c>
      <c r="V884" s="52">
        <f>IF(0&lt;0.8,0,IF(0&lt;1,Sheet3!L561,1))*IF(G884&lt;3,0.12 - O884,0.01) *U884</f>
        <v>0</v>
      </c>
      <c r="W884" s="52">
        <f t="shared" si="286"/>
        <v>0</v>
      </c>
      <c r="X884" s="53">
        <f t="shared" si="287"/>
        <v>0</v>
      </c>
      <c r="Y884" s="53">
        <f t="shared" si="288"/>
        <v>0</v>
      </c>
      <c r="Z884" s="54">
        <f t="shared" si="278"/>
        <v>0</v>
      </c>
      <c r="AA884" s="54">
        <f t="shared" si="289"/>
        <v>0</v>
      </c>
      <c r="AB884" s="55">
        <f>IF(R884=0,372459,0)</f>
        <v>0</v>
      </c>
      <c r="AC884" s="55">
        <f t="shared" si="290"/>
        <v>0</v>
      </c>
      <c r="AD884" s="56">
        <f t="shared" si="291"/>
        <v>140929.99</v>
      </c>
    </row>
    <row r="885" spans="3:30">
      <c r="C885" s="43" t="s">
        <v>1576</v>
      </c>
      <c r="D885" s="44" t="s">
        <v>1577</v>
      </c>
      <c r="E885" s="44"/>
      <c r="F885" s="45">
        <v>40255.371053240742</v>
      </c>
      <c r="G885" s="46">
        <v>102</v>
      </c>
      <c r="H885" s="47">
        <v>43375</v>
      </c>
      <c r="I885" s="47">
        <v>43393</v>
      </c>
      <c r="J885" s="46">
        <v>344233</v>
      </c>
      <c r="K885" s="46">
        <v>0</v>
      </c>
      <c r="L885" s="46">
        <v>0</v>
      </c>
      <c r="M885" s="46">
        <f t="shared" si="280"/>
        <v>344233</v>
      </c>
      <c r="N885" s="46">
        <v>344233</v>
      </c>
      <c r="O885" s="48">
        <f t="shared" si="281"/>
        <v>0</v>
      </c>
      <c r="P885" s="46">
        <v>0</v>
      </c>
      <c r="Q885" s="46">
        <v>344233</v>
      </c>
      <c r="R885" s="49">
        <f t="shared" si="282"/>
        <v>1</v>
      </c>
      <c r="S885" s="50">
        <f t="shared" si="283"/>
        <v>0.01</v>
      </c>
      <c r="T885" s="49">
        <f t="shared" si="284"/>
        <v>3442.33</v>
      </c>
      <c r="U885" s="51">
        <f t="shared" si="285"/>
        <v>0</v>
      </c>
      <c r="V885" s="52">
        <f>IF(0&lt;0.8,0,IF(0&lt;1,Sheet3!L561,1))*IF(G885&lt;3,0.12 - O885,0.01) *U885</f>
        <v>0</v>
      </c>
      <c r="W885" s="52">
        <f t="shared" si="286"/>
        <v>0</v>
      </c>
      <c r="X885" s="53">
        <f t="shared" si="287"/>
        <v>0</v>
      </c>
      <c r="Y885" s="53">
        <f t="shared" si="288"/>
        <v>0</v>
      </c>
      <c r="Z885" s="54">
        <f t="shared" si="278"/>
        <v>0</v>
      </c>
      <c r="AA885" s="54">
        <f t="shared" si="289"/>
        <v>0</v>
      </c>
      <c r="AB885" s="55">
        <f t="shared" ref="AB885:AB906" si="292">IF(R885=0,0,0)</f>
        <v>0</v>
      </c>
      <c r="AC885" s="55">
        <f t="shared" si="290"/>
        <v>0</v>
      </c>
      <c r="AD885" s="56">
        <f t="shared" si="291"/>
        <v>3442.33</v>
      </c>
    </row>
    <row r="886" spans="3:30">
      <c r="C886" s="43" t="s">
        <v>1578</v>
      </c>
      <c r="D886" s="44" t="s">
        <v>1579</v>
      </c>
      <c r="E886" s="44"/>
      <c r="F886" s="45">
        <v>40256.660127314812</v>
      </c>
      <c r="G886" s="46">
        <v>102</v>
      </c>
      <c r="H886" s="47">
        <v>43377</v>
      </c>
      <c r="I886" s="47">
        <v>43342</v>
      </c>
      <c r="J886" s="46">
        <v>4507271</v>
      </c>
      <c r="K886" s="46">
        <v>0</v>
      </c>
      <c r="L886" s="46">
        <v>0</v>
      </c>
      <c r="M886" s="46">
        <f t="shared" si="280"/>
        <v>4507271</v>
      </c>
      <c r="N886" s="46">
        <v>4507271</v>
      </c>
      <c r="O886" s="48">
        <f t="shared" si="281"/>
        <v>0</v>
      </c>
      <c r="P886" s="46">
        <v>0</v>
      </c>
      <c r="Q886" s="46">
        <v>4507271</v>
      </c>
      <c r="R886" s="49">
        <f t="shared" si="282"/>
        <v>1</v>
      </c>
      <c r="S886" s="50">
        <f t="shared" si="283"/>
        <v>0.01</v>
      </c>
      <c r="T886" s="49">
        <f t="shared" si="284"/>
        <v>45072.71</v>
      </c>
      <c r="U886" s="51">
        <f t="shared" si="285"/>
        <v>0</v>
      </c>
      <c r="V886" s="52">
        <f>IF(0&lt;0.8,0,IF(0&lt;1,Sheet3!L561,1))*IF(G886&lt;3,0.12 - O886,0.01) *U886</f>
        <v>0</v>
      </c>
      <c r="W886" s="52">
        <f t="shared" si="286"/>
        <v>0</v>
      </c>
      <c r="X886" s="53">
        <f t="shared" si="287"/>
        <v>0</v>
      </c>
      <c r="Y886" s="53">
        <f t="shared" si="288"/>
        <v>0</v>
      </c>
      <c r="Z886" s="54">
        <f t="shared" si="278"/>
        <v>0</v>
      </c>
      <c r="AA886" s="54">
        <f t="shared" si="289"/>
        <v>0</v>
      </c>
      <c r="AB886" s="55">
        <f t="shared" si="292"/>
        <v>0</v>
      </c>
      <c r="AC886" s="55">
        <f t="shared" si="290"/>
        <v>0</v>
      </c>
      <c r="AD886" s="56">
        <f t="shared" si="291"/>
        <v>45072.71</v>
      </c>
    </row>
    <row r="887" spans="3:30">
      <c r="C887" s="43" t="s">
        <v>1580</v>
      </c>
      <c r="D887" s="44" t="s">
        <v>1581</v>
      </c>
      <c r="E887" s="44"/>
      <c r="F887" s="45">
        <v>40266.67796296296</v>
      </c>
      <c r="G887" s="46">
        <v>102</v>
      </c>
      <c r="H887" s="47">
        <v>43376</v>
      </c>
      <c r="I887" s="47">
        <v>43434</v>
      </c>
      <c r="J887" s="46">
        <v>1680167</v>
      </c>
      <c r="K887" s="46">
        <v>0</v>
      </c>
      <c r="L887" s="46">
        <v>0</v>
      </c>
      <c r="M887" s="46">
        <f t="shared" si="280"/>
        <v>1680167</v>
      </c>
      <c r="N887" s="46">
        <v>1680167</v>
      </c>
      <c r="O887" s="48">
        <f t="shared" si="281"/>
        <v>0</v>
      </c>
      <c r="P887" s="46">
        <v>0</v>
      </c>
      <c r="Q887" s="46">
        <v>1680167</v>
      </c>
      <c r="R887" s="49">
        <f t="shared" si="282"/>
        <v>1</v>
      </c>
      <c r="S887" s="50">
        <f t="shared" si="283"/>
        <v>0.01</v>
      </c>
      <c r="T887" s="49">
        <f t="shared" si="284"/>
        <v>16801.670000000002</v>
      </c>
      <c r="U887" s="51">
        <f t="shared" si="285"/>
        <v>0</v>
      </c>
      <c r="V887" s="52">
        <f>IF(0&lt;0.8,0,IF(0&lt;1,Sheet3!L561,1))*IF(G887&lt;3,0.12 - O887,0.01) *U887</f>
        <v>0</v>
      </c>
      <c r="W887" s="52">
        <f t="shared" si="286"/>
        <v>0</v>
      </c>
      <c r="X887" s="53">
        <f t="shared" si="287"/>
        <v>0</v>
      </c>
      <c r="Y887" s="53">
        <f t="shared" si="288"/>
        <v>0</v>
      </c>
      <c r="Z887" s="54">
        <f t="shared" si="278"/>
        <v>0</v>
      </c>
      <c r="AA887" s="54">
        <f t="shared" si="289"/>
        <v>0</v>
      </c>
      <c r="AB887" s="55">
        <f t="shared" si="292"/>
        <v>0</v>
      </c>
      <c r="AC887" s="55">
        <f t="shared" si="290"/>
        <v>0</v>
      </c>
      <c r="AD887" s="56">
        <f t="shared" si="291"/>
        <v>16801.670000000002</v>
      </c>
    </row>
    <row r="888" spans="3:30">
      <c r="C888" s="43" t="s">
        <v>1582</v>
      </c>
      <c r="D888" s="44" t="s">
        <v>1583</v>
      </c>
      <c r="E888" s="44"/>
      <c r="F888" s="45">
        <v>40270.460057870368</v>
      </c>
      <c r="G888" s="46">
        <v>101</v>
      </c>
      <c r="H888" s="47">
        <v>43372</v>
      </c>
      <c r="I888" s="47">
        <v>43398</v>
      </c>
      <c r="J888" s="46">
        <v>114966</v>
      </c>
      <c r="K888" s="46">
        <v>0</v>
      </c>
      <c r="L888" s="46">
        <v>0</v>
      </c>
      <c r="M888" s="46">
        <f t="shared" si="280"/>
        <v>114966</v>
      </c>
      <c r="N888" s="46">
        <v>114966</v>
      </c>
      <c r="O888" s="48">
        <f t="shared" si="281"/>
        <v>0</v>
      </c>
      <c r="P888" s="46">
        <v>0</v>
      </c>
      <c r="Q888" s="46">
        <v>114966</v>
      </c>
      <c r="R888" s="49">
        <f t="shared" si="282"/>
        <v>1</v>
      </c>
      <c r="S888" s="50">
        <f t="shared" si="283"/>
        <v>0.01</v>
      </c>
      <c r="T888" s="49">
        <f t="shared" si="284"/>
        <v>1149.6600000000001</v>
      </c>
      <c r="U888" s="51">
        <f t="shared" si="285"/>
        <v>0</v>
      </c>
      <c r="V888" s="52">
        <f>IF(0&lt;0.8,0,IF(0&lt;1,Sheet3!L561,1))*IF(G888&lt;3,0.12 - O888,0.01) *U888</f>
        <v>0</v>
      </c>
      <c r="W888" s="52">
        <f t="shared" si="286"/>
        <v>0</v>
      </c>
      <c r="X888" s="53">
        <f t="shared" si="287"/>
        <v>0</v>
      </c>
      <c r="Y888" s="53">
        <f t="shared" si="288"/>
        <v>0</v>
      </c>
      <c r="Z888" s="54">
        <f t="shared" si="278"/>
        <v>0</v>
      </c>
      <c r="AA888" s="54">
        <f t="shared" si="289"/>
        <v>0</v>
      </c>
      <c r="AB888" s="55">
        <f t="shared" si="292"/>
        <v>0</v>
      </c>
      <c r="AC888" s="55">
        <f t="shared" si="290"/>
        <v>0</v>
      </c>
      <c r="AD888" s="56">
        <f t="shared" si="291"/>
        <v>1149.6600000000001</v>
      </c>
    </row>
    <row r="889" spans="3:30">
      <c r="C889" s="43" t="s">
        <v>1584</v>
      </c>
      <c r="D889" s="44" t="s">
        <v>1585</v>
      </c>
      <c r="E889" s="44"/>
      <c r="F889" s="45">
        <v>40270.622997685183</v>
      </c>
      <c r="G889" s="46">
        <v>101</v>
      </c>
      <c r="H889" s="47">
        <v>43404</v>
      </c>
      <c r="I889" s="47">
        <v>43472</v>
      </c>
      <c r="J889" s="46">
        <v>615220088</v>
      </c>
      <c r="K889" s="46">
        <v>1602480</v>
      </c>
      <c r="L889" s="46">
        <v>0</v>
      </c>
      <c r="M889" s="46">
        <f t="shared" si="280"/>
        <v>613617608</v>
      </c>
      <c r="N889" s="46">
        <v>504143333</v>
      </c>
      <c r="O889" s="48">
        <f t="shared" si="281"/>
        <v>0</v>
      </c>
      <c r="P889" s="46">
        <v>0</v>
      </c>
      <c r="Q889" s="46">
        <v>623827852</v>
      </c>
      <c r="R889" s="49">
        <f t="shared" si="282"/>
        <v>1</v>
      </c>
      <c r="S889" s="50">
        <f t="shared" si="283"/>
        <v>0.01</v>
      </c>
      <c r="T889" s="49">
        <f t="shared" si="284"/>
        <v>6136176.0800000001</v>
      </c>
      <c r="U889" s="51">
        <f t="shared" si="285"/>
        <v>0</v>
      </c>
      <c r="V889" s="52">
        <f>IF(0&lt;0.8,0,IF(0&lt;1,Sheet3!L561,1))*IF(G889&lt;3,0.12 - O889,0.01) *U889</f>
        <v>0</v>
      </c>
      <c r="W889" s="52">
        <f t="shared" si="286"/>
        <v>0</v>
      </c>
      <c r="X889" s="53">
        <f t="shared" si="287"/>
        <v>0</v>
      </c>
      <c r="Y889" s="53">
        <f t="shared" si="288"/>
        <v>0</v>
      </c>
      <c r="Z889" s="54">
        <f t="shared" si="278"/>
        <v>0</v>
      </c>
      <c r="AA889" s="54">
        <f t="shared" si="289"/>
        <v>0</v>
      </c>
      <c r="AB889" s="55">
        <f t="shared" si="292"/>
        <v>0</v>
      </c>
      <c r="AC889" s="55">
        <f t="shared" si="290"/>
        <v>0</v>
      </c>
      <c r="AD889" s="56">
        <f t="shared" si="291"/>
        <v>6136176.0800000001</v>
      </c>
    </row>
    <row r="890" spans="3:30">
      <c r="C890" s="43" t="s">
        <v>1586</v>
      </c>
      <c r="D890" s="44" t="s">
        <v>1587</v>
      </c>
      <c r="E890" s="44"/>
      <c r="F890" s="45">
        <v>40276.361504629625</v>
      </c>
      <c r="G890" s="46">
        <v>101</v>
      </c>
      <c r="H890" s="47">
        <v>43376</v>
      </c>
      <c r="I890" s="47">
        <v>43392</v>
      </c>
      <c r="J890" s="46">
        <v>3467239</v>
      </c>
      <c r="K890" s="46">
        <v>0</v>
      </c>
      <c r="L890" s="46">
        <v>0</v>
      </c>
      <c r="M890" s="46">
        <f t="shared" si="280"/>
        <v>3467239</v>
      </c>
      <c r="N890" s="46">
        <v>3467239</v>
      </c>
      <c r="O890" s="48">
        <f t="shared" si="281"/>
        <v>0</v>
      </c>
      <c r="P890" s="46">
        <v>0</v>
      </c>
      <c r="Q890" s="46">
        <v>3467239</v>
      </c>
      <c r="R890" s="49">
        <f t="shared" si="282"/>
        <v>1</v>
      </c>
      <c r="S890" s="50">
        <f t="shared" si="283"/>
        <v>0.01</v>
      </c>
      <c r="T890" s="49">
        <f t="shared" si="284"/>
        <v>34672.39</v>
      </c>
      <c r="U890" s="51">
        <f t="shared" si="285"/>
        <v>0</v>
      </c>
      <c r="V890" s="52">
        <f>IF(0&lt;0.8,0,IF(0&lt;1,Sheet3!L561,1))*IF(G890&lt;3,0.12 - O890,0.01) *U890</f>
        <v>0</v>
      </c>
      <c r="W890" s="52">
        <f t="shared" si="286"/>
        <v>0</v>
      </c>
      <c r="X890" s="53">
        <f t="shared" si="287"/>
        <v>0</v>
      </c>
      <c r="Y890" s="53">
        <f t="shared" si="288"/>
        <v>0</v>
      </c>
      <c r="Z890" s="54">
        <f t="shared" si="278"/>
        <v>0</v>
      </c>
      <c r="AA890" s="54">
        <f t="shared" si="289"/>
        <v>0</v>
      </c>
      <c r="AB890" s="55">
        <f t="shared" si="292"/>
        <v>0</v>
      </c>
      <c r="AC890" s="55">
        <f t="shared" si="290"/>
        <v>0</v>
      </c>
      <c r="AD890" s="56">
        <f t="shared" si="291"/>
        <v>34672.39</v>
      </c>
    </row>
    <row r="891" spans="3:30">
      <c r="C891" s="43" t="s">
        <v>1588</v>
      </c>
      <c r="D891" s="44" t="s">
        <v>1589</v>
      </c>
      <c r="E891" s="44"/>
      <c r="F891" s="45">
        <v>40276.421423611107</v>
      </c>
      <c r="G891" s="46">
        <v>101</v>
      </c>
      <c r="H891" s="47">
        <v>43377</v>
      </c>
      <c r="I891" s="47">
        <v>43398</v>
      </c>
      <c r="J891" s="46">
        <v>941990</v>
      </c>
      <c r="K891" s="46">
        <v>0</v>
      </c>
      <c r="L891" s="46">
        <v>0</v>
      </c>
      <c r="M891" s="46">
        <f t="shared" si="280"/>
        <v>941990</v>
      </c>
      <c r="N891" s="46">
        <v>941990</v>
      </c>
      <c r="O891" s="48">
        <f t="shared" si="281"/>
        <v>0</v>
      </c>
      <c r="P891" s="46">
        <v>0</v>
      </c>
      <c r="Q891" s="46">
        <v>941990</v>
      </c>
      <c r="R891" s="49">
        <f t="shared" si="282"/>
        <v>1</v>
      </c>
      <c r="S891" s="50">
        <f t="shared" si="283"/>
        <v>0.01</v>
      </c>
      <c r="T891" s="49">
        <f t="shared" si="284"/>
        <v>9419.9</v>
      </c>
      <c r="U891" s="51">
        <f t="shared" si="285"/>
        <v>0</v>
      </c>
      <c r="V891" s="52">
        <f>IF(0&lt;0.8,0,IF(0&lt;1,Sheet3!L561,1))*IF(G891&lt;3,0.12 - O891,0.01) *U891</f>
        <v>0</v>
      </c>
      <c r="W891" s="52">
        <f t="shared" si="286"/>
        <v>0</v>
      </c>
      <c r="X891" s="53">
        <f t="shared" si="287"/>
        <v>0</v>
      </c>
      <c r="Y891" s="53">
        <f t="shared" si="288"/>
        <v>0</v>
      </c>
      <c r="Z891" s="54">
        <f t="shared" si="278"/>
        <v>0</v>
      </c>
      <c r="AA891" s="54">
        <f t="shared" si="289"/>
        <v>0</v>
      </c>
      <c r="AB891" s="55">
        <f t="shared" si="292"/>
        <v>0</v>
      </c>
      <c r="AC891" s="55">
        <f t="shared" si="290"/>
        <v>0</v>
      </c>
      <c r="AD891" s="56">
        <f t="shared" si="291"/>
        <v>9419.9</v>
      </c>
    </row>
    <row r="892" spans="3:30">
      <c r="C892" s="43" t="s">
        <v>1590</v>
      </c>
      <c r="D892" s="44" t="s">
        <v>1591</v>
      </c>
      <c r="E892" s="44"/>
      <c r="F892" s="45">
        <v>40283.658391203702</v>
      </c>
      <c r="G892" s="46">
        <v>101</v>
      </c>
      <c r="H892" s="47">
        <v>43377</v>
      </c>
      <c r="I892" s="47">
        <v>43391</v>
      </c>
      <c r="J892" s="46">
        <v>31970</v>
      </c>
      <c r="K892" s="46">
        <v>0</v>
      </c>
      <c r="L892" s="46">
        <v>0</v>
      </c>
      <c r="M892" s="46">
        <f t="shared" si="280"/>
        <v>31970</v>
      </c>
      <c r="N892" s="46">
        <v>31970</v>
      </c>
      <c r="O892" s="48">
        <f t="shared" si="281"/>
        <v>0</v>
      </c>
      <c r="P892" s="46">
        <v>0</v>
      </c>
      <c r="Q892" s="46">
        <v>31970</v>
      </c>
      <c r="R892" s="49">
        <f t="shared" si="282"/>
        <v>1</v>
      </c>
      <c r="S892" s="50">
        <f t="shared" si="283"/>
        <v>0.01</v>
      </c>
      <c r="T892" s="49">
        <f t="shared" si="284"/>
        <v>319.7</v>
      </c>
      <c r="U892" s="51">
        <f t="shared" si="285"/>
        <v>0</v>
      </c>
      <c r="V892" s="52">
        <f>IF(0&lt;0.8,0,IF(0&lt;1,Sheet3!L561,1))*IF(G892&lt;3,0.12 - O892,0.01) *U892</f>
        <v>0</v>
      </c>
      <c r="W892" s="52">
        <f t="shared" si="286"/>
        <v>0</v>
      </c>
      <c r="X892" s="53">
        <f t="shared" si="287"/>
        <v>0</v>
      </c>
      <c r="Y892" s="53">
        <f t="shared" si="288"/>
        <v>0</v>
      </c>
      <c r="Z892" s="54">
        <f t="shared" si="278"/>
        <v>0</v>
      </c>
      <c r="AA892" s="54">
        <f t="shared" si="289"/>
        <v>0</v>
      </c>
      <c r="AB892" s="55">
        <f t="shared" si="292"/>
        <v>0</v>
      </c>
      <c r="AC892" s="55">
        <f t="shared" si="290"/>
        <v>0</v>
      </c>
      <c r="AD892" s="56">
        <f t="shared" si="291"/>
        <v>319.7</v>
      </c>
    </row>
    <row r="893" spans="3:30">
      <c r="C893" s="43" t="s">
        <v>1592</v>
      </c>
      <c r="D893" s="44" t="s">
        <v>1593</v>
      </c>
      <c r="E893" s="44"/>
      <c r="F893" s="45">
        <v>40287.65792824074</v>
      </c>
      <c r="G893" s="46">
        <v>101</v>
      </c>
      <c r="H893" s="47">
        <v>43377</v>
      </c>
      <c r="I893" s="47">
        <v>43417</v>
      </c>
      <c r="J893" s="46">
        <v>3441532</v>
      </c>
      <c r="K893" s="46">
        <v>0</v>
      </c>
      <c r="L893" s="46">
        <v>0</v>
      </c>
      <c r="M893" s="46">
        <f t="shared" si="280"/>
        <v>3441532</v>
      </c>
      <c r="N893" s="46">
        <v>3441532</v>
      </c>
      <c r="O893" s="48">
        <f t="shared" si="281"/>
        <v>0</v>
      </c>
      <c r="P893" s="46">
        <v>0</v>
      </c>
      <c r="Q893" s="46">
        <v>3441532</v>
      </c>
      <c r="R893" s="49">
        <f t="shared" si="282"/>
        <v>1</v>
      </c>
      <c r="S893" s="50">
        <f t="shared" si="283"/>
        <v>0.01</v>
      </c>
      <c r="T893" s="49">
        <f t="shared" si="284"/>
        <v>34415.32</v>
      </c>
      <c r="U893" s="51">
        <f t="shared" si="285"/>
        <v>0</v>
      </c>
      <c r="V893" s="52">
        <f>IF(0&lt;0.8,0,IF(0&lt;1,Sheet3!L561,1))*IF(G893&lt;3,0.12 - O893,0.01) *U893</f>
        <v>0</v>
      </c>
      <c r="W893" s="52">
        <f t="shared" si="286"/>
        <v>0</v>
      </c>
      <c r="X893" s="53">
        <f t="shared" si="287"/>
        <v>0</v>
      </c>
      <c r="Y893" s="53">
        <f t="shared" si="288"/>
        <v>0</v>
      </c>
      <c r="Z893" s="54">
        <f t="shared" si="278"/>
        <v>0</v>
      </c>
      <c r="AA893" s="54">
        <f t="shared" si="289"/>
        <v>0</v>
      </c>
      <c r="AB893" s="55">
        <f t="shared" si="292"/>
        <v>0</v>
      </c>
      <c r="AC893" s="55">
        <f t="shared" si="290"/>
        <v>0</v>
      </c>
      <c r="AD893" s="56">
        <f t="shared" si="291"/>
        <v>34415.32</v>
      </c>
    </row>
    <row r="894" spans="3:30">
      <c r="C894" s="43" t="s">
        <v>1594</v>
      </c>
      <c r="D894" s="44" t="s">
        <v>1595</v>
      </c>
      <c r="E894" s="44"/>
      <c r="F894" s="45">
        <v>40287.69563657407</v>
      </c>
      <c r="G894" s="46">
        <v>101</v>
      </c>
      <c r="H894" s="47">
        <v>43379</v>
      </c>
      <c r="I894" s="47">
        <v>43398</v>
      </c>
      <c r="J894" s="46">
        <v>2862302</v>
      </c>
      <c r="K894" s="46">
        <v>0</v>
      </c>
      <c r="L894" s="46">
        <v>0</v>
      </c>
      <c r="M894" s="46">
        <f t="shared" si="280"/>
        <v>2862302</v>
      </c>
      <c r="N894" s="46">
        <v>2862302</v>
      </c>
      <c r="O894" s="48">
        <f t="shared" si="281"/>
        <v>0</v>
      </c>
      <c r="P894" s="46">
        <v>0</v>
      </c>
      <c r="Q894" s="46">
        <v>2862302</v>
      </c>
      <c r="R894" s="49">
        <f t="shared" si="282"/>
        <v>1</v>
      </c>
      <c r="S894" s="50">
        <f t="shared" si="283"/>
        <v>0.01</v>
      </c>
      <c r="T894" s="49">
        <f t="shared" si="284"/>
        <v>28623.02</v>
      </c>
      <c r="U894" s="51">
        <f t="shared" si="285"/>
        <v>0</v>
      </c>
      <c r="V894" s="52">
        <f>IF(0&lt;0.8,0,IF(0&lt;1,Sheet3!L561,1))*IF(G894&lt;3,0.12 - O894,0.01) *U894</f>
        <v>0</v>
      </c>
      <c r="W894" s="52">
        <f t="shared" si="286"/>
        <v>0</v>
      </c>
      <c r="X894" s="53">
        <f t="shared" si="287"/>
        <v>0</v>
      </c>
      <c r="Y894" s="53">
        <f t="shared" si="288"/>
        <v>0</v>
      </c>
      <c r="Z894" s="54">
        <f t="shared" si="278"/>
        <v>0</v>
      </c>
      <c r="AA894" s="54">
        <f t="shared" si="289"/>
        <v>0</v>
      </c>
      <c r="AB894" s="55">
        <f t="shared" si="292"/>
        <v>0</v>
      </c>
      <c r="AC894" s="55">
        <f t="shared" si="290"/>
        <v>0</v>
      </c>
      <c r="AD894" s="56">
        <f t="shared" si="291"/>
        <v>28623.02</v>
      </c>
    </row>
    <row r="895" spans="3:30">
      <c r="C895" s="43" t="s">
        <v>1596</v>
      </c>
      <c r="D895" s="44" t="s">
        <v>1597</v>
      </c>
      <c r="E895" s="44"/>
      <c r="F895" s="45">
        <v>40290.716631944444</v>
      </c>
      <c r="G895" s="46">
        <v>101</v>
      </c>
      <c r="H895" s="47">
        <v>43379</v>
      </c>
      <c r="I895" s="47">
        <v>43390</v>
      </c>
      <c r="J895" s="46">
        <v>230789</v>
      </c>
      <c r="K895" s="46">
        <v>0</v>
      </c>
      <c r="L895" s="46">
        <v>0</v>
      </c>
      <c r="M895" s="46">
        <f t="shared" si="280"/>
        <v>230789</v>
      </c>
      <c r="N895" s="46">
        <v>230789</v>
      </c>
      <c r="O895" s="48">
        <f t="shared" si="281"/>
        <v>0</v>
      </c>
      <c r="P895" s="46">
        <v>0</v>
      </c>
      <c r="Q895" s="46">
        <v>230789</v>
      </c>
      <c r="R895" s="49">
        <f t="shared" si="282"/>
        <v>1</v>
      </c>
      <c r="S895" s="50">
        <f t="shared" si="283"/>
        <v>0.01</v>
      </c>
      <c r="T895" s="49">
        <f t="shared" si="284"/>
        <v>2307.89</v>
      </c>
      <c r="U895" s="51">
        <f t="shared" si="285"/>
        <v>0</v>
      </c>
      <c r="V895" s="52">
        <f>IF(0&lt;0.8,0,IF(0&lt;1,Sheet3!L561,1))*IF(G895&lt;3,0.12 - O895,0.01) *U895</f>
        <v>0</v>
      </c>
      <c r="W895" s="52">
        <f t="shared" si="286"/>
        <v>0</v>
      </c>
      <c r="X895" s="53">
        <f t="shared" si="287"/>
        <v>0</v>
      </c>
      <c r="Y895" s="53">
        <f t="shared" si="288"/>
        <v>0</v>
      </c>
      <c r="Z895" s="54">
        <f t="shared" si="278"/>
        <v>0</v>
      </c>
      <c r="AA895" s="54">
        <f t="shared" si="289"/>
        <v>0</v>
      </c>
      <c r="AB895" s="55">
        <f t="shared" si="292"/>
        <v>0</v>
      </c>
      <c r="AC895" s="55">
        <f t="shared" si="290"/>
        <v>0</v>
      </c>
      <c r="AD895" s="56">
        <f t="shared" si="291"/>
        <v>2307.89</v>
      </c>
    </row>
    <row r="896" spans="3:30">
      <c r="C896" s="43" t="s">
        <v>1598</v>
      </c>
      <c r="D896" s="44" t="s">
        <v>1599</v>
      </c>
      <c r="E896" s="44"/>
      <c r="F896" s="45">
        <v>40297.435636574075</v>
      </c>
      <c r="G896" s="46">
        <v>101</v>
      </c>
      <c r="H896" s="47">
        <v>43379</v>
      </c>
      <c r="I896" s="47">
        <v>43404</v>
      </c>
      <c r="J896" s="46">
        <v>9897536</v>
      </c>
      <c r="K896" s="46">
        <v>0</v>
      </c>
      <c r="L896" s="46">
        <v>0</v>
      </c>
      <c r="M896" s="46">
        <f t="shared" si="280"/>
        <v>9897536</v>
      </c>
      <c r="N896" s="46">
        <v>10514765</v>
      </c>
      <c r="O896" s="48">
        <f t="shared" si="281"/>
        <v>5.8701169260558794E-2</v>
      </c>
      <c r="P896" s="46">
        <v>0</v>
      </c>
      <c r="Q896" s="46">
        <v>9897536</v>
      </c>
      <c r="R896" s="49">
        <f t="shared" si="282"/>
        <v>1</v>
      </c>
      <c r="S896" s="50">
        <f t="shared" si="283"/>
        <v>0.01</v>
      </c>
      <c r="T896" s="49">
        <f t="shared" si="284"/>
        <v>98975.360000000001</v>
      </c>
      <c r="U896" s="51">
        <f t="shared" si="285"/>
        <v>0</v>
      </c>
      <c r="V896" s="52">
        <f>IF(0&lt;0.8,0,IF(0&lt;1,Sheet3!L561,1))*IF(G896&lt;3,0.12 - O896,0.01) *U896</f>
        <v>0</v>
      </c>
      <c r="W896" s="52">
        <f t="shared" si="286"/>
        <v>0</v>
      </c>
      <c r="X896" s="53">
        <f t="shared" si="287"/>
        <v>0</v>
      </c>
      <c r="Y896" s="53">
        <f t="shared" si="288"/>
        <v>0</v>
      </c>
      <c r="Z896" s="54">
        <f t="shared" si="278"/>
        <v>0</v>
      </c>
      <c r="AA896" s="54">
        <f t="shared" si="289"/>
        <v>0</v>
      </c>
      <c r="AB896" s="55">
        <f t="shared" si="292"/>
        <v>0</v>
      </c>
      <c r="AC896" s="55">
        <f t="shared" si="290"/>
        <v>0</v>
      </c>
      <c r="AD896" s="56">
        <f t="shared" si="291"/>
        <v>98975.360000000001</v>
      </c>
    </row>
    <row r="897" spans="3:30">
      <c r="C897" s="43" t="s">
        <v>1600</v>
      </c>
      <c r="D897" s="44" t="s">
        <v>1601</v>
      </c>
      <c r="E897" s="44"/>
      <c r="F897" s="45">
        <v>40301.396516203698</v>
      </c>
      <c r="G897" s="46">
        <v>100</v>
      </c>
      <c r="H897" s="47">
        <v>43375</v>
      </c>
      <c r="I897" s="47">
        <v>43433</v>
      </c>
      <c r="J897" s="46">
        <v>105342</v>
      </c>
      <c r="K897" s="46">
        <v>0</v>
      </c>
      <c r="L897" s="46">
        <v>0</v>
      </c>
      <c r="M897" s="46">
        <f t="shared" si="280"/>
        <v>105342</v>
      </c>
      <c r="N897" s="46">
        <v>105342</v>
      </c>
      <c r="O897" s="48">
        <f t="shared" si="281"/>
        <v>0</v>
      </c>
      <c r="P897" s="46">
        <v>0</v>
      </c>
      <c r="Q897" s="46">
        <v>105342</v>
      </c>
      <c r="R897" s="49">
        <f t="shared" si="282"/>
        <v>1</v>
      </c>
      <c r="S897" s="50">
        <f t="shared" si="283"/>
        <v>0.01</v>
      </c>
      <c r="T897" s="49">
        <f t="shared" si="284"/>
        <v>1053.42</v>
      </c>
      <c r="U897" s="51">
        <f t="shared" si="285"/>
        <v>0</v>
      </c>
      <c r="V897" s="52">
        <f>IF(0&lt;0.8,0,IF(0&lt;1,Sheet3!L561,1))*IF(G897&lt;3,0.12 - O897,0.01) *U897</f>
        <v>0</v>
      </c>
      <c r="W897" s="52">
        <f t="shared" si="286"/>
        <v>0</v>
      </c>
      <c r="X897" s="53">
        <f t="shared" si="287"/>
        <v>0</v>
      </c>
      <c r="Y897" s="53">
        <f t="shared" si="288"/>
        <v>0</v>
      </c>
      <c r="Z897" s="54">
        <f t="shared" si="278"/>
        <v>0</v>
      </c>
      <c r="AA897" s="54">
        <f t="shared" si="289"/>
        <v>0</v>
      </c>
      <c r="AB897" s="55">
        <f t="shared" si="292"/>
        <v>0</v>
      </c>
      <c r="AC897" s="55">
        <f t="shared" si="290"/>
        <v>0</v>
      </c>
      <c r="AD897" s="56">
        <f t="shared" si="291"/>
        <v>1053.42</v>
      </c>
    </row>
    <row r="898" spans="3:30">
      <c r="C898" s="43" t="s">
        <v>1602</v>
      </c>
      <c r="D898" s="44" t="s">
        <v>1603</v>
      </c>
      <c r="E898" s="44"/>
      <c r="F898" s="45">
        <v>40301.465196759258</v>
      </c>
      <c r="G898" s="46">
        <v>100</v>
      </c>
      <c r="H898" s="47">
        <v>43372</v>
      </c>
      <c r="I898" s="47">
        <v>43402</v>
      </c>
      <c r="J898" s="46">
        <v>4479919</v>
      </c>
      <c r="K898" s="46">
        <v>315580</v>
      </c>
      <c r="L898" s="46">
        <v>0</v>
      </c>
      <c r="M898" s="46">
        <f t="shared" si="280"/>
        <v>4164339</v>
      </c>
      <c r="N898" s="46">
        <v>4479919</v>
      </c>
      <c r="O898" s="48">
        <f t="shared" si="281"/>
        <v>7.0443237924614266E-2</v>
      </c>
      <c r="P898" s="46">
        <v>0</v>
      </c>
      <c r="Q898" s="46">
        <v>4479919</v>
      </c>
      <c r="R898" s="49">
        <f t="shared" si="282"/>
        <v>1</v>
      </c>
      <c r="S898" s="50">
        <f t="shared" si="283"/>
        <v>0.01</v>
      </c>
      <c r="T898" s="49">
        <f t="shared" si="284"/>
        <v>41643.39</v>
      </c>
      <c r="U898" s="51">
        <f t="shared" si="285"/>
        <v>0</v>
      </c>
      <c r="V898" s="52">
        <f>IF(0&lt;0.8,0,IF(0&lt;1,Sheet3!L561,1))*IF(G898&lt;3,0.12 - O898,0.01) *U898</f>
        <v>0</v>
      </c>
      <c r="W898" s="52">
        <f t="shared" si="286"/>
        <v>0</v>
      </c>
      <c r="X898" s="53">
        <f t="shared" si="287"/>
        <v>0</v>
      </c>
      <c r="Y898" s="53">
        <f t="shared" si="288"/>
        <v>0</v>
      </c>
      <c r="Z898" s="54">
        <f t="shared" si="278"/>
        <v>0</v>
      </c>
      <c r="AA898" s="54">
        <f t="shared" si="289"/>
        <v>0</v>
      </c>
      <c r="AB898" s="55">
        <f t="shared" si="292"/>
        <v>0</v>
      </c>
      <c r="AC898" s="55">
        <f t="shared" si="290"/>
        <v>0</v>
      </c>
      <c r="AD898" s="56">
        <f t="shared" si="291"/>
        <v>41643.39</v>
      </c>
    </row>
    <row r="899" spans="3:30">
      <c r="C899" s="43" t="s">
        <v>1604</v>
      </c>
      <c r="D899" s="44" t="s">
        <v>1605</v>
      </c>
      <c r="E899" s="44"/>
      <c r="F899" s="45">
        <v>40312.618032407408</v>
      </c>
      <c r="G899" s="46">
        <v>100</v>
      </c>
      <c r="H899" s="47">
        <v>43375</v>
      </c>
      <c r="I899" s="47">
        <v>43386</v>
      </c>
      <c r="J899" s="46">
        <v>497459</v>
      </c>
      <c r="K899" s="46">
        <v>0</v>
      </c>
      <c r="L899" s="46">
        <v>0</v>
      </c>
      <c r="M899" s="46">
        <f t="shared" si="280"/>
        <v>497459</v>
      </c>
      <c r="N899" s="46">
        <v>497459</v>
      </c>
      <c r="O899" s="48">
        <f t="shared" si="281"/>
        <v>0</v>
      </c>
      <c r="P899" s="46">
        <v>0</v>
      </c>
      <c r="Q899" s="46">
        <v>497459</v>
      </c>
      <c r="R899" s="49">
        <f t="shared" si="282"/>
        <v>1</v>
      </c>
      <c r="S899" s="50">
        <f t="shared" si="283"/>
        <v>0.01</v>
      </c>
      <c r="T899" s="49">
        <f t="shared" si="284"/>
        <v>4974.59</v>
      </c>
      <c r="U899" s="51">
        <f t="shared" si="285"/>
        <v>0</v>
      </c>
      <c r="V899" s="52">
        <f>IF(0&lt;0.8,0,IF(0&lt;1,Sheet3!L561,1))*IF(G899&lt;3,0.12 - O899,0.01) *U899</f>
        <v>0</v>
      </c>
      <c r="W899" s="52">
        <f t="shared" si="286"/>
        <v>0</v>
      </c>
      <c r="X899" s="53">
        <f t="shared" si="287"/>
        <v>0</v>
      </c>
      <c r="Y899" s="53">
        <f t="shared" si="288"/>
        <v>0</v>
      </c>
      <c r="Z899" s="54">
        <f t="shared" si="278"/>
        <v>0</v>
      </c>
      <c r="AA899" s="54">
        <f t="shared" si="289"/>
        <v>0</v>
      </c>
      <c r="AB899" s="55">
        <f t="shared" si="292"/>
        <v>0</v>
      </c>
      <c r="AC899" s="55">
        <f t="shared" si="290"/>
        <v>0</v>
      </c>
      <c r="AD899" s="56">
        <f t="shared" si="291"/>
        <v>4974.59</v>
      </c>
    </row>
    <row r="900" spans="3:30">
      <c r="C900" s="43" t="s">
        <v>1606</v>
      </c>
      <c r="D900" s="44" t="s">
        <v>1607</v>
      </c>
      <c r="E900" s="44"/>
      <c r="F900" s="45">
        <v>40323.682314814811</v>
      </c>
      <c r="G900" s="46">
        <v>100</v>
      </c>
      <c r="H900" s="47">
        <v>43379</v>
      </c>
      <c r="I900" s="47">
        <v>43400</v>
      </c>
      <c r="J900" s="46">
        <v>4698104</v>
      </c>
      <c r="K900" s="46">
        <v>387476</v>
      </c>
      <c r="L900" s="46">
        <v>0</v>
      </c>
      <c r="M900" s="46">
        <f t="shared" si="280"/>
        <v>4310628</v>
      </c>
      <c r="N900" s="46">
        <v>4698104</v>
      </c>
      <c r="O900" s="48">
        <f t="shared" si="281"/>
        <v>8.2474972882677799E-2</v>
      </c>
      <c r="P900" s="46">
        <v>0</v>
      </c>
      <c r="Q900" s="46">
        <v>4698104</v>
      </c>
      <c r="R900" s="49">
        <f t="shared" si="282"/>
        <v>1</v>
      </c>
      <c r="S900" s="50">
        <f t="shared" si="283"/>
        <v>0.01</v>
      </c>
      <c r="T900" s="49">
        <f t="shared" si="284"/>
        <v>43106.28</v>
      </c>
      <c r="U900" s="51">
        <f t="shared" si="285"/>
        <v>0</v>
      </c>
      <c r="V900" s="52">
        <f>IF(0&lt;0.8,0,IF(0&lt;1,Sheet3!L561,1))*IF(G900&lt;3,0.12 - O900,0.01) *U900</f>
        <v>0</v>
      </c>
      <c r="W900" s="52">
        <f t="shared" si="286"/>
        <v>0</v>
      </c>
      <c r="X900" s="53">
        <f t="shared" si="287"/>
        <v>0</v>
      </c>
      <c r="Y900" s="53">
        <f t="shared" si="288"/>
        <v>0</v>
      </c>
      <c r="Z900" s="54">
        <f t="shared" si="278"/>
        <v>0</v>
      </c>
      <c r="AA900" s="54">
        <f t="shared" si="289"/>
        <v>0</v>
      </c>
      <c r="AB900" s="55">
        <f t="shared" si="292"/>
        <v>0</v>
      </c>
      <c r="AC900" s="55">
        <f t="shared" si="290"/>
        <v>0</v>
      </c>
      <c r="AD900" s="56">
        <f t="shared" si="291"/>
        <v>43106.28</v>
      </c>
    </row>
    <row r="901" spans="3:30">
      <c r="C901" s="43" t="s">
        <v>1608</v>
      </c>
      <c r="D901" s="44" t="s">
        <v>1609</v>
      </c>
      <c r="E901" s="44"/>
      <c r="F901" s="45">
        <v>40326.454432870371</v>
      </c>
      <c r="G901" s="46">
        <v>100</v>
      </c>
      <c r="H901" s="47">
        <v>43372</v>
      </c>
      <c r="I901" s="47">
        <v>43398</v>
      </c>
      <c r="J901" s="46">
        <v>10707460</v>
      </c>
      <c r="K901" s="46">
        <v>0</v>
      </c>
      <c r="L901" s="46">
        <v>0</v>
      </c>
      <c r="M901" s="46">
        <f t="shared" si="280"/>
        <v>10707460</v>
      </c>
      <c r="N901" s="46">
        <v>11207460</v>
      </c>
      <c r="O901" s="48">
        <f t="shared" si="281"/>
        <v>4.4613141603895956E-2</v>
      </c>
      <c r="P901" s="46">
        <v>0</v>
      </c>
      <c r="Q901" s="46">
        <v>10707460</v>
      </c>
      <c r="R901" s="49">
        <f t="shared" si="282"/>
        <v>1</v>
      </c>
      <c r="S901" s="50">
        <f t="shared" si="283"/>
        <v>0.01</v>
      </c>
      <c r="T901" s="49">
        <f t="shared" si="284"/>
        <v>107074.6</v>
      </c>
      <c r="U901" s="51">
        <f t="shared" si="285"/>
        <v>0</v>
      </c>
      <c r="V901" s="52">
        <f>IF(0&lt;0.8,0,IF(0&lt;1,Sheet3!L561,1))*IF(G901&lt;3,0.12 - O901,0.01) *U901</f>
        <v>0</v>
      </c>
      <c r="W901" s="52">
        <f t="shared" si="286"/>
        <v>0</v>
      </c>
      <c r="X901" s="53">
        <f t="shared" si="287"/>
        <v>0</v>
      </c>
      <c r="Y901" s="53">
        <f t="shared" si="288"/>
        <v>0</v>
      </c>
      <c r="Z901" s="54">
        <f t="shared" si="278"/>
        <v>0</v>
      </c>
      <c r="AA901" s="54">
        <f t="shared" si="289"/>
        <v>0</v>
      </c>
      <c r="AB901" s="55">
        <f t="shared" si="292"/>
        <v>0</v>
      </c>
      <c r="AC901" s="55">
        <f t="shared" si="290"/>
        <v>0</v>
      </c>
      <c r="AD901" s="56">
        <f t="shared" si="291"/>
        <v>107074.6</v>
      </c>
    </row>
    <row r="902" spans="3:30">
      <c r="C902" s="43" t="s">
        <v>1610</v>
      </c>
      <c r="D902" s="44" t="s">
        <v>1611</v>
      </c>
      <c r="E902" s="44"/>
      <c r="F902" s="45">
        <v>40338.411435185182</v>
      </c>
      <c r="G902" s="46">
        <v>99</v>
      </c>
      <c r="H902" s="47">
        <v>43377</v>
      </c>
      <c r="I902" s="47">
        <v>43397</v>
      </c>
      <c r="J902" s="46">
        <v>2288341</v>
      </c>
      <c r="K902" s="46">
        <v>0</v>
      </c>
      <c r="L902" s="46">
        <v>0</v>
      </c>
      <c r="M902" s="46">
        <f t="shared" si="280"/>
        <v>2288341</v>
      </c>
      <c r="N902" s="46">
        <v>2288341</v>
      </c>
      <c r="O902" s="48">
        <f t="shared" si="281"/>
        <v>0</v>
      </c>
      <c r="P902" s="46">
        <v>0</v>
      </c>
      <c r="Q902" s="46">
        <v>2288341</v>
      </c>
      <c r="R902" s="49">
        <f t="shared" si="282"/>
        <v>1</v>
      </c>
      <c r="S902" s="50">
        <f t="shared" si="283"/>
        <v>0.01</v>
      </c>
      <c r="T902" s="49">
        <f t="shared" si="284"/>
        <v>22883.41</v>
      </c>
      <c r="U902" s="51">
        <f t="shared" si="285"/>
        <v>0</v>
      </c>
      <c r="V902" s="52">
        <f>IF(0&lt;0.8,0,IF(0&lt;1,Sheet3!L561,1))*IF(G902&lt;3,0.12 - O902,0.01) *U902</f>
        <v>0</v>
      </c>
      <c r="W902" s="52">
        <f t="shared" si="286"/>
        <v>0</v>
      </c>
      <c r="X902" s="53">
        <f t="shared" si="287"/>
        <v>0</v>
      </c>
      <c r="Y902" s="53">
        <f t="shared" si="288"/>
        <v>0</v>
      </c>
      <c r="Z902" s="54">
        <f t="shared" si="278"/>
        <v>0</v>
      </c>
      <c r="AA902" s="54">
        <f t="shared" si="289"/>
        <v>0</v>
      </c>
      <c r="AB902" s="55">
        <f t="shared" si="292"/>
        <v>0</v>
      </c>
      <c r="AC902" s="55">
        <f t="shared" si="290"/>
        <v>0</v>
      </c>
      <c r="AD902" s="56">
        <f t="shared" si="291"/>
        <v>22883.41</v>
      </c>
    </row>
    <row r="903" spans="3:30">
      <c r="C903" s="43" t="s">
        <v>1612</v>
      </c>
      <c r="D903" s="44" t="s">
        <v>1613</v>
      </c>
      <c r="E903" s="44"/>
      <c r="F903" s="45">
        <v>40338.413587962961</v>
      </c>
      <c r="G903" s="46">
        <v>99</v>
      </c>
      <c r="H903" s="47">
        <v>43390</v>
      </c>
      <c r="I903" s="47">
        <v>43446</v>
      </c>
      <c r="J903" s="46">
        <v>4466146</v>
      </c>
      <c r="K903" s="46">
        <v>113625</v>
      </c>
      <c r="L903" s="46">
        <v>0</v>
      </c>
      <c r="M903" s="46">
        <f t="shared" si="280"/>
        <v>4352521</v>
      </c>
      <c r="N903" s="46">
        <v>4466146</v>
      </c>
      <c r="O903" s="48">
        <f t="shared" si="281"/>
        <v>2.5441398467493048E-2</v>
      </c>
      <c r="P903" s="46">
        <v>0</v>
      </c>
      <c r="Q903" s="46">
        <v>4580678</v>
      </c>
      <c r="R903" s="49">
        <f t="shared" si="282"/>
        <v>1</v>
      </c>
      <c r="S903" s="50">
        <f t="shared" si="283"/>
        <v>0.01</v>
      </c>
      <c r="T903" s="49">
        <f t="shared" si="284"/>
        <v>43525.21</v>
      </c>
      <c r="U903" s="51">
        <f t="shared" si="285"/>
        <v>0</v>
      </c>
      <c r="V903" s="52">
        <f>IF(0&lt;0.8,0,IF(0&lt;1,Sheet3!L561,1))*IF(G903&lt;3,0.12 - O903,0.01) *U903</f>
        <v>0</v>
      </c>
      <c r="W903" s="52">
        <f t="shared" si="286"/>
        <v>0</v>
      </c>
      <c r="X903" s="53">
        <f t="shared" si="287"/>
        <v>0</v>
      </c>
      <c r="Y903" s="53">
        <f t="shared" si="288"/>
        <v>0</v>
      </c>
      <c r="Z903" s="54">
        <f t="shared" si="278"/>
        <v>0</v>
      </c>
      <c r="AA903" s="54">
        <f t="shared" si="289"/>
        <v>0</v>
      </c>
      <c r="AB903" s="55">
        <f t="shared" si="292"/>
        <v>0</v>
      </c>
      <c r="AC903" s="55">
        <f t="shared" si="290"/>
        <v>0</v>
      </c>
      <c r="AD903" s="56">
        <f t="shared" si="291"/>
        <v>43525.21</v>
      </c>
    </row>
    <row r="904" spans="3:30">
      <c r="C904" s="43" t="s">
        <v>1614</v>
      </c>
      <c r="D904" s="44" t="s">
        <v>1615</v>
      </c>
      <c r="E904" s="44"/>
      <c r="F904" s="45">
        <v>40338.436481481476</v>
      </c>
      <c r="G904" s="46">
        <v>99</v>
      </c>
      <c r="H904" s="47">
        <v>43377</v>
      </c>
      <c r="I904" s="47">
        <v>43438</v>
      </c>
      <c r="J904" s="46">
        <v>6465520</v>
      </c>
      <c r="K904" s="46">
        <v>0</v>
      </c>
      <c r="L904" s="46">
        <v>0</v>
      </c>
      <c r="M904" s="46">
        <f t="shared" si="280"/>
        <v>6465520</v>
      </c>
      <c r="N904" s="46">
        <v>8518100</v>
      </c>
      <c r="O904" s="48">
        <f t="shared" si="281"/>
        <v>0.24096688228595575</v>
      </c>
      <c r="P904" s="46">
        <v>0</v>
      </c>
      <c r="Q904" s="46">
        <v>6465520</v>
      </c>
      <c r="R904" s="49">
        <f t="shared" si="282"/>
        <v>1</v>
      </c>
      <c r="S904" s="50">
        <f t="shared" si="283"/>
        <v>0.01</v>
      </c>
      <c r="T904" s="49">
        <f t="shared" si="284"/>
        <v>64655.200000000004</v>
      </c>
      <c r="U904" s="51">
        <f t="shared" si="285"/>
        <v>0</v>
      </c>
      <c r="V904" s="52">
        <f>IF(0&lt;0.8,0,IF(0&lt;1,Sheet3!L561,1))*IF(G904&lt;3,0.12 - O904,0.01) *U904</f>
        <v>0</v>
      </c>
      <c r="W904" s="52">
        <f t="shared" si="286"/>
        <v>0</v>
      </c>
      <c r="X904" s="53">
        <f t="shared" si="287"/>
        <v>0</v>
      </c>
      <c r="Y904" s="53">
        <f t="shared" si="288"/>
        <v>0</v>
      </c>
      <c r="Z904" s="54">
        <f t="shared" si="278"/>
        <v>0</v>
      </c>
      <c r="AA904" s="54">
        <f t="shared" si="289"/>
        <v>0</v>
      </c>
      <c r="AB904" s="55">
        <f t="shared" si="292"/>
        <v>0</v>
      </c>
      <c r="AC904" s="55">
        <f t="shared" si="290"/>
        <v>0</v>
      </c>
      <c r="AD904" s="56">
        <f t="shared" si="291"/>
        <v>64655.200000000004</v>
      </c>
    </row>
    <row r="905" spans="3:30">
      <c r="C905" s="43" t="s">
        <v>1616</v>
      </c>
      <c r="D905" s="44" t="s">
        <v>1617</v>
      </c>
      <c r="E905" s="44"/>
      <c r="F905" s="45">
        <v>40343.402650462958</v>
      </c>
      <c r="G905" s="46">
        <v>99</v>
      </c>
      <c r="H905" s="47">
        <v>43381</v>
      </c>
      <c r="I905" s="47">
        <v>43397</v>
      </c>
      <c r="J905" s="46">
        <v>2886618</v>
      </c>
      <c r="K905" s="46">
        <v>0</v>
      </c>
      <c r="L905" s="46">
        <v>0</v>
      </c>
      <c r="M905" s="46">
        <f t="shared" si="280"/>
        <v>2886618</v>
      </c>
      <c r="N905" s="46">
        <v>2886618</v>
      </c>
      <c r="O905" s="48">
        <f t="shared" si="281"/>
        <v>0</v>
      </c>
      <c r="P905" s="46">
        <v>0</v>
      </c>
      <c r="Q905" s="46">
        <v>2886618</v>
      </c>
      <c r="R905" s="49">
        <f t="shared" si="282"/>
        <v>1</v>
      </c>
      <c r="S905" s="50">
        <f t="shared" si="283"/>
        <v>0.01</v>
      </c>
      <c r="T905" s="49">
        <f t="shared" si="284"/>
        <v>28866.18</v>
      </c>
      <c r="U905" s="51">
        <f t="shared" si="285"/>
        <v>0</v>
      </c>
      <c r="V905" s="52">
        <f>IF(0&lt;0.8,0,IF(0&lt;1,Sheet3!L561,1))*IF(G905&lt;3,0.12 - O905,0.01) *U905</f>
        <v>0</v>
      </c>
      <c r="W905" s="52">
        <f t="shared" si="286"/>
        <v>0</v>
      </c>
      <c r="X905" s="53">
        <f t="shared" si="287"/>
        <v>0</v>
      </c>
      <c r="Y905" s="53">
        <f t="shared" si="288"/>
        <v>0</v>
      </c>
      <c r="Z905" s="54">
        <f t="shared" si="278"/>
        <v>0</v>
      </c>
      <c r="AA905" s="54">
        <f t="shared" si="289"/>
        <v>0</v>
      </c>
      <c r="AB905" s="55">
        <f t="shared" si="292"/>
        <v>0</v>
      </c>
      <c r="AC905" s="55">
        <f t="shared" si="290"/>
        <v>0</v>
      </c>
      <c r="AD905" s="56">
        <f t="shared" si="291"/>
        <v>28866.18</v>
      </c>
    </row>
    <row r="906" spans="3:30">
      <c r="C906" s="43" t="s">
        <v>1618</v>
      </c>
      <c r="D906" s="44" t="s">
        <v>1619</v>
      </c>
      <c r="E906" s="44"/>
      <c r="F906" s="45">
        <v>40345.413842592592</v>
      </c>
      <c r="G906" s="46">
        <v>99</v>
      </c>
      <c r="H906" s="47">
        <v>43375</v>
      </c>
      <c r="I906" s="47">
        <v>43393</v>
      </c>
      <c r="J906" s="46">
        <v>2645501</v>
      </c>
      <c r="K906" s="46">
        <v>0</v>
      </c>
      <c r="L906" s="46">
        <v>0</v>
      </c>
      <c r="M906" s="46">
        <f t="shared" si="280"/>
        <v>2645501</v>
      </c>
      <c r="N906" s="46">
        <v>2645501</v>
      </c>
      <c r="O906" s="48">
        <f t="shared" si="281"/>
        <v>0</v>
      </c>
      <c r="P906" s="46">
        <v>0</v>
      </c>
      <c r="Q906" s="46">
        <v>2645501</v>
      </c>
      <c r="R906" s="49">
        <f t="shared" si="282"/>
        <v>1</v>
      </c>
      <c r="S906" s="50">
        <f t="shared" si="283"/>
        <v>0.01</v>
      </c>
      <c r="T906" s="49">
        <f t="shared" si="284"/>
        <v>26455.010000000002</v>
      </c>
      <c r="U906" s="51">
        <f t="shared" si="285"/>
        <v>0</v>
      </c>
      <c r="V906" s="52">
        <f>IF(0&lt;0.8,0,IF(0&lt;1,Sheet3!L561,1))*IF(G906&lt;3,0.12 - O906,0.01) *U906</f>
        <v>0</v>
      </c>
      <c r="W906" s="52">
        <f t="shared" si="286"/>
        <v>0</v>
      </c>
      <c r="X906" s="53">
        <f t="shared" si="287"/>
        <v>0</v>
      </c>
      <c r="Y906" s="53">
        <f t="shared" si="288"/>
        <v>0</v>
      </c>
      <c r="Z906" s="54">
        <f t="shared" si="278"/>
        <v>0</v>
      </c>
      <c r="AA906" s="54">
        <f t="shared" si="289"/>
        <v>0</v>
      </c>
      <c r="AB906" s="55">
        <f t="shared" si="292"/>
        <v>0</v>
      </c>
      <c r="AC906" s="55">
        <f t="shared" si="290"/>
        <v>0</v>
      </c>
      <c r="AD906" s="56">
        <f t="shared" si="291"/>
        <v>26455.010000000002</v>
      </c>
    </row>
    <row r="907" spans="3:30">
      <c r="C907" s="43" t="s">
        <v>1620</v>
      </c>
      <c r="D907" s="44" t="s">
        <v>1621</v>
      </c>
      <c r="E907" s="44"/>
      <c r="F907" s="45">
        <v>40360.725046296291</v>
      </c>
      <c r="G907" s="46">
        <v>98</v>
      </c>
      <c r="H907" s="47">
        <v>43379</v>
      </c>
      <c r="I907" s="47">
        <v>43424</v>
      </c>
      <c r="J907" s="46">
        <v>2166708</v>
      </c>
      <c r="K907" s="46">
        <v>0</v>
      </c>
      <c r="L907" s="46">
        <v>0</v>
      </c>
      <c r="M907" s="46">
        <f t="shared" si="280"/>
        <v>2166708</v>
      </c>
      <c r="N907" s="46">
        <v>1369730</v>
      </c>
      <c r="O907" s="48">
        <f t="shared" si="281"/>
        <v>0</v>
      </c>
      <c r="P907" s="46">
        <v>0</v>
      </c>
      <c r="Q907" s="46">
        <v>2166708</v>
      </c>
      <c r="R907" s="49">
        <f t="shared" si="282"/>
        <v>1</v>
      </c>
      <c r="S907" s="50">
        <f t="shared" si="283"/>
        <v>0.01</v>
      </c>
      <c r="T907" s="49">
        <f t="shared" si="284"/>
        <v>21667.08</v>
      </c>
      <c r="U907" s="51">
        <f t="shared" si="285"/>
        <v>0</v>
      </c>
      <c r="V907" s="52">
        <f>IF(0&lt;0.8,0,IF(0&lt;1,Sheet3!L561,1))*IF(G907&lt;3,0.12 - O907,0.01) *U907</f>
        <v>0</v>
      </c>
      <c r="W907" s="52">
        <f t="shared" si="286"/>
        <v>0</v>
      </c>
      <c r="X907" s="53">
        <f t="shared" si="287"/>
        <v>0</v>
      </c>
      <c r="Y907" s="53">
        <f t="shared" si="288"/>
        <v>0</v>
      </c>
      <c r="Z907" s="54">
        <f t="shared" si="278"/>
        <v>0</v>
      </c>
      <c r="AA907" s="54">
        <f t="shared" si="289"/>
        <v>0</v>
      </c>
      <c r="AB907" s="55">
        <f>IF(R907=0,796977,0)</f>
        <v>0</v>
      </c>
      <c r="AC907" s="55">
        <f t="shared" si="290"/>
        <v>0</v>
      </c>
      <c r="AD907" s="56">
        <f t="shared" si="291"/>
        <v>21667.08</v>
      </c>
    </row>
    <row r="908" spans="3:30">
      <c r="C908" s="43" t="s">
        <v>1622</v>
      </c>
      <c r="D908" s="44" t="s">
        <v>1623</v>
      </c>
      <c r="E908" s="44"/>
      <c r="F908" s="45">
        <v>40373.639247685183</v>
      </c>
      <c r="G908" s="46">
        <v>98</v>
      </c>
      <c r="H908" s="47">
        <v>43376</v>
      </c>
      <c r="I908" s="47">
        <v>43390</v>
      </c>
      <c r="J908" s="46">
        <v>8977166</v>
      </c>
      <c r="K908" s="46">
        <v>0</v>
      </c>
      <c r="L908" s="46">
        <v>0</v>
      </c>
      <c r="M908" s="46">
        <f t="shared" si="280"/>
        <v>8977166</v>
      </c>
      <c r="N908" s="46">
        <v>17358367</v>
      </c>
      <c r="O908" s="48">
        <f t="shared" si="281"/>
        <v>0.48283349464843095</v>
      </c>
      <c r="P908" s="46">
        <v>0</v>
      </c>
      <c r="Q908" s="46">
        <v>12037599</v>
      </c>
      <c r="R908" s="49">
        <f t="shared" si="282"/>
        <v>1</v>
      </c>
      <c r="S908" s="50">
        <f t="shared" si="283"/>
        <v>0.01</v>
      </c>
      <c r="T908" s="49">
        <f t="shared" si="284"/>
        <v>89771.66</v>
      </c>
      <c r="U908" s="51">
        <f t="shared" si="285"/>
        <v>0</v>
      </c>
      <c r="V908" s="52">
        <f>IF(0&lt;0.8,0,IF(0&lt;1,Sheet3!L561,1))*IF(G908&lt;3,0.12 - O908,0.01) *U908</f>
        <v>0</v>
      </c>
      <c r="W908" s="52">
        <f t="shared" si="286"/>
        <v>0</v>
      </c>
      <c r="X908" s="53">
        <f t="shared" si="287"/>
        <v>0</v>
      </c>
      <c r="Y908" s="53">
        <f t="shared" si="288"/>
        <v>0</v>
      </c>
      <c r="Z908" s="54">
        <f t="shared" si="278"/>
        <v>0</v>
      </c>
      <c r="AA908" s="54">
        <f t="shared" si="289"/>
        <v>0</v>
      </c>
      <c r="AB908" s="55">
        <f>IF(R908=0,0,0)</f>
        <v>0</v>
      </c>
      <c r="AC908" s="55">
        <f t="shared" si="290"/>
        <v>0</v>
      </c>
      <c r="AD908" s="56">
        <f t="shared" si="291"/>
        <v>89771.66</v>
      </c>
    </row>
    <row r="909" spans="3:30">
      <c r="C909" s="43" t="s">
        <v>1624</v>
      </c>
      <c r="D909" s="44" t="s">
        <v>1625</v>
      </c>
      <c r="E909" s="44"/>
      <c r="F909" s="45">
        <v>40394.650613425925</v>
      </c>
      <c r="G909" s="46">
        <v>97</v>
      </c>
      <c r="H909" s="47">
        <v>43379</v>
      </c>
      <c r="I909" s="47">
        <v>43406</v>
      </c>
      <c r="J909" s="46">
        <v>16025194</v>
      </c>
      <c r="K909" s="46">
        <v>0</v>
      </c>
      <c r="L909" s="46">
        <v>0</v>
      </c>
      <c r="M909" s="46">
        <f t="shared" si="280"/>
        <v>16025194</v>
      </c>
      <c r="N909" s="46">
        <v>19351326</v>
      </c>
      <c r="O909" s="48">
        <f t="shared" si="281"/>
        <v>0.17188134807919619</v>
      </c>
      <c r="P909" s="46">
        <v>0</v>
      </c>
      <c r="Q909" s="46">
        <v>16025194</v>
      </c>
      <c r="R909" s="49">
        <f t="shared" si="282"/>
        <v>1</v>
      </c>
      <c r="S909" s="50">
        <f t="shared" si="283"/>
        <v>0.01</v>
      </c>
      <c r="T909" s="49">
        <f t="shared" si="284"/>
        <v>160251.94</v>
      </c>
      <c r="U909" s="51">
        <f t="shared" si="285"/>
        <v>0</v>
      </c>
      <c r="V909" s="52">
        <f>IF(0&lt;0.8,0,IF(0&lt;1,Sheet3!L561,1))*IF(G909&lt;3,0.12 - O909,0.01) *U909</f>
        <v>0</v>
      </c>
      <c r="W909" s="52">
        <f t="shared" si="286"/>
        <v>0</v>
      </c>
      <c r="X909" s="53">
        <f t="shared" si="287"/>
        <v>0</v>
      </c>
      <c r="Y909" s="53">
        <f t="shared" si="288"/>
        <v>0</v>
      </c>
      <c r="Z909" s="54">
        <f t="shared" si="278"/>
        <v>0</v>
      </c>
      <c r="AA909" s="54">
        <f t="shared" si="289"/>
        <v>0</v>
      </c>
      <c r="AB909" s="55">
        <f>IF(R909=0,0,0)</f>
        <v>0</v>
      </c>
      <c r="AC909" s="55">
        <f t="shared" si="290"/>
        <v>0</v>
      </c>
      <c r="AD909" s="56">
        <f t="shared" si="291"/>
        <v>160251.94</v>
      </c>
    </row>
    <row r="910" spans="3:30">
      <c r="C910" s="43" t="s">
        <v>1626</v>
      </c>
      <c r="D910" s="44" t="s">
        <v>1627</v>
      </c>
      <c r="E910" s="44"/>
      <c r="F910" s="45">
        <v>40399.417731481481</v>
      </c>
      <c r="G910" s="46">
        <v>97</v>
      </c>
      <c r="H910" s="47">
        <v>43375</v>
      </c>
      <c r="I910" s="47">
        <v>43402</v>
      </c>
      <c r="J910" s="46">
        <v>7772114</v>
      </c>
      <c r="K910" s="46">
        <v>0</v>
      </c>
      <c r="L910" s="46">
        <v>0</v>
      </c>
      <c r="M910" s="46">
        <f t="shared" si="280"/>
        <v>7772114</v>
      </c>
      <c r="N910" s="46">
        <v>6161859</v>
      </c>
      <c r="O910" s="48">
        <f t="shared" si="281"/>
        <v>0</v>
      </c>
      <c r="P910" s="46">
        <v>0</v>
      </c>
      <c r="Q910" s="46">
        <v>7772114</v>
      </c>
      <c r="R910" s="49">
        <f t="shared" si="282"/>
        <v>1</v>
      </c>
      <c r="S910" s="50">
        <f t="shared" si="283"/>
        <v>0.01</v>
      </c>
      <c r="T910" s="49">
        <f t="shared" si="284"/>
        <v>77721.14</v>
      </c>
      <c r="U910" s="51">
        <f t="shared" si="285"/>
        <v>0</v>
      </c>
      <c r="V910" s="52">
        <f>IF(0&lt;0.8,0,IF(0&lt;1,Sheet3!L561,1))*IF(G910&lt;3,0.12 - O910,0.01) *U910</f>
        <v>0</v>
      </c>
      <c r="W910" s="52">
        <f t="shared" si="286"/>
        <v>0</v>
      </c>
      <c r="X910" s="53">
        <f t="shared" si="287"/>
        <v>0</v>
      </c>
      <c r="Y910" s="53">
        <f t="shared" si="288"/>
        <v>0</v>
      </c>
      <c r="Z910" s="54">
        <f t="shared" si="278"/>
        <v>0</v>
      </c>
      <c r="AA910" s="54">
        <f t="shared" si="289"/>
        <v>0</v>
      </c>
      <c r="AB910" s="55">
        <f>IF(R910=0,1610253,0)</f>
        <v>0</v>
      </c>
      <c r="AC910" s="55">
        <f t="shared" si="290"/>
        <v>0</v>
      </c>
      <c r="AD910" s="56">
        <f t="shared" si="291"/>
        <v>77721.14</v>
      </c>
    </row>
    <row r="911" spans="3:30">
      <c r="C911" s="43" t="s">
        <v>1628</v>
      </c>
      <c r="D911" s="44" t="s">
        <v>1629</v>
      </c>
      <c r="E911" s="44"/>
      <c r="F911" s="45">
        <v>40404.40824074074</v>
      </c>
      <c r="G911" s="46">
        <v>97</v>
      </c>
      <c r="H911" s="47">
        <v>43368</v>
      </c>
      <c r="I911" s="47">
        <v>43407</v>
      </c>
      <c r="J911" s="46">
        <v>23124012</v>
      </c>
      <c r="K911" s="46">
        <v>0</v>
      </c>
      <c r="L911" s="46">
        <v>0</v>
      </c>
      <c r="M911" s="46">
        <f t="shared" si="280"/>
        <v>23124012</v>
      </c>
      <c r="N911" s="46">
        <v>27990110</v>
      </c>
      <c r="O911" s="48">
        <f t="shared" si="281"/>
        <v>0.17385062080856417</v>
      </c>
      <c r="P911" s="46">
        <v>0</v>
      </c>
      <c r="Q911" s="46">
        <v>23124012</v>
      </c>
      <c r="R911" s="49">
        <f t="shared" si="282"/>
        <v>1</v>
      </c>
      <c r="S911" s="50">
        <f t="shared" si="283"/>
        <v>0.01</v>
      </c>
      <c r="T911" s="49">
        <f t="shared" si="284"/>
        <v>231240.12</v>
      </c>
      <c r="U911" s="51">
        <f t="shared" si="285"/>
        <v>0</v>
      </c>
      <c r="V911" s="52">
        <f>IF(0&lt;0.8,0,IF(0&lt;1,Sheet3!L561,1))*IF(G911&lt;3,0.12 - O911,0.01) *U911</f>
        <v>0</v>
      </c>
      <c r="W911" s="52">
        <f t="shared" si="286"/>
        <v>0</v>
      </c>
      <c r="X911" s="53">
        <f t="shared" si="287"/>
        <v>0</v>
      </c>
      <c r="Y911" s="53">
        <f t="shared" si="288"/>
        <v>0</v>
      </c>
      <c r="Z911" s="54">
        <f t="shared" si="278"/>
        <v>0</v>
      </c>
      <c r="AA911" s="54">
        <f t="shared" si="289"/>
        <v>0</v>
      </c>
      <c r="AB911" s="55">
        <f t="shared" ref="AB911:AB935" si="293">IF(R911=0,0,0)</f>
        <v>0</v>
      </c>
      <c r="AC911" s="55">
        <f t="shared" si="290"/>
        <v>0</v>
      </c>
      <c r="AD911" s="56">
        <f t="shared" si="291"/>
        <v>231240.12</v>
      </c>
    </row>
    <row r="912" spans="3:30">
      <c r="C912" s="43" t="s">
        <v>1630</v>
      </c>
      <c r="D912" s="44" t="s">
        <v>1631</v>
      </c>
      <c r="E912" s="44"/>
      <c r="F912" s="45">
        <v>40443.42690972222</v>
      </c>
      <c r="G912" s="46">
        <v>96</v>
      </c>
      <c r="H912" s="47">
        <v>43372</v>
      </c>
      <c r="I912" s="47">
        <v>43398</v>
      </c>
      <c r="J912" s="46">
        <v>659946</v>
      </c>
      <c r="K912" s="46">
        <v>0</v>
      </c>
      <c r="L912" s="46">
        <v>0</v>
      </c>
      <c r="M912" s="46">
        <f t="shared" si="280"/>
        <v>659946</v>
      </c>
      <c r="N912" s="46">
        <v>659946</v>
      </c>
      <c r="O912" s="48">
        <f t="shared" si="281"/>
        <v>0</v>
      </c>
      <c r="P912" s="46">
        <v>0</v>
      </c>
      <c r="Q912" s="46">
        <v>659946</v>
      </c>
      <c r="R912" s="49">
        <f t="shared" si="282"/>
        <v>1</v>
      </c>
      <c r="S912" s="50">
        <f t="shared" si="283"/>
        <v>0.01</v>
      </c>
      <c r="T912" s="49">
        <f t="shared" si="284"/>
        <v>6599.46</v>
      </c>
      <c r="U912" s="51">
        <f t="shared" si="285"/>
        <v>0</v>
      </c>
      <c r="V912" s="52">
        <f>IF(0&lt;0.8,0,IF(0&lt;1,Sheet3!L561,1))*IF(G912&lt;3,0.12 - O912,0.01) *U912</f>
        <v>0</v>
      </c>
      <c r="W912" s="52">
        <f t="shared" si="286"/>
        <v>0</v>
      </c>
      <c r="X912" s="53">
        <f t="shared" si="287"/>
        <v>0</v>
      </c>
      <c r="Y912" s="53">
        <f t="shared" si="288"/>
        <v>0</v>
      </c>
      <c r="Z912" s="54">
        <f t="shared" si="278"/>
        <v>0</v>
      </c>
      <c r="AA912" s="54">
        <f t="shared" si="289"/>
        <v>0</v>
      </c>
      <c r="AB912" s="55">
        <f t="shared" si="293"/>
        <v>0</v>
      </c>
      <c r="AC912" s="55">
        <f t="shared" si="290"/>
        <v>0</v>
      </c>
      <c r="AD912" s="56">
        <f t="shared" si="291"/>
        <v>6599.46</v>
      </c>
    </row>
    <row r="913" spans="3:30">
      <c r="C913" s="43" t="s">
        <v>1632</v>
      </c>
      <c r="D913" s="44" t="s">
        <v>1633</v>
      </c>
      <c r="E913" s="44"/>
      <c r="F913" s="45">
        <v>40484.649085648147</v>
      </c>
      <c r="G913" s="46">
        <v>94</v>
      </c>
      <c r="H913" s="47">
        <v>43377</v>
      </c>
      <c r="I913" s="47">
        <v>43398</v>
      </c>
      <c r="J913" s="46">
        <v>69744</v>
      </c>
      <c r="K913" s="46">
        <v>0</v>
      </c>
      <c r="L913" s="46">
        <v>0</v>
      </c>
      <c r="M913" s="46">
        <f t="shared" si="280"/>
        <v>69744</v>
      </c>
      <c r="N913" s="46">
        <v>69744</v>
      </c>
      <c r="O913" s="48">
        <f t="shared" si="281"/>
        <v>0</v>
      </c>
      <c r="P913" s="46">
        <v>0</v>
      </c>
      <c r="Q913" s="46">
        <v>69744</v>
      </c>
      <c r="R913" s="49">
        <f t="shared" si="282"/>
        <v>1</v>
      </c>
      <c r="S913" s="50">
        <f t="shared" si="283"/>
        <v>0.01</v>
      </c>
      <c r="T913" s="49">
        <f t="shared" si="284"/>
        <v>697.44</v>
      </c>
      <c r="U913" s="51">
        <f t="shared" si="285"/>
        <v>0</v>
      </c>
      <c r="V913" s="52">
        <f>IF(0&lt;0.8,0,IF(0&lt;1,Sheet3!L561,1))*IF(G913&lt;3,0.12 - O913,0.01) *U913</f>
        <v>0</v>
      </c>
      <c r="W913" s="52">
        <f t="shared" si="286"/>
        <v>0</v>
      </c>
      <c r="X913" s="53">
        <f t="shared" si="287"/>
        <v>0</v>
      </c>
      <c r="Y913" s="53">
        <f t="shared" si="288"/>
        <v>0</v>
      </c>
      <c r="Z913" s="54">
        <f t="shared" si="278"/>
        <v>0</v>
      </c>
      <c r="AA913" s="54">
        <f t="shared" si="289"/>
        <v>0</v>
      </c>
      <c r="AB913" s="55">
        <f t="shared" si="293"/>
        <v>0</v>
      </c>
      <c r="AC913" s="55">
        <f t="shared" si="290"/>
        <v>0</v>
      </c>
      <c r="AD913" s="56">
        <f t="shared" si="291"/>
        <v>697.44</v>
      </c>
    </row>
    <row r="914" spans="3:30">
      <c r="C914" s="43" t="s">
        <v>1634</v>
      </c>
      <c r="D914" s="44" t="s">
        <v>1635</v>
      </c>
      <c r="E914" s="44"/>
      <c r="F914" s="45">
        <v>40513.666979166665</v>
      </c>
      <c r="G914" s="46">
        <v>93</v>
      </c>
      <c r="H914" s="47">
        <v>43381</v>
      </c>
      <c r="I914" s="47">
        <v>43390</v>
      </c>
      <c r="J914" s="46">
        <v>490742</v>
      </c>
      <c r="K914" s="46">
        <v>0</v>
      </c>
      <c r="L914" s="46">
        <v>0</v>
      </c>
      <c r="M914" s="46">
        <f t="shared" si="280"/>
        <v>490742</v>
      </c>
      <c r="N914" s="46">
        <v>490742</v>
      </c>
      <c r="O914" s="48">
        <f t="shared" si="281"/>
        <v>0</v>
      </c>
      <c r="P914" s="46">
        <v>0</v>
      </c>
      <c r="Q914" s="46">
        <v>490742</v>
      </c>
      <c r="R914" s="49">
        <f t="shared" si="282"/>
        <v>1</v>
      </c>
      <c r="S914" s="50">
        <f t="shared" si="283"/>
        <v>0.01</v>
      </c>
      <c r="T914" s="49">
        <f t="shared" si="284"/>
        <v>4907.42</v>
      </c>
      <c r="U914" s="51">
        <f t="shared" si="285"/>
        <v>0</v>
      </c>
      <c r="V914" s="52">
        <f>IF(0&lt;0.8,0,IF(0&lt;1,Sheet3!L561,1))*IF(G914&lt;3,0.12 - O914,0.01) *U914</f>
        <v>0</v>
      </c>
      <c r="W914" s="52">
        <f t="shared" si="286"/>
        <v>0</v>
      </c>
      <c r="X914" s="53">
        <f t="shared" si="287"/>
        <v>0</v>
      </c>
      <c r="Y914" s="53">
        <f t="shared" si="288"/>
        <v>0</v>
      </c>
      <c r="Z914" s="54">
        <f t="shared" si="278"/>
        <v>0</v>
      </c>
      <c r="AA914" s="54">
        <f t="shared" si="289"/>
        <v>0</v>
      </c>
      <c r="AB914" s="55">
        <f t="shared" si="293"/>
        <v>0</v>
      </c>
      <c r="AC914" s="55">
        <f t="shared" si="290"/>
        <v>0</v>
      </c>
      <c r="AD914" s="56">
        <f t="shared" si="291"/>
        <v>4907.42</v>
      </c>
    </row>
    <row r="915" spans="3:30">
      <c r="C915" s="43" t="s">
        <v>1636</v>
      </c>
      <c r="D915" s="44" t="s">
        <v>1637</v>
      </c>
      <c r="E915" s="44"/>
      <c r="F915" s="45">
        <v>40536.467002314814</v>
      </c>
      <c r="G915" s="46">
        <v>93</v>
      </c>
      <c r="H915" s="47">
        <v>43372</v>
      </c>
      <c r="I915" s="47">
        <v>43434</v>
      </c>
      <c r="J915" s="46">
        <v>20768</v>
      </c>
      <c r="K915" s="46">
        <v>0</v>
      </c>
      <c r="L915" s="46">
        <v>0</v>
      </c>
      <c r="M915" s="46">
        <f t="shared" si="280"/>
        <v>20768</v>
      </c>
      <c r="N915" s="46">
        <v>26620</v>
      </c>
      <c r="O915" s="48">
        <f t="shared" si="281"/>
        <v>0.21983471074380168</v>
      </c>
      <c r="P915" s="46">
        <v>0</v>
      </c>
      <c r="Q915" s="46">
        <v>20768</v>
      </c>
      <c r="R915" s="49">
        <f t="shared" si="282"/>
        <v>1</v>
      </c>
      <c r="S915" s="50">
        <f t="shared" si="283"/>
        <v>0.01</v>
      </c>
      <c r="T915" s="49">
        <f t="shared" si="284"/>
        <v>207.68</v>
      </c>
      <c r="U915" s="51">
        <f t="shared" si="285"/>
        <v>0</v>
      </c>
      <c r="V915" s="52">
        <f>IF(0&lt;0.8,0,IF(0&lt;1,Sheet3!L561,1))*IF(G915&lt;3,0.12 - O915,0.01) *U915</f>
        <v>0</v>
      </c>
      <c r="W915" s="52">
        <f t="shared" si="286"/>
        <v>0</v>
      </c>
      <c r="X915" s="53">
        <f t="shared" si="287"/>
        <v>0</v>
      </c>
      <c r="Y915" s="53">
        <f t="shared" si="288"/>
        <v>0</v>
      </c>
      <c r="Z915" s="54">
        <f t="shared" si="278"/>
        <v>0</v>
      </c>
      <c r="AA915" s="54">
        <f t="shared" si="289"/>
        <v>0</v>
      </c>
      <c r="AB915" s="55">
        <f t="shared" si="293"/>
        <v>0</v>
      </c>
      <c r="AC915" s="55">
        <f t="shared" si="290"/>
        <v>0</v>
      </c>
      <c r="AD915" s="56">
        <f t="shared" si="291"/>
        <v>207.68</v>
      </c>
    </row>
    <row r="916" spans="3:30">
      <c r="C916" s="43" t="s">
        <v>1638</v>
      </c>
      <c r="D916" s="44" t="s">
        <v>1639</v>
      </c>
      <c r="E916" s="44"/>
      <c r="F916" s="45">
        <v>40554.455983796295</v>
      </c>
      <c r="G916" s="46">
        <v>92</v>
      </c>
      <c r="H916" s="47">
        <v>43379</v>
      </c>
      <c r="I916" s="47">
        <v>43441</v>
      </c>
      <c r="J916" s="46">
        <v>427614</v>
      </c>
      <c r="K916" s="46">
        <v>0</v>
      </c>
      <c r="L916" s="46">
        <v>0</v>
      </c>
      <c r="M916" s="46">
        <f t="shared" si="280"/>
        <v>427614</v>
      </c>
      <c r="N916" s="46">
        <v>427614</v>
      </c>
      <c r="O916" s="48">
        <f t="shared" si="281"/>
        <v>0</v>
      </c>
      <c r="P916" s="46">
        <v>0</v>
      </c>
      <c r="Q916" s="46">
        <v>427614</v>
      </c>
      <c r="R916" s="49">
        <f t="shared" si="282"/>
        <v>1</v>
      </c>
      <c r="S916" s="50">
        <f t="shared" si="283"/>
        <v>0.01</v>
      </c>
      <c r="T916" s="49">
        <f t="shared" si="284"/>
        <v>4276.1400000000003</v>
      </c>
      <c r="U916" s="51">
        <f t="shared" si="285"/>
        <v>0</v>
      </c>
      <c r="V916" s="52">
        <f>IF(0&lt;0.8,0,IF(0&lt;1,Sheet3!L561,1))*IF(G916&lt;3,0.12 - O916,0.01) *U916</f>
        <v>0</v>
      </c>
      <c r="W916" s="52">
        <f t="shared" si="286"/>
        <v>0</v>
      </c>
      <c r="X916" s="53">
        <f t="shared" si="287"/>
        <v>0</v>
      </c>
      <c r="Y916" s="53">
        <f t="shared" si="288"/>
        <v>0</v>
      </c>
      <c r="Z916" s="54">
        <f t="shared" si="278"/>
        <v>0</v>
      </c>
      <c r="AA916" s="54">
        <f t="shared" si="289"/>
        <v>0</v>
      </c>
      <c r="AB916" s="55">
        <f t="shared" si="293"/>
        <v>0</v>
      </c>
      <c r="AC916" s="55">
        <f t="shared" si="290"/>
        <v>0</v>
      </c>
      <c r="AD916" s="56">
        <f t="shared" si="291"/>
        <v>4276.1400000000003</v>
      </c>
    </row>
    <row r="917" spans="3:30">
      <c r="C917" s="43" t="s">
        <v>1640</v>
      </c>
      <c r="D917" s="44" t="s">
        <v>1641</v>
      </c>
      <c r="E917" s="44"/>
      <c r="F917" s="45">
        <v>40554.692812499998</v>
      </c>
      <c r="G917" s="46">
        <v>92</v>
      </c>
      <c r="H917" s="47">
        <v>43377</v>
      </c>
      <c r="I917" s="47">
        <v>43384</v>
      </c>
      <c r="J917" s="46">
        <v>6418110</v>
      </c>
      <c r="K917" s="46">
        <v>782015</v>
      </c>
      <c r="L917" s="46">
        <v>0</v>
      </c>
      <c r="M917" s="46">
        <f t="shared" si="280"/>
        <v>5636095</v>
      </c>
      <c r="N917" s="46">
        <v>6418110</v>
      </c>
      <c r="O917" s="48">
        <f t="shared" si="281"/>
        <v>0.12184506030591558</v>
      </c>
      <c r="P917" s="46">
        <v>0</v>
      </c>
      <c r="Q917" s="46">
        <v>6418110</v>
      </c>
      <c r="R917" s="49">
        <f t="shared" si="282"/>
        <v>1</v>
      </c>
      <c r="S917" s="50">
        <f t="shared" si="283"/>
        <v>0.01</v>
      </c>
      <c r="T917" s="49">
        <f t="shared" si="284"/>
        <v>56360.950000000004</v>
      </c>
      <c r="U917" s="51">
        <f t="shared" si="285"/>
        <v>0</v>
      </c>
      <c r="V917" s="52">
        <f>IF(0&lt;0.8,0,IF(0&lt;1,Sheet3!L561,1))*IF(G917&lt;3,0.12 - O917,0.01) *U917</f>
        <v>0</v>
      </c>
      <c r="W917" s="52">
        <f t="shared" si="286"/>
        <v>0</v>
      </c>
      <c r="X917" s="53">
        <f t="shared" si="287"/>
        <v>0</v>
      </c>
      <c r="Y917" s="53">
        <f t="shared" si="288"/>
        <v>0</v>
      </c>
      <c r="Z917" s="54">
        <f t="shared" si="278"/>
        <v>0</v>
      </c>
      <c r="AA917" s="54">
        <f t="shared" si="289"/>
        <v>0</v>
      </c>
      <c r="AB917" s="55">
        <f t="shared" si="293"/>
        <v>0</v>
      </c>
      <c r="AC917" s="55">
        <f t="shared" si="290"/>
        <v>0</v>
      </c>
      <c r="AD917" s="56">
        <f t="shared" si="291"/>
        <v>56360.950000000004</v>
      </c>
    </row>
    <row r="918" spans="3:30">
      <c r="C918" s="43" t="s">
        <v>1642</v>
      </c>
      <c r="D918" s="44" t="s">
        <v>1643</v>
      </c>
      <c r="E918" s="44"/>
      <c r="F918" s="45">
        <v>40567.640138888884</v>
      </c>
      <c r="G918" s="46">
        <v>92</v>
      </c>
      <c r="H918" s="47">
        <v>43377</v>
      </c>
      <c r="I918" s="47">
        <v>43390</v>
      </c>
      <c r="J918" s="46">
        <v>340258</v>
      </c>
      <c r="K918" s="46">
        <v>0</v>
      </c>
      <c r="L918" s="46">
        <v>0</v>
      </c>
      <c r="M918" s="46">
        <f t="shared" si="280"/>
        <v>340258</v>
      </c>
      <c r="N918" s="46">
        <v>340258</v>
      </c>
      <c r="O918" s="48">
        <f t="shared" si="281"/>
        <v>0</v>
      </c>
      <c r="P918" s="46">
        <v>0</v>
      </c>
      <c r="Q918" s="46">
        <v>340258</v>
      </c>
      <c r="R918" s="49">
        <f t="shared" si="282"/>
        <v>1</v>
      </c>
      <c r="S918" s="50">
        <f t="shared" si="283"/>
        <v>0.01</v>
      </c>
      <c r="T918" s="49">
        <f t="shared" si="284"/>
        <v>3402.58</v>
      </c>
      <c r="U918" s="51">
        <f t="shared" si="285"/>
        <v>0</v>
      </c>
      <c r="V918" s="52">
        <f>IF(0&lt;0.8,0,IF(0&lt;1,Sheet3!L561,1))*IF(G918&lt;3,0.12 - O918,0.01) *U918</f>
        <v>0</v>
      </c>
      <c r="W918" s="52">
        <f t="shared" si="286"/>
        <v>0</v>
      </c>
      <c r="X918" s="53">
        <f t="shared" si="287"/>
        <v>0</v>
      </c>
      <c r="Y918" s="53">
        <f t="shared" si="288"/>
        <v>0</v>
      </c>
      <c r="Z918" s="54">
        <f t="shared" si="278"/>
        <v>0</v>
      </c>
      <c r="AA918" s="54">
        <f t="shared" si="289"/>
        <v>0</v>
      </c>
      <c r="AB918" s="55">
        <f t="shared" si="293"/>
        <v>0</v>
      </c>
      <c r="AC918" s="55">
        <f t="shared" si="290"/>
        <v>0</v>
      </c>
      <c r="AD918" s="56">
        <f t="shared" si="291"/>
        <v>3402.58</v>
      </c>
    </row>
    <row r="919" spans="3:30">
      <c r="C919" s="43" t="s">
        <v>1644</v>
      </c>
      <c r="D919" s="44" t="s">
        <v>1645</v>
      </c>
      <c r="E919" s="44"/>
      <c r="F919" s="45">
        <v>40592.632789351854</v>
      </c>
      <c r="G919" s="46">
        <v>91</v>
      </c>
      <c r="H919" s="47">
        <v>43375</v>
      </c>
      <c r="I919" s="47">
        <v>43409</v>
      </c>
      <c r="J919" s="46">
        <v>1537171</v>
      </c>
      <c r="K919" s="46">
        <v>0</v>
      </c>
      <c r="L919" s="46">
        <v>0</v>
      </c>
      <c r="M919" s="46">
        <f t="shared" si="280"/>
        <v>1537171</v>
      </c>
      <c r="N919" s="46">
        <v>1537171</v>
      </c>
      <c r="O919" s="48">
        <f t="shared" si="281"/>
        <v>0</v>
      </c>
      <c r="P919" s="46">
        <v>0</v>
      </c>
      <c r="Q919" s="46">
        <v>1537171</v>
      </c>
      <c r="R919" s="49">
        <f t="shared" si="282"/>
        <v>1</v>
      </c>
      <c r="S919" s="50">
        <f t="shared" si="283"/>
        <v>0.01</v>
      </c>
      <c r="T919" s="49">
        <f t="shared" si="284"/>
        <v>15371.710000000001</v>
      </c>
      <c r="U919" s="51">
        <f t="shared" si="285"/>
        <v>0</v>
      </c>
      <c r="V919" s="52">
        <f>IF(0&lt;0.8,0,IF(0&lt;1,Sheet3!L561,1))*IF(G919&lt;3,0.12 - O919,0.01) *U919</f>
        <v>0</v>
      </c>
      <c r="W919" s="52">
        <f t="shared" si="286"/>
        <v>0</v>
      </c>
      <c r="X919" s="53">
        <f t="shared" si="287"/>
        <v>0</v>
      </c>
      <c r="Y919" s="53">
        <f t="shared" si="288"/>
        <v>0</v>
      </c>
      <c r="Z919" s="54">
        <f t="shared" si="278"/>
        <v>0</v>
      </c>
      <c r="AA919" s="54">
        <f t="shared" si="289"/>
        <v>0</v>
      </c>
      <c r="AB919" s="55">
        <f t="shared" si="293"/>
        <v>0</v>
      </c>
      <c r="AC919" s="55">
        <f t="shared" si="290"/>
        <v>0</v>
      </c>
      <c r="AD919" s="56">
        <f t="shared" si="291"/>
        <v>15371.710000000001</v>
      </c>
    </row>
    <row r="920" spans="3:30">
      <c r="C920" s="43" t="s">
        <v>1646</v>
      </c>
      <c r="D920" s="44" t="s">
        <v>1647</v>
      </c>
      <c r="E920" s="44"/>
      <c r="F920" s="45">
        <v>40602.403009259258</v>
      </c>
      <c r="G920" s="46">
        <v>91</v>
      </c>
      <c r="H920" s="47">
        <v>43388</v>
      </c>
      <c r="I920" s="47">
        <v>43412</v>
      </c>
      <c r="J920" s="46">
        <v>5059676</v>
      </c>
      <c r="K920" s="46">
        <v>0</v>
      </c>
      <c r="L920" s="46">
        <v>0</v>
      </c>
      <c r="M920" s="46">
        <f t="shared" si="280"/>
        <v>5059676</v>
      </c>
      <c r="N920" s="46">
        <v>5059676</v>
      </c>
      <c r="O920" s="48">
        <f t="shared" si="281"/>
        <v>0</v>
      </c>
      <c r="P920" s="46">
        <v>0</v>
      </c>
      <c r="Q920" s="46">
        <v>5059676</v>
      </c>
      <c r="R920" s="49">
        <f t="shared" si="282"/>
        <v>1</v>
      </c>
      <c r="S920" s="50">
        <f t="shared" si="283"/>
        <v>0.01</v>
      </c>
      <c r="T920" s="49">
        <f t="shared" si="284"/>
        <v>50596.76</v>
      </c>
      <c r="U920" s="51">
        <f t="shared" si="285"/>
        <v>0</v>
      </c>
      <c r="V920" s="52">
        <f>IF(0&lt;0.8,0,IF(0&lt;1,Sheet3!L561,1))*IF(G920&lt;3,0.12 - O920,0.01) *U920</f>
        <v>0</v>
      </c>
      <c r="W920" s="52">
        <f t="shared" si="286"/>
        <v>0</v>
      </c>
      <c r="X920" s="53">
        <f t="shared" si="287"/>
        <v>0</v>
      </c>
      <c r="Y920" s="53">
        <f t="shared" si="288"/>
        <v>0</v>
      </c>
      <c r="Z920" s="54">
        <f t="shared" si="278"/>
        <v>0</v>
      </c>
      <c r="AA920" s="54">
        <f t="shared" si="289"/>
        <v>0</v>
      </c>
      <c r="AB920" s="55">
        <f t="shared" si="293"/>
        <v>0</v>
      </c>
      <c r="AC920" s="55">
        <f t="shared" si="290"/>
        <v>0</v>
      </c>
      <c r="AD920" s="56">
        <f t="shared" si="291"/>
        <v>50596.76</v>
      </c>
    </row>
    <row r="921" spans="3:30">
      <c r="C921" s="43" t="s">
        <v>1648</v>
      </c>
      <c r="D921" s="44" t="s">
        <v>1649</v>
      </c>
      <c r="E921" s="44"/>
      <c r="F921" s="45">
        <v>40602.421747685185</v>
      </c>
      <c r="G921" s="46">
        <v>91</v>
      </c>
      <c r="H921" s="47">
        <v>43381</v>
      </c>
      <c r="I921" s="47">
        <v>43400</v>
      </c>
      <c r="J921" s="46">
        <v>1380992</v>
      </c>
      <c r="K921" s="46">
        <v>0</v>
      </c>
      <c r="L921" s="46">
        <v>0</v>
      </c>
      <c r="M921" s="46">
        <f t="shared" si="280"/>
        <v>1380992</v>
      </c>
      <c r="N921" s="46">
        <v>1380992</v>
      </c>
      <c r="O921" s="48">
        <f t="shared" si="281"/>
        <v>0</v>
      </c>
      <c r="P921" s="46">
        <v>0</v>
      </c>
      <c r="Q921" s="46">
        <v>1380992</v>
      </c>
      <c r="R921" s="49">
        <f t="shared" si="282"/>
        <v>1</v>
      </c>
      <c r="S921" s="50">
        <f t="shared" si="283"/>
        <v>0.01</v>
      </c>
      <c r="T921" s="49">
        <f t="shared" si="284"/>
        <v>13809.92</v>
      </c>
      <c r="U921" s="51">
        <f t="shared" si="285"/>
        <v>0</v>
      </c>
      <c r="V921" s="52">
        <f>IF(0&lt;0.8,0,IF(0&lt;1,Sheet3!L561,1))*IF(G921&lt;3,0.12 - O921,0.01) *U921</f>
        <v>0</v>
      </c>
      <c r="W921" s="52">
        <f t="shared" si="286"/>
        <v>0</v>
      </c>
      <c r="X921" s="53">
        <f t="shared" si="287"/>
        <v>0</v>
      </c>
      <c r="Y921" s="53">
        <f t="shared" si="288"/>
        <v>0</v>
      </c>
      <c r="Z921" s="54">
        <f t="shared" si="278"/>
        <v>0</v>
      </c>
      <c r="AA921" s="54">
        <f t="shared" si="289"/>
        <v>0</v>
      </c>
      <c r="AB921" s="55">
        <f t="shared" si="293"/>
        <v>0</v>
      </c>
      <c r="AC921" s="55">
        <f t="shared" si="290"/>
        <v>0</v>
      </c>
      <c r="AD921" s="56">
        <f t="shared" si="291"/>
        <v>13809.92</v>
      </c>
    </row>
    <row r="922" spans="3:30">
      <c r="C922" s="43" t="s">
        <v>1650</v>
      </c>
      <c r="D922" s="44" t="s">
        <v>1651</v>
      </c>
      <c r="E922" s="44"/>
      <c r="F922" s="45">
        <v>40639.740381944444</v>
      </c>
      <c r="G922" s="46">
        <v>89</v>
      </c>
      <c r="H922" s="47">
        <v>43381</v>
      </c>
      <c r="I922" s="47">
        <v>43412</v>
      </c>
      <c r="J922" s="46">
        <v>321171</v>
      </c>
      <c r="K922" s="46">
        <v>0</v>
      </c>
      <c r="L922" s="46">
        <v>0</v>
      </c>
      <c r="M922" s="46">
        <f t="shared" si="280"/>
        <v>321171</v>
      </c>
      <c r="N922" s="46">
        <v>321171</v>
      </c>
      <c r="O922" s="48">
        <f t="shared" si="281"/>
        <v>0</v>
      </c>
      <c r="P922" s="46">
        <v>0</v>
      </c>
      <c r="Q922" s="46">
        <v>321171</v>
      </c>
      <c r="R922" s="49">
        <f t="shared" si="282"/>
        <v>1</v>
      </c>
      <c r="S922" s="50">
        <f t="shared" si="283"/>
        <v>0.01</v>
      </c>
      <c r="T922" s="49">
        <f t="shared" si="284"/>
        <v>3211.71</v>
      </c>
      <c r="U922" s="51">
        <f t="shared" si="285"/>
        <v>0</v>
      </c>
      <c r="V922" s="52">
        <f>IF(0&lt;0.8,0,IF(0&lt;1,Sheet3!L561,1))*IF(G922&lt;3,0.12 - O922,0.01) *U922</f>
        <v>0</v>
      </c>
      <c r="W922" s="52">
        <f t="shared" si="286"/>
        <v>0</v>
      </c>
      <c r="X922" s="53">
        <f t="shared" si="287"/>
        <v>0</v>
      </c>
      <c r="Y922" s="53">
        <f t="shared" si="288"/>
        <v>0</v>
      </c>
      <c r="Z922" s="54">
        <f t="shared" si="278"/>
        <v>0</v>
      </c>
      <c r="AA922" s="54">
        <f t="shared" si="289"/>
        <v>0</v>
      </c>
      <c r="AB922" s="55">
        <f t="shared" si="293"/>
        <v>0</v>
      </c>
      <c r="AC922" s="55">
        <f t="shared" si="290"/>
        <v>0</v>
      </c>
      <c r="AD922" s="56">
        <f t="shared" si="291"/>
        <v>3211.71</v>
      </c>
    </row>
    <row r="923" spans="3:30">
      <c r="C923" s="43" t="s">
        <v>1652</v>
      </c>
      <c r="D923" s="44" t="s">
        <v>1653</v>
      </c>
      <c r="E923" s="44"/>
      <c r="F923" s="45">
        <v>40656.697037037033</v>
      </c>
      <c r="G923" s="46">
        <v>89</v>
      </c>
      <c r="H923" s="47">
        <v>43375</v>
      </c>
      <c r="I923" s="47">
        <v>43386</v>
      </c>
      <c r="J923" s="46">
        <v>981974</v>
      </c>
      <c r="K923" s="46">
        <v>0</v>
      </c>
      <c r="L923" s="46">
        <v>0</v>
      </c>
      <c r="M923" s="46">
        <f t="shared" si="280"/>
        <v>981974</v>
      </c>
      <c r="N923" s="46">
        <v>981974</v>
      </c>
      <c r="O923" s="48">
        <f t="shared" si="281"/>
        <v>0</v>
      </c>
      <c r="P923" s="46">
        <v>0</v>
      </c>
      <c r="Q923" s="46">
        <v>981974</v>
      </c>
      <c r="R923" s="49">
        <f t="shared" si="282"/>
        <v>1</v>
      </c>
      <c r="S923" s="50">
        <f t="shared" si="283"/>
        <v>0.01</v>
      </c>
      <c r="T923" s="49">
        <f t="shared" si="284"/>
        <v>9819.74</v>
      </c>
      <c r="U923" s="51">
        <f t="shared" si="285"/>
        <v>0</v>
      </c>
      <c r="V923" s="52">
        <f>IF(0&lt;0.8,0,IF(0&lt;1,Sheet3!L561,1))*IF(G923&lt;3,0.12 - O923,0.01) *U923</f>
        <v>0</v>
      </c>
      <c r="W923" s="52">
        <f t="shared" si="286"/>
        <v>0</v>
      </c>
      <c r="X923" s="53">
        <f t="shared" si="287"/>
        <v>0</v>
      </c>
      <c r="Y923" s="53">
        <f t="shared" si="288"/>
        <v>0</v>
      </c>
      <c r="Z923" s="54">
        <f t="shared" si="278"/>
        <v>0</v>
      </c>
      <c r="AA923" s="54">
        <f t="shared" si="289"/>
        <v>0</v>
      </c>
      <c r="AB923" s="55">
        <f t="shared" si="293"/>
        <v>0</v>
      </c>
      <c r="AC923" s="55">
        <f t="shared" si="290"/>
        <v>0</v>
      </c>
      <c r="AD923" s="56">
        <f t="shared" si="291"/>
        <v>9819.74</v>
      </c>
    </row>
    <row r="924" spans="3:30">
      <c r="C924" s="43" t="s">
        <v>1654</v>
      </c>
      <c r="D924" s="44" t="s">
        <v>1655</v>
      </c>
      <c r="E924" s="44"/>
      <c r="F924" s="45">
        <v>40656.733923611107</v>
      </c>
      <c r="G924" s="46">
        <v>89</v>
      </c>
      <c r="H924" s="47">
        <v>43377</v>
      </c>
      <c r="I924" s="47">
        <v>43404</v>
      </c>
      <c r="J924" s="46">
        <v>10139498</v>
      </c>
      <c r="K924" s="46">
        <v>0</v>
      </c>
      <c r="L924" s="46">
        <v>0</v>
      </c>
      <c r="M924" s="46">
        <f t="shared" si="280"/>
        <v>10139498</v>
      </c>
      <c r="N924" s="46">
        <v>15049228</v>
      </c>
      <c r="O924" s="48">
        <f t="shared" si="281"/>
        <v>0.32624464191784452</v>
      </c>
      <c r="P924" s="46">
        <v>0</v>
      </c>
      <c r="Q924" s="46">
        <v>10139498</v>
      </c>
      <c r="R924" s="49">
        <f t="shared" si="282"/>
        <v>1</v>
      </c>
      <c r="S924" s="50">
        <f t="shared" si="283"/>
        <v>0.01</v>
      </c>
      <c r="T924" s="49">
        <f t="shared" si="284"/>
        <v>101394.98</v>
      </c>
      <c r="U924" s="51">
        <f t="shared" si="285"/>
        <v>0</v>
      </c>
      <c r="V924" s="52">
        <f>IF(0&lt;0.8,0,IF(0&lt;1,Sheet3!L561,1))*IF(G924&lt;3,0.12 - O924,0.01) *U924</f>
        <v>0</v>
      </c>
      <c r="W924" s="52">
        <f t="shared" si="286"/>
        <v>0</v>
      </c>
      <c r="X924" s="53">
        <f t="shared" si="287"/>
        <v>0</v>
      </c>
      <c r="Y924" s="53">
        <f t="shared" si="288"/>
        <v>0</v>
      </c>
      <c r="Z924" s="54">
        <f t="shared" si="278"/>
        <v>0</v>
      </c>
      <c r="AA924" s="54">
        <f t="shared" si="289"/>
        <v>0</v>
      </c>
      <c r="AB924" s="55">
        <f t="shared" si="293"/>
        <v>0</v>
      </c>
      <c r="AC924" s="55">
        <f t="shared" si="290"/>
        <v>0</v>
      </c>
      <c r="AD924" s="56">
        <f t="shared" si="291"/>
        <v>101394.98</v>
      </c>
    </row>
    <row r="925" spans="3:30">
      <c r="C925" s="43" t="s">
        <v>1656</v>
      </c>
      <c r="D925" s="44" t="s">
        <v>1657</v>
      </c>
      <c r="E925" s="44"/>
      <c r="F925" s="45">
        <v>40662.720810185187</v>
      </c>
      <c r="G925" s="46">
        <v>89</v>
      </c>
      <c r="H925" s="47">
        <v>43379</v>
      </c>
      <c r="I925" s="47">
        <v>43427</v>
      </c>
      <c r="J925" s="46">
        <v>301385</v>
      </c>
      <c r="K925" s="46">
        <v>0</v>
      </c>
      <c r="L925" s="46">
        <v>0</v>
      </c>
      <c r="M925" s="46">
        <f t="shared" si="280"/>
        <v>301385</v>
      </c>
      <c r="N925" s="46">
        <v>301385</v>
      </c>
      <c r="O925" s="48">
        <f t="shared" si="281"/>
        <v>0</v>
      </c>
      <c r="P925" s="46">
        <v>0</v>
      </c>
      <c r="Q925" s="46">
        <v>301385</v>
      </c>
      <c r="R925" s="49">
        <f t="shared" si="282"/>
        <v>1</v>
      </c>
      <c r="S925" s="50">
        <f t="shared" si="283"/>
        <v>0.01</v>
      </c>
      <c r="T925" s="49">
        <f t="shared" si="284"/>
        <v>3013.85</v>
      </c>
      <c r="U925" s="51">
        <f t="shared" si="285"/>
        <v>0</v>
      </c>
      <c r="V925" s="52">
        <f>IF(0&lt;0.8,0,IF(0&lt;1,Sheet3!L561,1))*IF(G925&lt;3,0.12 - O925,0.01) *U925</f>
        <v>0</v>
      </c>
      <c r="W925" s="52">
        <f t="shared" si="286"/>
        <v>0</v>
      </c>
      <c r="X925" s="53">
        <f t="shared" si="287"/>
        <v>0</v>
      </c>
      <c r="Y925" s="53">
        <f t="shared" si="288"/>
        <v>0</v>
      </c>
      <c r="Z925" s="54">
        <f t="shared" si="278"/>
        <v>0</v>
      </c>
      <c r="AA925" s="54">
        <f t="shared" si="289"/>
        <v>0</v>
      </c>
      <c r="AB925" s="55">
        <f t="shared" si="293"/>
        <v>0</v>
      </c>
      <c r="AC925" s="55">
        <f t="shared" si="290"/>
        <v>0</v>
      </c>
      <c r="AD925" s="56">
        <f t="shared" si="291"/>
        <v>3013.85</v>
      </c>
    </row>
    <row r="926" spans="3:30">
      <c r="C926" s="43" t="s">
        <v>1658</v>
      </c>
      <c r="D926" s="44" t="s">
        <v>1659</v>
      </c>
      <c r="E926" s="44"/>
      <c r="F926" s="45">
        <v>40677.479826388888</v>
      </c>
      <c r="G926" s="46">
        <v>88</v>
      </c>
      <c r="H926" s="47" t="s">
        <v>24</v>
      </c>
      <c r="I926" s="47" t="s">
        <v>24</v>
      </c>
      <c r="J926" s="46">
        <v>1070831</v>
      </c>
      <c r="K926" s="46">
        <v>0</v>
      </c>
      <c r="L926" s="46">
        <v>0</v>
      </c>
      <c r="M926" s="46">
        <f t="shared" si="280"/>
        <v>1070831</v>
      </c>
      <c r="N926" s="46">
        <v>1070831</v>
      </c>
      <c r="O926" s="48">
        <f t="shared" si="281"/>
        <v>0</v>
      </c>
      <c r="P926" s="46">
        <v>0</v>
      </c>
      <c r="Q926" s="46">
        <v>1070831</v>
      </c>
      <c r="R926" s="49">
        <f t="shared" si="282"/>
        <v>1</v>
      </c>
      <c r="S926" s="50">
        <f t="shared" si="283"/>
        <v>0.01</v>
      </c>
      <c r="T926" s="49">
        <f t="shared" si="284"/>
        <v>10708.31</v>
      </c>
      <c r="U926" s="51">
        <f t="shared" si="285"/>
        <v>0</v>
      </c>
      <c r="V926" s="52">
        <f>IF(0&lt;0.8,0,IF(0&lt;1,Sheet3!L561,1))*IF(G926&lt;3,0.12 - O926,0.01) *U926</f>
        <v>0</v>
      </c>
      <c r="W926" s="52">
        <f t="shared" si="286"/>
        <v>0</v>
      </c>
      <c r="X926" s="53">
        <f t="shared" si="287"/>
        <v>0</v>
      </c>
      <c r="Y926" s="53">
        <f t="shared" si="288"/>
        <v>0</v>
      </c>
      <c r="Z926" s="54">
        <f t="shared" si="278"/>
        <v>0</v>
      </c>
      <c r="AA926" s="54">
        <f t="shared" si="289"/>
        <v>0</v>
      </c>
      <c r="AB926" s="55">
        <f t="shared" si="293"/>
        <v>0</v>
      </c>
      <c r="AC926" s="55">
        <f t="shared" si="290"/>
        <v>0</v>
      </c>
      <c r="AD926" s="56">
        <f t="shared" si="291"/>
        <v>10708.31</v>
      </c>
    </row>
    <row r="927" spans="3:30">
      <c r="C927" s="43" t="s">
        <v>1660</v>
      </c>
      <c r="D927" s="44" t="s">
        <v>1661</v>
      </c>
      <c r="E927" s="44"/>
      <c r="F927" s="45">
        <v>40695.620752314811</v>
      </c>
      <c r="G927" s="46">
        <v>87</v>
      </c>
      <c r="H927" s="47">
        <v>43403</v>
      </c>
      <c r="I927" s="47">
        <v>43430</v>
      </c>
      <c r="J927" s="46">
        <v>6745557</v>
      </c>
      <c r="K927" s="46">
        <v>0</v>
      </c>
      <c r="L927" s="46">
        <v>0</v>
      </c>
      <c r="M927" s="46">
        <f t="shared" si="280"/>
        <v>6745557</v>
      </c>
      <c r="N927" s="46">
        <v>9403534</v>
      </c>
      <c r="O927" s="48">
        <f t="shared" si="281"/>
        <v>0.28265724354269361</v>
      </c>
      <c r="P927" s="46">
        <v>0</v>
      </c>
      <c r="Q927" s="46">
        <v>7638207</v>
      </c>
      <c r="R927" s="49">
        <f t="shared" si="282"/>
        <v>1</v>
      </c>
      <c r="S927" s="50">
        <f t="shared" si="283"/>
        <v>0.01</v>
      </c>
      <c r="T927" s="49">
        <f t="shared" si="284"/>
        <v>67455.570000000007</v>
      </c>
      <c r="U927" s="51">
        <f t="shared" si="285"/>
        <v>0</v>
      </c>
      <c r="V927" s="52">
        <f>IF(0&lt;0.8,0,IF(0&lt;1,Sheet3!L561,1))*IF(G927&lt;3,0.12 - O927,0.01) *U927</f>
        <v>0</v>
      </c>
      <c r="W927" s="52">
        <f t="shared" si="286"/>
        <v>0</v>
      </c>
      <c r="X927" s="53">
        <f t="shared" si="287"/>
        <v>0</v>
      </c>
      <c r="Y927" s="53">
        <f t="shared" si="288"/>
        <v>0</v>
      </c>
      <c r="Z927" s="54">
        <f t="shared" si="278"/>
        <v>0</v>
      </c>
      <c r="AA927" s="54">
        <f t="shared" si="289"/>
        <v>0</v>
      </c>
      <c r="AB927" s="55">
        <f t="shared" si="293"/>
        <v>0</v>
      </c>
      <c r="AC927" s="55">
        <f t="shared" si="290"/>
        <v>0</v>
      </c>
      <c r="AD927" s="56">
        <f t="shared" si="291"/>
        <v>67455.570000000007</v>
      </c>
    </row>
    <row r="928" spans="3:30">
      <c r="C928" s="43" t="s">
        <v>1662</v>
      </c>
      <c r="D928" s="44" t="s">
        <v>1663</v>
      </c>
      <c r="E928" s="44"/>
      <c r="F928" s="45">
        <v>40695.624780092592</v>
      </c>
      <c r="G928" s="46">
        <v>87</v>
      </c>
      <c r="H928" s="47">
        <v>43372</v>
      </c>
      <c r="I928" s="47">
        <v>43389</v>
      </c>
      <c r="J928" s="46">
        <v>167540</v>
      </c>
      <c r="K928" s="46">
        <v>0</v>
      </c>
      <c r="L928" s="46">
        <v>0</v>
      </c>
      <c r="M928" s="46">
        <f t="shared" si="280"/>
        <v>167540</v>
      </c>
      <c r="N928" s="46">
        <v>167540</v>
      </c>
      <c r="O928" s="48">
        <f t="shared" si="281"/>
        <v>0</v>
      </c>
      <c r="P928" s="46">
        <v>0</v>
      </c>
      <c r="Q928" s="46">
        <v>167540</v>
      </c>
      <c r="R928" s="49">
        <f t="shared" si="282"/>
        <v>1</v>
      </c>
      <c r="S928" s="50">
        <f t="shared" si="283"/>
        <v>0.01</v>
      </c>
      <c r="T928" s="49">
        <f t="shared" si="284"/>
        <v>1675.4</v>
      </c>
      <c r="U928" s="51">
        <f t="shared" si="285"/>
        <v>0</v>
      </c>
      <c r="V928" s="52">
        <f>IF(0&lt;0.8,0,IF(0&lt;1,Sheet3!L561,1))*IF(G928&lt;3,0.12 - O928,0.01) *U928</f>
        <v>0</v>
      </c>
      <c r="W928" s="52">
        <f t="shared" si="286"/>
        <v>0</v>
      </c>
      <c r="X928" s="53">
        <f t="shared" si="287"/>
        <v>0</v>
      </c>
      <c r="Y928" s="53">
        <f t="shared" si="288"/>
        <v>0</v>
      </c>
      <c r="Z928" s="54">
        <f t="shared" si="278"/>
        <v>0</v>
      </c>
      <c r="AA928" s="54">
        <f t="shared" si="289"/>
        <v>0</v>
      </c>
      <c r="AB928" s="55">
        <f t="shared" si="293"/>
        <v>0</v>
      </c>
      <c r="AC928" s="55">
        <f t="shared" si="290"/>
        <v>0</v>
      </c>
      <c r="AD928" s="56">
        <f t="shared" si="291"/>
        <v>1675.4</v>
      </c>
    </row>
    <row r="929" spans="3:30">
      <c r="C929" s="43" t="s">
        <v>1664</v>
      </c>
      <c r="D929" s="44" t="s">
        <v>1665</v>
      </c>
      <c r="E929" s="44"/>
      <c r="F929" s="45">
        <v>40700.356863425921</v>
      </c>
      <c r="G929" s="46">
        <v>87</v>
      </c>
      <c r="H929" s="47">
        <v>43427</v>
      </c>
      <c r="I929" s="47">
        <v>43434</v>
      </c>
      <c r="J929" s="46">
        <v>7701247</v>
      </c>
      <c r="K929" s="46">
        <v>0</v>
      </c>
      <c r="L929" s="46">
        <v>0</v>
      </c>
      <c r="M929" s="46">
        <f t="shared" si="280"/>
        <v>7701247</v>
      </c>
      <c r="N929" s="46">
        <v>7701247</v>
      </c>
      <c r="O929" s="48">
        <f t="shared" si="281"/>
        <v>0</v>
      </c>
      <c r="P929" s="46">
        <v>0</v>
      </c>
      <c r="Q929" s="46">
        <v>7701247</v>
      </c>
      <c r="R929" s="49">
        <f t="shared" si="282"/>
        <v>1</v>
      </c>
      <c r="S929" s="50">
        <f t="shared" si="283"/>
        <v>0.01</v>
      </c>
      <c r="T929" s="49">
        <f t="shared" si="284"/>
        <v>77012.47</v>
      </c>
      <c r="U929" s="51">
        <f t="shared" si="285"/>
        <v>0</v>
      </c>
      <c r="V929" s="52">
        <f>IF(0&lt;0.8,0,IF(0&lt;1,Sheet3!L561,1))*IF(G929&lt;3,0.12 - O929,0.01) *U929</f>
        <v>0</v>
      </c>
      <c r="W929" s="52">
        <f t="shared" si="286"/>
        <v>0</v>
      </c>
      <c r="X929" s="53">
        <f t="shared" si="287"/>
        <v>0</v>
      </c>
      <c r="Y929" s="53">
        <f t="shared" si="288"/>
        <v>0</v>
      </c>
      <c r="Z929" s="54">
        <f t="shared" si="278"/>
        <v>0</v>
      </c>
      <c r="AA929" s="54">
        <f t="shared" si="289"/>
        <v>0</v>
      </c>
      <c r="AB929" s="55">
        <f t="shared" si="293"/>
        <v>0</v>
      </c>
      <c r="AC929" s="55">
        <f t="shared" si="290"/>
        <v>0</v>
      </c>
      <c r="AD929" s="56">
        <f t="shared" si="291"/>
        <v>77012.47</v>
      </c>
    </row>
    <row r="930" spans="3:30">
      <c r="C930" s="43" t="s">
        <v>1666</v>
      </c>
      <c r="D930" s="44" t="s">
        <v>1667</v>
      </c>
      <c r="E930" s="44"/>
      <c r="F930" s="45">
        <v>40700.573773148149</v>
      </c>
      <c r="G930" s="46">
        <v>87</v>
      </c>
      <c r="H930" s="47">
        <v>43372</v>
      </c>
      <c r="I930" s="47">
        <v>43398</v>
      </c>
      <c r="J930" s="46">
        <v>4451760</v>
      </c>
      <c r="K930" s="46">
        <v>0</v>
      </c>
      <c r="L930" s="46">
        <v>0</v>
      </c>
      <c r="M930" s="46">
        <f t="shared" si="280"/>
        <v>4451760</v>
      </c>
      <c r="N930" s="46">
        <v>4294929</v>
      </c>
      <c r="O930" s="48">
        <f t="shared" si="281"/>
        <v>0</v>
      </c>
      <c r="P930" s="46">
        <v>0</v>
      </c>
      <c r="Q930" s="46">
        <v>4451760</v>
      </c>
      <c r="R930" s="49">
        <f t="shared" si="282"/>
        <v>1</v>
      </c>
      <c r="S930" s="50">
        <f t="shared" si="283"/>
        <v>0.01</v>
      </c>
      <c r="T930" s="49">
        <f t="shared" si="284"/>
        <v>44517.599999999999</v>
      </c>
      <c r="U930" s="51">
        <f t="shared" si="285"/>
        <v>0</v>
      </c>
      <c r="V930" s="52">
        <f>IF(0&lt;0.8,0,IF(0&lt;1,Sheet3!L561,1))*IF(G930&lt;3,0.12 - O930,0.01) *U930</f>
        <v>0</v>
      </c>
      <c r="W930" s="52">
        <f t="shared" si="286"/>
        <v>0</v>
      </c>
      <c r="X930" s="53">
        <f t="shared" si="287"/>
        <v>0</v>
      </c>
      <c r="Y930" s="53">
        <f t="shared" si="288"/>
        <v>0</v>
      </c>
      <c r="Z930" s="54">
        <f t="shared" ref="Z930:Z935" si="294">IF(R930=1,0,0)</f>
        <v>0</v>
      </c>
      <c r="AA930" s="54">
        <f t="shared" si="289"/>
        <v>0</v>
      </c>
      <c r="AB930" s="55">
        <f t="shared" si="293"/>
        <v>0</v>
      </c>
      <c r="AC930" s="55">
        <f t="shared" si="290"/>
        <v>0</v>
      </c>
      <c r="AD930" s="56">
        <f t="shared" si="291"/>
        <v>44517.599999999999</v>
      </c>
    </row>
    <row r="931" spans="3:30">
      <c r="C931" s="43" t="s">
        <v>1668</v>
      </c>
      <c r="D931" s="44" t="s">
        <v>1669</v>
      </c>
      <c r="E931" s="44"/>
      <c r="F931" s="45">
        <v>40700.608854166669</v>
      </c>
      <c r="G931" s="46">
        <v>87</v>
      </c>
      <c r="H931" s="47">
        <v>43376</v>
      </c>
      <c r="I931" s="47">
        <v>43399</v>
      </c>
      <c r="J931" s="46">
        <v>1462393</v>
      </c>
      <c r="K931" s="46">
        <v>0</v>
      </c>
      <c r="L931" s="46">
        <v>0</v>
      </c>
      <c r="M931" s="46">
        <f t="shared" si="280"/>
        <v>1462393</v>
      </c>
      <c r="N931" s="46">
        <v>1462393</v>
      </c>
      <c r="O931" s="48">
        <f t="shared" si="281"/>
        <v>0</v>
      </c>
      <c r="P931" s="46">
        <v>0</v>
      </c>
      <c r="Q931" s="46">
        <v>1462393</v>
      </c>
      <c r="R931" s="49">
        <f t="shared" si="282"/>
        <v>1</v>
      </c>
      <c r="S931" s="50">
        <f t="shared" si="283"/>
        <v>0.01</v>
      </c>
      <c r="T931" s="49">
        <f t="shared" si="284"/>
        <v>14623.93</v>
      </c>
      <c r="U931" s="51">
        <f t="shared" si="285"/>
        <v>0</v>
      </c>
      <c r="V931" s="52">
        <f>IF(0&lt;0.8,0,IF(0&lt;1,Sheet3!L561,1))*IF(G931&lt;3,0.12 - O931,0.01) *U931</f>
        <v>0</v>
      </c>
      <c r="W931" s="52">
        <f t="shared" si="286"/>
        <v>0</v>
      </c>
      <c r="X931" s="53">
        <f t="shared" si="287"/>
        <v>0</v>
      </c>
      <c r="Y931" s="53">
        <f t="shared" si="288"/>
        <v>0</v>
      </c>
      <c r="Z931" s="54">
        <f t="shared" si="294"/>
        <v>0</v>
      </c>
      <c r="AA931" s="54">
        <f t="shared" si="289"/>
        <v>0</v>
      </c>
      <c r="AB931" s="55">
        <f t="shared" si="293"/>
        <v>0</v>
      </c>
      <c r="AC931" s="55">
        <f t="shared" si="290"/>
        <v>0</v>
      </c>
      <c r="AD931" s="56">
        <f t="shared" si="291"/>
        <v>14623.93</v>
      </c>
    </row>
    <row r="932" spans="3:30">
      <c r="C932" s="43" t="s">
        <v>1670</v>
      </c>
      <c r="D932" s="44" t="s">
        <v>1671</v>
      </c>
      <c r="E932" s="44"/>
      <c r="F932" s="45">
        <v>40703.576053240737</v>
      </c>
      <c r="G932" s="46">
        <v>87</v>
      </c>
      <c r="H932" s="47">
        <v>43375</v>
      </c>
      <c r="I932" s="47">
        <v>43446</v>
      </c>
      <c r="J932" s="46">
        <v>115465</v>
      </c>
      <c r="K932" s="46">
        <v>0</v>
      </c>
      <c r="L932" s="46">
        <v>0</v>
      </c>
      <c r="M932" s="46">
        <f t="shared" si="280"/>
        <v>115465</v>
      </c>
      <c r="N932" s="46">
        <v>115465</v>
      </c>
      <c r="O932" s="48">
        <f t="shared" si="281"/>
        <v>0</v>
      </c>
      <c r="P932" s="46">
        <v>0</v>
      </c>
      <c r="Q932" s="46">
        <v>115465</v>
      </c>
      <c r="R932" s="49">
        <f t="shared" si="282"/>
        <v>1</v>
      </c>
      <c r="S932" s="50">
        <f t="shared" si="283"/>
        <v>0.01</v>
      </c>
      <c r="T932" s="49">
        <f t="shared" si="284"/>
        <v>1154.6500000000001</v>
      </c>
      <c r="U932" s="51">
        <f t="shared" si="285"/>
        <v>0</v>
      </c>
      <c r="V932" s="52">
        <f>IF(0&lt;0.8,0,IF(0&lt;1,Sheet3!L561,1))*IF(G932&lt;3,0.12 - O932,0.01) *U932</f>
        <v>0</v>
      </c>
      <c r="W932" s="52">
        <f t="shared" si="286"/>
        <v>0</v>
      </c>
      <c r="X932" s="53">
        <f t="shared" si="287"/>
        <v>0</v>
      </c>
      <c r="Y932" s="53">
        <f t="shared" si="288"/>
        <v>0</v>
      </c>
      <c r="Z932" s="54">
        <f t="shared" si="294"/>
        <v>0</v>
      </c>
      <c r="AA932" s="54">
        <f t="shared" si="289"/>
        <v>0</v>
      </c>
      <c r="AB932" s="55">
        <f t="shared" si="293"/>
        <v>0</v>
      </c>
      <c r="AC932" s="55">
        <f t="shared" si="290"/>
        <v>0</v>
      </c>
      <c r="AD932" s="56">
        <f t="shared" si="291"/>
        <v>1154.6500000000001</v>
      </c>
    </row>
    <row r="933" spans="3:30">
      <c r="C933" s="43" t="s">
        <v>1672</v>
      </c>
      <c r="D933" s="44" t="s">
        <v>1673</v>
      </c>
      <c r="E933" s="44"/>
      <c r="F933" s="45">
        <v>40731.446030092593</v>
      </c>
      <c r="G933" s="46">
        <v>86</v>
      </c>
      <c r="H933" s="47">
        <v>43372</v>
      </c>
      <c r="I933" s="47">
        <v>43385</v>
      </c>
      <c r="J933" s="46">
        <v>336141</v>
      </c>
      <c r="K933" s="46">
        <v>0</v>
      </c>
      <c r="L933" s="46">
        <v>0</v>
      </c>
      <c r="M933" s="46">
        <f t="shared" si="280"/>
        <v>336141</v>
      </c>
      <c r="N933" s="46">
        <v>336141</v>
      </c>
      <c r="O933" s="48">
        <f t="shared" si="281"/>
        <v>0</v>
      </c>
      <c r="P933" s="46">
        <v>0</v>
      </c>
      <c r="Q933" s="46">
        <v>336141</v>
      </c>
      <c r="R933" s="49">
        <f t="shared" si="282"/>
        <v>1</v>
      </c>
      <c r="S933" s="50">
        <f t="shared" si="283"/>
        <v>0.01</v>
      </c>
      <c r="T933" s="49">
        <f t="shared" si="284"/>
        <v>3361.41</v>
      </c>
      <c r="U933" s="51">
        <f t="shared" si="285"/>
        <v>0</v>
      </c>
      <c r="V933" s="52">
        <f>IF(0&lt;0.8,0,IF(0&lt;1,Sheet3!L561,1))*IF(G933&lt;3,0.12 - O933,0.01) *U933</f>
        <v>0</v>
      </c>
      <c r="W933" s="52">
        <f t="shared" si="286"/>
        <v>0</v>
      </c>
      <c r="X933" s="53">
        <f t="shared" si="287"/>
        <v>0</v>
      </c>
      <c r="Y933" s="53">
        <f t="shared" si="288"/>
        <v>0</v>
      </c>
      <c r="Z933" s="54">
        <f t="shared" si="294"/>
        <v>0</v>
      </c>
      <c r="AA933" s="54">
        <f t="shared" si="289"/>
        <v>0</v>
      </c>
      <c r="AB933" s="55">
        <f t="shared" si="293"/>
        <v>0</v>
      </c>
      <c r="AC933" s="55">
        <f t="shared" si="290"/>
        <v>0</v>
      </c>
      <c r="AD933" s="56">
        <f t="shared" si="291"/>
        <v>3361.41</v>
      </c>
    </row>
    <row r="934" spans="3:30">
      <c r="C934" s="43" t="s">
        <v>1674</v>
      </c>
      <c r="D934" s="44" t="s">
        <v>1675</v>
      </c>
      <c r="E934" s="44"/>
      <c r="F934" s="45">
        <v>40745.429166666669</v>
      </c>
      <c r="G934" s="46">
        <v>86</v>
      </c>
      <c r="H934" s="47">
        <v>43388</v>
      </c>
      <c r="I934" s="47">
        <v>43395</v>
      </c>
      <c r="J934" s="46">
        <v>370550</v>
      </c>
      <c r="K934" s="46">
        <v>0</v>
      </c>
      <c r="L934" s="46">
        <v>0</v>
      </c>
      <c r="M934" s="46">
        <f t="shared" si="280"/>
        <v>370550</v>
      </c>
      <c r="N934" s="46">
        <v>370550</v>
      </c>
      <c r="O934" s="48">
        <f t="shared" si="281"/>
        <v>0</v>
      </c>
      <c r="P934" s="46">
        <v>0</v>
      </c>
      <c r="Q934" s="46">
        <v>370550</v>
      </c>
      <c r="R934" s="49">
        <f t="shared" si="282"/>
        <v>1</v>
      </c>
      <c r="S934" s="50">
        <f t="shared" si="283"/>
        <v>0.01</v>
      </c>
      <c r="T934" s="49">
        <f t="shared" si="284"/>
        <v>3705.5</v>
      </c>
      <c r="U934" s="51">
        <f t="shared" si="285"/>
        <v>0</v>
      </c>
      <c r="V934" s="52">
        <f>IF(0&lt;0.8,0,IF(0&lt;1,Sheet3!L561,1))*IF(G934&lt;3,0.12 - O934,0.01) *U934</f>
        <v>0</v>
      </c>
      <c r="W934" s="52">
        <f t="shared" si="286"/>
        <v>0</v>
      </c>
      <c r="X934" s="53">
        <f t="shared" si="287"/>
        <v>0</v>
      </c>
      <c r="Y934" s="53">
        <f t="shared" si="288"/>
        <v>0</v>
      </c>
      <c r="Z934" s="54">
        <f t="shared" si="294"/>
        <v>0</v>
      </c>
      <c r="AA934" s="54">
        <f t="shared" si="289"/>
        <v>0</v>
      </c>
      <c r="AB934" s="55">
        <f t="shared" si="293"/>
        <v>0</v>
      </c>
      <c r="AC934" s="55">
        <f t="shared" si="290"/>
        <v>0</v>
      </c>
      <c r="AD934" s="56">
        <f t="shared" si="291"/>
        <v>3705.5</v>
      </c>
    </row>
    <row r="935" spans="3:30">
      <c r="C935" s="43" t="s">
        <v>1676</v>
      </c>
      <c r="D935" s="44" t="s">
        <v>1677</v>
      </c>
      <c r="E935" s="44"/>
      <c r="F935" s="45">
        <v>40752.720625000002</v>
      </c>
      <c r="G935" s="46">
        <v>86</v>
      </c>
      <c r="H935" s="47">
        <v>43410</v>
      </c>
      <c r="I935" s="47">
        <v>43453</v>
      </c>
      <c r="J935" s="46">
        <v>116982599</v>
      </c>
      <c r="K935" s="46">
        <v>0</v>
      </c>
      <c r="L935" s="46">
        <v>0</v>
      </c>
      <c r="M935" s="46">
        <f t="shared" si="280"/>
        <v>116982599</v>
      </c>
      <c r="N935" s="46">
        <v>151140317</v>
      </c>
      <c r="O935" s="48">
        <f t="shared" si="281"/>
        <v>0.22600004206686952</v>
      </c>
      <c r="P935" s="46">
        <v>0</v>
      </c>
      <c r="Q935" s="46">
        <v>116982599</v>
      </c>
      <c r="R935" s="49">
        <f t="shared" si="282"/>
        <v>1</v>
      </c>
      <c r="S935" s="50">
        <f t="shared" si="283"/>
        <v>0.01</v>
      </c>
      <c r="T935" s="49">
        <f t="shared" si="284"/>
        <v>1169825.99</v>
      </c>
      <c r="U935" s="51">
        <f t="shared" si="285"/>
        <v>0</v>
      </c>
      <c r="V935" s="52">
        <f>IF(0&lt;0.8,0,IF(0&lt;1,Sheet3!L561,1))*IF(G935&lt;3,0.12 - O935,0.01) *U935</f>
        <v>0</v>
      </c>
      <c r="W935" s="52">
        <f t="shared" si="286"/>
        <v>0</v>
      </c>
      <c r="X935" s="53">
        <f t="shared" si="287"/>
        <v>0</v>
      </c>
      <c r="Y935" s="53">
        <f t="shared" si="288"/>
        <v>0</v>
      </c>
      <c r="Z935" s="54">
        <f t="shared" si="294"/>
        <v>0</v>
      </c>
      <c r="AA935" s="54">
        <f t="shared" si="289"/>
        <v>0</v>
      </c>
      <c r="AB935" s="55">
        <f t="shared" si="293"/>
        <v>0</v>
      </c>
      <c r="AC935" s="55">
        <f t="shared" si="290"/>
        <v>0</v>
      </c>
      <c r="AD935" s="56">
        <f t="shared" si="291"/>
        <v>1169825.99</v>
      </c>
    </row>
    <row r="936" spans="3:30">
      <c r="C936" s="43" t="s">
        <v>1678</v>
      </c>
      <c r="D936" s="44" t="s">
        <v>1679</v>
      </c>
      <c r="E936" s="44"/>
      <c r="F936" s="45">
        <v>40764.423611111109</v>
      </c>
      <c r="G936" s="46">
        <v>85</v>
      </c>
      <c r="H936" s="47" t="s">
        <v>24</v>
      </c>
      <c r="I936" s="47" t="s">
        <v>24</v>
      </c>
      <c r="J936" s="46">
        <v>85684</v>
      </c>
      <c r="K936" s="46">
        <v>0</v>
      </c>
      <c r="L936" s="46">
        <v>0</v>
      </c>
      <c r="M936" s="46">
        <f t="shared" si="280"/>
        <v>85684</v>
      </c>
      <c r="N936" s="46" t="s">
        <v>24</v>
      </c>
      <c r="O936" s="48">
        <f t="shared" si="281"/>
        <v>0</v>
      </c>
      <c r="P936" s="46">
        <v>0</v>
      </c>
      <c r="Q936" s="46">
        <v>0</v>
      </c>
      <c r="R936" s="49">
        <f t="shared" si="282"/>
        <v>1</v>
      </c>
      <c r="S936" s="50">
        <f t="shared" si="283"/>
        <v>0.01</v>
      </c>
      <c r="T936" s="49">
        <f t="shared" si="284"/>
        <v>856.84</v>
      </c>
      <c r="U936" s="51">
        <f t="shared" si="285"/>
        <v>0</v>
      </c>
      <c r="V936" s="52">
        <f>IF(0&lt;0.8,0,IF(0&lt;1,Sheet3!L561,1))*IF(G936&lt;3,0.12 - O936,0.01) *U936</f>
        <v>0</v>
      </c>
      <c r="W936" s="52">
        <f t="shared" si="286"/>
        <v>0</v>
      </c>
      <c r="X936" s="53">
        <f t="shared" si="287"/>
        <v>0</v>
      </c>
      <c r="Y936" s="53">
        <f t="shared" si="288"/>
        <v>0</v>
      </c>
      <c r="Z936" s="54">
        <f>IF(R936=1,0,"")</f>
        <v>0</v>
      </c>
      <c r="AA936" s="54">
        <f t="shared" si="289"/>
        <v>0</v>
      </c>
      <c r="AB936" s="55">
        <f>IF(R936=0,"",0)</f>
        <v>0</v>
      </c>
      <c r="AC936" s="55">
        <f t="shared" si="290"/>
        <v>0</v>
      </c>
      <c r="AD936" s="56">
        <f t="shared" si="291"/>
        <v>856.84</v>
      </c>
    </row>
    <row r="937" spans="3:30">
      <c r="C937" s="43" t="s">
        <v>1680</v>
      </c>
      <c r="D937" s="44" t="s">
        <v>1681</v>
      </c>
      <c r="E937" s="44"/>
      <c r="F937" s="45">
        <v>40773.57844907407</v>
      </c>
      <c r="G937" s="46">
        <v>85</v>
      </c>
      <c r="H937" s="47">
        <v>43379</v>
      </c>
      <c r="I937" s="47">
        <v>43393</v>
      </c>
      <c r="J937" s="46">
        <v>1104952</v>
      </c>
      <c r="K937" s="46">
        <v>0</v>
      </c>
      <c r="L937" s="46">
        <v>0</v>
      </c>
      <c r="M937" s="46">
        <f t="shared" si="280"/>
        <v>1104952</v>
      </c>
      <c r="N937" s="46">
        <v>1104952</v>
      </c>
      <c r="O937" s="48">
        <f t="shared" si="281"/>
        <v>0</v>
      </c>
      <c r="P937" s="46">
        <v>0</v>
      </c>
      <c r="Q937" s="46">
        <v>1104952</v>
      </c>
      <c r="R937" s="49">
        <f t="shared" si="282"/>
        <v>1</v>
      </c>
      <c r="S937" s="50">
        <f t="shared" si="283"/>
        <v>0.01</v>
      </c>
      <c r="T937" s="49">
        <f t="shared" si="284"/>
        <v>11049.52</v>
      </c>
      <c r="U937" s="51">
        <f t="shared" si="285"/>
        <v>0</v>
      </c>
      <c r="V937" s="52">
        <f>IF(0&lt;0.8,0,IF(0&lt;1,Sheet3!L561,1))*IF(G937&lt;3,0.12 - O937,0.01) *U937</f>
        <v>0</v>
      </c>
      <c r="W937" s="52">
        <f t="shared" si="286"/>
        <v>0</v>
      </c>
      <c r="X937" s="53">
        <f t="shared" si="287"/>
        <v>0</v>
      </c>
      <c r="Y937" s="53">
        <f t="shared" si="288"/>
        <v>0</v>
      </c>
      <c r="Z937" s="54">
        <f t="shared" ref="Z937:Z972" si="295">IF(R937=1,0,0)</f>
        <v>0</v>
      </c>
      <c r="AA937" s="54">
        <f t="shared" si="289"/>
        <v>0</v>
      </c>
      <c r="AB937" s="55">
        <f t="shared" ref="AB937:AB972" si="296">IF(R937=0,0,0)</f>
        <v>0</v>
      </c>
      <c r="AC937" s="55">
        <f t="shared" si="290"/>
        <v>0</v>
      </c>
      <c r="AD937" s="56">
        <f t="shared" si="291"/>
        <v>11049.52</v>
      </c>
    </row>
    <row r="938" spans="3:30">
      <c r="C938" s="43" t="s">
        <v>1682</v>
      </c>
      <c r="D938" s="44" t="s">
        <v>1683</v>
      </c>
      <c r="E938" s="44"/>
      <c r="F938" s="45">
        <v>40773.69767361111</v>
      </c>
      <c r="G938" s="46">
        <v>85</v>
      </c>
      <c r="H938" s="47">
        <v>43434</v>
      </c>
      <c r="I938" s="47">
        <v>43462</v>
      </c>
      <c r="J938" s="46">
        <v>13500179</v>
      </c>
      <c r="K938" s="46">
        <v>0</v>
      </c>
      <c r="L938" s="46">
        <v>0</v>
      </c>
      <c r="M938" s="46">
        <f t="shared" si="280"/>
        <v>13500179</v>
      </c>
      <c r="N938" s="46">
        <v>17220042</v>
      </c>
      <c r="O938" s="48">
        <f t="shared" si="281"/>
        <v>0.21601939182262153</v>
      </c>
      <c r="P938" s="46">
        <v>0</v>
      </c>
      <c r="Q938" s="46">
        <v>13510629</v>
      </c>
      <c r="R938" s="49">
        <f t="shared" si="282"/>
        <v>1</v>
      </c>
      <c r="S938" s="50">
        <f t="shared" si="283"/>
        <v>0.01</v>
      </c>
      <c r="T938" s="49">
        <f t="shared" si="284"/>
        <v>135001.79</v>
      </c>
      <c r="U938" s="51">
        <f t="shared" si="285"/>
        <v>0</v>
      </c>
      <c r="V938" s="52">
        <f>IF(0&lt;0.8,0,IF(0&lt;1,Sheet3!L561,1))*IF(G938&lt;3,0.12 - O938,0.01) *U938</f>
        <v>0</v>
      </c>
      <c r="W938" s="52">
        <f t="shared" si="286"/>
        <v>0</v>
      </c>
      <c r="X938" s="53">
        <f t="shared" si="287"/>
        <v>0</v>
      </c>
      <c r="Y938" s="53">
        <f t="shared" si="288"/>
        <v>0</v>
      </c>
      <c r="Z938" s="54">
        <f t="shared" si="295"/>
        <v>0</v>
      </c>
      <c r="AA938" s="54">
        <f t="shared" si="289"/>
        <v>0</v>
      </c>
      <c r="AB938" s="55">
        <f t="shared" si="296"/>
        <v>0</v>
      </c>
      <c r="AC938" s="55">
        <f t="shared" si="290"/>
        <v>0</v>
      </c>
      <c r="AD938" s="56">
        <f t="shared" si="291"/>
        <v>135001.79</v>
      </c>
    </row>
    <row r="939" spans="3:30">
      <c r="C939" s="43" t="s">
        <v>1684</v>
      </c>
      <c r="D939" s="44" t="s">
        <v>1685</v>
      </c>
      <c r="E939" s="44"/>
      <c r="F939" s="45">
        <v>40778.721145833333</v>
      </c>
      <c r="G939" s="46">
        <v>85</v>
      </c>
      <c r="H939" s="47">
        <v>43382</v>
      </c>
      <c r="I939" s="47">
        <v>42040</v>
      </c>
      <c r="J939" s="46">
        <v>1932522</v>
      </c>
      <c r="K939" s="46">
        <v>0</v>
      </c>
      <c r="L939" s="46">
        <v>0</v>
      </c>
      <c r="M939" s="46">
        <f t="shared" si="280"/>
        <v>1932522</v>
      </c>
      <c r="N939" s="46">
        <v>1932522</v>
      </c>
      <c r="O939" s="48">
        <f t="shared" si="281"/>
        <v>0</v>
      </c>
      <c r="P939" s="46">
        <v>0</v>
      </c>
      <c r="Q939" s="46">
        <v>1932522</v>
      </c>
      <c r="R939" s="49">
        <f t="shared" si="282"/>
        <v>1</v>
      </c>
      <c r="S939" s="50">
        <f t="shared" si="283"/>
        <v>0.01</v>
      </c>
      <c r="T939" s="49">
        <f t="shared" si="284"/>
        <v>19325.22</v>
      </c>
      <c r="U939" s="51">
        <f t="shared" si="285"/>
        <v>0</v>
      </c>
      <c r="V939" s="52">
        <f>IF(0&lt;0.8,0,IF(0&lt;1,Sheet3!L561,1))*IF(G939&lt;3,0.12 - O939,0.01) *U939</f>
        <v>0</v>
      </c>
      <c r="W939" s="52">
        <f t="shared" si="286"/>
        <v>0</v>
      </c>
      <c r="X939" s="53">
        <f t="shared" si="287"/>
        <v>0</v>
      </c>
      <c r="Y939" s="53">
        <f t="shared" si="288"/>
        <v>0</v>
      </c>
      <c r="Z939" s="54">
        <f t="shared" si="295"/>
        <v>0</v>
      </c>
      <c r="AA939" s="54">
        <f t="shared" si="289"/>
        <v>0</v>
      </c>
      <c r="AB939" s="55">
        <f t="shared" si="296"/>
        <v>0</v>
      </c>
      <c r="AC939" s="55">
        <f t="shared" si="290"/>
        <v>0</v>
      </c>
      <c r="AD939" s="56">
        <f t="shared" si="291"/>
        <v>19325.22</v>
      </c>
    </row>
    <row r="940" spans="3:30">
      <c r="C940" s="43" t="s">
        <v>1686</v>
      </c>
      <c r="D940" s="44" t="s">
        <v>1687</v>
      </c>
      <c r="E940" s="44"/>
      <c r="F940" s="45">
        <v>40798.707858796297</v>
      </c>
      <c r="G940" s="46">
        <v>84</v>
      </c>
      <c r="H940" s="47">
        <v>43410</v>
      </c>
      <c r="I940" s="47">
        <v>43417</v>
      </c>
      <c r="J940" s="46">
        <v>1665314</v>
      </c>
      <c r="K940" s="46">
        <v>1580305</v>
      </c>
      <c r="L940" s="46">
        <v>0</v>
      </c>
      <c r="M940" s="46">
        <f t="shared" si="280"/>
        <v>85009</v>
      </c>
      <c r="N940" s="46">
        <v>2465314</v>
      </c>
      <c r="O940" s="48">
        <f t="shared" si="281"/>
        <v>0.96551798269916123</v>
      </c>
      <c r="P940" s="46">
        <v>0</v>
      </c>
      <c r="Q940" s="46">
        <v>1015605</v>
      </c>
      <c r="R940" s="49">
        <f t="shared" si="282"/>
        <v>1</v>
      </c>
      <c r="S940" s="50">
        <f t="shared" si="283"/>
        <v>0.01</v>
      </c>
      <c r="T940" s="49">
        <f t="shared" si="284"/>
        <v>850.09</v>
      </c>
      <c r="U940" s="51">
        <f t="shared" si="285"/>
        <v>0</v>
      </c>
      <c r="V940" s="52">
        <f>IF(0&lt;0.8,0,IF(0&lt;1,Sheet3!L561,1))*IF(G940&lt;3,0.12 - O940,0.01) *U940</f>
        <v>0</v>
      </c>
      <c r="W940" s="52">
        <f t="shared" si="286"/>
        <v>0</v>
      </c>
      <c r="X940" s="53">
        <f t="shared" si="287"/>
        <v>0</v>
      </c>
      <c r="Y940" s="53">
        <f t="shared" si="288"/>
        <v>0</v>
      </c>
      <c r="Z940" s="54">
        <f t="shared" si="295"/>
        <v>0</v>
      </c>
      <c r="AA940" s="54">
        <f t="shared" si="289"/>
        <v>0</v>
      </c>
      <c r="AB940" s="55">
        <f t="shared" si="296"/>
        <v>0</v>
      </c>
      <c r="AC940" s="55">
        <f t="shared" si="290"/>
        <v>0</v>
      </c>
      <c r="AD940" s="56">
        <f t="shared" si="291"/>
        <v>850.09</v>
      </c>
    </row>
    <row r="941" spans="3:30">
      <c r="C941" s="43" t="s">
        <v>1688</v>
      </c>
      <c r="D941" s="44" t="s">
        <v>1689</v>
      </c>
      <c r="E941" s="44"/>
      <c r="F941" s="45">
        <v>40801.470960648148</v>
      </c>
      <c r="G941" s="46">
        <v>84</v>
      </c>
      <c r="H941" s="47">
        <v>43379</v>
      </c>
      <c r="I941" s="47">
        <v>43398</v>
      </c>
      <c r="J941" s="46">
        <v>45133</v>
      </c>
      <c r="K941" s="46">
        <v>0</v>
      </c>
      <c r="L941" s="46">
        <v>0</v>
      </c>
      <c r="M941" s="46">
        <f t="shared" si="280"/>
        <v>45133</v>
      </c>
      <c r="N941" s="46">
        <v>45133</v>
      </c>
      <c r="O941" s="48">
        <f t="shared" si="281"/>
        <v>0</v>
      </c>
      <c r="P941" s="46">
        <v>0</v>
      </c>
      <c r="Q941" s="46">
        <v>45133</v>
      </c>
      <c r="R941" s="49">
        <f t="shared" si="282"/>
        <v>1</v>
      </c>
      <c r="S941" s="50">
        <f t="shared" si="283"/>
        <v>0.01</v>
      </c>
      <c r="T941" s="49">
        <f t="shared" si="284"/>
        <v>451.33</v>
      </c>
      <c r="U941" s="51">
        <f t="shared" si="285"/>
        <v>0</v>
      </c>
      <c r="V941" s="52">
        <f>IF(0&lt;0.8,0,IF(0&lt;1,Sheet3!L561,1))*IF(G941&lt;3,0.12 - O941,0.01) *U941</f>
        <v>0</v>
      </c>
      <c r="W941" s="52">
        <f t="shared" si="286"/>
        <v>0</v>
      </c>
      <c r="X941" s="53">
        <f t="shared" si="287"/>
        <v>0</v>
      </c>
      <c r="Y941" s="53">
        <f t="shared" si="288"/>
        <v>0</v>
      </c>
      <c r="Z941" s="54">
        <f t="shared" si="295"/>
        <v>0</v>
      </c>
      <c r="AA941" s="54">
        <f t="shared" si="289"/>
        <v>0</v>
      </c>
      <c r="AB941" s="55">
        <f t="shared" si="296"/>
        <v>0</v>
      </c>
      <c r="AC941" s="55">
        <f t="shared" si="290"/>
        <v>0</v>
      </c>
      <c r="AD941" s="56">
        <f t="shared" si="291"/>
        <v>451.33</v>
      </c>
    </row>
    <row r="942" spans="3:30">
      <c r="C942" s="43" t="s">
        <v>1690</v>
      </c>
      <c r="D942" s="44" t="s">
        <v>1691</v>
      </c>
      <c r="E942" s="44"/>
      <c r="F942" s="45">
        <v>40805.389444444445</v>
      </c>
      <c r="G942" s="46">
        <v>84</v>
      </c>
      <c r="H942" s="47">
        <v>43375</v>
      </c>
      <c r="I942" s="47">
        <v>43386</v>
      </c>
      <c r="J942" s="46">
        <v>1860236</v>
      </c>
      <c r="K942" s="46">
        <v>0</v>
      </c>
      <c r="L942" s="46">
        <v>0</v>
      </c>
      <c r="M942" s="46">
        <f t="shared" si="280"/>
        <v>1860236</v>
      </c>
      <c r="N942" s="46">
        <v>1860236</v>
      </c>
      <c r="O942" s="48">
        <f t="shared" si="281"/>
        <v>0</v>
      </c>
      <c r="P942" s="46">
        <v>0</v>
      </c>
      <c r="Q942" s="46">
        <v>1860236</v>
      </c>
      <c r="R942" s="49">
        <f t="shared" si="282"/>
        <v>1</v>
      </c>
      <c r="S942" s="50">
        <f t="shared" si="283"/>
        <v>0.01</v>
      </c>
      <c r="T942" s="49">
        <f t="shared" si="284"/>
        <v>18602.36</v>
      </c>
      <c r="U942" s="51">
        <f t="shared" si="285"/>
        <v>0</v>
      </c>
      <c r="V942" s="52">
        <f>IF(0&lt;0.8,0,IF(0&lt;1,Sheet3!L561,1))*IF(G942&lt;3,0.12 - O942,0.01) *U942</f>
        <v>0</v>
      </c>
      <c r="W942" s="52">
        <f t="shared" si="286"/>
        <v>0</v>
      </c>
      <c r="X942" s="53">
        <f t="shared" si="287"/>
        <v>0</v>
      </c>
      <c r="Y942" s="53">
        <f t="shared" si="288"/>
        <v>0</v>
      </c>
      <c r="Z942" s="54">
        <f t="shared" si="295"/>
        <v>0</v>
      </c>
      <c r="AA942" s="54">
        <f t="shared" si="289"/>
        <v>0</v>
      </c>
      <c r="AB942" s="55">
        <f t="shared" si="296"/>
        <v>0</v>
      </c>
      <c r="AC942" s="55">
        <f t="shared" si="290"/>
        <v>0</v>
      </c>
      <c r="AD942" s="56">
        <f t="shared" si="291"/>
        <v>18602.36</v>
      </c>
    </row>
    <row r="943" spans="3:30">
      <c r="C943" s="43" t="s">
        <v>1692</v>
      </c>
      <c r="D943" s="44" t="s">
        <v>1693</v>
      </c>
      <c r="E943" s="44"/>
      <c r="F943" s="45">
        <v>40820.571296296293</v>
      </c>
      <c r="G943" s="46">
        <v>83</v>
      </c>
      <c r="H943" s="47">
        <v>43419</v>
      </c>
      <c r="I943" s="47">
        <v>43438</v>
      </c>
      <c r="J943" s="46">
        <v>33182089</v>
      </c>
      <c r="K943" s="46">
        <v>1741120</v>
      </c>
      <c r="L943" s="46">
        <v>0</v>
      </c>
      <c r="M943" s="46">
        <f t="shared" si="280"/>
        <v>31440969</v>
      </c>
      <c r="N943" s="46">
        <v>54546568</v>
      </c>
      <c r="O943" s="48">
        <f t="shared" si="281"/>
        <v>0.42359400136778547</v>
      </c>
      <c r="P943" s="46">
        <v>0</v>
      </c>
      <c r="Q943" s="46">
        <v>33182089</v>
      </c>
      <c r="R943" s="49">
        <f t="shared" si="282"/>
        <v>1</v>
      </c>
      <c r="S943" s="50">
        <f t="shared" si="283"/>
        <v>0.01</v>
      </c>
      <c r="T943" s="49">
        <f t="shared" si="284"/>
        <v>314409.69</v>
      </c>
      <c r="U943" s="51">
        <f t="shared" si="285"/>
        <v>0</v>
      </c>
      <c r="V943" s="52">
        <f>IF(0&lt;0.8,0,IF(0&lt;1,Sheet3!L561,1))*IF(G943&lt;3,0.12 - O943,0.01) *U943</f>
        <v>0</v>
      </c>
      <c r="W943" s="52">
        <f t="shared" si="286"/>
        <v>0</v>
      </c>
      <c r="X943" s="53">
        <f t="shared" si="287"/>
        <v>0</v>
      </c>
      <c r="Y943" s="53">
        <f t="shared" si="288"/>
        <v>0</v>
      </c>
      <c r="Z943" s="54">
        <f t="shared" si="295"/>
        <v>0</v>
      </c>
      <c r="AA943" s="54">
        <f t="shared" si="289"/>
        <v>0</v>
      </c>
      <c r="AB943" s="55">
        <f t="shared" si="296"/>
        <v>0</v>
      </c>
      <c r="AC943" s="55">
        <f t="shared" si="290"/>
        <v>0</v>
      </c>
      <c r="AD943" s="56">
        <f t="shared" si="291"/>
        <v>314409.69</v>
      </c>
    </row>
    <row r="944" spans="3:30">
      <c r="C944" s="43" t="s">
        <v>1694</v>
      </c>
      <c r="D944" s="44" t="s">
        <v>1695</v>
      </c>
      <c r="E944" s="44"/>
      <c r="F944" s="45">
        <v>40820.657627314817</v>
      </c>
      <c r="G944" s="46">
        <v>83</v>
      </c>
      <c r="H944" s="47">
        <v>43377</v>
      </c>
      <c r="I944" s="47">
        <v>43385</v>
      </c>
      <c r="J944" s="46">
        <v>528004</v>
      </c>
      <c r="K944" s="46">
        <v>0</v>
      </c>
      <c r="L944" s="46">
        <v>0</v>
      </c>
      <c r="M944" s="46">
        <f t="shared" si="280"/>
        <v>528004</v>
      </c>
      <c r="N944" s="46">
        <v>528004</v>
      </c>
      <c r="O944" s="48">
        <f t="shared" si="281"/>
        <v>0</v>
      </c>
      <c r="P944" s="46">
        <v>0</v>
      </c>
      <c r="Q944" s="46">
        <v>528004</v>
      </c>
      <c r="R944" s="49">
        <f t="shared" si="282"/>
        <v>1</v>
      </c>
      <c r="S944" s="50">
        <f t="shared" si="283"/>
        <v>0.01</v>
      </c>
      <c r="T944" s="49">
        <f t="shared" si="284"/>
        <v>5280.04</v>
      </c>
      <c r="U944" s="51">
        <f t="shared" si="285"/>
        <v>0</v>
      </c>
      <c r="V944" s="52">
        <f>IF(0&lt;0.8,0,IF(0&lt;1,Sheet3!L561,1))*IF(G944&lt;3,0.12 - O944,0.01) *U944</f>
        <v>0</v>
      </c>
      <c r="W944" s="52">
        <f t="shared" si="286"/>
        <v>0</v>
      </c>
      <c r="X944" s="53">
        <f t="shared" si="287"/>
        <v>0</v>
      </c>
      <c r="Y944" s="53">
        <f t="shared" si="288"/>
        <v>0</v>
      </c>
      <c r="Z944" s="54">
        <f t="shared" si="295"/>
        <v>0</v>
      </c>
      <c r="AA944" s="54">
        <f t="shared" si="289"/>
        <v>0</v>
      </c>
      <c r="AB944" s="55">
        <f t="shared" si="296"/>
        <v>0</v>
      </c>
      <c r="AC944" s="55">
        <f t="shared" si="290"/>
        <v>0</v>
      </c>
      <c r="AD944" s="56">
        <f t="shared" si="291"/>
        <v>5280.04</v>
      </c>
    </row>
    <row r="945" spans="3:30">
      <c r="C945" s="43" t="s">
        <v>1696</v>
      </c>
      <c r="D945" s="44" t="s">
        <v>1697</v>
      </c>
      <c r="E945" s="44"/>
      <c r="F945" s="45">
        <v>40828.756157407406</v>
      </c>
      <c r="G945" s="46">
        <v>83</v>
      </c>
      <c r="H945" s="47">
        <v>43375</v>
      </c>
      <c r="I945" s="47">
        <v>43400</v>
      </c>
      <c r="J945" s="46">
        <v>209872</v>
      </c>
      <c r="K945" s="46">
        <v>0</v>
      </c>
      <c r="L945" s="46">
        <v>0</v>
      </c>
      <c r="M945" s="46">
        <f t="shared" si="280"/>
        <v>209872</v>
      </c>
      <c r="N945" s="46">
        <v>209872</v>
      </c>
      <c r="O945" s="48">
        <f t="shared" si="281"/>
        <v>0</v>
      </c>
      <c r="P945" s="46">
        <v>0</v>
      </c>
      <c r="Q945" s="46">
        <v>209872</v>
      </c>
      <c r="R945" s="49">
        <f t="shared" si="282"/>
        <v>1</v>
      </c>
      <c r="S945" s="50">
        <f t="shared" si="283"/>
        <v>0.01</v>
      </c>
      <c r="T945" s="49">
        <f t="shared" si="284"/>
        <v>2098.7200000000003</v>
      </c>
      <c r="U945" s="51">
        <f t="shared" si="285"/>
        <v>0</v>
      </c>
      <c r="V945" s="52">
        <f>IF(0&lt;0.8,0,IF(0&lt;1,Sheet3!L561,1))*IF(G945&lt;3,0.12 - O945,0.01) *U945</f>
        <v>0</v>
      </c>
      <c r="W945" s="52">
        <f t="shared" si="286"/>
        <v>0</v>
      </c>
      <c r="X945" s="53">
        <f t="shared" si="287"/>
        <v>0</v>
      </c>
      <c r="Y945" s="53">
        <f t="shared" si="288"/>
        <v>0</v>
      </c>
      <c r="Z945" s="54">
        <f t="shared" si="295"/>
        <v>0</v>
      </c>
      <c r="AA945" s="54">
        <f t="shared" si="289"/>
        <v>0</v>
      </c>
      <c r="AB945" s="55">
        <f t="shared" si="296"/>
        <v>0</v>
      </c>
      <c r="AC945" s="55">
        <f t="shared" si="290"/>
        <v>0</v>
      </c>
      <c r="AD945" s="56">
        <f t="shared" si="291"/>
        <v>2098.7200000000003</v>
      </c>
    </row>
    <row r="946" spans="3:30">
      <c r="C946" s="43" t="s">
        <v>1698</v>
      </c>
      <c r="D946" s="44" t="s">
        <v>1699</v>
      </c>
      <c r="E946" s="44"/>
      <c r="F946" s="45">
        <v>40843.641331018516</v>
      </c>
      <c r="G946" s="46">
        <v>83</v>
      </c>
      <c r="H946" s="47">
        <v>43381</v>
      </c>
      <c r="I946" s="47">
        <v>43398</v>
      </c>
      <c r="J946" s="46">
        <v>1885121</v>
      </c>
      <c r="K946" s="46">
        <v>0</v>
      </c>
      <c r="L946" s="46">
        <v>0</v>
      </c>
      <c r="M946" s="46">
        <f t="shared" si="280"/>
        <v>1885121</v>
      </c>
      <c r="N946" s="46">
        <v>1885121</v>
      </c>
      <c r="O946" s="48">
        <f t="shared" si="281"/>
        <v>0</v>
      </c>
      <c r="P946" s="46">
        <v>0</v>
      </c>
      <c r="Q946" s="46">
        <v>1885121</v>
      </c>
      <c r="R946" s="49">
        <f t="shared" si="282"/>
        <v>1</v>
      </c>
      <c r="S946" s="50">
        <f t="shared" si="283"/>
        <v>0.01</v>
      </c>
      <c r="T946" s="49">
        <f t="shared" si="284"/>
        <v>18851.21</v>
      </c>
      <c r="U946" s="51">
        <f t="shared" si="285"/>
        <v>0</v>
      </c>
      <c r="V946" s="52">
        <f>IF(0&lt;0.8,0,IF(0&lt;1,Sheet3!L561,1))*IF(G946&lt;3,0.12 - O946,0.01) *U946</f>
        <v>0</v>
      </c>
      <c r="W946" s="52">
        <f t="shared" si="286"/>
        <v>0</v>
      </c>
      <c r="X946" s="53">
        <f t="shared" si="287"/>
        <v>0</v>
      </c>
      <c r="Y946" s="53">
        <f t="shared" si="288"/>
        <v>0</v>
      </c>
      <c r="Z946" s="54">
        <f t="shared" si="295"/>
        <v>0</v>
      </c>
      <c r="AA946" s="54">
        <f t="shared" si="289"/>
        <v>0</v>
      </c>
      <c r="AB946" s="55">
        <f t="shared" si="296"/>
        <v>0</v>
      </c>
      <c r="AC946" s="55">
        <f t="shared" si="290"/>
        <v>0</v>
      </c>
      <c r="AD946" s="56">
        <f t="shared" si="291"/>
        <v>18851.21</v>
      </c>
    </row>
    <row r="947" spans="3:30">
      <c r="C947" s="43" t="s">
        <v>1700</v>
      </c>
      <c r="D947" s="44" t="s">
        <v>1701</v>
      </c>
      <c r="E947" s="44"/>
      <c r="F947" s="45">
        <v>40859.692245370366</v>
      </c>
      <c r="G947" s="46">
        <v>82</v>
      </c>
      <c r="H947" s="47">
        <v>43379</v>
      </c>
      <c r="I947" s="47">
        <v>43396</v>
      </c>
      <c r="J947" s="46">
        <v>951599</v>
      </c>
      <c r="K947" s="46">
        <v>0</v>
      </c>
      <c r="L947" s="46">
        <v>0</v>
      </c>
      <c r="M947" s="46">
        <f t="shared" ref="M947:M1010" si="297">IFERROR(J947-K947-L947,0)</f>
        <v>951599</v>
      </c>
      <c r="N947" s="46">
        <v>951599</v>
      </c>
      <c r="O947" s="48">
        <f t="shared" ref="O947:O1010" si="298">IFERROR(IF(1 - M947/N947&lt;0,0,1-M947/N947),0)</f>
        <v>0</v>
      </c>
      <c r="P947" s="46">
        <v>0</v>
      </c>
      <c r="Q947" s="46">
        <v>951599</v>
      </c>
      <c r="R947" s="49">
        <f t="shared" ref="R947:R1010" si="299">IF(F947&lt;DATEVALUE("2018-07-01"),1,0)</f>
        <v>1</v>
      </c>
      <c r="S947" s="50">
        <f t="shared" ref="S947:S1010" si="300">IF(R947=1,1%,0)</f>
        <v>0.01</v>
      </c>
      <c r="T947" s="49">
        <f t="shared" ref="T947:T1010" si="301">IFERROR(S947*M947,0)</f>
        <v>9515.99</v>
      </c>
      <c r="U947" s="51">
        <f t="shared" ref="U947:U1010" si="302">IF(O947&lt;=0.12,1,0)*(1-R947)*M947</f>
        <v>0</v>
      </c>
      <c r="V947" s="52">
        <f>IF(0&lt;0.8,0,IF(0&lt;1,Sheet3!L561,1))*IF(G947&lt;3,0.12 - O947,0.01) *U947</f>
        <v>0</v>
      </c>
      <c r="W947" s="52">
        <f t="shared" ref="W947:W1010" si="303">IF(0&gt;1,IF(0&lt;=1.1,1,IF(0&lt;=1.2,2,IF(0&lt;=1.5,3,5))),0) * 1000000</f>
        <v>0</v>
      </c>
      <c r="X947" s="53">
        <f t="shared" ref="X947:X1010" si="304">IF(AND(P947&gt;=150000000,P947&lt;300000000),5000000,IF(AND(P947&gt;=300000000,P947&lt;500000000),10000000,IF(AND(P947&gt;=300000000,P947&lt;500000000),15000000,IF(AND(P947&gt;=500000000,P947&lt;3000000000),20000000,IF(P947&gt;=30000000000,35000000,0))))) * (1-R947)</f>
        <v>0</v>
      </c>
      <c r="Y947" s="53">
        <f t="shared" ref="Y947:Y1010" si="305">IFERROR(Q947 * (1-R947),0)</f>
        <v>0</v>
      </c>
      <c r="Z947" s="54">
        <f t="shared" si="295"/>
        <v>0</v>
      </c>
      <c r="AA947" s="54">
        <f t="shared" ref="AA947:AA1010" si="306">IFERROR((1-R947) * Z947 * 2%,0)</f>
        <v>0</v>
      </c>
      <c r="AB947" s="55">
        <f t="shared" si="296"/>
        <v>0</v>
      </c>
      <c r="AC947" s="55">
        <f t="shared" ref="AC947:AC1010" si="307">IFERROR(AB947 * (1-R947) * 2%,0)</f>
        <v>0</v>
      </c>
      <c r="AD947" s="56">
        <f t="shared" ref="AD947:AD1010" si="308">T947+V947+W947+X947+AA947+AC947</f>
        <v>9515.99</v>
      </c>
    </row>
    <row r="948" spans="3:30">
      <c r="C948" s="43" t="s">
        <v>1702</v>
      </c>
      <c r="D948" s="44" t="s">
        <v>1703</v>
      </c>
      <c r="E948" s="44"/>
      <c r="F948" s="45">
        <v>40862.695810185185</v>
      </c>
      <c r="G948" s="46">
        <v>82</v>
      </c>
      <c r="H948" s="47">
        <v>43376</v>
      </c>
      <c r="I948" s="47">
        <v>43420</v>
      </c>
      <c r="J948" s="46">
        <v>3018777</v>
      </c>
      <c r="K948" s="46">
        <v>0</v>
      </c>
      <c r="L948" s="46">
        <v>0</v>
      </c>
      <c r="M948" s="46">
        <f t="shared" si="297"/>
        <v>3018777</v>
      </c>
      <c r="N948" s="46">
        <v>3018777</v>
      </c>
      <c r="O948" s="48">
        <f t="shared" si="298"/>
        <v>0</v>
      </c>
      <c r="P948" s="46">
        <v>0</v>
      </c>
      <c r="Q948" s="46">
        <v>3018777</v>
      </c>
      <c r="R948" s="49">
        <f t="shared" si="299"/>
        <v>1</v>
      </c>
      <c r="S948" s="50">
        <f t="shared" si="300"/>
        <v>0.01</v>
      </c>
      <c r="T948" s="49">
        <f t="shared" si="301"/>
        <v>30187.77</v>
      </c>
      <c r="U948" s="51">
        <f t="shared" si="302"/>
        <v>0</v>
      </c>
      <c r="V948" s="52">
        <f>IF(0&lt;0.8,0,IF(0&lt;1,Sheet3!L561,1))*IF(G948&lt;3,0.12 - O948,0.01) *U948</f>
        <v>0</v>
      </c>
      <c r="W948" s="52">
        <f t="shared" si="303"/>
        <v>0</v>
      </c>
      <c r="X948" s="53">
        <f t="shared" si="304"/>
        <v>0</v>
      </c>
      <c r="Y948" s="53">
        <f t="shared" si="305"/>
        <v>0</v>
      </c>
      <c r="Z948" s="54">
        <f t="shared" si="295"/>
        <v>0</v>
      </c>
      <c r="AA948" s="54">
        <f t="shared" si="306"/>
        <v>0</v>
      </c>
      <c r="AB948" s="55">
        <f t="shared" si="296"/>
        <v>0</v>
      </c>
      <c r="AC948" s="55">
        <f t="shared" si="307"/>
        <v>0</v>
      </c>
      <c r="AD948" s="56">
        <f t="shared" si="308"/>
        <v>30187.77</v>
      </c>
    </row>
    <row r="949" spans="3:30">
      <c r="C949" s="43" t="s">
        <v>1704</v>
      </c>
      <c r="D949" s="44" t="s">
        <v>1705</v>
      </c>
      <c r="E949" s="44"/>
      <c r="F949" s="45">
        <v>40885.668553240735</v>
      </c>
      <c r="G949" s="46">
        <v>81</v>
      </c>
      <c r="H949" s="47">
        <v>43377</v>
      </c>
      <c r="I949" s="47">
        <v>43385</v>
      </c>
      <c r="J949" s="46">
        <v>75035</v>
      </c>
      <c r="K949" s="46">
        <v>0</v>
      </c>
      <c r="L949" s="46">
        <v>0</v>
      </c>
      <c r="M949" s="46">
        <f t="shared" si="297"/>
        <v>75035</v>
      </c>
      <c r="N949" s="46">
        <v>75035</v>
      </c>
      <c r="O949" s="48">
        <f t="shared" si="298"/>
        <v>0</v>
      </c>
      <c r="P949" s="46">
        <v>0</v>
      </c>
      <c r="Q949" s="46">
        <v>75035</v>
      </c>
      <c r="R949" s="49">
        <f t="shared" si="299"/>
        <v>1</v>
      </c>
      <c r="S949" s="50">
        <f t="shared" si="300"/>
        <v>0.01</v>
      </c>
      <c r="T949" s="49">
        <f t="shared" si="301"/>
        <v>750.35</v>
      </c>
      <c r="U949" s="51">
        <f t="shared" si="302"/>
        <v>0</v>
      </c>
      <c r="V949" s="52">
        <f>IF(0&lt;0.8,0,IF(0&lt;1,Sheet3!L561,1))*IF(G949&lt;3,0.12 - O949,0.01) *U949</f>
        <v>0</v>
      </c>
      <c r="W949" s="52">
        <f t="shared" si="303"/>
        <v>0</v>
      </c>
      <c r="X949" s="53">
        <f t="shared" si="304"/>
        <v>0</v>
      </c>
      <c r="Y949" s="53">
        <f t="shared" si="305"/>
        <v>0</v>
      </c>
      <c r="Z949" s="54">
        <f t="shared" si="295"/>
        <v>0</v>
      </c>
      <c r="AA949" s="54">
        <f t="shared" si="306"/>
        <v>0</v>
      </c>
      <c r="AB949" s="55">
        <f t="shared" si="296"/>
        <v>0</v>
      </c>
      <c r="AC949" s="55">
        <f t="shared" si="307"/>
        <v>0</v>
      </c>
      <c r="AD949" s="56">
        <f t="shared" si="308"/>
        <v>750.35</v>
      </c>
    </row>
    <row r="950" spans="3:30">
      <c r="C950" s="43" t="s">
        <v>1706</v>
      </c>
      <c r="D950" s="44" t="s">
        <v>1707</v>
      </c>
      <c r="E950" s="44"/>
      <c r="F950" s="45">
        <v>40898.612083333333</v>
      </c>
      <c r="G950" s="46">
        <v>81</v>
      </c>
      <c r="H950" s="47">
        <v>43389</v>
      </c>
      <c r="I950" s="47">
        <v>43403</v>
      </c>
      <c r="J950" s="46">
        <v>13425717</v>
      </c>
      <c r="K950" s="46">
        <v>198440</v>
      </c>
      <c r="L950" s="46">
        <v>0</v>
      </c>
      <c r="M950" s="46">
        <f t="shared" si="297"/>
        <v>13227277</v>
      </c>
      <c r="N950" s="46">
        <v>13425717</v>
      </c>
      <c r="O950" s="48">
        <f t="shared" si="298"/>
        <v>1.4780588627035685E-2</v>
      </c>
      <c r="P950" s="46">
        <v>0</v>
      </c>
      <c r="Q950" s="46">
        <v>13425717</v>
      </c>
      <c r="R950" s="49">
        <f t="shared" si="299"/>
        <v>1</v>
      </c>
      <c r="S950" s="50">
        <f t="shared" si="300"/>
        <v>0.01</v>
      </c>
      <c r="T950" s="49">
        <f t="shared" si="301"/>
        <v>132272.76999999999</v>
      </c>
      <c r="U950" s="51">
        <f t="shared" si="302"/>
        <v>0</v>
      </c>
      <c r="V950" s="52">
        <f>IF(0&lt;0.8,0,IF(0&lt;1,Sheet3!L561,1))*IF(G950&lt;3,0.12 - O950,0.01) *U950</f>
        <v>0</v>
      </c>
      <c r="W950" s="52">
        <f t="shared" si="303"/>
        <v>0</v>
      </c>
      <c r="X950" s="53">
        <f t="shared" si="304"/>
        <v>0</v>
      </c>
      <c r="Y950" s="53">
        <f t="shared" si="305"/>
        <v>0</v>
      </c>
      <c r="Z950" s="54">
        <f t="shared" si="295"/>
        <v>0</v>
      </c>
      <c r="AA950" s="54">
        <f t="shared" si="306"/>
        <v>0</v>
      </c>
      <c r="AB950" s="55">
        <f t="shared" si="296"/>
        <v>0</v>
      </c>
      <c r="AC950" s="55">
        <f t="shared" si="307"/>
        <v>0</v>
      </c>
      <c r="AD950" s="56">
        <f t="shared" si="308"/>
        <v>132272.76999999999</v>
      </c>
    </row>
    <row r="951" spans="3:30">
      <c r="C951" s="43" t="s">
        <v>1708</v>
      </c>
      <c r="D951" s="44" t="s">
        <v>1709</v>
      </c>
      <c r="E951" s="44"/>
      <c r="F951" s="45">
        <v>40911.630173611113</v>
      </c>
      <c r="G951" s="46">
        <v>80</v>
      </c>
      <c r="H951" s="47">
        <v>43379</v>
      </c>
      <c r="I951" s="47">
        <v>43437</v>
      </c>
      <c r="J951" s="46">
        <v>16879874</v>
      </c>
      <c r="K951" s="46">
        <v>0</v>
      </c>
      <c r="L951" s="46">
        <v>0</v>
      </c>
      <c r="M951" s="46">
        <f t="shared" si="297"/>
        <v>16879874</v>
      </c>
      <c r="N951" s="46">
        <v>28564025</v>
      </c>
      <c r="O951" s="48">
        <f t="shared" si="298"/>
        <v>0.40905128041303707</v>
      </c>
      <c r="P951" s="46">
        <v>0</v>
      </c>
      <c r="Q951" s="46">
        <v>16879874</v>
      </c>
      <c r="R951" s="49">
        <f t="shared" si="299"/>
        <v>1</v>
      </c>
      <c r="S951" s="50">
        <f t="shared" si="300"/>
        <v>0.01</v>
      </c>
      <c r="T951" s="49">
        <f t="shared" si="301"/>
        <v>168798.74</v>
      </c>
      <c r="U951" s="51">
        <f t="shared" si="302"/>
        <v>0</v>
      </c>
      <c r="V951" s="52">
        <f>IF(0&lt;0.8,0,IF(0&lt;1,Sheet3!L561,1))*IF(G951&lt;3,0.12 - O951,0.01) *U951</f>
        <v>0</v>
      </c>
      <c r="W951" s="52">
        <f t="shared" si="303"/>
        <v>0</v>
      </c>
      <c r="X951" s="53">
        <f t="shared" si="304"/>
        <v>0</v>
      </c>
      <c r="Y951" s="53">
        <f t="shared" si="305"/>
        <v>0</v>
      </c>
      <c r="Z951" s="54">
        <f t="shared" si="295"/>
        <v>0</v>
      </c>
      <c r="AA951" s="54">
        <f t="shared" si="306"/>
        <v>0</v>
      </c>
      <c r="AB951" s="55">
        <f t="shared" si="296"/>
        <v>0</v>
      </c>
      <c r="AC951" s="55">
        <f t="shared" si="307"/>
        <v>0</v>
      </c>
      <c r="AD951" s="56">
        <f t="shared" si="308"/>
        <v>168798.74</v>
      </c>
    </row>
    <row r="952" spans="3:30">
      <c r="C952" s="43" t="s">
        <v>1710</v>
      </c>
      <c r="D952" s="44" t="s">
        <v>1651</v>
      </c>
      <c r="E952" s="44"/>
      <c r="F952" s="45">
        <v>40953.596249999995</v>
      </c>
      <c r="G952" s="46">
        <v>79</v>
      </c>
      <c r="H952" s="47">
        <v>43381</v>
      </c>
      <c r="I952" s="47">
        <v>43441</v>
      </c>
      <c r="J952" s="46">
        <v>536731</v>
      </c>
      <c r="K952" s="46">
        <v>0</v>
      </c>
      <c r="L952" s="46">
        <v>0</v>
      </c>
      <c r="M952" s="46">
        <f t="shared" si="297"/>
        <v>536731</v>
      </c>
      <c r="N952" s="46">
        <v>536731</v>
      </c>
      <c r="O952" s="48">
        <f t="shared" si="298"/>
        <v>0</v>
      </c>
      <c r="P952" s="46">
        <v>0</v>
      </c>
      <c r="Q952" s="46">
        <v>536731</v>
      </c>
      <c r="R952" s="49">
        <f t="shared" si="299"/>
        <v>1</v>
      </c>
      <c r="S952" s="50">
        <f t="shared" si="300"/>
        <v>0.01</v>
      </c>
      <c r="T952" s="49">
        <f t="shared" si="301"/>
        <v>5367.31</v>
      </c>
      <c r="U952" s="51">
        <f t="shared" si="302"/>
        <v>0</v>
      </c>
      <c r="V952" s="52">
        <f>IF(0&lt;0.8,0,IF(0&lt;1,Sheet3!L561,1))*IF(G952&lt;3,0.12 - O952,0.01) *U952</f>
        <v>0</v>
      </c>
      <c r="W952" s="52">
        <f t="shared" si="303"/>
        <v>0</v>
      </c>
      <c r="X952" s="53">
        <f t="shared" si="304"/>
        <v>0</v>
      </c>
      <c r="Y952" s="53">
        <f t="shared" si="305"/>
        <v>0</v>
      </c>
      <c r="Z952" s="54">
        <f t="shared" si="295"/>
        <v>0</v>
      </c>
      <c r="AA952" s="54">
        <f t="shared" si="306"/>
        <v>0</v>
      </c>
      <c r="AB952" s="55">
        <f t="shared" si="296"/>
        <v>0</v>
      </c>
      <c r="AC952" s="55">
        <f t="shared" si="307"/>
        <v>0</v>
      </c>
      <c r="AD952" s="56">
        <f t="shared" si="308"/>
        <v>5367.31</v>
      </c>
    </row>
    <row r="953" spans="3:30">
      <c r="C953" s="43" t="s">
        <v>1711</v>
      </c>
      <c r="D953" s="44" t="s">
        <v>1712</v>
      </c>
      <c r="E953" s="44"/>
      <c r="F953" s="45">
        <v>40960.411944444444</v>
      </c>
      <c r="G953" s="46">
        <v>79</v>
      </c>
      <c r="H953" s="47">
        <v>43390</v>
      </c>
      <c r="I953" s="47">
        <v>43400</v>
      </c>
      <c r="J953" s="46">
        <v>4441368</v>
      </c>
      <c r="K953" s="46">
        <v>1830241</v>
      </c>
      <c r="L953" s="46">
        <v>0</v>
      </c>
      <c r="M953" s="46">
        <f t="shared" si="297"/>
        <v>2611127</v>
      </c>
      <c r="N953" s="46">
        <v>4441368</v>
      </c>
      <c r="O953" s="48">
        <f t="shared" si="298"/>
        <v>0.41208947333344137</v>
      </c>
      <c r="P953" s="46">
        <v>0</v>
      </c>
      <c r="Q953" s="46">
        <v>4441368</v>
      </c>
      <c r="R953" s="49">
        <f t="shared" si="299"/>
        <v>1</v>
      </c>
      <c r="S953" s="50">
        <f t="shared" si="300"/>
        <v>0.01</v>
      </c>
      <c r="T953" s="49">
        <f t="shared" si="301"/>
        <v>26111.27</v>
      </c>
      <c r="U953" s="51">
        <f t="shared" si="302"/>
        <v>0</v>
      </c>
      <c r="V953" s="52">
        <f>IF(0&lt;0.8,0,IF(0&lt;1,Sheet3!L561,1))*IF(G953&lt;3,0.12 - O953,0.01) *U953</f>
        <v>0</v>
      </c>
      <c r="W953" s="52">
        <f t="shared" si="303"/>
        <v>0</v>
      </c>
      <c r="X953" s="53">
        <f t="shared" si="304"/>
        <v>0</v>
      </c>
      <c r="Y953" s="53">
        <f t="shared" si="305"/>
        <v>0</v>
      </c>
      <c r="Z953" s="54">
        <f t="shared" si="295"/>
        <v>0</v>
      </c>
      <c r="AA953" s="54">
        <f t="shared" si="306"/>
        <v>0</v>
      </c>
      <c r="AB953" s="55">
        <f t="shared" si="296"/>
        <v>0</v>
      </c>
      <c r="AC953" s="55">
        <f t="shared" si="307"/>
        <v>0</v>
      </c>
      <c r="AD953" s="56">
        <f t="shared" si="308"/>
        <v>26111.27</v>
      </c>
    </row>
    <row r="954" spans="3:30">
      <c r="C954" s="43" t="s">
        <v>1713</v>
      </c>
      <c r="D954" s="44" t="s">
        <v>1714</v>
      </c>
      <c r="E954" s="44"/>
      <c r="F954" s="45">
        <v>40960.416261574072</v>
      </c>
      <c r="G954" s="46">
        <v>79</v>
      </c>
      <c r="H954" s="47">
        <v>43379</v>
      </c>
      <c r="I954" s="47">
        <v>43315</v>
      </c>
      <c r="J954" s="46">
        <v>4587393</v>
      </c>
      <c r="K954" s="46">
        <v>568678</v>
      </c>
      <c r="L954" s="46">
        <v>0</v>
      </c>
      <c r="M954" s="46">
        <f t="shared" si="297"/>
        <v>4018715</v>
      </c>
      <c r="N954" s="46">
        <v>4587393</v>
      </c>
      <c r="O954" s="48">
        <f t="shared" si="298"/>
        <v>0.1239653982120128</v>
      </c>
      <c r="P954" s="46">
        <v>0</v>
      </c>
      <c r="Q954" s="46">
        <v>4587393</v>
      </c>
      <c r="R954" s="49">
        <f t="shared" si="299"/>
        <v>1</v>
      </c>
      <c r="S954" s="50">
        <f t="shared" si="300"/>
        <v>0.01</v>
      </c>
      <c r="T954" s="49">
        <f t="shared" si="301"/>
        <v>40187.15</v>
      </c>
      <c r="U954" s="51">
        <f t="shared" si="302"/>
        <v>0</v>
      </c>
      <c r="V954" s="52">
        <f>IF(0&lt;0.8,0,IF(0&lt;1,Sheet3!L561,1))*IF(G954&lt;3,0.12 - O954,0.01) *U954</f>
        <v>0</v>
      </c>
      <c r="W954" s="52">
        <f t="shared" si="303"/>
        <v>0</v>
      </c>
      <c r="X954" s="53">
        <f t="shared" si="304"/>
        <v>0</v>
      </c>
      <c r="Y954" s="53">
        <f t="shared" si="305"/>
        <v>0</v>
      </c>
      <c r="Z954" s="54">
        <f t="shared" si="295"/>
        <v>0</v>
      </c>
      <c r="AA954" s="54">
        <f t="shared" si="306"/>
        <v>0</v>
      </c>
      <c r="AB954" s="55">
        <f t="shared" si="296"/>
        <v>0</v>
      </c>
      <c r="AC954" s="55">
        <f t="shared" si="307"/>
        <v>0</v>
      </c>
      <c r="AD954" s="56">
        <f t="shared" si="308"/>
        <v>40187.15</v>
      </c>
    </row>
    <row r="955" spans="3:30">
      <c r="C955" s="43" t="s">
        <v>1715</v>
      </c>
      <c r="D955" s="44" t="s">
        <v>1716</v>
      </c>
      <c r="E955" s="44"/>
      <c r="F955" s="45">
        <v>40968.436782407407</v>
      </c>
      <c r="G955" s="46">
        <v>79</v>
      </c>
      <c r="H955" s="47">
        <v>43381</v>
      </c>
      <c r="I955" s="47">
        <v>43399</v>
      </c>
      <c r="J955" s="46">
        <v>2522887</v>
      </c>
      <c r="K955" s="46">
        <v>486609</v>
      </c>
      <c r="L955" s="46">
        <v>0</v>
      </c>
      <c r="M955" s="46">
        <f t="shared" si="297"/>
        <v>2036278</v>
      </c>
      <c r="N955" s="46">
        <v>2522887</v>
      </c>
      <c r="O955" s="48">
        <f t="shared" si="298"/>
        <v>0.19287784193267477</v>
      </c>
      <c r="P955" s="46">
        <v>0</v>
      </c>
      <c r="Q955" s="46">
        <v>2522887</v>
      </c>
      <c r="R955" s="49">
        <f t="shared" si="299"/>
        <v>1</v>
      </c>
      <c r="S955" s="50">
        <f t="shared" si="300"/>
        <v>0.01</v>
      </c>
      <c r="T955" s="49">
        <f t="shared" si="301"/>
        <v>20362.78</v>
      </c>
      <c r="U955" s="51">
        <f t="shared" si="302"/>
        <v>0</v>
      </c>
      <c r="V955" s="52">
        <f>IF(0&lt;0.8,0,IF(0&lt;1,Sheet3!L561,1))*IF(G955&lt;3,0.12 - O955,0.01) *U955</f>
        <v>0</v>
      </c>
      <c r="W955" s="52">
        <f t="shared" si="303"/>
        <v>0</v>
      </c>
      <c r="X955" s="53">
        <f t="shared" si="304"/>
        <v>0</v>
      </c>
      <c r="Y955" s="53">
        <f t="shared" si="305"/>
        <v>0</v>
      </c>
      <c r="Z955" s="54">
        <f t="shared" si="295"/>
        <v>0</v>
      </c>
      <c r="AA955" s="54">
        <f t="shared" si="306"/>
        <v>0</v>
      </c>
      <c r="AB955" s="55">
        <f t="shared" si="296"/>
        <v>0</v>
      </c>
      <c r="AC955" s="55">
        <f t="shared" si="307"/>
        <v>0</v>
      </c>
      <c r="AD955" s="56">
        <f t="shared" si="308"/>
        <v>20362.78</v>
      </c>
    </row>
    <row r="956" spans="3:30">
      <c r="C956" s="43" t="s">
        <v>1717</v>
      </c>
      <c r="D956" s="44" t="s">
        <v>1718</v>
      </c>
      <c r="E956" s="44"/>
      <c r="F956" s="45">
        <v>40977.428460648145</v>
      </c>
      <c r="G956" s="46">
        <v>78</v>
      </c>
      <c r="H956" s="47">
        <v>43372</v>
      </c>
      <c r="I956" s="47">
        <v>43410</v>
      </c>
      <c r="J956" s="46">
        <v>7136723</v>
      </c>
      <c r="K956" s="46">
        <v>0</v>
      </c>
      <c r="L956" s="46">
        <v>0</v>
      </c>
      <c r="M956" s="46">
        <f t="shared" si="297"/>
        <v>7136723</v>
      </c>
      <c r="N956" s="46">
        <v>8486115</v>
      </c>
      <c r="O956" s="48">
        <f t="shared" si="298"/>
        <v>0.15901175037104731</v>
      </c>
      <c r="P956" s="46">
        <v>0</v>
      </c>
      <c r="Q956" s="46">
        <v>7136723</v>
      </c>
      <c r="R956" s="49">
        <f t="shared" si="299"/>
        <v>1</v>
      </c>
      <c r="S956" s="50">
        <f t="shared" si="300"/>
        <v>0.01</v>
      </c>
      <c r="T956" s="49">
        <f t="shared" si="301"/>
        <v>71367.23</v>
      </c>
      <c r="U956" s="51">
        <f t="shared" si="302"/>
        <v>0</v>
      </c>
      <c r="V956" s="52">
        <f>IF(0&lt;0.8,0,IF(0&lt;1,Sheet3!L561,1))*IF(G956&lt;3,0.12 - O956,0.01) *U956</f>
        <v>0</v>
      </c>
      <c r="W956" s="52">
        <f t="shared" si="303"/>
        <v>0</v>
      </c>
      <c r="X956" s="53">
        <f t="shared" si="304"/>
        <v>0</v>
      </c>
      <c r="Y956" s="53">
        <f t="shared" si="305"/>
        <v>0</v>
      </c>
      <c r="Z956" s="54">
        <f t="shared" si="295"/>
        <v>0</v>
      </c>
      <c r="AA956" s="54">
        <f t="shared" si="306"/>
        <v>0</v>
      </c>
      <c r="AB956" s="55">
        <f t="shared" si="296"/>
        <v>0</v>
      </c>
      <c r="AC956" s="55">
        <f t="shared" si="307"/>
        <v>0</v>
      </c>
      <c r="AD956" s="56">
        <f t="shared" si="308"/>
        <v>71367.23</v>
      </c>
    </row>
    <row r="957" spans="3:30">
      <c r="C957" s="43" t="s">
        <v>1719</v>
      </c>
      <c r="D957" s="44" t="s">
        <v>1720</v>
      </c>
      <c r="E957" s="44"/>
      <c r="F957" s="45">
        <v>40981.468414351853</v>
      </c>
      <c r="G957" s="46">
        <v>78</v>
      </c>
      <c r="H957" s="47">
        <v>43376</v>
      </c>
      <c r="I957" s="47">
        <v>43385</v>
      </c>
      <c r="J957" s="46">
        <v>351084</v>
      </c>
      <c r="K957" s="46">
        <v>0</v>
      </c>
      <c r="L957" s="46">
        <v>0</v>
      </c>
      <c r="M957" s="46">
        <f t="shared" si="297"/>
        <v>351084</v>
      </c>
      <c r="N957" s="46">
        <v>351084</v>
      </c>
      <c r="O957" s="48">
        <f t="shared" si="298"/>
        <v>0</v>
      </c>
      <c r="P957" s="46">
        <v>0</v>
      </c>
      <c r="Q957" s="46">
        <v>351084</v>
      </c>
      <c r="R957" s="49">
        <f t="shared" si="299"/>
        <v>1</v>
      </c>
      <c r="S957" s="50">
        <f t="shared" si="300"/>
        <v>0.01</v>
      </c>
      <c r="T957" s="49">
        <f t="shared" si="301"/>
        <v>3510.84</v>
      </c>
      <c r="U957" s="51">
        <f t="shared" si="302"/>
        <v>0</v>
      </c>
      <c r="V957" s="52">
        <f>IF(0&lt;0.8,0,IF(0&lt;1,Sheet3!L561,1))*IF(G957&lt;3,0.12 - O957,0.01) *U957</f>
        <v>0</v>
      </c>
      <c r="W957" s="52">
        <f t="shared" si="303"/>
        <v>0</v>
      </c>
      <c r="X957" s="53">
        <f t="shared" si="304"/>
        <v>0</v>
      </c>
      <c r="Y957" s="53">
        <f t="shared" si="305"/>
        <v>0</v>
      </c>
      <c r="Z957" s="54">
        <f t="shared" si="295"/>
        <v>0</v>
      </c>
      <c r="AA957" s="54">
        <f t="shared" si="306"/>
        <v>0</v>
      </c>
      <c r="AB957" s="55">
        <f t="shared" si="296"/>
        <v>0</v>
      </c>
      <c r="AC957" s="55">
        <f t="shared" si="307"/>
        <v>0</v>
      </c>
      <c r="AD957" s="56">
        <f t="shared" si="308"/>
        <v>3510.84</v>
      </c>
    </row>
    <row r="958" spans="3:30">
      <c r="C958" s="43" t="s">
        <v>1721</v>
      </c>
      <c r="D958" s="44" t="s">
        <v>1722</v>
      </c>
      <c r="E958" s="44"/>
      <c r="F958" s="45">
        <v>40982.612453703703</v>
      </c>
      <c r="G958" s="46">
        <v>78</v>
      </c>
      <c r="H958" s="47">
        <v>43379</v>
      </c>
      <c r="I958" s="47">
        <v>43392</v>
      </c>
      <c r="J958" s="46">
        <v>1247015</v>
      </c>
      <c r="K958" s="46">
        <v>0</v>
      </c>
      <c r="L958" s="46">
        <v>0</v>
      </c>
      <c r="M958" s="46">
        <f t="shared" si="297"/>
        <v>1247015</v>
      </c>
      <c r="N958" s="46">
        <v>1247015</v>
      </c>
      <c r="O958" s="48">
        <f t="shared" si="298"/>
        <v>0</v>
      </c>
      <c r="P958" s="46">
        <v>0</v>
      </c>
      <c r="Q958" s="46">
        <v>1247015</v>
      </c>
      <c r="R958" s="49">
        <f t="shared" si="299"/>
        <v>1</v>
      </c>
      <c r="S958" s="50">
        <f t="shared" si="300"/>
        <v>0.01</v>
      </c>
      <c r="T958" s="49">
        <f t="shared" si="301"/>
        <v>12470.15</v>
      </c>
      <c r="U958" s="51">
        <f t="shared" si="302"/>
        <v>0</v>
      </c>
      <c r="V958" s="52">
        <f>IF(0&lt;0.8,0,IF(0&lt;1,Sheet3!L561,1))*IF(G958&lt;3,0.12 - O958,0.01) *U958</f>
        <v>0</v>
      </c>
      <c r="W958" s="52">
        <f t="shared" si="303"/>
        <v>0</v>
      </c>
      <c r="X958" s="53">
        <f t="shared" si="304"/>
        <v>0</v>
      </c>
      <c r="Y958" s="53">
        <f t="shared" si="305"/>
        <v>0</v>
      </c>
      <c r="Z958" s="54">
        <f t="shared" si="295"/>
        <v>0</v>
      </c>
      <c r="AA958" s="54">
        <f t="shared" si="306"/>
        <v>0</v>
      </c>
      <c r="AB958" s="55">
        <f t="shared" si="296"/>
        <v>0</v>
      </c>
      <c r="AC958" s="55">
        <f t="shared" si="307"/>
        <v>0</v>
      </c>
      <c r="AD958" s="56">
        <f t="shared" si="308"/>
        <v>12470.15</v>
      </c>
    </row>
    <row r="959" spans="3:30">
      <c r="C959" s="43" t="s">
        <v>1723</v>
      </c>
      <c r="D959" s="44" t="s">
        <v>1724</v>
      </c>
      <c r="E959" s="44"/>
      <c r="F959" s="45">
        <v>40991.441643518519</v>
      </c>
      <c r="G959" s="46">
        <v>78</v>
      </c>
      <c r="H959" s="47">
        <v>43375</v>
      </c>
      <c r="I959" s="47">
        <v>43390</v>
      </c>
      <c r="J959" s="46">
        <v>18632418</v>
      </c>
      <c r="K959" s="46">
        <v>0</v>
      </c>
      <c r="L959" s="46">
        <v>0</v>
      </c>
      <c r="M959" s="46">
        <f t="shared" si="297"/>
        <v>18632418</v>
      </c>
      <c r="N959" s="46">
        <v>18632418</v>
      </c>
      <c r="O959" s="48">
        <f t="shared" si="298"/>
        <v>0</v>
      </c>
      <c r="P959" s="46">
        <v>0</v>
      </c>
      <c r="Q959" s="46">
        <v>18632418</v>
      </c>
      <c r="R959" s="49">
        <f t="shared" si="299"/>
        <v>1</v>
      </c>
      <c r="S959" s="50">
        <f t="shared" si="300"/>
        <v>0.01</v>
      </c>
      <c r="T959" s="49">
        <f t="shared" si="301"/>
        <v>186324.18</v>
      </c>
      <c r="U959" s="51">
        <f t="shared" si="302"/>
        <v>0</v>
      </c>
      <c r="V959" s="52">
        <f>IF(0&lt;0.8,0,IF(0&lt;1,Sheet3!L561,1))*IF(G959&lt;3,0.12 - O959,0.01) *U959</f>
        <v>0</v>
      </c>
      <c r="W959" s="52">
        <f t="shared" si="303"/>
        <v>0</v>
      </c>
      <c r="X959" s="53">
        <f t="shared" si="304"/>
        <v>0</v>
      </c>
      <c r="Y959" s="53">
        <f t="shared" si="305"/>
        <v>0</v>
      </c>
      <c r="Z959" s="54">
        <f t="shared" si="295"/>
        <v>0</v>
      </c>
      <c r="AA959" s="54">
        <f t="shared" si="306"/>
        <v>0</v>
      </c>
      <c r="AB959" s="55">
        <f t="shared" si="296"/>
        <v>0</v>
      </c>
      <c r="AC959" s="55">
        <f t="shared" si="307"/>
        <v>0</v>
      </c>
      <c r="AD959" s="56">
        <f t="shared" si="308"/>
        <v>186324.18</v>
      </c>
    </row>
    <row r="960" spans="3:30">
      <c r="C960" s="43" t="s">
        <v>1725</v>
      </c>
      <c r="D960" s="44" t="s">
        <v>1726</v>
      </c>
      <c r="E960" s="44"/>
      <c r="F960" s="45">
        <v>40991.439699074072</v>
      </c>
      <c r="G960" s="46">
        <v>78</v>
      </c>
      <c r="H960" s="47">
        <v>43372</v>
      </c>
      <c r="I960" s="47">
        <v>43397</v>
      </c>
      <c r="J960" s="46">
        <v>1776667</v>
      </c>
      <c r="K960" s="46">
        <v>0</v>
      </c>
      <c r="L960" s="46">
        <v>0</v>
      </c>
      <c r="M960" s="46">
        <f t="shared" si="297"/>
        <v>1776667</v>
      </c>
      <c r="N960" s="46">
        <v>1776667</v>
      </c>
      <c r="O960" s="48">
        <f t="shared" si="298"/>
        <v>0</v>
      </c>
      <c r="P960" s="46">
        <v>0</v>
      </c>
      <c r="Q960" s="46">
        <v>1776667</v>
      </c>
      <c r="R960" s="49">
        <f t="shared" si="299"/>
        <v>1</v>
      </c>
      <c r="S960" s="50">
        <f t="shared" si="300"/>
        <v>0.01</v>
      </c>
      <c r="T960" s="49">
        <f t="shared" si="301"/>
        <v>17766.670000000002</v>
      </c>
      <c r="U960" s="51">
        <f t="shared" si="302"/>
        <v>0</v>
      </c>
      <c r="V960" s="52">
        <f>IF(0&lt;0.8,0,IF(0&lt;1,Sheet3!L561,1))*IF(G960&lt;3,0.12 - O960,0.01) *U960</f>
        <v>0</v>
      </c>
      <c r="W960" s="52">
        <f t="shared" si="303"/>
        <v>0</v>
      </c>
      <c r="X960" s="53">
        <f t="shared" si="304"/>
        <v>0</v>
      </c>
      <c r="Y960" s="53">
        <f t="shared" si="305"/>
        <v>0</v>
      </c>
      <c r="Z960" s="54">
        <f t="shared" si="295"/>
        <v>0</v>
      </c>
      <c r="AA960" s="54">
        <f t="shared" si="306"/>
        <v>0</v>
      </c>
      <c r="AB960" s="55">
        <f t="shared" si="296"/>
        <v>0</v>
      </c>
      <c r="AC960" s="55">
        <f t="shared" si="307"/>
        <v>0</v>
      </c>
      <c r="AD960" s="56">
        <f t="shared" si="308"/>
        <v>17766.670000000002</v>
      </c>
    </row>
    <row r="961" spans="3:30">
      <c r="C961" s="43" t="s">
        <v>1727</v>
      </c>
      <c r="D961" s="44" t="s">
        <v>1728</v>
      </c>
      <c r="E961" s="44"/>
      <c r="F961" s="45">
        <v>41005.64293981481</v>
      </c>
      <c r="G961" s="46">
        <v>77</v>
      </c>
      <c r="H961" s="47" t="s">
        <v>24</v>
      </c>
      <c r="I961" s="47" t="s">
        <v>24</v>
      </c>
      <c r="J961" s="46">
        <v>782628</v>
      </c>
      <c r="K961" s="46">
        <v>0</v>
      </c>
      <c r="L961" s="46">
        <v>0</v>
      </c>
      <c r="M961" s="46">
        <f t="shared" si="297"/>
        <v>782628</v>
      </c>
      <c r="N961" s="46">
        <v>782628</v>
      </c>
      <c r="O961" s="48">
        <f t="shared" si="298"/>
        <v>0</v>
      </c>
      <c r="P961" s="46">
        <v>0</v>
      </c>
      <c r="Q961" s="46">
        <v>782628</v>
      </c>
      <c r="R961" s="49">
        <f t="shared" si="299"/>
        <v>1</v>
      </c>
      <c r="S961" s="50">
        <f t="shared" si="300"/>
        <v>0.01</v>
      </c>
      <c r="T961" s="49">
        <f t="shared" si="301"/>
        <v>7826.28</v>
      </c>
      <c r="U961" s="51">
        <f t="shared" si="302"/>
        <v>0</v>
      </c>
      <c r="V961" s="52">
        <f>IF(0&lt;0.8,0,IF(0&lt;1,Sheet3!L561,1))*IF(G961&lt;3,0.12 - O961,0.01) *U961</f>
        <v>0</v>
      </c>
      <c r="W961" s="52">
        <f t="shared" si="303"/>
        <v>0</v>
      </c>
      <c r="X961" s="53">
        <f t="shared" si="304"/>
        <v>0</v>
      </c>
      <c r="Y961" s="53">
        <f t="shared" si="305"/>
        <v>0</v>
      </c>
      <c r="Z961" s="54">
        <f t="shared" si="295"/>
        <v>0</v>
      </c>
      <c r="AA961" s="54">
        <f t="shared" si="306"/>
        <v>0</v>
      </c>
      <c r="AB961" s="55">
        <f t="shared" si="296"/>
        <v>0</v>
      </c>
      <c r="AC961" s="55">
        <f t="shared" si="307"/>
        <v>0</v>
      </c>
      <c r="AD961" s="56">
        <f t="shared" si="308"/>
        <v>7826.28</v>
      </c>
    </row>
    <row r="962" spans="3:30">
      <c r="C962" s="43" t="s">
        <v>1729</v>
      </c>
      <c r="D962" s="44" t="s">
        <v>1730</v>
      </c>
      <c r="E962" s="44"/>
      <c r="F962" s="45">
        <v>41008.679745370369</v>
      </c>
      <c r="G962" s="46">
        <v>77</v>
      </c>
      <c r="H962" s="47">
        <v>43377</v>
      </c>
      <c r="I962" s="47">
        <v>43385</v>
      </c>
      <c r="J962" s="46">
        <v>224854</v>
      </c>
      <c r="K962" s="46">
        <v>0</v>
      </c>
      <c r="L962" s="46">
        <v>0</v>
      </c>
      <c r="M962" s="46">
        <f t="shared" si="297"/>
        <v>224854</v>
      </c>
      <c r="N962" s="46">
        <v>224854</v>
      </c>
      <c r="O962" s="48">
        <f t="shared" si="298"/>
        <v>0</v>
      </c>
      <c r="P962" s="46">
        <v>0</v>
      </c>
      <c r="Q962" s="46">
        <v>224854</v>
      </c>
      <c r="R962" s="49">
        <f t="shared" si="299"/>
        <v>1</v>
      </c>
      <c r="S962" s="50">
        <f t="shared" si="300"/>
        <v>0.01</v>
      </c>
      <c r="T962" s="49">
        <f t="shared" si="301"/>
        <v>2248.54</v>
      </c>
      <c r="U962" s="51">
        <f t="shared" si="302"/>
        <v>0</v>
      </c>
      <c r="V962" s="52">
        <f>IF(0&lt;0.8,0,IF(0&lt;1,Sheet3!L561,1))*IF(G962&lt;3,0.12 - O962,0.01) *U962</f>
        <v>0</v>
      </c>
      <c r="W962" s="52">
        <f t="shared" si="303"/>
        <v>0</v>
      </c>
      <c r="X962" s="53">
        <f t="shared" si="304"/>
        <v>0</v>
      </c>
      <c r="Y962" s="53">
        <f t="shared" si="305"/>
        <v>0</v>
      </c>
      <c r="Z962" s="54">
        <f t="shared" si="295"/>
        <v>0</v>
      </c>
      <c r="AA962" s="54">
        <f t="shared" si="306"/>
        <v>0</v>
      </c>
      <c r="AB962" s="55">
        <f t="shared" si="296"/>
        <v>0</v>
      </c>
      <c r="AC962" s="55">
        <f t="shared" si="307"/>
        <v>0</v>
      </c>
      <c r="AD962" s="56">
        <f t="shared" si="308"/>
        <v>2248.54</v>
      </c>
    </row>
    <row r="963" spans="3:30">
      <c r="C963" s="43" t="s">
        <v>1731</v>
      </c>
      <c r="D963" s="44" t="s">
        <v>1732</v>
      </c>
      <c r="E963" s="44"/>
      <c r="F963" s="45">
        <v>41008.681192129625</v>
      </c>
      <c r="G963" s="46">
        <v>77</v>
      </c>
      <c r="H963" s="47">
        <v>43376</v>
      </c>
      <c r="I963" s="47">
        <v>43397</v>
      </c>
      <c r="J963" s="46">
        <v>613831</v>
      </c>
      <c r="K963" s="46">
        <v>0</v>
      </c>
      <c r="L963" s="46">
        <v>0</v>
      </c>
      <c r="M963" s="46">
        <f t="shared" si="297"/>
        <v>613831</v>
      </c>
      <c r="N963" s="46">
        <v>613831</v>
      </c>
      <c r="O963" s="48">
        <f t="shared" si="298"/>
        <v>0</v>
      </c>
      <c r="P963" s="46">
        <v>0</v>
      </c>
      <c r="Q963" s="46">
        <v>613831</v>
      </c>
      <c r="R963" s="49">
        <f t="shared" si="299"/>
        <v>1</v>
      </c>
      <c r="S963" s="50">
        <f t="shared" si="300"/>
        <v>0.01</v>
      </c>
      <c r="T963" s="49">
        <f t="shared" si="301"/>
        <v>6138.31</v>
      </c>
      <c r="U963" s="51">
        <f t="shared" si="302"/>
        <v>0</v>
      </c>
      <c r="V963" s="52">
        <f>IF(0&lt;0.8,0,IF(0&lt;1,Sheet3!L561,1))*IF(G963&lt;3,0.12 - O963,0.01) *U963</f>
        <v>0</v>
      </c>
      <c r="W963" s="52">
        <f t="shared" si="303"/>
        <v>0</v>
      </c>
      <c r="X963" s="53">
        <f t="shared" si="304"/>
        <v>0</v>
      </c>
      <c r="Y963" s="53">
        <f t="shared" si="305"/>
        <v>0</v>
      </c>
      <c r="Z963" s="54">
        <f t="shared" si="295"/>
        <v>0</v>
      </c>
      <c r="AA963" s="54">
        <f t="shared" si="306"/>
        <v>0</v>
      </c>
      <c r="AB963" s="55">
        <f t="shared" si="296"/>
        <v>0</v>
      </c>
      <c r="AC963" s="55">
        <f t="shared" si="307"/>
        <v>0</v>
      </c>
      <c r="AD963" s="56">
        <f t="shared" si="308"/>
        <v>6138.31</v>
      </c>
    </row>
    <row r="964" spans="3:30">
      <c r="C964" s="43" t="s">
        <v>1733</v>
      </c>
      <c r="D964" s="44" t="s">
        <v>1734</v>
      </c>
      <c r="E964" s="44"/>
      <c r="F964" s="45">
        <v>41017.437013888884</v>
      </c>
      <c r="G964" s="46">
        <v>77</v>
      </c>
      <c r="H964" s="47">
        <v>43377</v>
      </c>
      <c r="I964" s="47">
        <v>43391</v>
      </c>
      <c r="J964" s="46">
        <v>342541</v>
      </c>
      <c r="K964" s="46">
        <v>0</v>
      </c>
      <c r="L964" s="46">
        <v>0</v>
      </c>
      <c r="M964" s="46">
        <f t="shared" si="297"/>
        <v>342541</v>
      </c>
      <c r="N964" s="46">
        <v>342541</v>
      </c>
      <c r="O964" s="48">
        <f t="shared" si="298"/>
        <v>0</v>
      </c>
      <c r="P964" s="46">
        <v>0</v>
      </c>
      <c r="Q964" s="46">
        <v>342541</v>
      </c>
      <c r="R964" s="49">
        <f t="shared" si="299"/>
        <v>1</v>
      </c>
      <c r="S964" s="50">
        <f t="shared" si="300"/>
        <v>0.01</v>
      </c>
      <c r="T964" s="49">
        <f t="shared" si="301"/>
        <v>3425.41</v>
      </c>
      <c r="U964" s="51">
        <f t="shared" si="302"/>
        <v>0</v>
      </c>
      <c r="V964" s="52">
        <f>IF(0&lt;0.8,0,IF(0&lt;1,Sheet3!L561,1))*IF(G964&lt;3,0.12 - O964,0.01) *U964</f>
        <v>0</v>
      </c>
      <c r="W964" s="52">
        <f t="shared" si="303"/>
        <v>0</v>
      </c>
      <c r="X964" s="53">
        <f t="shared" si="304"/>
        <v>0</v>
      </c>
      <c r="Y964" s="53">
        <f t="shared" si="305"/>
        <v>0</v>
      </c>
      <c r="Z964" s="54">
        <f t="shared" si="295"/>
        <v>0</v>
      </c>
      <c r="AA964" s="54">
        <f t="shared" si="306"/>
        <v>0</v>
      </c>
      <c r="AB964" s="55">
        <f t="shared" si="296"/>
        <v>0</v>
      </c>
      <c r="AC964" s="55">
        <f t="shared" si="307"/>
        <v>0</v>
      </c>
      <c r="AD964" s="56">
        <f t="shared" si="308"/>
        <v>3425.41</v>
      </c>
    </row>
    <row r="965" spans="3:30">
      <c r="C965" s="43" t="s">
        <v>1735</v>
      </c>
      <c r="D965" s="44" t="s">
        <v>1736</v>
      </c>
      <c r="E965" s="44"/>
      <c r="F965" s="45">
        <v>41024.454837962963</v>
      </c>
      <c r="G965" s="46">
        <v>77</v>
      </c>
      <c r="H965" s="47">
        <v>43375</v>
      </c>
      <c r="I965" s="47">
        <v>43405</v>
      </c>
      <c r="J965" s="46">
        <v>1280044</v>
      </c>
      <c r="K965" s="46">
        <v>0</v>
      </c>
      <c r="L965" s="46">
        <v>0</v>
      </c>
      <c r="M965" s="46">
        <f t="shared" si="297"/>
        <v>1280044</v>
      </c>
      <c r="N965" s="46">
        <v>1280044</v>
      </c>
      <c r="O965" s="48">
        <f t="shared" si="298"/>
        <v>0</v>
      </c>
      <c r="P965" s="46">
        <v>0</v>
      </c>
      <c r="Q965" s="46">
        <v>1280044</v>
      </c>
      <c r="R965" s="49">
        <f t="shared" si="299"/>
        <v>1</v>
      </c>
      <c r="S965" s="50">
        <f t="shared" si="300"/>
        <v>0.01</v>
      </c>
      <c r="T965" s="49">
        <f t="shared" si="301"/>
        <v>12800.44</v>
      </c>
      <c r="U965" s="51">
        <f t="shared" si="302"/>
        <v>0</v>
      </c>
      <c r="V965" s="52">
        <f>IF(0&lt;0.8,0,IF(0&lt;1,Sheet3!L561,1))*IF(G965&lt;3,0.12 - O965,0.01) *U965</f>
        <v>0</v>
      </c>
      <c r="W965" s="52">
        <f t="shared" si="303"/>
        <v>0</v>
      </c>
      <c r="X965" s="53">
        <f t="shared" si="304"/>
        <v>0</v>
      </c>
      <c r="Y965" s="53">
        <f t="shared" si="305"/>
        <v>0</v>
      </c>
      <c r="Z965" s="54">
        <f t="shared" si="295"/>
        <v>0</v>
      </c>
      <c r="AA965" s="54">
        <f t="shared" si="306"/>
        <v>0</v>
      </c>
      <c r="AB965" s="55">
        <f t="shared" si="296"/>
        <v>0</v>
      </c>
      <c r="AC965" s="55">
        <f t="shared" si="307"/>
        <v>0</v>
      </c>
      <c r="AD965" s="56">
        <f t="shared" si="308"/>
        <v>12800.44</v>
      </c>
    </row>
    <row r="966" spans="3:30">
      <c r="C966" s="43" t="s">
        <v>1737</v>
      </c>
      <c r="D966" s="44" t="s">
        <v>1738</v>
      </c>
      <c r="E966" s="44"/>
      <c r="F966" s="45">
        <v>41025.62731481481</v>
      </c>
      <c r="G966" s="46">
        <v>77</v>
      </c>
      <c r="H966" s="47">
        <v>43381</v>
      </c>
      <c r="I966" s="47">
        <v>43397</v>
      </c>
      <c r="J966" s="46">
        <v>364101</v>
      </c>
      <c r="K966" s="46">
        <v>0</v>
      </c>
      <c r="L966" s="46">
        <v>0</v>
      </c>
      <c r="M966" s="46">
        <f t="shared" si="297"/>
        <v>364101</v>
      </c>
      <c r="N966" s="46">
        <v>364101</v>
      </c>
      <c r="O966" s="48">
        <f t="shared" si="298"/>
        <v>0</v>
      </c>
      <c r="P966" s="46">
        <v>0</v>
      </c>
      <c r="Q966" s="46">
        <v>364101</v>
      </c>
      <c r="R966" s="49">
        <f t="shared" si="299"/>
        <v>1</v>
      </c>
      <c r="S966" s="50">
        <f t="shared" si="300"/>
        <v>0.01</v>
      </c>
      <c r="T966" s="49">
        <f t="shared" si="301"/>
        <v>3641.01</v>
      </c>
      <c r="U966" s="51">
        <f t="shared" si="302"/>
        <v>0</v>
      </c>
      <c r="V966" s="52">
        <f>IF(0&lt;0.8,0,IF(0&lt;1,Sheet3!L561,1))*IF(G966&lt;3,0.12 - O966,0.01) *U966</f>
        <v>0</v>
      </c>
      <c r="W966" s="52">
        <f t="shared" si="303"/>
        <v>0</v>
      </c>
      <c r="X966" s="53">
        <f t="shared" si="304"/>
        <v>0</v>
      </c>
      <c r="Y966" s="53">
        <f t="shared" si="305"/>
        <v>0</v>
      </c>
      <c r="Z966" s="54">
        <f t="shared" si="295"/>
        <v>0</v>
      </c>
      <c r="AA966" s="54">
        <f t="shared" si="306"/>
        <v>0</v>
      </c>
      <c r="AB966" s="55">
        <f t="shared" si="296"/>
        <v>0</v>
      </c>
      <c r="AC966" s="55">
        <f t="shared" si="307"/>
        <v>0</v>
      </c>
      <c r="AD966" s="56">
        <f t="shared" si="308"/>
        <v>3641.01</v>
      </c>
    </row>
    <row r="967" spans="3:30">
      <c r="C967" s="43" t="s">
        <v>1739</v>
      </c>
      <c r="D967" s="44" t="s">
        <v>1740</v>
      </c>
      <c r="E967" s="44"/>
      <c r="F967" s="45">
        <v>41032.383680555555</v>
      </c>
      <c r="G967" s="46">
        <v>76</v>
      </c>
      <c r="H967" s="47">
        <v>43375</v>
      </c>
      <c r="I967" s="47">
        <v>43385</v>
      </c>
      <c r="J967" s="46">
        <v>406197</v>
      </c>
      <c r="K967" s="46">
        <v>0</v>
      </c>
      <c r="L967" s="46">
        <v>0</v>
      </c>
      <c r="M967" s="46">
        <f t="shared" si="297"/>
        <v>406197</v>
      </c>
      <c r="N967" s="46">
        <v>406197</v>
      </c>
      <c r="O967" s="48">
        <f t="shared" si="298"/>
        <v>0</v>
      </c>
      <c r="P967" s="46">
        <v>0</v>
      </c>
      <c r="Q967" s="46">
        <v>406197</v>
      </c>
      <c r="R967" s="49">
        <f t="shared" si="299"/>
        <v>1</v>
      </c>
      <c r="S967" s="50">
        <f t="shared" si="300"/>
        <v>0.01</v>
      </c>
      <c r="T967" s="49">
        <f t="shared" si="301"/>
        <v>4061.9700000000003</v>
      </c>
      <c r="U967" s="51">
        <f t="shared" si="302"/>
        <v>0</v>
      </c>
      <c r="V967" s="52">
        <f>IF(0&lt;0.8,0,IF(0&lt;1,Sheet3!L561,1))*IF(G967&lt;3,0.12 - O967,0.01) *U967</f>
        <v>0</v>
      </c>
      <c r="W967" s="52">
        <f t="shared" si="303"/>
        <v>0</v>
      </c>
      <c r="X967" s="53">
        <f t="shared" si="304"/>
        <v>0</v>
      </c>
      <c r="Y967" s="53">
        <f t="shared" si="305"/>
        <v>0</v>
      </c>
      <c r="Z967" s="54">
        <f t="shared" si="295"/>
        <v>0</v>
      </c>
      <c r="AA967" s="54">
        <f t="shared" si="306"/>
        <v>0</v>
      </c>
      <c r="AB967" s="55">
        <f t="shared" si="296"/>
        <v>0</v>
      </c>
      <c r="AC967" s="55">
        <f t="shared" si="307"/>
        <v>0</v>
      </c>
      <c r="AD967" s="56">
        <f t="shared" si="308"/>
        <v>4061.9700000000003</v>
      </c>
    </row>
    <row r="968" spans="3:30">
      <c r="C968" s="43" t="s">
        <v>1741</v>
      </c>
      <c r="D968" s="44" t="s">
        <v>1742</v>
      </c>
      <c r="E968" s="44"/>
      <c r="F968" s="45">
        <v>41055.452372685184</v>
      </c>
      <c r="G968" s="46">
        <v>76</v>
      </c>
      <c r="H968" s="47">
        <v>43379</v>
      </c>
      <c r="I968" s="47">
        <v>43419</v>
      </c>
      <c r="J968" s="46">
        <v>9343036</v>
      </c>
      <c r="K968" s="46">
        <v>689043</v>
      </c>
      <c r="L968" s="46">
        <v>0</v>
      </c>
      <c r="M968" s="46">
        <f t="shared" si="297"/>
        <v>8653993</v>
      </c>
      <c r="N968" s="46">
        <v>9343036</v>
      </c>
      <c r="O968" s="48">
        <f t="shared" si="298"/>
        <v>7.3749367978460101E-2</v>
      </c>
      <c r="P968" s="46">
        <v>0</v>
      </c>
      <c r="Q968" s="46">
        <v>9009185</v>
      </c>
      <c r="R968" s="49">
        <f t="shared" si="299"/>
        <v>1</v>
      </c>
      <c r="S968" s="50">
        <f t="shared" si="300"/>
        <v>0.01</v>
      </c>
      <c r="T968" s="49">
        <f t="shared" si="301"/>
        <v>86539.930000000008</v>
      </c>
      <c r="U968" s="51">
        <f t="shared" si="302"/>
        <v>0</v>
      </c>
      <c r="V968" s="52">
        <f>IF(0&lt;0.8,0,IF(0&lt;1,Sheet3!L561,1))*IF(G968&lt;3,0.12 - O968,0.01) *U968</f>
        <v>0</v>
      </c>
      <c r="W968" s="52">
        <f t="shared" si="303"/>
        <v>0</v>
      </c>
      <c r="X968" s="53">
        <f t="shared" si="304"/>
        <v>0</v>
      </c>
      <c r="Y968" s="53">
        <f t="shared" si="305"/>
        <v>0</v>
      </c>
      <c r="Z968" s="54">
        <f t="shared" si="295"/>
        <v>0</v>
      </c>
      <c r="AA968" s="54">
        <f t="shared" si="306"/>
        <v>0</v>
      </c>
      <c r="AB968" s="55">
        <f t="shared" si="296"/>
        <v>0</v>
      </c>
      <c r="AC968" s="55">
        <f t="shared" si="307"/>
        <v>0</v>
      </c>
      <c r="AD968" s="56">
        <f t="shared" si="308"/>
        <v>86539.930000000008</v>
      </c>
    </row>
    <row r="969" spans="3:30">
      <c r="C969" s="43" t="s">
        <v>1743</v>
      </c>
      <c r="D969" s="44" t="s">
        <v>1744</v>
      </c>
      <c r="E969" s="44"/>
      <c r="F969" s="45">
        <v>41062.603043981479</v>
      </c>
      <c r="G969" s="46">
        <v>75</v>
      </c>
      <c r="H969" s="47">
        <v>43375</v>
      </c>
      <c r="I969" s="47">
        <v>43385</v>
      </c>
      <c r="J969" s="46">
        <v>957823</v>
      </c>
      <c r="K969" s="46">
        <v>0</v>
      </c>
      <c r="L969" s="46">
        <v>0</v>
      </c>
      <c r="M969" s="46">
        <f t="shared" si="297"/>
        <v>957823</v>
      </c>
      <c r="N969" s="46">
        <v>957823</v>
      </c>
      <c r="O969" s="48">
        <f t="shared" si="298"/>
        <v>0</v>
      </c>
      <c r="P969" s="46">
        <v>0</v>
      </c>
      <c r="Q969" s="46">
        <v>957823</v>
      </c>
      <c r="R969" s="49">
        <f t="shared" si="299"/>
        <v>1</v>
      </c>
      <c r="S969" s="50">
        <f t="shared" si="300"/>
        <v>0.01</v>
      </c>
      <c r="T969" s="49">
        <f t="shared" si="301"/>
        <v>9578.23</v>
      </c>
      <c r="U969" s="51">
        <f t="shared" si="302"/>
        <v>0</v>
      </c>
      <c r="V969" s="52">
        <f>IF(0&lt;0.8,0,IF(0&lt;1,Sheet3!L561,1))*IF(G969&lt;3,0.12 - O969,0.01) *U969</f>
        <v>0</v>
      </c>
      <c r="W969" s="52">
        <f t="shared" si="303"/>
        <v>0</v>
      </c>
      <c r="X969" s="53">
        <f t="shared" si="304"/>
        <v>0</v>
      </c>
      <c r="Y969" s="53">
        <f t="shared" si="305"/>
        <v>0</v>
      </c>
      <c r="Z969" s="54">
        <f t="shared" si="295"/>
        <v>0</v>
      </c>
      <c r="AA969" s="54">
        <f t="shared" si="306"/>
        <v>0</v>
      </c>
      <c r="AB969" s="55">
        <f t="shared" si="296"/>
        <v>0</v>
      </c>
      <c r="AC969" s="55">
        <f t="shared" si="307"/>
        <v>0</v>
      </c>
      <c r="AD969" s="56">
        <f t="shared" si="308"/>
        <v>9578.23</v>
      </c>
    </row>
    <row r="970" spans="3:30">
      <c r="C970" s="43" t="s">
        <v>1745</v>
      </c>
      <c r="D970" s="44" t="s">
        <v>1746</v>
      </c>
      <c r="E970" s="44"/>
      <c r="F970" s="45">
        <v>41062.652372685181</v>
      </c>
      <c r="G970" s="46">
        <v>75</v>
      </c>
      <c r="H970" s="47">
        <v>43372</v>
      </c>
      <c r="I970" s="47">
        <v>43448</v>
      </c>
      <c r="J970" s="46">
        <v>2240714</v>
      </c>
      <c r="K970" s="46">
        <v>0</v>
      </c>
      <c r="L970" s="46">
        <v>0</v>
      </c>
      <c r="M970" s="46">
        <f t="shared" si="297"/>
        <v>2240714</v>
      </c>
      <c r="N970" s="46">
        <v>2240714</v>
      </c>
      <c r="O970" s="48">
        <f t="shared" si="298"/>
        <v>0</v>
      </c>
      <c r="P970" s="46">
        <v>0</v>
      </c>
      <c r="Q970" s="46">
        <v>2240714</v>
      </c>
      <c r="R970" s="49">
        <f t="shared" si="299"/>
        <v>1</v>
      </c>
      <c r="S970" s="50">
        <f t="shared" si="300"/>
        <v>0.01</v>
      </c>
      <c r="T970" s="49">
        <f t="shared" si="301"/>
        <v>22407.14</v>
      </c>
      <c r="U970" s="51">
        <f t="shared" si="302"/>
        <v>0</v>
      </c>
      <c r="V970" s="52">
        <f>IF(0&lt;0.8,0,IF(0&lt;1,Sheet3!L561,1))*IF(G970&lt;3,0.12 - O970,0.01) *U970</f>
        <v>0</v>
      </c>
      <c r="W970" s="52">
        <f t="shared" si="303"/>
        <v>0</v>
      </c>
      <c r="X970" s="53">
        <f t="shared" si="304"/>
        <v>0</v>
      </c>
      <c r="Y970" s="53">
        <f t="shared" si="305"/>
        <v>0</v>
      </c>
      <c r="Z970" s="54">
        <f t="shared" si="295"/>
        <v>0</v>
      </c>
      <c r="AA970" s="54">
        <f t="shared" si="306"/>
        <v>0</v>
      </c>
      <c r="AB970" s="55">
        <f t="shared" si="296"/>
        <v>0</v>
      </c>
      <c r="AC970" s="55">
        <f t="shared" si="307"/>
        <v>0</v>
      </c>
      <c r="AD970" s="56">
        <f t="shared" si="308"/>
        <v>22407.14</v>
      </c>
    </row>
    <row r="971" spans="3:30">
      <c r="C971" s="43" t="s">
        <v>1747</v>
      </c>
      <c r="D971" s="44" t="s">
        <v>1748</v>
      </c>
      <c r="E971" s="44"/>
      <c r="F971" s="45">
        <v>41069.649155092593</v>
      </c>
      <c r="G971" s="46">
        <v>75</v>
      </c>
      <c r="H971" s="47">
        <v>43426</v>
      </c>
      <c r="I971" s="47">
        <v>43431</v>
      </c>
      <c r="J971" s="46">
        <v>16300740</v>
      </c>
      <c r="K971" s="46">
        <v>2947407</v>
      </c>
      <c r="L971" s="46">
        <v>0</v>
      </c>
      <c r="M971" s="46">
        <f t="shared" si="297"/>
        <v>13353333</v>
      </c>
      <c r="N971" s="46">
        <v>13894432</v>
      </c>
      <c r="O971" s="48">
        <f t="shared" si="298"/>
        <v>3.8943585459268903E-2</v>
      </c>
      <c r="P971" s="46">
        <v>0</v>
      </c>
      <c r="Q971" s="46">
        <v>16517740</v>
      </c>
      <c r="R971" s="49">
        <f t="shared" si="299"/>
        <v>1</v>
      </c>
      <c r="S971" s="50">
        <f t="shared" si="300"/>
        <v>0.01</v>
      </c>
      <c r="T971" s="49">
        <f t="shared" si="301"/>
        <v>133533.33000000002</v>
      </c>
      <c r="U971" s="51">
        <f t="shared" si="302"/>
        <v>0</v>
      </c>
      <c r="V971" s="52">
        <f>IF(0&lt;0.8,0,IF(0&lt;1,Sheet3!L561,1))*IF(G971&lt;3,0.12 - O971,0.01) *U971</f>
        <v>0</v>
      </c>
      <c r="W971" s="52">
        <f t="shared" si="303"/>
        <v>0</v>
      </c>
      <c r="X971" s="53">
        <f t="shared" si="304"/>
        <v>0</v>
      </c>
      <c r="Y971" s="53">
        <f t="shared" si="305"/>
        <v>0</v>
      </c>
      <c r="Z971" s="54">
        <f t="shared" si="295"/>
        <v>0</v>
      </c>
      <c r="AA971" s="54">
        <f t="shared" si="306"/>
        <v>0</v>
      </c>
      <c r="AB971" s="55">
        <f t="shared" si="296"/>
        <v>0</v>
      </c>
      <c r="AC971" s="55">
        <f t="shared" si="307"/>
        <v>0</v>
      </c>
      <c r="AD971" s="56">
        <f t="shared" si="308"/>
        <v>133533.33000000002</v>
      </c>
    </row>
    <row r="972" spans="3:30">
      <c r="C972" s="43" t="s">
        <v>1749</v>
      </c>
      <c r="D972" s="44" t="s">
        <v>1750</v>
      </c>
      <c r="E972" s="44"/>
      <c r="F972" s="45">
        <v>41072.61887731481</v>
      </c>
      <c r="G972" s="46">
        <v>75</v>
      </c>
      <c r="H972" s="47">
        <v>43377</v>
      </c>
      <c r="I972" s="47">
        <v>43390</v>
      </c>
      <c r="J972" s="46">
        <v>525913</v>
      </c>
      <c r="K972" s="46">
        <v>0</v>
      </c>
      <c r="L972" s="46">
        <v>0</v>
      </c>
      <c r="M972" s="46">
        <f t="shared" si="297"/>
        <v>525913</v>
      </c>
      <c r="N972" s="46">
        <v>525913</v>
      </c>
      <c r="O972" s="48">
        <f t="shared" si="298"/>
        <v>0</v>
      </c>
      <c r="P972" s="46">
        <v>0</v>
      </c>
      <c r="Q972" s="46">
        <v>525913</v>
      </c>
      <c r="R972" s="49">
        <f t="shared" si="299"/>
        <v>1</v>
      </c>
      <c r="S972" s="50">
        <f t="shared" si="300"/>
        <v>0.01</v>
      </c>
      <c r="T972" s="49">
        <f t="shared" si="301"/>
        <v>5259.13</v>
      </c>
      <c r="U972" s="51">
        <f t="shared" si="302"/>
        <v>0</v>
      </c>
      <c r="V972" s="52">
        <f>IF(0&lt;0.8,0,IF(0&lt;1,Sheet3!L561,1))*IF(G972&lt;3,0.12 - O972,0.01) *U972</f>
        <v>0</v>
      </c>
      <c r="W972" s="52">
        <f t="shared" si="303"/>
        <v>0</v>
      </c>
      <c r="X972" s="53">
        <f t="shared" si="304"/>
        <v>0</v>
      </c>
      <c r="Y972" s="53">
        <f t="shared" si="305"/>
        <v>0</v>
      </c>
      <c r="Z972" s="54">
        <f t="shared" si="295"/>
        <v>0</v>
      </c>
      <c r="AA972" s="54">
        <f t="shared" si="306"/>
        <v>0</v>
      </c>
      <c r="AB972" s="55">
        <f t="shared" si="296"/>
        <v>0</v>
      </c>
      <c r="AC972" s="55">
        <f t="shared" si="307"/>
        <v>0</v>
      </c>
      <c r="AD972" s="56">
        <f t="shared" si="308"/>
        <v>5259.13</v>
      </c>
    </row>
    <row r="973" spans="3:30">
      <c r="C973" s="43" t="s">
        <v>1751</v>
      </c>
      <c r="D973" s="44" t="s">
        <v>1752</v>
      </c>
      <c r="E973" s="44"/>
      <c r="F973" s="45">
        <v>41078.690937499996</v>
      </c>
      <c r="G973" s="46">
        <v>75</v>
      </c>
      <c r="H973" s="47" t="s">
        <v>24</v>
      </c>
      <c r="I973" s="47" t="s">
        <v>24</v>
      </c>
      <c r="J973" s="46">
        <v>152097</v>
      </c>
      <c r="K973" s="46">
        <v>0</v>
      </c>
      <c r="L973" s="46">
        <v>0</v>
      </c>
      <c r="M973" s="46">
        <f t="shared" si="297"/>
        <v>152097</v>
      </c>
      <c r="N973" s="46" t="s">
        <v>24</v>
      </c>
      <c r="O973" s="48">
        <f t="shared" si="298"/>
        <v>0</v>
      </c>
      <c r="P973" s="46">
        <v>0</v>
      </c>
      <c r="Q973" s="46">
        <v>0</v>
      </c>
      <c r="R973" s="49">
        <f t="shared" si="299"/>
        <v>1</v>
      </c>
      <c r="S973" s="50">
        <f t="shared" si="300"/>
        <v>0.01</v>
      </c>
      <c r="T973" s="49">
        <f t="shared" si="301"/>
        <v>1520.97</v>
      </c>
      <c r="U973" s="51">
        <f t="shared" si="302"/>
        <v>0</v>
      </c>
      <c r="V973" s="52">
        <f>IF(0&lt;0.8,0,IF(0&lt;1,Sheet3!L561,1))*IF(G973&lt;3,0.12 - O973,0.01) *U973</f>
        <v>0</v>
      </c>
      <c r="W973" s="52">
        <f t="shared" si="303"/>
        <v>0</v>
      </c>
      <c r="X973" s="53">
        <f t="shared" si="304"/>
        <v>0</v>
      </c>
      <c r="Y973" s="53">
        <f t="shared" si="305"/>
        <v>0</v>
      </c>
      <c r="Z973" s="54">
        <f>IF(R973=1,0,"")</f>
        <v>0</v>
      </c>
      <c r="AA973" s="54">
        <f t="shared" si="306"/>
        <v>0</v>
      </c>
      <c r="AB973" s="55">
        <f>IF(R973=0,"",0)</f>
        <v>0</v>
      </c>
      <c r="AC973" s="55">
        <f t="shared" si="307"/>
        <v>0</v>
      </c>
      <c r="AD973" s="56">
        <f t="shared" si="308"/>
        <v>1520.97</v>
      </c>
    </row>
    <row r="974" spans="3:30">
      <c r="C974" s="43" t="s">
        <v>1753</v>
      </c>
      <c r="D974" s="44" t="s">
        <v>1754</v>
      </c>
      <c r="E974" s="44"/>
      <c r="F974" s="45">
        <v>41083.370266203703</v>
      </c>
      <c r="G974" s="46">
        <v>75</v>
      </c>
      <c r="H974" s="47" t="s">
        <v>24</v>
      </c>
      <c r="I974" s="47" t="s">
        <v>24</v>
      </c>
      <c r="J974" s="46">
        <v>491260</v>
      </c>
      <c r="K974" s="46">
        <v>0</v>
      </c>
      <c r="L974" s="46">
        <v>0</v>
      </c>
      <c r="M974" s="46">
        <f t="shared" si="297"/>
        <v>491260</v>
      </c>
      <c r="N974" s="46" t="s">
        <v>24</v>
      </c>
      <c r="O974" s="48">
        <f t="shared" si="298"/>
        <v>0</v>
      </c>
      <c r="P974" s="46">
        <v>0</v>
      </c>
      <c r="Q974" s="46">
        <v>0</v>
      </c>
      <c r="R974" s="49">
        <f t="shared" si="299"/>
        <v>1</v>
      </c>
      <c r="S974" s="50">
        <f t="shared" si="300"/>
        <v>0.01</v>
      </c>
      <c r="T974" s="49">
        <f t="shared" si="301"/>
        <v>4912.6000000000004</v>
      </c>
      <c r="U974" s="51">
        <f t="shared" si="302"/>
        <v>0</v>
      </c>
      <c r="V974" s="52">
        <f>IF(0&lt;0.8,0,IF(0&lt;1,Sheet3!L561,1))*IF(G974&lt;3,0.12 - O974,0.01) *U974</f>
        <v>0</v>
      </c>
      <c r="W974" s="52">
        <f t="shared" si="303"/>
        <v>0</v>
      </c>
      <c r="X974" s="53">
        <f t="shared" si="304"/>
        <v>0</v>
      </c>
      <c r="Y974" s="53">
        <f t="shared" si="305"/>
        <v>0</v>
      </c>
      <c r="Z974" s="54">
        <f>IF(R974=1,0,"")</f>
        <v>0</v>
      </c>
      <c r="AA974" s="54">
        <f t="shared" si="306"/>
        <v>0</v>
      </c>
      <c r="AB974" s="55">
        <f>IF(R974=0,"",0)</f>
        <v>0</v>
      </c>
      <c r="AC974" s="55">
        <f t="shared" si="307"/>
        <v>0</v>
      </c>
      <c r="AD974" s="56">
        <f t="shared" si="308"/>
        <v>4912.6000000000004</v>
      </c>
    </row>
    <row r="975" spans="3:30">
      <c r="C975" s="43" t="s">
        <v>1755</v>
      </c>
      <c r="D975" s="44" t="s">
        <v>1756</v>
      </c>
      <c r="E975" s="44"/>
      <c r="F975" s="45">
        <v>41088.574062499996</v>
      </c>
      <c r="G975" s="46">
        <v>75</v>
      </c>
      <c r="H975" s="47">
        <v>43379</v>
      </c>
      <c r="I975" s="47">
        <v>43395</v>
      </c>
      <c r="J975" s="46">
        <v>763268</v>
      </c>
      <c r="K975" s="46">
        <v>0</v>
      </c>
      <c r="L975" s="46">
        <v>0</v>
      </c>
      <c r="M975" s="46">
        <f t="shared" si="297"/>
        <v>763268</v>
      </c>
      <c r="N975" s="46">
        <v>763268</v>
      </c>
      <c r="O975" s="48">
        <f t="shared" si="298"/>
        <v>0</v>
      </c>
      <c r="P975" s="46">
        <v>0</v>
      </c>
      <c r="Q975" s="46">
        <v>763268</v>
      </c>
      <c r="R975" s="49">
        <f t="shared" si="299"/>
        <v>1</v>
      </c>
      <c r="S975" s="50">
        <f t="shared" si="300"/>
        <v>0.01</v>
      </c>
      <c r="T975" s="49">
        <f t="shared" si="301"/>
        <v>7632.68</v>
      </c>
      <c r="U975" s="51">
        <f t="shared" si="302"/>
        <v>0</v>
      </c>
      <c r="V975" s="52">
        <f>IF(0&lt;0.8,0,IF(0&lt;1,Sheet3!L561,1))*IF(G975&lt;3,0.12 - O975,0.01) *U975</f>
        <v>0</v>
      </c>
      <c r="W975" s="52">
        <f t="shared" si="303"/>
        <v>0</v>
      </c>
      <c r="X975" s="53">
        <f t="shared" si="304"/>
        <v>0</v>
      </c>
      <c r="Y975" s="53">
        <f t="shared" si="305"/>
        <v>0</v>
      </c>
      <c r="Z975" s="54">
        <f t="shared" ref="Z975:Z1029" si="309">IF(R975=1,0,0)</f>
        <v>0</v>
      </c>
      <c r="AA975" s="54">
        <f t="shared" si="306"/>
        <v>0</v>
      </c>
      <c r="AB975" s="55">
        <f t="shared" ref="AB975:AB994" si="310">IF(R975=0,0,0)</f>
        <v>0</v>
      </c>
      <c r="AC975" s="55">
        <f t="shared" si="307"/>
        <v>0</v>
      </c>
      <c r="AD975" s="56">
        <f t="shared" si="308"/>
        <v>7632.68</v>
      </c>
    </row>
    <row r="976" spans="3:30">
      <c r="C976" s="43" t="s">
        <v>1757</v>
      </c>
      <c r="D976" s="44" t="s">
        <v>1758</v>
      </c>
      <c r="E976" s="44"/>
      <c r="F976" s="45">
        <v>41109.608032407406</v>
      </c>
      <c r="G976" s="46">
        <v>74</v>
      </c>
      <c r="H976" s="47">
        <v>43370</v>
      </c>
      <c r="I976" s="47">
        <v>43378</v>
      </c>
      <c r="J976" s="46">
        <v>1590316</v>
      </c>
      <c r="K976" s="46">
        <v>0</v>
      </c>
      <c r="L976" s="46">
        <v>0</v>
      </c>
      <c r="M976" s="46">
        <f t="shared" si="297"/>
        <v>1590316</v>
      </c>
      <c r="N976" s="46">
        <v>1170070</v>
      </c>
      <c r="O976" s="48">
        <f t="shared" si="298"/>
        <v>0</v>
      </c>
      <c r="P976" s="46">
        <v>0</v>
      </c>
      <c r="Q976" s="46">
        <v>1590316</v>
      </c>
      <c r="R976" s="49">
        <f t="shared" si="299"/>
        <v>1</v>
      </c>
      <c r="S976" s="50">
        <f t="shared" si="300"/>
        <v>0.01</v>
      </c>
      <c r="T976" s="49">
        <f t="shared" si="301"/>
        <v>15903.16</v>
      </c>
      <c r="U976" s="51">
        <f t="shared" si="302"/>
        <v>0</v>
      </c>
      <c r="V976" s="52">
        <f>IF(0&lt;0.8,0,IF(0&lt;1,Sheet3!L561,1))*IF(G976&lt;3,0.12 - O976,0.01) *U976</f>
        <v>0</v>
      </c>
      <c r="W976" s="52">
        <f t="shared" si="303"/>
        <v>0</v>
      </c>
      <c r="X976" s="53">
        <f t="shared" si="304"/>
        <v>0</v>
      </c>
      <c r="Y976" s="53">
        <f t="shared" si="305"/>
        <v>0</v>
      </c>
      <c r="Z976" s="54">
        <f t="shared" si="309"/>
        <v>0</v>
      </c>
      <c r="AA976" s="54">
        <f t="shared" si="306"/>
        <v>0</v>
      </c>
      <c r="AB976" s="55">
        <f t="shared" si="310"/>
        <v>0</v>
      </c>
      <c r="AC976" s="55">
        <f t="shared" si="307"/>
        <v>0</v>
      </c>
      <c r="AD976" s="56">
        <f t="shared" si="308"/>
        <v>15903.16</v>
      </c>
    </row>
    <row r="977" spans="3:30">
      <c r="C977" s="43" t="s">
        <v>1759</v>
      </c>
      <c r="D977" s="44" t="s">
        <v>1760</v>
      </c>
      <c r="E977" s="44"/>
      <c r="F977" s="45">
        <v>41114.456516203703</v>
      </c>
      <c r="G977" s="46">
        <v>74</v>
      </c>
      <c r="H977" s="47">
        <v>43377</v>
      </c>
      <c r="I977" s="47">
        <v>43385</v>
      </c>
      <c r="J977" s="46">
        <v>192013</v>
      </c>
      <c r="K977" s="46">
        <v>0</v>
      </c>
      <c r="L977" s="46">
        <v>0</v>
      </c>
      <c r="M977" s="46">
        <f t="shared" si="297"/>
        <v>192013</v>
      </c>
      <c r="N977" s="46">
        <v>192013</v>
      </c>
      <c r="O977" s="48">
        <f t="shared" si="298"/>
        <v>0</v>
      </c>
      <c r="P977" s="46">
        <v>0</v>
      </c>
      <c r="Q977" s="46">
        <v>192013</v>
      </c>
      <c r="R977" s="49">
        <f t="shared" si="299"/>
        <v>1</v>
      </c>
      <c r="S977" s="50">
        <f t="shared" si="300"/>
        <v>0.01</v>
      </c>
      <c r="T977" s="49">
        <f t="shared" si="301"/>
        <v>1920.13</v>
      </c>
      <c r="U977" s="51">
        <f t="shared" si="302"/>
        <v>0</v>
      </c>
      <c r="V977" s="52">
        <f>IF(0&lt;0.8,0,IF(0&lt;1,Sheet3!L561,1))*IF(G977&lt;3,0.12 - O977,0.01) *U977</f>
        <v>0</v>
      </c>
      <c r="W977" s="52">
        <f t="shared" si="303"/>
        <v>0</v>
      </c>
      <c r="X977" s="53">
        <f t="shared" si="304"/>
        <v>0</v>
      </c>
      <c r="Y977" s="53">
        <f t="shared" si="305"/>
        <v>0</v>
      </c>
      <c r="Z977" s="54">
        <f t="shared" si="309"/>
        <v>0</v>
      </c>
      <c r="AA977" s="54">
        <f t="shared" si="306"/>
        <v>0</v>
      </c>
      <c r="AB977" s="55">
        <f t="shared" si="310"/>
        <v>0</v>
      </c>
      <c r="AC977" s="55">
        <f t="shared" si="307"/>
        <v>0</v>
      </c>
      <c r="AD977" s="56">
        <f t="shared" si="308"/>
        <v>1920.13</v>
      </c>
    </row>
    <row r="978" spans="3:30">
      <c r="C978" s="43" t="s">
        <v>1761</v>
      </c>
      <c r="D978" s="44" t="s">
        <v>1762</v>
      </c>
      <c r="E978" s="44"/>
      <c r="F978" s="45">
        <v>41115.618344907409</v>
      </c>
      <c r="G978" s="46">
        <v>74</v>
      </c>
      <c r="H978" s="47">
        <v>43381</v>
      </c>
      <c r="I978" s="47">
        <v>43390</v>
      </c>
      <c r="J978" s="46">
        <v>207438</v>
      </c>
      <c r="K978" s="46">
        <v>0</v>
      </c>
      <c r="L978" s="46">
        <v>0</v>
      </c>
      <c r="M978" s="46">
        <f t="shared" si="297"/>
        <v>207438</v>
      </c>
      <c r="N978" s="46">
        <v>207438</v>
      </c>
      <c r="O978" s="48">
        <f t="shared" si="298"/>
        <v>0</v>
      </c>
      <c r="P978" s="46">
        <v>0</v>
      </c>
      <c r="Q978" s="46">
        <v>207438</v>
      </c>
      <c r="R978" s="49">
        <f t="shared" si="299"/>
        <v>1</v>
      </c>
      <c r="S978" s="50">
        <f t="shared" si="300"/>
        <v>0.01</v>
      </c>
      <c r="T978" s="49">
        <f t="shared" si="301"/>
        <v>2074.38</v>
      </c>
      <c r="U978" s="51">
        <f t="shared" si="302"/>
        <v>0</v>
      </c>
      <c r="V978" s="52">
        <f>IF(0&lt;0.8,0,IF(0&lt;1,Sheet3!L561,1))*IF(G978&lt;3,0.12 - O978,0.01) *U978</f>
        <v>0</v>
      </c>
      <c r="W978" s="52">
        <f t="shared" si="303"/>
        <v>0</v>
      </c>
      <c r="X978" s="53">
        <f t="shared" si="304"/>
        <v>0</v>
      </c>
      <c r="Y978" s="53">
        <f t="shared" si="305"/>
        <v>0</v>
      </c>
      <c r="Z978" s="54">
        <f t="shared" si="309"/>
        <v>0</v>
      </c>
      <c r="AA978" s="54">
        <f t="shared" si="306"/>
        <v>0</v>
      </c>
      <c r="AB978" s="55">
        <f t="shared" si="310"/>
        <v>0</v>
      </c>
      <c r="AC978" s="55">
        <f t="shared" si="307"/>
        <v>0</v>
      </c>
      <c r="AD978" s="56">
        <f t="shared" si="308"/>
        <v>2074.38</v>
      </c>
    </row>
    <row r="979" spans="3:30">
      <c r="C979" s="43" t="s">
        <v>1763</v>
      </c>
      <c r="D979" s="44" t="s">
        <v>1764</v>
      </c>
      <c r="E979" s="44"/>
      <c r="F979" s="45">
        <v>41116.711793981478</v>
      </c>
      <c r="G979" s="46">
        <v>74</v>
      </c>
      <c r="H979" s="47">
        <v>43372</v>
      </c>
      <c r="I979" s="47">
        <v>43386</v>
      </c>
      <c r="J979" s="46">
        <v>742182</v>
      </c>
      <c r="K979" s="46">
        <v>0</v>
      </c>
      <c r="L979" s="46">
        <v>0</v>
      </c>
      <c r="M979" s="46">
        <f t="shared" si="297"/>
        <v>742182</v>
      </c>
      <c r="N979" s="46">
        <v>742182</v>
      </c>
      <c r="O979" s="48">
        <f t="shared" si="298"/>
        <v>0</v>
      </c>
      <c r="P979" s="46">
        <v>0</v>
      </c>
      <c r="Q979" s="46">
        <v>742182</v>
      </c>
      <c r="R979" s="49">
        <f t="shared" si="299"/>
        <v>1</v>
      </c>
      <c r="S979" s="50">
        <f t="shared" si="300"/>
        <v>0.01</v>
      </c>
      <c r="T979" s="49">
        <f t="shared" si="301"/>
        <v>7421.82</v>
      </c>
      <c r="U979" s="51">
        <f t="shared" si="302"/>
        <v>0</v>
      </c>
      <c r="V979" s="52">
        <f>IF(0&lt;0.8,0,IF(0&lt;1,Sheet3!L561,1))*IF(G979&lt;3,0.12 - O979,0.01) *U979</f>
        <v>0</v>
      </c>
      <c r="W979" s="52">
        <f t="shared" si="303"/>
        <v>0</v>
      </c>
      <c r="X979" s="53">
        <f t="shared" si="304"/>
        <v>0</v>
      </c>
      <c r="Y979" s="53">
        <f t="shared" si="305"/>
        <v>0</v>
      </c>
      <c r="Z979" s="54">
        <f t="shared" si="309"/>
        <v>0</v>
      </c>
      <c r="AA979" s="54">
        <f t="shared" si="306"/>
        <v>0</v>
      </c>
      <c r="AB979" s="55">
        <f t="shared" si="310"/>
        <v>0</v>
      </c>
      <c r="AC979" s="55">
        <f t="shared" si="307"/>
        <v>0</v>
      </c>
      <c r="AD979" s="56">
        <f t="shared" si="308"/>
        <v>7421.82</v>
      </c>
    </row>
    <row r="980" spans="3:30">
      <c r="C980" s="43" t="s">
        <v>1765</v>
      </c>
      <c r="D980" s="44" t="s">
        <v>1766</v>
      </c>
      <c r="E980" s="44"/>
      <c r="F980" s="45">
        <v>41124.383680555555</v>
      </c>
      <c r="G980" s="46">
        <v>73</v>
      </c>
      <c r="H980" s="47">
        <v>43372</v>
      </c>
      <c r="I980" s="47">
        <v>43433</v>
      </c>
      <c r="J980" s="46">
        <v>2472516</v>
      </c>
      <c r="K980" s="46">
        <v>0</v>
      </c>
      <c r="L980" s="46">
        <v>0</v>
      </c>
      <c r="M980" s="46">
        <f t="shared" si="297"/>
        <v>2472516</v>
      </c>
      <c r="N980" s="46">
        <v>2472516</v>
      </c>
      <c r="O980" s="48">
        <f t="shared" si="298"/>
        <v>0</v>
      </c>
      <c r="P980" s="46">
        <v>0</v>
      </c>
      <c r="Q980" s="46">
        <v>2472516</v>
      </c>
      <c r="R980" s="49">
        <f t="shared" si="299"/>
        <v>1</v>
      </c>
      <c r="S980" s="50">
        <f t="shared" si="300"/>
        <v>0.01</v>
      </c>
      <c r="T980" s="49">
        <f t="shared" si="301"/>
        <v>24725.16</v>
      </c>
      <c r="U980" s="51">
        <f t="shared" si="302"/>
        <v>0</v>
      </c>
      <c r="V980" s="52">
        <f>IF(0&lt;0.8,0,IF(0&lt;1,Sheet3!L561,1))*IF(G980&lt;3,0.12 - O980,0.01) *U980</f>
        <v>0</v>
      </c>
      <c r="W980" s="52">
        <f t="shared" si="303"/>
        <v>0</v>
      </c>
      <c r="X980" s="53">
        <f t="shared" si="304"/>
        <v>0</v>
      </c>
      <c r="Y980" s="53">
        <f t="shared" si="305"/>
        <v>0</v>
      </c>
      <c r="Z980" s="54">
        <f t="shared" si="309"/>
        <v>0</v>
      </c>
      <c r="AA980" s="54">
        <f t="shared" si="306"/>
        <v>0</v>
      </c>
      <c r="AB980" s="55">
        <f t="shared" si="310"/>
        <v>0</v>
      </c>
      <c r="AC980" s="55">
        <f t="shared" si="307"/>
        <v>0</v>
      </c>
      <c r="AD980" s="56">
        <f t="shared" si="308"/>
        <v>24725.16</v>
      </c>
    </row>
    <row r="981" spans="3:30">
      <c r="C981" s="43" t="s">
        <v>1767</v>
      </c>
      <c r="D981" s="44" t="s">
        <v>1768</v>
      </c>
      <c r="E981" s="44"/>
      <c r="F981" s="45">
        <v>41128.639374999999</v>
      </c>
      <c r="G981" s="46">
        <v>73</v>
      </c>
      <c r="H981" s="47">
        <v>43375</v>
      </c>
      <c r="I981" s="47">
        <v>43434</v>
      </c>
      <c r="J981" s="46">
        <v>693614</v>
      </c>
      <c r="K981" s="46">
        <v>0</v>
      </c>
      <c r="L981" s="46">
        <v>0</v>
      </c>
      <c r="M981" s="46">
        <f t="shared" si="297"/>
        <v>693614</v>
      </c>
      <c r="N981" s="46">
        <v>693614</v>
      </c>
      <c r="O981" s="48">
        <f t="shared" si="298"/>
        <v>0</v>
      </c>
      <c r="P981" s="46">
        <v>0</v>
      </c>
      <c r="Q981" s="46">
        <v>693614</v>
      </c>
      <c r="R981" s="49">
        <f t="shared" si="299"/>
        <v>1</v>
      </c>
      <c r="S981" s="50">
        <f t="shared" si="300"/>
        <v>0.01</v>
      </c>
      <c r="T981" s="49">
        <f t="shared" si="301"/>
        <v>6936.14</v>
      </c>
      <c r="U981" s="51">
        <f t="shared" si="302"/>
        <v>0</v>
      </c>
      <c r="V981" s="52">
        <f>IF(0&lt;0.8,0,IF(0&lt;1,Sheet3!L561,1))*IF(G981&lt;3,0.12 - O981,0.01) *U981</f>
        <v>0</v>
      </c>
      <c r="W981" s="52">
        <f t="shared" si="303"/>
        <v>0</v>
      </c>
      <c r="X981" s="53">
        <f t="shared" si="304"/>
        <v>0</v>
      </c>
      <c r="Y981" s="53">
        <f t="shared" si="305"/>
        <v>0</v>
      </c>
      <c r="Z981" s="54">
        <f t="shared" si="309"/>
        <v>0</v>
      </c>
      <c r="AA981" s="54">
        <f t="shared" si="306"/>
        <v>0</v>
      </c>
      <c r="AB981" s="55">
        <f t="shared" si="310"/>
        <v>0</v>
      </c>
      <c r="AC981" s="55">
        <f t="shared" si="307"/>
        <v>0</v>
      </c>
      <c r="AD981" s="56">
        <f t="shared" si="308"/>
        <v>6936.14</v>
      </c>
    </row>
    <row r="982" spans="3:30">
      <c r="C982" s="43" t="s">
        <v>1769</v>
      </c>
      <c r="D982" s="44" t="s">
        <v>1770</v>
      </c>
      <c r="E982" s="44"/>
      <c r="F982" s="45">
        <v>41128.641388888886</v>
      </c>
      <c r="G982" s="46">
        <v>73</v>
      </c>
      <c r="H982" s="47">
        <v>43381</v>
      </c>
      <c r="I982" s="47">
        <v>43392</v>
      </c>
      <c r="J982" s="46">
        <v>3144790</v>
      </c>
      <c r="K982" s="46">
        <v>0</v>
      </c>
      <c r="L982" s="46">
        <v>0</v>
      </c>
      <c r="M982" s="46">
        <f t="shared" si="297"/>
        <v>3144790</v>
      </c>
      <c r="N982" s="46">
        <v>3144790</v>
      </c>
      <c r="O982" s="48">
        <f t="shared" si="298"/>
        <v>0</v>
      </c>
      <c r="P982" s="46">
        <v>0</v>
      </c>
      <c r="Q982" s="46">
        <v>3144790</v>
      </c>
      <c r="R982" s="49">
        <f t="shared" si="299"/>
        <v>1</v>
      </c>
      <c r="S982" s="50">
        <f t="shared" si="300"/>
        <v>0.01</v>
      </c>
      <c r="T982" s="49">
        <f t="shared" si="301"/>
        <v>31447.9</v>
      </c>
      <c r="U982" s="51">
        <f t="shared" si="302"/>
        <v>0</v>
      </c>
      <c r="V982" s="52">
        <f>IF(0&lt;0.8,0,IF(0&lt;1,Sheet3!L561,1))*IF(G982&lt;3,0.12 - O982,0.01) *U982</f>
        <v>0</v>
      </c>
      <c r="W982" s="52">
        <f t="shared" si="303"/>
        <v>0</v>
      </c>
      <c r="X982" s="53">
        <f t="shared" si="304"/>
        <v>0</v>
      </c>
      <c r="Y982" s="53">
        <f t="shared" si="305"/>
        <v>0</v>
      </c>
      <c r="Z982" s="54">
        <f t="shared" si="309"/>
        <v>0</v>
      </c>
      <c r="AA982" s="54">
        <f t="shared" si="306"/>
        <v>0</v>
      </c>
      <c r="AB982" s="55">
        <f t="shared" si="310"/>
        <v>0</v>
      </c>
      <c r="AC982" s="55">
        <f t="shared" si="307"/>
        <v>0</v>
      </c>
      <c r="AD982" s="56">
        <f t="shared" si="308"/>
        <v>31447.9</v>
      </c>
    </row>
    <row r="983" spans="3:30">
      <c r="C983" s="43" t="s">
        <v>1771</v>
      </c>
      <c r="D983" s="44" t="s">
        <v>1772</v>
      </c>
      <c r="E983" s="44"/>
      <c r="F983" s="45">
        <v>41141.652627314812</v>
      </c>
      <c r="G983" s="46">
        <v>73</v>
      </c>
      <c r="H983" s="47">
        <v>43372</v>
      </c>
      <c r="I983" s="47">
        <v>43402</v>
      </c>
      <c r="J983" s="46">
        <v>344971</v>
      </c>
      <c r="K983" s="46">
        <v>0</v>
      </c>
      <c r="L983" s="46">
        <v>0</v>
      </c>
      <c r="M983" s="46">
        <f t="shared" si="297"/>
        <v>344971</v>
      </c>
      <c r="N983" s="46">
        <v>344971</v>
      </c>
      <c r="O983" s="48">
        <f t="shared" si="298"/>
        <v>0</v>
      </c>
      <c r="P983" s="46">
        <v>0</v>
      </c>
      <c r="Q983" s="46">
        <v>344971</v>
      </c>
      <c r="R983" s="49">
        <f t="shared" si="299"/>
        <v>1</v>
      </c>
      <c r="S983" s="50">
        <f t="shared" si="300"/>
        <v>0.01</v>
      </c>
      <c r="T983" s="49">
        <f t="shared" si="301"/>
        <v>3449.71</v>
      </c>
      <c r="U983" s="51">
        <f t="shared" si="302"/>
        <v>0</v>
      </c>
      <c r="V983" s="52">
        <f>IF(0&lt;0.8,0,IF(0&lt;1,Sheet3!L561,1))*IF(G983&lt;3,0.12 - O983,0.01) *U983</f>
        <v>0</v>
      </c>
      <c r="W983" s="52">
        <f t="shared" si="303"/>
        <v>0</v>
      </c>
      <c r="X983" s="53">
        <f t="shared" si="304"/>
        <v>0</v>
      </c>
      <c r="Y983" s="53">
        <f t="shared" si="305"/>
        <v>0</v>
      </c>
      <c r="Z983" s="54">
        <f t="shared" si="309"/>
        <v>0</v>
      </c>
      <c r="AA983" s="54">
        <f t="shared" si="306"/>
        <v>0</v>
      </c>
      <c r="AB983" s="55">
        <f t="shared" si="310"/>
        <v>0</v>
      </c>
      <c r="AC983" s="55">
        <f t="shared" si="307"/>
        <v>0</v>
      </c>
      <c r="AD983" s="56">
        <f t="shared" si="308"/>
        <v>3449.71</v>
      </c>
    </row>
    <row r="984" spans="3:30">
      <c r="C984" s="43" t="s">
        <v>1773</v>
      </c>
      <c r="D984" s="44" t="s">
        <v>1774</v>
      </c>
      <c r="E984" s="44"/>
      <c r="F984" s="45">
        <v>41142.45721064815</v>
      </c>
      <c r="G984" s="46">
        <v>73</v>
      </c>
      <c r="H984" s="47">
        <v>43375</v>
      </c>
      <c r="I984" s="47">
        <v>43402</v>
      </c>
      <c r="J984" s="46">
        <v>9612852</v>
      </c>
      <c r="K984" s="46">
        <v>0</v>
      </c>
      <c r="L984" s="46">
        <v>0</v>
      </c>
      <c r="M984" s="46">
        <f t="shared" si="297"/>
        <v>9612852</v>
      </c>
      <c r="N984" s="46">
        <v>13584852</v>
      </c>
      <c r="O984" s="48">
        <f t="shared" si="298"/>
        <v>0.29238448825206198</v>
      </c>
      <c r="P984" s="46">
        <v>0</v>
      </c>
      <c r="Q984" s="46">
        <v>9612852</v>
      </c>
      <c r="R984" s="49">
        <f t="shared" si="299"/>
        <v>1</v>
      </c>
      <c r="S984" s="50">
        <f t="shared" si="300"/>
        <v>0.01</v>
      </c>
      <c r="T984" s="49">
        <f t="shared" si="301"/>
        <v>96128.52</v>
      </c>
      <c r="U984" s="51">
        <f t="shared" si="302"/>
        <v>0</v>
      </c>
      <c r="V984" s="52">
        <f>IF(0&lt;0.8,0,IF(0&lt;1,Sheet3!L561,1))*IF(G984&lt;3,0.12 - O984,0.01) *U984</f>
        <v>0</v>
      </c>
      <c r="W984" s="52">
        <f t="shared" si="303"/>
        <v>0</v>
      </c>
      <c r="X984" s="53">
        <f t="shared" si="304"/>
        <v>0</v>
      </c>
      <c r="Y984" s="53">
        <f t="shared" si="305"/>
        <v>0</v>
      </c>
      <c r="Z984" s="54">
        <f t="shared" si="309"/>
        <v>0</v>
      </c>
      <c r="AA984" s="54">
        <f t="shared" si="306"/>
        <v>0</v>
      </c>
      <c r="AB984" s="55">
        <f t="shared" si="310"/>
        <v>0</v>
      </c>
      <c r="AC984" s="55">
        <f t="shared" si="307"/>
        <v>0</v>
      </c>
      <c r="AD984" s="56">
        <f t="shared" si="308"/>
        <v>96128.52</v>
      </c>
    </row>
    <row r="985" spans="3:30">
      <c r="C985" s="43" t="s">
        <v>1775</v>
      </c>
      <c r="D985" s="44" t="s">
        <v>1776</v>
      </c>
      <c r="E985" s="44"/>
      <c r="F985" s="45">
        <v>41144.671377314815</v>
      </c>
      <c r="G985" s="46">
        <v>73</v>
      </c>
      <c r="H985" s="47">
        <v>43381</v>
      </c>
      <c r="I985" s="47">
        <v>43365</v>
      </c>
      <c r="J985" s="46">
        <v>1317962</v>
      </c>
      <c r="K985" s="46">
        <v>0</v>
      </c>
      <c r="L985" s="46">
        <v>0</v>
      </c>
      <c r="M985" s="46">
        <f t="shared" si="297"/>
        <v>1317962</v>
      </c>
      <c r="N985" s="46">
        <v>1317962</v>
      </c>
      <c r="O985" s="48">
        <f t="shared" si="298"/>
        <v>0</v>
      </c>
      <c r="P985" s="46">
        <v>0</v>
      </c>
      <c r="Q985" s="46">
        <v>1317962</v>
      </c>
      <c r="R985" s="49">
        <f t="shared" si="299"/>
        <v>1</v>
      </c>
      <c r="S985" s="50">
        <f t="shared" si="300"/>
        <v>0.01</v>
      </c>
      <c r="T985" s="49">
        <f t="shared" si="301"/>
        <v>13179.62</v>
      </c>
      <c r="U985" s="51">
        <f t="shared" si="302"/>
        <v>0</v>
      </c>
      <c r="V985" s="52">
        <f>IF(0&lt;0.8,0,IF(0&lt;1,Sheet3!L561,1))*IF(G985&lt;3,0.12 - O985,0.01) *U985</f>
        <v>0</v>
      </c>
      <c r="W985" s="52">
        <f t="shared" si="303"/>
        <v>0</v>
      </c>
      <c r="X985" s="53">
        <f t="shared" si="304"/>
        <v>0</v>
      </c>
      <c r="Y985" s="53">
        <f t="shared" si="305"/>
        <v>0</v>
      </c>
      <c r="Z985" s="54">
        <f t="shared" si="309"/>
        <v>0</v>
      </c>
      <c r="AA985" s="54">
        <f t="shared" si="306"/>
        <v>0</v>
      </c>
      <c r="AB985" s="55">
        <f t="shared" si="310"/>
        <v>0</v>
      </c>
      <c r="AC985" s="55">
        <f t="shared" si="307"/>
        <v>0</v>
      </c>
      <c r="AD985" s="56">
        <f t="shared" si="308"/>
        <v>13179.62</v>
      </c>
    </row>
    <row r="986" spans="3:30">
      <c r="C986" s="43" t="s">
        <v>1777</v>
      </c>
      <c r="D986" s="44" t="s">
        <v>1778</v>
      </c>
      <c r="E986" s="44"/>
      <c r="F986" s="45">
        <v>41152.365717592591</v>
      </c>
      <c r="G986" s="46">
        <v>73</v>
      </c>
      <c r="H986" s="47">
        <v>43376</v>
      </c>
      <c r="I986" s="47">
        <v>43397</v>
      </c>
      <c r="J986" s="46">
        <v>35090</v>
      </c>
      <c r="K986" s="46">
        <v>0</v>
      </c>
      <c r="L986" s="46">
        <v>0</v>
      </c>
      <c r="M986" s="46">
        <f t="shared" si="297"/>
        <v>35090</v>
      </c>
      <c r="N986" s="46">
        <v>35090</v>
      </c>
      <c r="O986" s="48">
        <f t="shared" si="298"/>
        <v>0</v>
      </c>
      <c r="P986" s="46">
        <v>0</v>
      </c>
      <c r="Q986" s="46">
        <v>35090</v>
      </c>
      <c r="R986" s="49">
        <f t="shared" si="299"/>
        <v>1</v>
      </c>
      <c r="S986" s="50">
        <f t="shared" si="300"/>
        <v>0.01</v>
      </c>
      <c r="T986" s="49">
        <f t="shared" si="301"/>
        <v>350.90000000000003</v>
      </c>
      <c r="U986" s="51">
        <f t="shared" si="302"/>
        <v>0</v>
      </c>
      <c r="V986" s="52">
        <f>IF(0&lt;0.8,0,IF(0&lt;1,Sheet3!L561,1))*IF(G986&lt;3,0.12 - O986,0.01) *U986</f>
        <v>0</v>
      </c>
      <c r="W986" s="52">
        <f t="shared" si="303"/>
        <v>0</v>
      </c>
      <c r="X986" s="53">
        <f t="shared" si="304"/>
        <v>0</v>
      </c>
      <c r="Y986" s="53">
        <f t="shared" si="305"/>
        <v>0</v>
      </c>
      <c r="Z986" s="54">
        <f t="shared" si="309"/>
        <v>0</v>
      </c>
      <c r="AA986" s="54">
        <f t="shared" si="306"/>
        <v>0</v>
      </c>
      <c r="AB986" s="55">
        <f t="shared" si="310"/>
        <v>0</v>
      </c>
      <c r="AC986" s="55">
        <f t="shared" si="307"/>
        <v>0</v>
      </c>
      <c r="AD986" s="56">
        <f t="shared" si="308"/>
        <v>350.90000000000003</v>
      </c>
    </row>
    <row r="987" spans="3:30">
      <c r="C987" s="43" t="s">
        <v>1779</v>
      </c>
      <c r="D987" s="44" t="s">
        <v>1780</v>
      </c>
      <c r="E987" s="44"/>
      <c r="F987" s="45">
        <v>41157.360613425924</v>
      </c>
      <c r="G987" s="46">
        <v>72</v>
      </c>
      <c r="H987" s="47">
        <v>43397</v>
      </c>
      <c r="I987" s="47">
        <v>43412</v>
      </c>
      <c r="J987" s="46">
        <v>2290290</v>
      </c>
      <c r="K987" s="46">
        <v>0</v>
      </c>
      <c r="L987" s="46">
        <v>0</v>
      </c>
      <c r="M987" s="46">
        <f t="shared" si="297"/>
        <v>2290290</v>
      </c>
      <c r="N987" s="46">
        <v>3099682</v>
      </c>
      <c r="O987" s="48">
        <f t="shared" si="298"/>
        <v>0.26112097950693003</v>
      </c>
      <c r="P987" s="46">
        <v>0</v>
      </c>
      <c r="Q987" s="46">
        <v>2290290</v>
      </c>
      <c r="R987" s="49">
        <f t="shared" si="299"/>
        <v>1</v>
      </c>
      <c r="S987" s="50">
        <f t="shared" si="300"/>
        <v>0.01</v>
      </c>
      <c r="T987" s="49">
        <f t="shared" si="301"/>
        <v>22902.9</v>
      </c>
      <c r="U987" s="51">
        <f t="shared" si="302"/>
        <v>0</v>
      </c>
      <c r="V987" s="52">
        <f>IF(0&lt;0.8,0,IF(0&lt;1,Sheet3!L561,1))*IF(G987&lt;3,0.12 - O987,0.01) *U987</f>
        <v>0</v>
      </c>
      <c r="W987" s="52">
        <f t="shared" si="303"/>
        <v>0</v>
      </c>
      <c r="X987" s="53">
        <f t="shared" si="304"/>
        <v>0</v>
      </c>
      <c r="Y987" s="53">
        <f t="shared" si="305"/>
        <v>0</v>
      </c>
      <c r="Z987" s="54">
        <f t="shared" si="309"/>
        <v>0</v>
      </c>
      <c r="AA987" s="54">
        <f t="shared" si="306"/>
        <v>0</v>
      </c>
      <c r="AB987" s="55">
        <f t="shared" si="310"/>
        <v>0</v>
      </c>
      <c r="AC987" s="55">
        <f t="shared" si="307"/>
        <v>0</v>
      </c>
      <c r="AD987" s="56">
        <f t="shared" si="308"/>
        <v>22902.9</v>
      </c>
    </row>
    <row r="988" spans="3:30">
      <c r="C988" s="43" t="s">
        <v>1781</v>
      </c>
      <c r="D988" s="44" t="s">
        <v>1782</v>
      </c>
      <c r="E988" s="44"/>
      <c r="F988" s="45">
        <v>41157.371122685181</v>
      </c>
      <c r="G988" s="46">
        <v>72</v>
      </c>
      <c r="H988" s="47">
        <v>43395</v>
      </c>
      <c r="I988" s="47">
        <v>43412</v>
      </c>
      <c r="J988" s="46">
        <v>2603959</v>
      </c>
      <c r="K988" s="46">
        <v>0</v>
      </c>
      <c r="L988" s="46">
        <v>0</v>
      </c>
      <c r="M988" s="46">
        <f t="shared" si="297"/>
        <v>2603959</v>
      </c>
      <c r="N988" s="46">
        <v>3526359</v>
      </c>
      <c r="O988" s="48">
        <f t="shared" si="298"/>
        <v>0.26157291415876827</v>
      </c>
      <c r="P988" s="46">
        <v>0</v>
      </c>
      <c r="Q988" s="46">
        <v>2603959</v>
      </c>
      <c r="R988" s="49">
        <f t="shared" si="299"/>
        <v>1</v>
      </c>
      <c r="S988" s="50">
        <f t="shared" si="300"/>
        <v>0.01</v>
      </c>
      <c r="T988" s="49">
        <f t="shared" si="301"/>
        <v>26039.59</v>
      </c>
      <c r="U988" s="51">
        <f t="shared" si="302"/>
        <v>0</v>
      </c>
      <c r="V988" s="52">
        <f>IF(0&lt;0.8,0,IF(0&lt;1,Sheet3!L561,1))*IF(G988&lt;3,0.12 - O988,0.01) *U988</f>
        <v>0</v>
      </c>
      <c r="W988" s="52">
        <f t="shared" si="303"/>
        <v>0</v>
      </c>
      <c r="X988" s="53">
        <f t="shared" si="304"/>
        <v>0</v>
      </c>
      <c r="Y988" s="53">
        <f t="shared" si="305"/>
        <v>0</v>
      </c>
      <c r="Z988" s="54">
        <f t="shared" si="309"/>
        <v>0</v>
      </c>
      <c r="AA988" s="54">
        <f t="shared" si="306"/>
        <v>0</v>
      </c>
      <c r="AB988" s="55">
        <f t="shared" si="310"/>
        <v>0</v>
      </c>
      <c r="AC988" s="55">
        <f t="shared" si="307"/>
        <v>0</v>
      </c>
      <c r="AD988" s="56">
        <f t="shared" si="308"/>
        <v>26039.59</v>
      </c>
    </row>
    <row r="989" spans="3:30">
      <c r="C989" s="43" t="s">
        <v>1783</v>
      </c>
      <c r="D989" s="44" t="s">
        <v>1784</v>
      </c>
      <c r="E989" s="44"/>
      <c r="F989" s="45">
        <v>41157.375358796293</v>
      </c>
      <c r="G989" s="46">
        <v>72</v>
      </c>
      <c r="H989" s="47">
        <v>43396</v>
      </c>
      <c r="I989" s="47">
        <v>43412</v>
      </c>
      <c r="J989" s="46">
        <v>784274</v>
      </c>
      <c r="K989" s="46">
        <v>0</v>
      </c>
      <c r="L989" s="46">
        <v>0</v>
      </c>
      <c r="M989" s="46">
        <f t="shared" si="297"/>
        <v>784274</v>
      </c>
      <c r="N989" s="46">
        <v>1099047</v>
      </c>
      <c r="O989" s="48">
        <f t="shared" si="298"/>
        <v>0.28640540395451697</v>
      </c>
      <c r="P989" s="46">
        <v>0</v>
      </c>
      <c r="Q989" s="46">
        <v>784274</v>
      </c>
      <c r="R989" s="49">
        <f t="shared" si="299"/>
        <v>1</v>
      </c>
      <c r="S989" s="50">
        <f t="shared" si="300"/>
        <v>0.01</v>
      </c>
      <c r="T989" s="49">
        <f t="shared" si="301"/>
        <v>7842.74</v>
      </c>
      <c r="U989" s="51">
        <f t="shared" si="302"/>
        <v>0</v>
      </c>
      <c r="V989" s="52">
        <f>IF(0&lt;0.8,0,IF(0&lt;1,Sheet3!L561,1))*IF(G989&lt;3,0.12 - O989,0.01) *U989</f>
        <v>0</v>
      </c>
      <c r="W989" s="52">
        <f t="shared" si="303"/>
        <v>0</v>
      </c>
      <c r="X989" s="53">
        <f t="shared" si="304"/>
        <v>0</v>
      </c>
      <c r="Y989" s="53">
        <f t="shared" si="305"/>
        <v>0</v>
      </c>
      <c r="Z989" s="54">
        <f t="shared" si="309"/>
        <v>0</v>
      </c>
      <c r="AA989" s="54">
        <f t="shared" si="306"/>
        <v>0</v>
      </c>
      <c r="AB989" s="55">
        <f t="shared" si="310"/>
        <v>0</v>
      </c>
      <c r="AC989" s="55">
        <f t="shared" si="307"/>
        <v>0</v>
      </c>
      <c r="AD989" s="56">
        <f t="shared" si="308"/>
        <v>7842.74</v>
      </c>
    </row>
    <row r="990" spans="3:30">
      <c r="C990" s="43" t="s">
        <v>1785</v>
      </c>
      <c r="D990" s="44" t="s">
        <v>1786</v>
      </c>
      <c r="E990" s="44"/>
      <c r="F990" s="45">
        <v>41158.474826388891</v>
      </c>
      <c r="G990" s="46">
        <v>72</v>
      </c>
      <c r="H990" s="47">
        <v>43372</v>
      </c>
      <c r="I990" s="47">
        <v>43404</v>
      </c>
      <c r="J990" s="46">
        <v>530434</v>
      </c>
      <c r="K990" s="46">
        <v>0</v>
      </c>
      <c r="L990" s="46">
        <v>0</v>
      </c>
      <c r="M990" s="46">
        <f t="shared" si="297"/>
        <v>530434</v>
      </c>
      <c r="N990" s="46">
        <v>530434</v>
      </c>
      <c r="O990" s="48">
        <f t="shared" si="298"/>
        <v>0</v>
      </c>
      <c r="P990" s="46">
        <v>0</v>
      </c>
      <c r="Q990" s="46">
        <v>530434</v>
      </c>
      <c r="R990" s="49">
        <f t="shared" si="299"/>
        <v>1</v>
      </c>
      <c r="S990" s="50">
        <f t="shared" si="300"/>
        <v>0.01</v>
      </c>
      <c r="T990" s="49">
        <f t="shared" si="301"/>
        <v>5304.34</v>
      </c>
      <c r="U990" s="51">
        <f t="shared" si="302"/>
        <v>0</v>
      </c>
      <c r="V990" s="52">
        <f>IF(0&lt;0.8,0,IF(0&lt;1,Sheet3!L561,1))*IF(G990&lt;3,0.12 - O990,0.01) *U990</f>
        <v>0</v>
      </c>
      <c r="W990" s="52">
        <f t="shared" si="303"/>
        <v>0</v>
      </c>
      <c r="X990" s="53">
        <f t="shared" si="304"/>
        <v>0</v>
      </c>
      <c r="Y990" s="53">
        <f t="shared" si="305"/>
        <v>0</v>
      </c>
      <c r="Z990" s="54">
        <f t="shared" si="309"/>
        <v>0</v>
      </c>
      <c r="AA990" s="54">
        <f t="shared" si="306"/>
        <v>0</v>
      </c>
      <c r="AB990" s="55">
        <f t="shared" si="310"/>
        <v>0</v>
      </c>
      <c r="AC990" s="55">
        <f t="shared" si="307"/>
        <v>0</v>
      </c>
      <c r="AD990" s="56">
        <f t="shared" si="308"/>
        <v>5304.34</v>
      </c>
    </row>
    <row r="991" spans="3:30">
      <c r="C991" s="43" t="s">
        <v>1787</v>
      </c>
      <c r="D991" s="44" t="s">
        <v>1788</v>
      </c>
      <c r="E991" s="44"/>
      <c r="F991" s="45">
        <v>41184.640347222223</v>
      </c>
      <c r="G991" s="46">
        <v>71</v>
      </c>
      <c r="H991" s="47">
        <v>43375</v>
      </c>
      <c r="I991" s="47">
        <v>43393</v>
      </c>
      <c r="J991" s="46">
        <v>1714838</v>
      </c>
      <c r="K991" s="46">
        <v>0</v>
      </c>
      <c r="L991" s="46">
        <v>0</v>
      </c>
      <c r="M991" s="46">
        <f t="shared" si="297"/>
        <v>1714838</v>
      </c>
      <c r="N991" s="46">
        <v>1714838</v>
      </c>
      <c r="O991" s="48">
        <f t="shared" si="298"/>
        <v>0</v>
      </c>
      <c r="P991" s="46">
        <v>0</v>
      </c>
      <c r="Q991" s="46">
        <v>1714838</v>
      </c>
      <c r="R991" s="49">
        <f t="shared" si="299"/>
        <v>1</v>
      </c>
      <c r="S991" s="50">
        <f t="shared" si="300"/>
        <v>0.01</v>
      </c>
      <c r="T991" s="49">
        <f t="shared" si="301"/>
        <v>17148.38</v>
      </c>
      <c r="U991" s="51">
        <f t="shared" si="302"/>
        <v>0</v>
      </c>
      <c r="V991" s="52">
        <f>IF(0&lt;0.8,0,IF(0&lt;1,Sheet3!L561,1))*IF(G991&lt;3,0.12 - O991,0.01) *U991</f>
        <v>0</v>
      </c>
      <c r="W991" s="52">
        <f t="shared" si="303"/>
        <v>0</v>
      </c>
      <c r="X991" s="53">
        <f t="shared" si="304"/>
        <v>0</v>
      </c>
      <c r="Y991" s="53">
        <f t="shared" si="305"/>
        <v>0</v>
      </c>
      <c r="Z991" s="54">
        <f t="shared" si="309"/>
        <v>0</v>
      </c>
      <c r="AA991" s="54">
        <f t="shared" si="306"/>
        <v>0</v>
      </c>
      <c r="AB991" s="55">
        <f t="shared" si="310"/>
        <v>0</v>
      </c>
      <c r="AC991" s="55">
        <f t="shared" si="307"/>
        <v>0</v>
      </c>
      <c r="AD991" s="56">
        <f t="shared" si="308"/>
        <v>17148.38</v>
      </c>
    </row>
    <row r="992" spans="3:30">
      <c r="C992" s="43" t="s">
        <v>1789</v>
      </c>
      <c r="D992" s="44" t="s">
        <v>1790</v>
      </c>
      <c r="E992" s="44"/>
      <c r="F992" s="45">
        <v>41184.64163194444</v>
      </c>
      <c r="G992" s="46">
        <v>71</v>
      </c>
      <c r="H992" s="47">
        <v>43420</v>
      </c>
      <c r="I992" s="47">
        <v>43427</v>
      </c>
      <c r="J992" s="46">
        <v>18416325</v>
      </c>
      <c r="K992" s="46">
        <v>1609149</v>
      </c>
      <c r="L992" s="46">
        <v>0</v>
      </c>
      <c r="M992" s="46">
        <f t="shared" si="297"/>
        <v>16807176</v>
      </c>
      <c r="N992" s="46">
        <v>18416325</v>
      </c>
      <c r="O992" s="48">
        <f t="shared" si="298"/>
        <v>8.7376227341774193E-2</v>
      </c>
      <c r="P992" s="46">
        <v>0</v>
      </c>
      <c r="Q992" s="46">
        <v>17301068</v>
      </c>
      <c r="R992" s="49">
        <f t="shared" si="299"/>
        <v>1</v>
      </c>
      <c r="S992" s="50">
        <f t="shared" si="300"/>
        <v>0.01</v>
      </c>
      <c r="T992" s="49">
        <f t="shared" si="301"/>
        <v>168071.76</v>
      </c>
      <c r="U992" s="51">
        <f t="shared" si="302"/>
        <v>0</v>
      </c>
      <c r="V992" s="52">
        <f>IF(0&lt;0.8,0,IF(0&lt;1,Sheet3!L561,1))*IF(G992&lt;3,0.12 - O992,0.01) *U992</f>
        <v>0</v>
      </c>
      <c r="W992" s="52">
        <f t="shared" si="303"/>
        <v>0</v>
      </c>
      <c r="X992" s="53">
        <f t="shared" si="304"/>
        <v>0</v>
      </c>
      <c r="Y992" s="53">
        <f t="shared" si="305"/>
        <v>0</v>
      </c>
      <c r="Z992" s="54">
        <f t="shared" si="309"/>
        <v>0</v>
      </c>
      <c r="AA992" s="54">
        <f t="shared" si="306"/>
        <v>0</v>
      </c>
      <c r="AB992" s="55">
        <f t="shared" si="310"/>
        <v>0</v>
      </c>
      <c r="AC992" s="55">
        <f t="shared" si="307"/>
        <v>0</v>
      </c>
      <c r="AD992" s="56">
        <f t="shared" si="308"/>
        <v>168071.76</v>
      </c>
    </row>
    <row r="993" spans="3:30">
      <c r="C993" s="43" t="s">
        <v>1791</v>
      </c>
      <c r="D993" s="44" t="s">
        <v>1792</v>
      </c>
      <c r="E993" s="44"/>
      <c r="F993" s="45">
        <v>41187.479837962965</v>
      </c>
      <c r="G993" s="46">
        <v>71</v>
      </c>
      <c r="H993" s="47">
        <v>43374</v>
      </c>
      <c r="I993" s="47">
        <v>43385</v>
      </c>
      <c r="J993" s="46">
        <v>374092</v>
      </c>
      <c r="K993" s="46">
        <v>0</v>
      </c>
      <c r="L993" s="46">
        <v>0</v>
      </c>
      <c r="M993" s="46">
        <f t="shared" si="297"/>
        <v>374092</v>
      </c>
      <c r="N993" s="46">
        <v>374092</v>
      </c>
      <c r="O993" s="48">
        <f t="shared" si="298"/>
        <v>0</v>
      </c>
      <c r="P993" s="46">
        <v>0</v>
      </c>
      <c r="Q993" s="46">
        <v>374092</v>
      </c>
      <c r="R993" s="49">
        <f t="shared" si="299"/>
        <v>1</v>
      </c>
      <c r="S993" s="50">
        <f t="shared" si="300"/>
        <v>0.01</v>
      </c>
      <c r="T993" s="49">
        <f t="shared" si="301"/>
        <v>3740.92</v>
      </c>
      <c r="U993" s="51">
        <f t="shared" si="302"/>
        <v>0</v>
      </c>
      <c r="V993" s="52">
        <f>IF(0&lt;0.8,0,IF(0&lt;1,Sheet3!L561,1))*IF(G993&lt;3,0.12 - O993,0.01) *U993</f>
        <v>0</v>
      </c>
      <c r="W993" s="52">
        <f t="shared" si="303"/>
        <v>0</v>
      </c>
      <c r="X993" s="53">
        <f t="shared" si="304"/>
        <v>0</v>
      </c>
      <c r="Y993" s="53">
        <f t="shared" si="305"/>
        <v>0</v>
      </c>
      <c r="Z993" s="54">
        <f t="shared" si="309"/>
        <v>0</v>
      </c>
      <c r="AA993" s="54">
        <f t="shared" si="306"/>
        <v>0</v>
      </c>
      <c r="AB993" s="55">
        <f t="shared" si="310"/>
        <v>0</v>
      </c>
      <c r="AC993" s="55">
        <f t="shared" si="307"/>
        <v>0</v>
      </c>
      <c r="AD993" s="56">
        <f t="shared" si="308"/>
        <v>3740.92</v>
      </c>
    </row>
    <row r="994" spans="3:30">
      <c r="C994" s="43" t="s">
        <v>1793</v>
      </c>
      <c r="D994" s="44" t="s">
        <v>1794</v>
      </c>
      <c r="E994" s="44"/>
      <c r="F994" s="45">
        <v>41187.47887731481</v>
      </c>
      <c r="G994" s="46">
        <v>71</v>
      </c>
      <c r="H994" s="47">
        <v>43398</v>
      </c>
      <c r="I994" s="47">
        <v>43353</v>
      </c>
      <c r="J994" s="46">
        <v>572012</v>
      </c>
      <c r="K994" s="46">
        <v>96800</v>
      </c>
      <c r="L994" s="46">
        <v>0</v>
      </c>
      <c r="M994" s="46">
        <f t="shared" si="297"/>
        <v>475212</v>
      </c>
      <c r="N994" s="46">
        <v>572012</v>
      </c>
      <c r="O994" s="48">
        <f t="shared" si="298"/>
        <v>0.16922721900939142</v>
      </c>
      <c r="P994" s="46">
        <v>0</v>
      </c>
      <c r="Q994" s="46">
        <v>572012</v>
      </c>
      <c r="R994" s="49">
        <f t="shared" si="299"/>
        <v>1</v>
      </c>
      <c r="S994" s="50">
        <f t="shared" si="300"/>
        <v>0.01</v>
      </c>
      <c r="T994" s="49">
        <f t="shared" si="301"/>
        <v>4752.12</v>
      </c>
      <c r="U994" s="51">
        <f t="shared" si="302"/>
        <v>0</v>
      </c>
      <c r="V994" s="52">
        <f>IF(0&lt;0.8,0,IF(0&lt;1,Sheet3!L561,1))*IF(G994&lt;3,0.12 - O994,0.01) *U994</f>
        <v>0</v>
      </c>
      <c r="W994" s="52">
        <f t="shared" si="303"/>
        <v>0</v>
      </c>
      <c r="X994" s="53">
        <f t="shared" si="304"/>
        <v>0</v>
      </c>
      <c r="Y994" s="53">
        <f t="shared" si="305"/>
        <v>0</v>
      </c>
      <c r="Z994" s="54">
        <f t="shared" si="309"/>
        <v>0</v>
      </c>
      <c r="AA994" s="54">
        <f t="shared" si="306"/>
        <v>0</v>
      </c>
      <c r="AB994" s="55">
        <f t="shared" si="310"/>
        <v>0</v>
      </c>
      <c r="AC994" s="55">
        <f t="shared" si="307"/>
        <v>0</v>
      </c>
      <c r="AD994" s="56">
        <f t="shared" si="308"/>
        <v>4752.12</v>
      </c>
    </row>
    <row r="995" spans="3:30">
      <c r="C995" s="43" t="s">
        <v>1795</v>
      </c>
      <c r="D995" s="44" t="s">
        <v>1796</v>
      </c>
      <c r="E995" s="44"/>
      <c r="F995" s="45">
        <v>41187.475428240738</v>
      </c>
      <c r="G995" s="46">
        <v>71</v>
      </c>
      <c r="H995" s="47">
        <v>43402</v>
      </c>
      <c r="I995" s="47">
        <v>43455</v>
      </c>
      <c r="J995" s="46">
        <v>42943153</v>
      </c>
      <c r="K995" s="46">
        <v>0</v>
      </c>
      <c r="L995" s="46">
        <v>0</v>
      </c>
      <c r="M995" s="46">
        <f t="shared" si="297"/>
        <v>42943153</v>
      </c>
      <c r="N995" s="46">
        <v>6203482</v>
      </c>
      <c r="O995" s="48">
        <f t="shared" si="298"/>
        <v>0</v>
      </c>
      <c r="P995" s="46">
        <v>0</v>
      </c>
      <c r="Q995" s="46">
        <v>42943153</v>
      </c>
      <c r="R995" s="49">
        <f t="shared" si="299"/>
        <v>1</v>
      </c>
      <c r="S995" s="50">
        <f t="shared" si="300"/>
        <v>0.01</v>
      </c>
      <c r="T995" s="49">
        <f t="shared" si="301"/>
        <v>429431.53</v>
      </c>
      <c r="U995" s="51">
        <f t="shared" si="302"/>
        <v>0</v>
      </c>
      <c r="V995" s="52">
        <f>IF(0&lt;0.8,0,IF(0&lt;1,Sheet3!L561,1))*IF(G995&lt;3,0.12 - O995,0.01) *U995</f>
        <v>0</v>
      </c>
      <c r="W995" s="52">
        <f t="shared" si="303"/>
        <v>0</v>
      </c>
      <c r="X995" s="53">
        <f t="shared" si="304"/>
        <v>0</v>
      </c>
      <c r="Y995" s="53">
        <f t="shared" si="305"/>
        <v>0</v>
      </c>
      <c r="Z995" s="54">
        <f t="shared" si="309"/>
        <v>0</v>
      </c>
      <c r="AA995" s="54">
        <f t="shared" si="306"/>
        <v>0</v>
      </c>
      <c r="AB995" s="55">
        <f>IF(R995=0,36681847,0)</f>
        <v>0</v>
      </c>
      <c r="AC995" s="55">
        <f t="shared" si="307"/>
        <v>0</v>
      </c>
      <c r="AD995" s="56">
        <f t="shared" si="308"/>
        <v>429431.53</v>
      </c>
    </row>
    <row r="996" spans="3:30">
      <c r="C996" s="43" t="s">
        <v>1797</v>
      </c>
      <c r="D996" s="44" t="s">
        <v>1798</v>
      </c>
      <c r="E996" s="44"/>
      <c r="F996" s="45">
        <v>41187.468564814815</v>
      </c>
      <c r="G996" s="46">
        <v>71</v>
      </c>
      <c r="H996" s="47">
        <v>43374</v>
      </c>
      <c r="I996" s="47">
        <v>43384</v>
      </c>
      <c r="J996" s="46">
        <v>702016</v>
      </c>
      <c r="K996" s="46">
        <v>0</v>
      </c>
      <c r="L996" s="46">
        <v>0</v>
      </c>
      <c r="M996" s="46">
        <f t="shared" si="297"/>
        <v>702016</v>
      </c>
      <c r="N996" s="46">
        <v>702016</v>
      </c>
      <c r="O996" s="48">
        <f t="shared" si="298"/>
        <v>0</v>
      </c>
      <c r="P996" s="46">
        <v>0</v>
      </c>
      <c r="Q996" s="46">
        <v>702016</v>
      </c>
      <c r="R996" s="49">
        <f t="shared" si="299"/>
        <v>1</v>
      </c>
      <c r="S996" s="50">
        <f t="shared" si="300"/>
        <v>0.01</v>
      </c>
      <c r="T996" s="49">
        <f t="shared" si="301"/>
        <v>7020.16</v>
      </c>
      <c r="U996" s="51">
        <f t="shared" si="302"/>
        <v>0</v>
      </c>
      <c r="V996" s="52">
        <f>IF(0&lt;0.8,0,IF(0&lt;1,Sheet3!L561,1))*IF(G996&lt;3,0.12 - O996,0.01) *U996</f>
        <v>0</v>
      </c>
      <c r="W996" s="52">
        <f t="shared" si="303"/>
        <v>0</v>
      </c>
      <c r="X996" s="53">
        <f t="shared" si="304"/>
        <v>0</v>
      </c>
      <c r="Y996" s="53">
        <f t="shared" si="305"/>
        <v>0</v>
      </c>
      <c r="Z996" s="54">
        <f t="shared" si="309"/>
        <v>0</v>
      </c>
      <c r="AA996" s="54">
        <f t="shared" si="306"/>
        <v>0</v>
      </c>
      <c r="AB996" s="55">
        <f t="shared" ref="AB996:AB1029" si="311">IF(R996=0,0,0)</f>
        <v>0</v>
      </c>
      <c r="AC996" s="55">
        <f t="shared" si="307"/>
        <v>0</v>
      </c>
      <c r="AD996" s="56">
        <f t="shared" si="308"/>
        <v>7020.16</v>
      </c>
    </row>
    <row r="997" spans="3:30">
      <c r="C997" s="43" t="s">
        <v>1799</v>
      </c>
      <c r="D997" s="44" t="s">
        <v>1800</v>
      </c>
      <c r="E997" s="44"/>
      <c r="F997" s="45">
        <v>41187.382743055554</v>
      </c>
      <c r="G997" s="46">
        <v>71</v>
      </c>
      <c r="H997" s="47">
        <v>43374</v>
      </c>
      <c r="I997" s="47">
        <v>43421</v>
      </c>
      <c r="J997" s="46">
        <v>324566</v>
      </c>
      <c r="K997" s="46">
        <v>0</v>
      </c>
      <c r="L997" s="46">
        <v>0</v>
      </c>
      <c r="M997" s="46">
        <f t="shared" si="297"/>
        <v>324566</v>
      </c>
      <c r="N997" s="46">
        <v>324566</v>
      </c>
      <c r="O997" s="48">
        <f t="shared" si="298"/>
        <v>0</v>
      </c>
      <c r="P997" s="46">
        <v>0</v>
      </c>
      <c r="Q997" s="46">
        <v>324566</v>
      </c>
      <c r="R997" s="49">
        <f t="shared" si="299"/>
        <v>1</v>
      </c>
      <c r="S997" s="50">
        <f t="shared" si="300"/>
        <v>0.01</v>
      </c>
      <c r="T997" s="49">
        <f t="shared" si="301"/>
        <v>3245.66</v>
      </c>
      <c r="U997" s="51">
        <f t="shared" si="302"/>
        <v>0</v>
      </c>
      <c r="V997" s="52">
        <f>IF(0&lt;0.8,0,IF(0&lt;1,Sheet3!L561,1))*IF(G997&lt;3,0.12 - O997,0.01) *U997</f>
        <v>0</v>
      </c>
      <c r="W997" s="52">
        <f t="shared" si="303"/>
        <v>0</v>
      </c>
      <c r="X997" s="53">
        <f t="shared" si="304"/>
        <v>0</v>
      </c>
      <c r="Y997" s="53">
        <f t="shared" si="305"/>
        <v>0</v>
      </c>
      <c r="Z997" s="54">
        <f t="shared" si="309"/>
        <v>0</v>
      </c>
      <c r="AA997" s="54">
        <f t="shared" si="306"/>
        <v>0</v>
      </c>
      <c r="AB997" s="55">
        <f t="shared" si="311"/>
        <v>0</v>
      </c>
      <c r="AC997" s="55">
        <f t="shared" si="307"/>
        <v>0</v>
      </c>
      <c r="AD997" s="56">
        <f t="shared" si="308"/>
        <v>3245.66</v>
      </c>
    </row>
    <row r="998" spans="3:30">
      <c r="C998" s="43" t="s">
        <v>1801</v>
      </c>
      <c r="D998" s="44" t="s">
        <v>1802</v>
      </c>
      <c r="E998" s="44"/>
      <c r="F998" s="45">
        <v>41191.501504629625</v>
      </c>
      <c r="G998" s="46">
        <v>71</v>
      </c>
      <c r="H998" s="47">
        <v>43375</v>
      </c>
      <c r="I998" s="47">
        <v>43386</v>
      </c>
      <c r="J998" s="46">
        <v>182488</v>
      </c>
      <c r="K998" s="46">
        <v>0</v>
      </c>
      <c r="L998" s="46">
        <v>0</v>
      </c>
      <c r="M998" s="46">
        <f t="shared" si="297"/>
        <v>182488</v>
      </c>
      <c r="N998" s="46">
        <v>182488</v>
      </c>
      <c r="O998" s="48">
        <f t="shared" si="298"/>
        <v>0</v>
      </c>
      <c r="P998" s="46">
        <v>0</v>
      </c>
      <c r="Q998" s="46">
        <v>182488</v>
      </c>
      <c r="R998" s="49">
        <f t="shared" si="299"/>
        <v>1</v>
      </c>
      <c r="S998" s="50">
        <f t="shared" si="300"/>
        <v>0.01</v>
      </c>
      <c r="T998" s="49">
        <f t="shared" si="301"/>
        <v>1824.88</v>
      </c>
      <c r="U998" s="51">
        <f t="shared" si="302"/>
        <v>0</v>
      </c>
      <c r="V998" s="52">
        <f>IF(0&lt;0.8,0,IF(0&lt;1,Sheet3!L561,1))*IF(G998&lt;3,0.12 - O998,0.01) *U998</f>
        <v>0</v>
      </c>
      <c r="W998" s="52">
        <f t="shared" si="303"/>
        <v>0</v>
      </c>
      <c r="X998" s="53">
        <f t="shared" si="304"/>
        <v>0</v>
      </c>
      <c r="Y998" s="53">
        <f t="shared" si="305"/>
        <v>0</v>
      </c>
      <c r="Z998" s="54">
        <f t="shared" si="309"/>
        <v>0</v>
      </c>
      <c r="AA998" s="54">
        <f t="shared" si="306"/>
        <v>0</v>
      </c>
      <c r="AB998" s="55">
        <f t="shared" si="311"/>
        <v>0</v>
      </c>
      <c r="AC998" s="55">
        <f t="shared" si="307"/>
        <v>0</v>
      </c>
      <c r="AD998" s="56">
        <f t="shared" si="308"/>
        <v>1824.88</v>
      </c>
    </row>
    <row r="999" spans="3:30">
      <c r="C999" s="43" t="s">
        <v>1803</v>
      </c>
      <c r="D999" s="44" t="s">
        <v>1804</v>
      </c>
      <c r="E999" s="44"/>
      <c r="F999" s="45">
        <v>41204.429259259261</v>
      </c>
      <c r="G999" s="46">
        <v>71</v>
      </c>
      <c r="H999" s="47">
        <v>43377</v>
      </c>
      <c r="I999" s="47">
        <v>43384</v>
      </c>
      <c r="J999" s="46">
        <v>1886600</v>
      </c>
      <c r="K999" s="46">
        <v>0</v>
      </c>
      <c r="L999" s="46">
        <v>0</v>
      </c>
      <c r="M999" s="46">
        <f t="shared" si="297"/>
        <v>1886600</v>
      </c>
      <c r="N999" s="46">
        <v>3395260</v>
      </c>
      <c r="O999" s="48">
        <f t="shared" si="298"/>
        <v>0.44434299582358938</v>
      </c>
      <c r="P999" s="46">
        <v>0</v>
      </c>
      <c r="Q999" s="46">
        <v>1886600</v>
      </c>
      <c r="R999" s="49">
        <f t="shared" si="299"/>
        <v>1</v>
      </c>
      <c r="S999" s="50">
        <f t="shared" si="300"/>
        <v>0.01</v>
      </c>
      <c r="T999" s="49">
        <f t="shared" si="301"/>
        <v>18866</v>
      </c>
      <c r="U999" s="51">
        <f t="shared" si="302"/>
        <v>0</v>
      </c>
      <c r="V999" s="52">
        <f>IF(0&lt;0.8,0,IF(0&lt;1,Sheet3!L561,1))*IF(G999&lt;3,0.12 - O999,0.01) *U999</f>
        <v>0</v>
      </c>
      <c r="W999" s="52">
        <f t="shared" si="303"/>
        <v>0</v>
      </c>
      <c r="X999" s="53">
        <f t="shared" si="304"/>
        <v>0</v>
      </c>
      <c r="Y999" s="53">
        <f t="shared" si="305"/>
        <v>0</v>
      </c>
      <c r="Z999" s="54">
        <f t="shared" si="309"/>
        <v>0</v>
      </c>
      <c r="AA999" s="54">
        <f t="shared" si="306"/>
        <v>0</v>
      </c>
      <c r="AB999" s="55">
        <f t="shared" si="311"/>
        <v>0</v>
      </c>
      <c r="AC999" s="55">
        <f t="shared" si="307"/>
        <v>0</v>
      </c>
      <c r="AD999" s="56">
        <f t="shared" si="308"/>
        <v>18866</v>
      </c>
    </row>
    <row r="1000" spans="3:30">
      <c r="C1000" s="43" t="s">
        <v>1805</v>
      </c>
      <c r="D1000" s="44" t="s">
        <v>1806</v>
      </c>
      <c r="E1000" s="44"/>
      <c r="F1000" s="45">
        <v>41214.60392361111</v>
      </c>
      <c r="G1000" s="46">
        <v>70</v>
      </c>
      <c r="H1000" s="47">
        <v>43372</v>
      </c>
      <c r="I1000" s="47">
        <v>43329</v>
      </c>
      <c r="J1000" s="46">
        <v>2065633</v>
      </c>
      <c r="K1000" s="46">
        <v>0</v>
      </c>
      <c r="L1000" s="46">
        <v>0</v>
      </c>
      <c r="M1000" s="46">
        <f t="shared" si="297"/>
        <v>2065633</v>
      </c>
      <c r="N1000" s="46">
        <v>2065633</v>
      </c>
      <c r="O1000" s="48">
        <f t="shared" si="298"/>
        <v>0</v>
      </c>
      <c r="P1000" s="46">
        <v>0</v>
      </c>
      <c r="Q1000" s="46">
        <v>2065633</v>
      </c>
      <c r="R1000" s="49">
        <f t="shared" si="299"/>
        <v>1</v>
      </c>
      <c r="S1000" s="50">
        <f t="shared" si="300"/>
        <v>0.01</v>
      </c>
      <c r="T1000" s="49">
        <f t="shared" si="301"/>
        <v>20656.330000000002</v>
      </c>
      <c r="U1000" s="51">
        <f t="shared" si="302"/>
        <v>0</v>
      </c>
      <c r="V1000" s="52">
        <f>IF(0&lt;0.8,0,IF(0&lt;1,Sheet3!L561,1))*IF(G1000&lt;3,0.12 - O1000,0.01) *U1000</f>
        <v>0</v>
      </c>
      <c r="W1000" s="52">
        <f t="shared" si="303"/>
        <v>0</v>
      </c>
      <c r="X1000" s="53">
        <f t="shared" si="304"/>
        <v>0</v>
      </c>
      <c r="Y1000" s="53">
        <f t="shared" si="305"/>
        <v>0</v>
      </c>
      <c r="Z1000" s="54">
        <f t="shared" si="309"/>
        <v>0</v>
      </c>
      <c r="AA1000" s="54">
        <f t="shared" si="306"/>
        <v>0</v>
      </c>
      <c r="AB1000" s="55">
        <f t="shared" si="311"/>
        <v>0</v>
      </c>
      <c r="AC1000" s="55">
        <f t="shared" si="307"/>
        <v>0</v>
      </c>
      <c r="AD1000" s="56">
        <f t="shared" si="308"/>
        <v>20656.330000000002</v>
      </c>
    </row>
    <row r="1001" spans="3:30">
      <c r="C1001" s="43" t="s">
        <v>1807</v>
      </c>
      <c r="D1001" s="44" t="s">
        <v>1808</v>
      </c>
      <c r="E1001" s="44"/>
      <c r="F1001" s="45">
        <v>41235.450810185182</v>
      </c>
      <c r="G1001" s="46">
        <v>70</v>
      </c>
      <c r="H1001" s="47">
        <v>43375</v>
      </c>
      <c r="I1001" s="47">
        <v>43386</v>
      </c>
      <c r="J1001" s="46">
        <v>253089</v>
      </c>
      <c r="K1001" s="46">
        <v>0</v>
      </c>
      <c r="L1001" s="46">
        <v>0</v>
      </c>
      <c r="M1001" s="46">
        <f t="shared" si="297"/>
        <v>253089</v>
      </c>
      <c r="N1001" s="46">
        <v>253089</v>
      </c>
      <c r="O1001" s="48">
        <f t="shared" si="298"/>
        <v>0</v>
      </c>
      <c r="P1001" s="46">
        <v>0</v>
      </c>
      <c r="Q1001" s="46">
        <v>253089</v>
      </c>
      <c r="R1001" s="49">
        <f t="shared" si="299"/>
        <v>1</v>
      </c>
      <c r="S1001" s="50">
        <f t="shared" si="300"/>
        <v>0.01</v>
      </c>
      <c r="T1001" s="49">
        <f t="shared" si="301"/>
        <v>2530.89</v>
      </c>
      <c r="U1001" s="51">
        <f t="shared" si="302"/>
        <v>0</v>
      </c>
      <c r="V1001" s="52">
        <f>IF(0&lt;0.8,0,IF(0&lt;1,Sheet3!L561,1))*IF(G1001&lt;3,0.12 - O1001,0.01) *U1001</f>
        <v>0</v>
      </c>
      <c r="W1001" s="52">
        <f t="shared" si="303"/>
        <v>0</v>
      </c>
      <c r="X1001" s="53">
        <f t="shared" si="304"/>
        <v>0</v>
      </c>
      <c r="Y1001" s="53">
        <f t="shared" si="305"/>
        <v>0</v>
      </c>
      <c r="Z1001" s="54">
        <f t="shared" si="309"/>
        <v>0</v>
      </c>
      <c r="AA1001" s="54">
        <f t="shared" si="306"/>
        <v>0</v>
      </c>
      <c r="AB1001" s="55">
        <f t="shared" si="311"/>
        <v>0</v>
      </c>
      <c r="AC1001" s="55">
        <f t="shared" si="307"/>
        <v>0</v>
      </c>
      <c r="AD1001" s="56">
        <f t="shared" si="308"/>
        <v>2530.89</v>
      </c>
    </row>
    <row r="1002" spans="3:30">
      <c r="C1002" s="43" t="s">
        <v>1809</v>
      </c>
      <c r="D1002" s="44" t="s">
        <v>1810</v>
      </c>
      <c r="E1002" s="44"/>
      <c r="F1002" s="45">
        <v>41241.603749999995</v>
      </c>
      <c r="G1002" s="46">
        <v>70</v>
      </c>
      <c r="H1002" s="47">
        <v>43404</v>
      </c>
      <c r="I1002" s="47">
        <v>43423</v>
      </c>
      <c r="J1002" s="46">
        <v>596192</v>
      </c>
      <c r="K1002" s="46">
        <v>0</v>
      </c>
      <c r="L1002" s="46">
        <v>0</v>
      </c>
      <c r="M1002" s="46">
        <f t="shared" si="297"/>
        <v>596192</v>
      </c>
      <c r="N1002" s="46">
        <v>596192</v>
      </c>
      <c r="O1002" s="48">
        <f t="shared" si="298"/>
        <v>0</v>
      </c>
      <c r="P1002" s="46">
        <v>0</v>
      </c>
      <c r="Q1002" s="46">
        <v>596192</v>
      </c>
      <c r="R1002" s="49">
        <f t="shared" si="299"/>
        <v>1</v>
      </c>
      <c r="S1002" s="50">
        <f t="shared" si="300"/>
        <v>0.01</v>
      </c>
      <c r="T1002" s="49">
        <f t="shared" si="301"/>
        <v>5961.92</v>
      </c>
      <c r="U1002" s="51">
        <f t="shared" si="302"/>
        <v>0</v>
      </c>
      <c r="V1002" s="52">
        <f>IF(0&lt;0.8,0,IF(0&lt;1,Sheet3!L561,1))*IF(G1002&lt;3,0.12 - O1002,0.01) *U1002</f>
        <v>0</v>
      </c>
      <c r="W1002" s="52">
        <f t="shared" si="303"/>
        <v>0</v>
      </c>
      <c r="X1002" s="53">
        <f t="shared" si="304"/>
        <v>0</v>
      </c>
      <c r="Y1002" s="53">
        <f t="shared" si="305"/>
        <v>0</v>
      </c>
      <c r="Z1002" s="54">
        <f t="shared" si="309"/>
        <v>0</v>
      </c>
      <c r="AA1002" s="54">
        <f t="shared" si="306"/>
        <v>0</v>
      </c>
      <c r="AB1002" s="55">
        <f t="shared" si="311"/>
        <v>0</v>
      </c>
      <c r="AC1002" s="55">
        <f t="shared" si="307"/>
        <v>0</v>
      </c>
      <c r="AD1002" s="56">
        <f t="shared" si="308"/>
        <v>5961.92</v>
      </c>
    </row>
    <row r="1003" spans="3:30">
      <c r="C1003" s="43" t="s">
        <v>1811</v>
      </c>
      <c r="D1003" s="44" t="s">
        <v>1812</v>
      </c>
      <c r="E1003" s="44"/>
      <c r="F1003" s="45">
        <v>41242.724560185183</v>
      </c>
      <c r="G1003" s="46">
        <v>70</v>
      </c>
      <c r="H1003" s="47">
        <v>43375</v>
      </c>
      <c r="I1003" s="47">
        <v>43392</v>
      </c>
      <c r="J1003" s="46">
        <v>1644746</v>
      </c>
      <c r="K1003" s="46">
        <v>0</v>
      </c>
      <c r="L1003" s="46">
        <v>0</v>
      </c>
      <c r="M1003" s="46">
        <f t="shared" si="297"/>
        <v>1644746</v>
      </c>
      <c r="N1003" s="46">
        <v>1644746</v>
      </c>
      <c r="O1003" s="48">
        <f t="shared" si="298"/>
        <v>0</v>
      </c>
      <c r="P1003" s="46">
        <v>0</v>
      </c>
      <c r="Q1003" s="46">
        <v>1644746</v>
      </c>
      <c r="R1003" s="49">
        <f t="shared" si="299"/>
        <v>1</v>
      </c>
      <c r="S1003" s="50">
        <f t="shared" si="300"/>
        <v>0.01</v>
      </c>
      <c r="T1003" s="49">
        <f t="shared" si="301"/>
        <v>16447.46</v>
      </c>
      <c r="U1003" s="51">
        <f t="shared" si="302"/>
        <v>0</v>
      </c>
      <c r="V1003" s="52">
        <f>IF(0&lt;0.8,0,IF(0&lt;1,Sheet3!L561,1))*IF(G1003&lt;3,0.12 - O1003,0.01) *U1003</f>
        <v>0</v>
      </c>
      <c r="W1003" s="52">
        <f t="shared" si="303"/>
        <v>0</v>
      </c>
      <c r="X1003" s="53">
        <f t="shared" si="304"/>
        <v>0</v>
      </c>
      <c r="Y1003" s="53">
        <f t="shared" si="305"/>
        <v>0</v>
      </c>
      <c r="Z1003" s="54">
        <f t="shared" si="309"/>
        <v>0</v>
      </c>
      <c r="AA1003" s="54">
        <f t="shared" si="306"/>
        <v>0</v>
      </c>
      <c r="AB1003" s="55">
        <f t="shared" si="311"/>
        <v>0</v>
      </c>
      <c r="AC1003" s="55">
        <f t="shared" si="307"/>
        <v>0</v>
      </c>
      <c r="AD1003" s="56">
        <f t="shared" si="308"/>
        <v>16447.46</v>
      </c>
    </row>
    <row r="1004" spans="3:30">
      <c r="C1004" s="43" t="s">
        <v>1813</v>
      </c>
      <c r="D1004" s="44" t="s">
        <v>1814</v>
      </c>
      <c r="E1004" s="44"/>
      <c r="F1004" s="45">
        <v>41246.46597222222</v>
      </c>
      <c r="G1004" s="46">
        <v>69</v>
      </c>
      <c r="H1004" s="47">
        <v>43376</v>
      </c>
      <c r="I1004" s="47">
        <v>43405</v>
      </c>
      <c r="J1004" s="46">
        <v>2456139</v>
      </c>
      <c r="K1004" s="46">
        <v>223270</v>
      </c>
      <c r="L1004" s="46">
        <v>0</v>
      </c>
      <c r="M1004" s="46">
        <f t="shared" si="297"/>
        <v>2232869</v>
      </c>
      <c r="N1004" s="46">
        <v>2456139</v>
      </c>
      <c r="O1004" s="48">
        <f t="shared" si="298"/>
        <v>9.0902835710845342E-2</v>
      </c>
      <c r="P1004" s="46">
        <v>0</v>
      </c>
      <c r="Q1004" s="46">
        <v>2456139</v>
      </c>
      <c r="R1004" s="49">
        <f t="shared" si="299"/>
        <v>1</v>
      </c>
      <c r="S1004" s="50">
        <f t="shared" si="300"/>
        <v>0.01</v>
      </c>
      <c r="T1004" s="49">
        <f t="shared" si="301"/>
        <v>22328.69</v>
      </c>
      <c r="U1004" s="51">
        <f t="shared" si="302"/>
        <v>0</v>
      </c>
      <c r="V1004" s="52">
        <f>IF(0&lt;0.8,0,IF(0&lt;1,Sheet3!L561,1))*IF(G1004&lt;3,0.12 - O1004,0.01) *U1004</f>
        <v>0</v>
      </c>
      <c r="W1004" s="52">
        <f t="shared" si="303"/>
        <v>0</v>
      </c>
      <c r="X1004" s="53">
        <f t="shared" si="304"/>
        <v>0</v>
      </c>
      <c r="Y1004" s="53">
        <f t="shared" si="305"/>
        <v>0</v>
      </c>
      <c r="Z1004" s="54">
        <f t="shared" si="309"/>
        <v>0</v>
      </c>
      <c r="AA1004" s="54">
        <f t="shared" si="306"/>
        <v>0</v>
      </c>
      <c r="AB1004" s="55">
        <f t="shared" si="311"/>
        <v>0</v>
      </c>
      <c r="AC1004" s="55">
        <f t="shared" si="307"/>
        <v>0</v>
      </c>
      <c r="AD1004" s="56">
        <f t="shared" si="308"/>
        <v>22328.69</v>
      </c>
    </row>
    <row r="1005" spans="3:30">
      <c r="C1005" s="43" t="s">
        <v>1815</v>
      </c>
      <c r="D1005" s="44" t="s">
        <v>1816</v>
      </c>
      <c r="E1005" s="44"/>
      <c r="F1005" s="45">
        <v>41267.696377314816</v>
      </c>
      <c r="G1005" s="46">
        <v>69</v>
      </c>
      <c r="H1005" s="47">
        <v>43385</v>
      </c>
      <c r="I1005" s="47">
        <v>43399</v>
      </c>
      <c r="J1005" s="46">
        <v>375004</v>
      </c>
      <c r="K1005" s="46">
        <v>0</v>
      </c>
      <c r="L1005" s="46">
        <v>0</v>
      </c>
      <c r="M1005" s="46">
        <f t="shared" si="297"/>
        <v>375004</v>
      </c>
      <c r="N1005" s="46">
        <v>375004</v>
      </c>
      <c r="O1005" s="48">
        <f t="shared" si="298"/>
        <v>0</v>
      </c>
      <c r="P1005" s="46">
        <v>0</v>
      </c>
      <c r="Q1005" s="46">
        <v>375004</v>
      </c>
      <c r="R1005" s="49">
        <f t="shared" si="299"/>
        <v>1</v>
      </c>
      <c r="S1005" s="50">
        <f t="shared" si="300"/>
        <v>0.01</v>
      </c>
      <c r="T1005" s="49">
        <f t="shared" si="301"/>
        <v>3750.04</v>
      </c>
      <c r="U1005" s="51">
        <f t="shared" si="302"/>
        <v>0</v>
      </c>
      <c r="V1005" s="52">
        <f>IF(0&lt;0.8,0,IF(0&lt;1,Sheet3!L561,1))*IF(G1005&lt;3,0.12 - O1005,0.01) *U1005</f>
        <v>0</v>
      </c>
      <c r="W1005" s="52">
        <f t="shared" si="303"/>
        <v>0</v>
      </c>
      <c r="X1005" s="53">
        <f t="shared" si="304"/>
        <v>0</v>
      </c>
      <c r="Y1005" s="53">
        <f t="shared" si="305"/>
        <v>0</v>
      </c>
      <c r="Z1005" s="54">
        <f t="shared" si="309"/>
        <v>0</v>
      </c>
      <c r="AA1005" s="54">
        <f t="shared" si="306"/>
        <v>0</v>
      </c>
      <c r="AB1005" s="55">
        <f t="shared" si="311"/>
        <v>0</v>
      </c>
      <c r="AC1005" s="55">
        <f t="shared" si="307"/>
        <v>0</v>
      </c>
      <c r="AD1005" s="56">
        <f t="shared" si="308"/>
        <v>3750.04</v>
      </c>
    </row>
    <row r="1006" spans="3:30">
      <c r="C1006" s="43" t="s">
        <v>1817</v>
      </c>
      <c r="D1006" s="44" t="s">
        <v>1818</v>
      </c>
      <c r="E1006" s="44"/>
      <c r="F1006" s="45">
        <v>41268.609976851847</v>
      </c>
      <c r="G1006" s="46">
        <v>69</v>
      </c>
      <c r="H1006" s="47">
        <v>43416</v>
      </c>
      <c r="I1006" s="47">
        <v>43427</v>
      </c>
      <c r="J1006" s="46">
        <v>2000275</v>
      </c>
      <c r="K1006" s="46">
        <v>678560</v>
      </c>
      <c r="L1006" s="46">
        <v>0</v>
      </c>
      <c r="M1006" s="46">
        <f t="shared" si="297"/>
        <v>1321715</v>
      </c>
      <c r="N1006" s="46">
        <v>2000275</v>
      </c>
      <c r="O1006" s="48">
        <f t="shared" si="298"/>
        <v>0.33923335541363064</v>
      </c>
      <c r="P1006" s="46">
        <v>0</v>
      </c>
      <c r="Q1006" s="46">
        <v>2000275</v>
      </c>
      <c r="R1006" s="49">
        <f t="shared" si="299"/>
        <v>1</v>
      </c>
      <c r="S1006" s="50">
        <f t="shared" si="300"/>
        <v>0.01</v>
      </c>
      <c r="T1006" s="49">
        <f t="shared" si="301"/>
        <v>13217.15</v>
      </c>
      <c r="U1006" s="51">
        <f t="shared" si="302"/>
        <v>0</v>
      </c>
      <c r="V1006" s="52">
        <f>IF(0&lt;0.8,0,IF(0&lt;1,Sheet3!L561,1))*IF(G1006&lt;3,0.12 - O1006,0.01) *U1006</f>
        <v>0</v>
      </c>
      <c r="W1006" s="52">
        <f t="shared" si="303"/>
        <v>0</v>
      </c>
      <c r="X1006" s="53">
        <f t="shared" si="304"/>
        <v>0</v>
      </c>
      <c r="Y1006" s="53">
        <f t="shared" si="305"/>
        <v>0</v>
      </c>
      <c r="Z1006" s="54">
        <f t="shared" si="309"/>
        <v>0</v>
      </c>
      <c r="AA1006" s="54">
        <f t="shared" si="306"/>
        <v>0</v>
      </c>
      <c r="AB1006" s="55">
        <f t="shared" si="311"/>
        <v>0</v>
      </c>
      <c r="AC1006" s="55">
        <f t="shared" si="307"/>
        <v>0</v>
      </c>
      <c r="AD1006" s="56">
        <f t="shared" si="308"/>
        <v>13217.15</v>
      </c>
    </row>
    <row r="1007" spans="3:30">
      <c r="C1007" s="43" t="s">
        <v>1819</v>
      </c>
      <c r="D1007" s="44" t="s">
        <v>1820</v>
      </c>
      <c r="E1007" s="44"/>
      <c r="F1007" s="45">
        <v>41291.417407407404</v>
      </c>
      <c r="G1007" s="46">
        <v>68</v>
      </c>
      <c r="H1007" s="47">
        <v>43372</v>
      </c>
      <c r="I1007" s="47">
        <v>43393</v>
      </c>
      <c r="J1007" s="46">
        <v>1624273</v>
      </c>
      <c r="K1007" s="46">
        <v>0</v>
      </c>
      <c r="L1007" s="46">
        <v>0</v>
      </c>
      <c r="M1007" s="46">
        <f t="shared" si="297"/>
        <v>1624273</v>
      </c>
      <c r="N1007" s="46">
        <v>1624273</v>
      </c>
      <c r="O1007" s="48">
        <f t="shared" si="298"/>
        <v>0</v>
      </c>
      <c r="P1007" s="46">
        <v>0</v>
      </c>
      <c r="Q1007" s="46">
        <v>1624273</v>
      </c>
      <c r="R1007" s="49">
        <f t="shared" si="299"/>
        <v>1</v>
      </c>
      <c r="S1007" s="50">
        <f t="shared" si="300"/>
        <v>0.01</v>
      </c>
      <c r="T1007" s="49">
        <f t="shared" si="301"/>
        <v>16242.73</v>
      </c>
      <c r="U1007" s="51">
        <f t="shared" si="302"/>
        <v>0</v>
      </c>
      <c r="V1007" s="52">
        <f>IF(0&lt;0.8,0,IF(0&lt;1,Sheet3!L561,1))*IF(G1007&lt;3,0.12 - O1007,0.01) *U1007</f>
        <v>0</v>
      </c>
      <c r="W1007" s="52">
        <f t="shared" si="303"/>
        <v>0</v>
      </c>
      <c r="X1007" s="53">
        <f t="shared" si="304"/>
        <v>0</v>
      </c>
      <c r="Y1007" s="53">
        <f t="shared" si="305"/>
        <v>0</v>
      </c>
      <c r="Z1007" s="54">
        <f t="shared" si="309"/>
        <v>0</v>
      </c>
      <c r="AA1007" s="54">
        <f t="shared" si="306"/>
        <v>0</v>
      </c>
      <c r="AB1007" s="55">
        <f t="shared" si="311"/>
        <v>0</v>
      </c>
      <c r="AC1007" s="55">
        <f t="shared" si="307"/>
        <v>0</v>
      </c>
      <c r="AD1007" s="56">
        <f t="shared" si="308"/>
        <v>16242.73</v>
      </c>
    </row>
    <row r="1008" spans="3:30">
      <c r="C1008" s="43" t="s">
        <v>1821</v>
      </c>
      <c r="D1008" s="44" t="s">
        <v>1822</v>
      </c>
      <c r="E1008" s="44"/>
      <c r="F1008" s="45">
        <v>41298.444155092591</v>
      </c>
      <c r="G1008" s="46">
        <v>68</v>
      </c>
      <c r="H1008" s="47">
        <v>43372</v>
      </c>
      <c r="I1008" s="47">
        <v>43369</v>
      </c>
      <c r="J1008" s="46">
        <v>2004436</v>
      </c>
      <c r="K1008" s="46">
        <v>0</v>
      </c>
      <c r="L1008" s="46">
        <v>0</v>
      </c>
      <c r="M1008" s="46">
        <f t="shared" si="297"/>
        <v>2004436</v>
      </c>
      <c r="N1008" s="46">
        <v>2003605</v>
      </c>
      <c r="O1008" s="48">
        <f t="shared" si="298"/>
        <v>0</v>
      </c>
      <c r="P1008" s="46">
        <v>0</v>
      </c>
      <c r="Q1008" s="46">
        <v>2004436</v>
      </c>
      <c r="R1008" s="49">
        <f t="shared" si="299"/>
        <v>1</v>
      </c>
      <c r="S1008" s="50">
        <f t="shared" si="300"/>
        <v>0.01</v>
      </c>
      <c r="T1008" s="49">
        <f t="shared" si="301"/>
        <v>20044.36</v>
      </c>
      <c r="U1008" s="51">
        <f t="shared" si="302"/>
        <v>0</v>
      </c>
      <c r="V1008" s="52">
        <f>IF(0&lt;0.8,0,IF(0&lt;1,Sheet3!L561,1))*IF(G1008&lt;3,0.12 - O1008,0.01) *U1008</f>
        <v>0</v>
      </c>
      <c r="W1008" s="52">
        <f t="shared" si="303"/>
        <v>0</v>
      </c>
      <c r="X1008" s="53">
        <f t="shared" si="304"/>
        <v>0</v>
      </c>
      <c r="Y1008" s="53">
        <f t="shared" si="305"/>
        <v>0</v>
      </c>
      <c r="Z1008" s="54">
        <f t="shared" si="309"/>
        <v>0</v>
      </c>
      <c r="AA1008" s="54">
        <f t="shared" si="306"/>
        <v>0</v>
      </c>
      <c r="AB1008" s="55">
        <f t="shared" si="311"/>
        <v>0</v>
      </c>
      <c r="AC1008" s="55">
        <f t="shared" si="307"/>
        <v>0</v>
      </c>
      <c r="AD1008" s="56">
        <f t="shared" si="308"/>
        <v>20044.36</v>
      </c>
    </row>
    <row r="1009" spans="3:30">
      <c r="C1009" s="43" t="s">
        <v>1823</v>
      </c>
      <c r="D1009" s="44" t="s">
        <v>1824</v>
      </c>
      <c r="E1009" s="44"/>
      <c r="F1009" s="45">
        <v>41328.410798611112</v>
      </c>
      <c r="G1009" s="46">
        <v>67</v>
      </c>
      <c r="H1009" s="47">
        <v>43372</v>
      </c>
      <c r="I1009" s="47">
        <v>43390</v>
      </c>
      <c r="J1009" s="46">
        <v>817960</v>
      </c>
      <c r="K1009" s="46">
        <v>0</v>
      </c>
      <c r="L1009" s="46">
        <v>0</v>
      </c>
      <c r="M1009" s="46">
        <f t="shared" si="297"/>
        <v>817960</v>
      </c>
      <c r="N1009" s="46">
        <v>817960</v>
      </c>
      <c r="O1009" s="48">
        <f t="shared" si="298"/>
        <v>0</v>
      </c>
      <c r="P1009" s="46">
        <v>0</v>
      </c>
      <c r="Q1009" s="46">
        <v>817960</v>
      </c>
      <c r="R1009" s="49">
        <f t="shared" si="299"/>
        <v>1</v>
      </c>
      <c r="S1009" s="50">
        <f t="shared" si="300"/>
        <v>0.01</v>
      </c>
      <c r="T1009" s="49">
        <f t="shared" si="301"/>
        <v>8179.6</v>
      </c>
      <c r="U1009" s="51">
        <f t="shared" si="302"/>
        <v>0</v>
      </c>
      <c r="V1009" s="52">
        <f>IF(0&lt;0.8,0,IF(0&lt;1,Sheet3!L561,1))*IF(G1009&lt;3,0.12 - O1009,0.01) *U1009</f>
        <v>0</v>
      </c>
      <c r="W1009" s="52">
        <f t="shared" si="303"/>
        <v>0</v>
      </c>
      <c r="X1009" s="53">
        <f t="shared" si="304"/>
        <v>0</v>
      </c>
      <c r="Y1009" s="53">
        <f t="shared" si="305"/>
        <v>0</v>
      </c>
      <c r="Z1009" s="54">
        <f t="shared" si="309"/>
        <v>0</v>
      </c>
      <c r="AA1009" s="54">
        <f t="shared" si="306"/>
        <v>0</v>
      </c>
      <c r="AB1009" s="55">
        <f t="shared" si="311"/>
        <v>0</v>
      </c>
      <c r="AC1009" s="55">
        <f t="shared" si="307"/>
        <v>0</v>
      </c>
      <c r="AD1009" s="56">
        <f t="shared" si="308"/>
        <v>8179.6</v>
      </c>
    </row>
    <row r="1010" spans="3:30">
      <c r="C1010" s="43" t="s">
        <v>1825</v>
      </c>
      <c r="D1010" s="44" t="s">
        <v>1826</v>
      </c>
      <c r="E1010" s="44"/>
      <c r="F1010" s="45">
        <v>41338.384699074071</v>
      </c>
      <c r="G1010" s="46">
        <v>66</v>
      </c>
      <c r="H1010" s="47">
        <v>43376</v>
      </c>
      <c r="I1010" s="47">
        <v>43388</v>
      </c>
      <c r="J1010" s="46">
        <v>951661</v>
      </c>
      <c r="K1010" s="46">
        <v>0</v>
      </c>
      <c r="L1010" s="46">
        <v>0</v>
      </c>
      <c r="M1010" s="46">
        <f t="shared" si="297"/>
        <v>951661</v>
      </c>
      <c r="N1010" s="46">
        <v>951661</v>
      </c>
      <c r="O1010" s="48">
        <f t="shared" si="298"/>
        <v>0</v>
      </c>
      <c r="P1010" s="46">
        <v>0</v>
      </c>
      <c r="Q1010" s="46">
        <v>951661</v>
      </c>
      <c r="R1010" s="49">
        <f t="shared" si="299"/>
        <v>1</v>
      </c>
      <c r="S1010" s="50">
        <f t="shared" si="300"/>
        <v>0.01</v>
      </c>
      <c r="T1010" s="49">
        <f t="shared" si="301"/>
        <v>9516.61</v>
      </c>
      <c r="U1010" s="51">
        <f t="shared" si="302"/>
        <v>0</v>
      </c>
      <c r="V1010" s="52">
        <f>IF(0&lt;0.8,0,IF(0&lt;1,Sheet3!L561,1))*IF(G1010&lt;3,0.12 - O1010,0.01) *U1010</f>
        <v>0</v>
      </c>
      <c r="W1010" s="52">
        <f t="shared" si="303"/>
        <v>0</v>
      </c>
      <c r="X1010" s="53">
        <f t="shared" si="304"/>
        <v>0</v>
      </c>
      <c r="Y1010" s="53">
        <f t="shared" si="305"/>
        <v>0</v>
      </c>
      <c r="Z1010" s="54">
        <f t="shared" si="309"/>
        <v>0</v>
      </c>
      <c r="AA1010" s="54">
        <f t="shared" si="306"/>
        <v>0</v>
      </c>
      <c r="AB1010" s="55">
        <f t="shared" si="311"/>
        <v>0</v>
      </c>
      <c r="AC1010" s="55">
        <f t="shared" si="307"/>
        <v>0</v>
      </c>
      <c r="AD1010" s="56">
        <f t="shared" si="308"/>
        <v>9516.61</v>
      </c>
    </row>
    <row r="1011" spans="3:30">
      <c r="C1011" s="43" t="s">
        <v>1827</v>
      </c>
      <c r="D1011" s="44" t="s">
        <v>1828</v>
      </c>
      <c r="E1011" s="44"/>
      <c r="F1011" s="45">
        <v>41345.4299537037</v>
      </c>
      <c r="G1011" s="46">
        <v>66</v>
      </c>
      <c r="H1011" s="47">
        <v>43372</v>
      </c>
      <c r="I1011" s="47">
        <v>43392</v>
      </c>
      <c r="J1011" s="46">
        <v>810512</v>
      </c>
      <c r="K1011" s="46">
        <v>0</v>
      </c>
      <c r="L1011" s="46">
        <v>0</v>
      </c>
      <c r="M1011" s="46">
        <f t="shared" ref="M1011:M1074" si="312">IFERROR(J1011-K1011-L1011,0)</f>
        <v>810512</v>
      </c>
      <c r="N1011" s="46">
        <v>810512</v>
      </c>
      <c r="O1011" s="48">
        <f t="shared" ref="O1011:O1074" si="313">IFERROR(IF(1 - M1011/N1011&lt;0,0,1-M1011/N1011),0)</f>
        <v>0</v>
      </c>
      <c r="P1011" s="46">
        <v>0</v>
      </c>
      <c r="Q1011" s="46">
        <v>810512</v>
      </c>
      <c r="R1011" s="49">
        <f t="shared" ref="R1011:R1074" si="314">IF(F1011&lt;DATEVALUE("2018-07-01"),1,0)</f>
        <v>1</v>
      </c>
      <c r="S1011" s="50">
        <f t="shared" ref="S1011:S1074" si="315">IF(R1011=1,1%,0)</f>
        <v>0.01</v>
      </c>
      <c r="T1011" s="49">
        <f t="shared" ref="T1011:T1074" si="316">IFERROR(S1011*M1011,0)</f>
        <v>8105.12</v>
      </c>
      <c r="U1011" s="51">
        <f t="shared" ref="U1011:U1074" si="317">IF(O1011&lt;=0.12,1,0)*(1-R1011)*M1011</f>
        <v>0</v>
      </c>
      <c r="V1011" s="52">
        <f>IF(0&lt;0.8,0,IF(0&lt;1,Sheet3!L561,1))*IF(G1011&lt;3,0.12 - O1011,0.01) *U1011</f>
        <v>0</v>
      </c>
      <c r="W1011" s="52">
        <f t="shared" ref="W1011:W1074" si="318">IF(0&gt;1,IF(0&lt;=1.1,1,IF(0&lt;=1.2,2,IF(0&lt;=1.5,3,5))),0) * 1000000</f>
        <v>0</v>
      </c>
      <c r="X1011" s="53">
        <f t="shared" ref="X1011:X1074" si="319">IF(AND(P1011&gt;=150000000,P1011&lt;300000000),5000000,IF(AND(P1011&gt;=300000000,P1011&lt;500000000),10000000,IF(AND(P1011&gt;=300000000,P1011&lt;500000000),15000000,IF(AND(P1011&gt;=500000000,P1011&lt;3000000000),20000000,IF(P1011&gt;=30000000000,35000000,0))))) * (1-R1011)</f>
        <v>0</v>
      </c>
      <c r="Y1011" s="53">
        <f t="shared" ref="Y1011:Y1074" si="320">IFERROR(Q1011 * (1-R1011),0)</f>
        <v>0</v>
      </c>
      <c r="Z1011" s="54">
        <f t="shared" si="309"/>
        <v>0</v>
      </c>
      <c r="AA1011" s="54">
        <f t="shared" ref="AA1011:AA1074" si="321">IFERROR((1-R1011) * Z1011 * 2%,0)</f>
        <v>0</v>
      </c>
      <c r="AB1011" s="55">
        <f t="shared" si="311"/>
        <v>0</v>
      </c>
      <c r="AC1011" s="55">
        <f t="shared" ref="AC1011:AC1074" si="322">IFERROR(AB1011 * (1-R1011) * 2%,0)</f>
        <v>0</v>
      </c>
      <c r="AD1011" s="56">
        <f t="shared" ref="AD1011:AD1074" si="323">T1011+V1011+W1011+X1011+AA1011+AC1011</f>
        <v>8105.12</v>
      </c>
    </row>
    <row r="1012" spans="3:30">
      <c r="C1012" s="43" t="s">
        <v>1829</v>
      </c>
      <c r="D1012" s="44" t="s">
        <v>1830</v>
      </c>
      <c r="E1012" s="44"/>
      <c r="F1012" s="45">
        <v>41355.615162037036</v>
      </c>
      <c r="G1012" s="46">
        <v>66</v>
      </c>
      <c r="H1012" s="47">
        <v>43372</v>
      </c>
      <c r="I1012" s="47">
        <v>43402</v>
      </c>
      <c r="J1012" s="46">
        <v>2274549</v>
      </c>
      <c r="K1012" s="46">
        <v>0</v>
      </c>
      <c r="L1012" s="46">
        <v>0</v>
      </c>
      <c r="M1012" s="46">
        <f t="shared" si="312"/>
        <v>2274549</v>
      </c>
      <c r="N1012" s="46">
        <v>2274549</v>
      </c>
      <c r="O1012" s="48">
        <f t="shared" si="313"/>
        <v>0</v>
      </c>
      <c r="P1012" s="46">
        <v>0</v>
      </c>
      <c r="Q1012" s="46">
        <v>2274549</v>
      </c>
      <c r="R1012" s="49">
        <f t="shared" si="314"/>
        <v>1</v>
      </c>
      <c r="S1012" s="50">
        <f t="shared" si="315"/>
        <v>0.01</v>
      </c>
      <c r="T1012" s="49">
        <f t="shared" si="316"/>
        <v>22745.49</v>
      </c>
      <c r="U1012" s="51">
        <f t="shared" si="317"/>
        <v>0</v>
      </c>
      <c r="V1012" s="52">
        <f>IF(0&lt;0.8,0,IF(0&lt;1,Sheet3!L561,1))*IF(G1012&lt;3,0.12 - O1012,0.01) *U1012</f>
        <v>0</v>
      </c>
      <c r="W1012" s="52">
        <f t="shared" si="318"/>
        <v>0</v>
      </c>
      <c r="X1012" s="53">
        <f t="shared" si="319"/>
        <v>0</v>
      </c>
      <c r="Y1012" s="53">
        <f t="shared" si="320"/>
        <v>0</v>
      </c>
      <c r="Z1012" s="54">
        <f t="shared" si="309"/>
        <v>0</v>
      </c>
      <c r="AA1012" s="54">
        <f t="shared" si="321"/>
        <v>0</v>
      </c>
      <c r="AB1012" s="55">
        <f t="shared" si="311"/>
        <v>0</v>
      </c>
      <c r="AC1012" s="55">
        <f t="shared" si="322"/>
        <v>0</v>
      </c>
      <c r="AD1012" s="56">
        <f t="shared" si="323"/>
        <v>22745.49</v>
      </c>
    </row>
    <row r="1013" spans="3:30">
      <c r="C1013" s="43" t="s">
        <v>1831</v>
      </c>
      <c r="D1013" s="44" t="s">
        <v>1832</v>
      </c>
      <c r="E1013" s="44"/>
      <c r="F1013" s="45">
        <v>41359.43608796296</v>
      </c>
      <c r="G1013" s="46">
        <v>66</v>
      </c>
      <c r="H1013" s="47">
        <v>43372</v>
      </c>
      <c r="I1013" s="47">
        <v>43403</v>
      </c>
      <c r="J1013" s="46">
        <v>2005470</v>
      </c>
      <c r="K1013" s="46">
        <v>0</v>
      </c>
      <c r="L1013" s="46">
        <v>0</v>
      </c>
      <c r="M1013" s="46">
        <f t="shared" si="312"/>
        <v>2005470</v>
      </c>
      <c r="N1013" s="46">
        <v>2005470</v>
      </c>
      <c r="O1013" s="48">
        <f t="shared" si="313"/>
        <v>0</v>
      </c>
      <c r="P1013" s="46">
        <v>0</v>
      </c>
      <c r="Q1013" s="46">
        <v>2005470</v>
      </c>
      <c r="R1013" s="49">
        <f t="shared" si="314"/>
        <v>1</v>
      </c>
      <c r="S1013" s="50">
        <f t="shared" si="315"/>
        <v>0.01</v>
      </c>
      <c r="T1013" s="49">
        <f t="shared" si="316"/>
        <v>20054.7</v>
      </c>
      <c r="U1013" s="51">
        <f t="shared" si="317"/>
        <v>0</v>
      </c>
      <c r="V1013" s="52">
        <f>IF(0&lt;0.8,0,IF(0&lt;1,Sheet3!L561,1))*IF(G1013&lt;3,0.12 - O1013,0.01) *U1013</f>
        <v>0</v>
      </c>
      <c r="W1013" s="52">
        <f t="shared" si="318"/>
        <v>0</v>
      </c>
      <c r="X1013" s="53">
        <f t="shared" si="319"/>
        <v>0</v>
      </c>
      <c r="Y1013" s="53">
        <f t="shared" si="320"/>
        <v>0</v>
      </c>
      <c r="Z1013" s="54">
        <f t="shared" si="309"/>
        <v>0</v>
      </c>
      <c r="AA1013" s="54">
        <f t="shared" si="321"/>
        <v>0</v>
      </c>
      <c r="AB1013" s="55">
        <f t="shared" si="311"/>
        <v>0</v>
      </c>
      <c r="AC1013" s="55">
        <f t="shared" si="322"/>
        <v>0</v>
      </c>
      <c r="AD1013" s="56">
        <f t="shared" si="323"/>
        <v>20054.7</v>
      </c>
    </row>
    <row r="1014" spans="3:30">
      <c r="C1014" s="43" t="s">
        <v>1833</v>
      </c>
      <c r="D1014" s="44" t="s">
        <v>1834</v>
      </c>
      <c r="E1014" s="44"/>
      <c r="F1014" s="45">
        <v>41366.601759259254</v>
      </c>
      <c r="G1014" s="46">
        <v>65</v>
      </c>
      <c r="H1014" s="47">
        <v>43375</v>
      </c>
      <c r="I1014" s="47">
        <v>43399</v>
      </c>
      <c r="J1014" s="46">
        <v>12712103</v>
      </c>
      <c r="K1014" s="46">
        <v>0</v>
      </c>
      <c r="L1014" s="46">
        <v>0</v>
      </c>
      <c r="M1014" s="46">
        <f t="shared" si="312"/>
        <v>12712103</v>
      </c>
      <c r="N1014" s="46">
        <v>12712103</v>
      </c>
      <c r="O1014" s="48">
        <f t="shared" si="313"/>
        <v>0</v>
      </c>
      <c r="P1014" s="46">
        <v>0</v>
      </c>
      <c r="Q1014" s="46">
        <v>12712103</v>
      </c>
      <c r="R1014" s="49">
        <f t="shared" si="314"/>
        <v>1</v>
      </c>
      <c r="S1014" s="50">
        <f t="shared" si="315"/>
        <v>0.01</v>
      </c>
      <c r="T1014" s="49">
        <f t="shared" si="316"/>
        <v>127121.03</v>
      </c>
      <c r="U1014" s="51">
        <f t="shared" si="317"/>
        <v>0</v>
      </c>
      <c r="V1014" s="52">
        <f>IF(0&lt;0.8,0,IF(0&lt;1,Sheet3!L561,1))*IF(G1014&lt;3,0.12 - O1014,0.01) *U1014</f>
        <v>0</v>
      </c>
      <c r="W1014" s="52">
        <f t="shared" si="318"/>
        <v>0</v>
      </c>
      <c r="X1014" s="53">
        <f t="shared" si="319"/>
        <v>0</v>
      </c>
      <c r="Y1014" s="53">
        <f t="shared" si="320"/>
        <v>0</v>
      </c>
      <c r="Z1014" s="54">
        <f t="shared" si="309"/>
        <v>0</v>
      </c>
      <c r="AA1014" s="54">
        <f t="shared" si="321"/>
        <v>0</v>
      </c>
      <c r="AB1014" s="55">
        <f t="shared" si="311"/>
        <v>0</v>
      </c>
      <c r="AC1014" s="55">
        <f t="shared" si="322"/>
        <v>0</v>
      </c>
      <c r="AD1014" s="56">
        <f t="shared" si="323"/>
        <v>127121.03</v>
      </c>
    </row>
    <row r="1015" spans="3:30">
      <c r="C1015" s="43" t="s">
        <v>1835</v>
      </c>
      <c r="D1015" s="44" t="s">
        <v>1836</v>
      </c>
      <c r="E1015" s="44"/>
      <c r="F1015" s="45">
        <v>41374.460127314815</v>
      </c>
      <c r="G1015" s="46">
        <v>65</v>
      </c>
      <c r="H1015" s="47">
        <v>43381</v>
      </c>
      <c r="I1015" s="47">
        <v>43390</v>
      </c>
      <c r="J1015" s="46">
        <v>4816865</v>
      </c>
      <c r="K1015" s="46">
        <v>0</v>
      </c>
      <c r="L1015" s="46">
        <v>0</v>
      </c>
      <c r="M1015" s="46">
        <f t="shared" si="312"/>
        <v>4816865</v>
      </c>
      <c r="N1015" s="46">
        <v>4816865</v>
      </c>
      <c r="O1015" s="48">
        <f t="shared" si="313"/>
        <v>0</v>
      </c>
      <c r="P1015" s="46">
        <v>0</v>
      </c>
      <c r="Q1015" s="46">
        <v>4816865</v>
      </c>
      <c r="R1015" s="49">
        <f t="shared" si="314"/>
        <v>1</v>
      </c>
      <c r="S1015" s="50">
        <f t="shared" si="315"/>
        <v>0.01</v>
      </c>
      <c r="T1015" s="49">
        <f t="shared" si="316"/>
        <v>48168.65</v>
      </c>
      <c r="U1015" s="51">
        <f t="shared" si="317"/>
        <v>0</v>
      </c>
      <c r="V1015" s="52">
        <f>IF(0&lt;0.8,0,IF(0&lt;1,Sheet3!L561,1))*IF(G1015&lt;3,0.12 - O1015,0.01) *U1015</f>
        <v>0</v>
      </c>
      <c r="W1015" s="52">
        <f t="shared" si="318"/>
        <v>0</v>
      </c>
      <c r="X1015" s="53">
        <f t="shared" si="319"/>
        <v>0</v>
      </c>
      <c r="Y1015" s="53">
        <f t="shared" si="320"/>
        <v>0</v>
      </c>
      <c r="Z1015" s="54">
        <f t="shared" si="309"/>
        <v>0</v>
      </c>
      <c r="AA1015" s="54">
        <f t="shared" si="321"/>
        <v>0</v>
      </c>
      <c r="AB1015" s="55">
        <f t="shared" si="311"/>
        <v>0</v>
      </c>
      <c r="AC1015" s="55">
        <f t="shared" si="322"/>
        <v>0</v>
      </c>
      <c r="AD1015" s="56">
        <f t="shared" si="323"/>
        <v>48168.65</v>
      </c>
    </row>
    <row r="1016" spans="3:30">
      <c r="C1016" s="43" t="s">
        <v>1837</v>
      </c>
      <c r="D1016" s="44" t="s">
        <v>1838</v>
      </c>
      <c r="E1016" s="44"/>
      <c r="F1016" s="45">
        <v>41386.614340277774</v>
      </c>
      <c r="G1016" s="46">
        <v>65</v>
      </c>
      <c r="H1016" s="47" t="s">
        <v>24</v>
      </c>
      <c r="I1016" s="47" t="s">
        <v>24</v>
      </c>
      <c r="J1016" s="46">
        <v>274712</v>
      </c>
      <c r="K1016" s="46">
        <v>0</v>
      </c>
      <c r="L1016" s="46">
        <v>0</v>
      </c>
      <c r="M1016" s="46">
        <f t="shared" si="312"/>
        <v>274712</v>
      </c>
      <c r="N1016" s="46">
        <v>274712</v>
      </c>
      <c r="O1016" s="48">
        <f t="shared" si="313"/>
        <v>0</v>
      </c>
      <c r="P1016" s="46">
        <v>0</v>
      </c>
      <c r="Q1016" s="46">
        <v>274712</v>
      </c>
      <c r="R1016" s="49">
        <f t="shared" si="314"/>
        <v>1</v>
      </c>
      <c r="S1016" s="50">
        <f t="shared" si="315"/>
        <v>0.01</v>
      </c>
      <c r="T1016" s="49">
        <f t="shared" si="316"/>
        <v>2747.12</v>
      </c>
      <c r="U1016" s="51">
        <f t="shared" si="317"/>
        <v>0</v>
      </c>
      <c r="V1016" s="52">
        <f>IF(0&lt;0.8,0,IF(0&lt;1,Sheet3!L561,1))*IF(G1016&lt;3,0.12 - O1016,0.01) *U1016</f>
        <v>0</v>
      </c>
      <c r="W1016" s="52">
        <f t="shared" si="318"/>
        <v>0</v>
      </c>
      <c r="X1016" s="53">
        <f t="shared" si="319"/>
        <v>0</v>
      </c>
      <c r="Y1016" s="53">
        <f t="shared" si="320"/>
        <v>0</v>
      </c>
      <c r="Z1016" s="54">
        <f t="shared" si="309"/>
        <v>0</v>
      </c>
      <c r="AA1016" s="54">
        <f t="shared" si="321"/>
        <v>0</v>
      </c>
      <c r="AB1016" s="55">
        <f t="shared" si="311"/>
        <v>0</v>
      </c>
      <c r="AC1016" s="55">
        <f t="shared" si="322"/>
        <v>0</v>
      </c>
      <c r="AD1016" s="56">
        <f t="shared" si="323"/>
        <v>2747.12</v>
      </c>
    </row>
    <row r="1017" spans="3:30">
      <c r="C1017" s="43" t="s">
        <v>1839</v>
      </c>
      <c r="D1017" s="44" t="s">
        <v>1840</v>
      </c>
      <c r="E1017" s="44"/>
      <c r="F1017" s="45">
        <v>41396.400092592594</v>
      </c>
      <c r="G1017" s="46">
        <v>64</v>
      </c>
      <c r="H1017" s="47">
        <v>43375</v>
      </c>
      <c r="I1017" s="47">
        <v>43426</v>
      </c>
      <c r="J1017" s="46">
        <v>280647</v>
      </c>
      <c r="K1017" s="46">
        <v>0</v>
      </c>
      <c r="L1017" s="46">
        <v>0</v>
      </c>
      <c r="M1017" s="46">
        <f t="shared" si="312"/>
        <v>280647</v>
      </c>
      <c r="N1017" s="46">
        <v>280647</v>
      </c>
      <c r="O1017" s="48">
        <f t="shared" si="313"/>
        <v>0</v>
      </c>
      <c r="P1017" s="46">
        <v>0</v>
      </c>
      <c r="Q1017" s="46">
        <v>280647</v>
      </c>
      <c r="R1017" s="49">
        <f t="shared" si="314"/>
        <v>1</v>
      </c>
      <c r="S1017" s="50">
        <f t="shared" si="315"/>
        <v>0.01</v>
      </c>
      <c r="T1017" s="49">
        <f t="shared" si="316"/>
        <v>2806.4700000000003</v>
      </c>
      <c r="U1017" s="51">
        <f t="shared" si="317"/>
        <v>0</v>
      </c>
      <c r="V1017" s="52">
        <f>IF(0&lt;0.8,0,IF(0&lt;1,Sheet3!L561,1))*IF(G1017&lt;3,0.12 - O1017,0.01) *U1017</f>
        <v>0</v>
      </c>
      <c r="W1017" s="52">
        <f t="shared" si="318"/>
        <v>0</v>
      </c>
      <c r="X1017" s="53">
        <f t="shared" si="319"/>
        <v>0</v>
      </c>
      <c r="Y1017" s="53">
        <f t="shared" si="320"/>
        <v>0</v>
      </c>
      <c r="Z1017" s="54">
        <f t="shared" si="309"/>
        <v>0</v>
      </c>
      <c r="AA1017" s="54">
        <f t="shared" si="321"/>
        <v>0</v>
      </c>
      <c r="AB1017" s="55">
        <f t="shared" si="311"/>
        <v>0</v>
      </c>
      <c r="AC1017" s="55">
        <f t="shared" si="322"/>
        <v>0</v>
      </c>
      <c r="AD1017" s="56">
        <f t="shared" si="323"/>
        <v>2806.4700000000003</v>
      </c>
    </row>
    <row r="1018" spans="3:30">
      <c r="C1018" s="43" t="s">
        <v>1841</v>
      </c>
      <c r="D1018" s="44" t="s">
        <v>1842</v>
      </c>
      <c r="E1018" s="44"/>
      <c r="F1018" s="45">
        <v>41396.404849537037</v>
      </c>
      <c r="G1018" s="46">
        <v>64</v>
      </c>
      <c r="H1018" s="47">
        <v>43388</v>
      </c>
      <c r="I1018" s="47">
        <v>43390</v>
      </c>
      <c r="J1018" s="46">
        <v>1099164</v>
      </c>
      <c r="K1018" s="46">
        <v>0</v>
      </c>
      <c r="L1018" s="46">
        <v>0</v>
      </c>
      <c r="M1018" s="46">
        <f t="shared" si="312"/>
        <v>1099164</v>
      </c>
      <c r="N1018" s="46">
        <v>1099164</v>
      </c>
      <c r="O1018" s="48">
        <f t="shared" si="313"/>
        <v>0</v>
      </c>
      <c r="P1018" s="46">
        <v>0</v>
      </c>
      <c r="Q1018" s="46">
        <v>1099164</v>
      </c>
      <c r="R1018" s="49">
        <f t="shared" si="314"/>
        <v>1</v>
      </c>
      <c r="S1018" s="50">
        <f t="shared" si="315"/>
        <v>0.01</v>
      </c>
      <c r="T1018" s="49">
        <f t="shared" si="316"/>
        <v>10991.64</v>
      </c>
      <c r="U1018" s="51">
        <f t="shared" si="317"/>
        <v>0</v>
      </c>
      <c r="V1018" s="52">
        <f>IF(0&lt;0.8,0,IF(0&lt;1,Sheet3!L561,1))*IF(G1018&lt;3,0.12 - O1018,0.01) *U1018</f>
        <v>0</v>
      </c>
      <c r="W1018" s="52">
        <f t="shared" si="318"/>
        <v>0</v>
      </c>
      <c r="X1018" s="53">
        <f t="shared" si="319"/>
        <v>0</v>
      </c>
      <c r="Y1018" s="53">
        <f t="shared" si="320"/>
        <v>0</v>
      </c>
      <c r="Z1018" s="54">
        <f t="shared" si="309"/>
        <v>0</v>
      </c>
      <c r="AA1018" s="54">
        <f t="shared" si="321"/>
        <v>0</v>
      </c>
      <c r="AB1018" s="55">
        <f t="shared" si="311"/>
        <v>0</v>
      </c>
      <c r="AC1018" s="55">
        <f t="shared" si="322"/>
        <v>0</v>
      </c>
      <c r="AD1018" s="56">
        <f t="shared" si="323"/>
        <v>10991.64</v>
      </c>
    </row>
    <row r="1019" spans="3:30">
      <c r="C1019" s="43" t="s">
        <v>1843</v>
      </c>
      <c r="D1019" s="44" t="s">
        <v>1844</v>
      </c>
      <c r="E1019" s="44"/>
      <c r="F1019" s="45">
        <v>41396.410127314812</v>
      </c>
      <c r="G1019" s="46">
        <v>64</v>
      </c>
      <c r="H1019" s="47" t="s">
        <v>24</v>
      </c>
      <c r="I1019" s="47" t="s">
        <v>24</v>
      </c>
      <c r="J1019" s="46">
        <v>385990</v>
      </c>
      <c r="K1019" s="46">
        <v>0</v>
      </c>
      <c r="L1019" s="46">
        <v>0</v>
      </c>
      <c r="M1019" s="46">
        <f t="shared" si="312"/>
        <v>385990</v>
      </c>
      <c r="N1019" s="46">
        <v>385990</v>
      </c>
      <c r="O1019" s="48">
        <f t="shared" si="313"/>
        <v>0</v>
      </c>
      <c r="P1019" s="46">
        <v>0</v>
      </c>
      <c r="Q1019" s="46">
        <v>385990</v>
      </c>
      <c r="R1019" s="49">
        <f t="shared" si="314"/>
        <v>1</v>
      </c>
      <c r="S1019" s="50">
        <f t="shared" si="315"/>
        <v>0.01</v>
      </c>
      <c r="T1019" s="49">
        <f t="shared" si="316"/>
        <v>3859.9</v>
      </c>
      <c r="U1019" s="51">
        <f t="shared" si="317"/>
        <v>0</v>
      </c>
      <c r="V1019" s="52">
        <f>IF(0&lt;0.8,0,IF(0&lt;1,Sheet3!L561,1))*IF(G1019&lt;3,0.12 - O1019,0.01) *U1019</f>
        <v>0</v>
      </c>
      <c r="W1019" s="52">
        <f t="shared" si="318"/>
        <v>0</v>
      </c>
      <c r="X1019" s="53">
        <f t="shared" si="319"/>
        <v>0</v>
      </c>
      <c r="Y1019" s="53">
        <f t="shared" si="320"/>
        <v>0</v>
      </c>
      <c r="Z1019" s="54">
        <f t="shared" si="309"/>
        <v>0</v>
      </c>
      <c r="AA1019" s="54">
        <f t="shared" si="321"/>
        <v>0</v>
      </c>
      <c r="AB1019" s="55">
        <f t="shared" si="311"/>
        <v>0</v>
      </c>
      <c r="AC1019" s="55">
        <f t="shared" si="322"/>
        <v>0</v>
      </c>
      <c r="AD1019" s="56">
        <f t="shared" si="323"/>
        <v>3859.9</v>
      </c>
    </row>
    <row r="1020" spans="3:30">
      <c r="C1020" s="43" t="s">
        <v>1845</v>
      </c>
      <c r="D1020" s="44" t="s">
        <v>1846</v>
      </c>
      <c r="E1020" s="44"/>
      <c r="F1020" s="45">
        <v>41401.660439814812</v>
      </c>
      <c r="G1020" s="46">
        <v>64</v>
      </c>
      <c r="H1020" s="47">
        <v>43377</v>
      </c>
      <c r="I1020" s="47">
        <v>43445</v>
      </c>
      <c r="J1020" s="46">
        <v>1998002</v>
      </c>
      <c r="K1020" s="46">
        <v>0</v>
      </c>
      <c r="L1020" s="46">
        <v>0</v>
      </c>
      <c r="M1020" s="46">
        <f t="shared" si="312"/>
        <v>1998002</v>
      </c>
      <c r="N1020" s="46">
        <v>1998002</v>
      </c>
      <c r="O1020" s="48">
        <f t="shared" si="313"/>
        <v>0</v>
      </c>
      <c r="P1020" s="46">
        <v>0</v>
      </c>
      <c r="Q1020" s="46">
        <v>1998002</v>
      </c>
      <c r="R1020" s="49">
        <f t="shared" si="314"/>
        <v>1</v>
      </c>
      <c r="S1020" s="50">
        <f t="shared" si="315"/>
        <v>0.01</v>
      </c>
      <c r="T1020" s="49">
        <f t="shared" si="316"/>
        <v>19980.02</v>
      </c>
      <c r="U1020" s="51">
        <f t="shared" si="317"/>
        <v>0</v>
      </c>
      <c r="V1020" s="52">
        <f>IF(0&lt;0.8,0,IF(0&lt;1,Sheet3!L561,1))*IF(G1020&lt;3,0.12 - O1020,0.01) *U1020</f>
        <v>0</v>
      </c>
      <c r="W1020" s="52">
        <f t="shared" si="318"/>
        <v>0</v>
      </c>
      <c r="X1020" s="53">
        <f t="shared" si="319"/>
        <v>0</v>
      </c>
      <c r="Y1020" s="53">
        <f t="shared" si="320"/>
        <v>0</v>
      </c>
      <c r="Z1020" s="54">
        <f t="shared" si="309"/>
        <v>0</v>
      </c>
      <c r="AA1020" s="54">
        <f t="shared" si="321"/>
        <v>0</v>
      </c>
      <c r="AB1020" s="55">
        <f t="shared" si="311"/>
        <v>0</v>
      </c>
      <c r="AC1020" s="55">
        <f t="shared" si="322"/>
        <v>0</v>
      </c>
      <c r="AD1020" s="56">
        <f t="shared" si="323"/>
        <v>19980.02</v>
      </c>
    </row>
    <row r="1021" spans="3:30">
      <c r="C1021" s="43" t="s">
        <v>1847</v>
      </c>
      <c r="D1021" s="44" t="s">
        <v>1848</v>
      </c>
      <c r="E1021" s="44"/>
      <c r="F1021" s="45">
        <v>41405.455497685187</v>
      </c>
      <c r="G1021" s="46">
        <v>64</v>
      </c>
      <c r="H1021" s="47">
        <v>43390</v>
      </c>
      <c r="I1021" s="47">
        <v>43445</v>
      </c>
      <c r="J1021" s="46">
        <v>16093112</v>
      </c>
      <c r="K1021" s="46">
        <v>0</v>
      </c>
      <c r="L1021" s="46">
        <v>0</v>
      </c>
      <c r="M1021" s="46">
        <f t="shared" si="312"/>
        <v>16093112</v>
      </c>
      <c r="N1021" s="46">
        <v>35960901</v>
      </c>
      <c r="O1021" s="48">
        <f t="shared" si="313"/>
        <v>0.55248307043252343</v>
      </c>
      <c r="P1021" s="46">
        <v>0</v>
      </c>
      <c r="Q1021" s="46">
        <v>16093112</v>
      </c>
      <c r="R1021" s="49">
        <f t="shared" si="314"/>
        <v>1</v>
      </c>
      <c r="S1021" s="50">
        <f t="shared" si="315"/>
        <v>0.01</v>
      </c>
      <c r="T1021" s="49">
        <f t="shared" si="316"/>
        <v>160931.12</v>
      </c>
      <c r="U1021" s="51">
        <f t="shared" si="317"/>
        <v>0</v>
      </c>
      <c r="V1021" s="52">
        <f>IF(0&lt;0.8,0,IF(0&lt;1,Sheet3!L561,1))*IF(G1021&lt;3,0.12 - O1021,0.01) *U1021</f>
        <v>0</v>
      </c>
      <c r="W1021" s="52">
        <f t="shared" si="318"/>
        <v>0</v>
      </c>
      <c r="X1021" s="53">
        <f t="shared" si="319"/>
        <v>0</v>
      </c>
      <c r="Y1021" s="53">
        <f t="shared" si="320"/>
        <v>0</v>
      </c>
      <c r="Z1021" s="54">
        <f t="shared" si="309"/>
        <v>0</v>
      </c>
      <c r="AA1021" s="54">
        <f t="shared" si="321"/>
        <v>0</v>
      </c>
      <c r="AB1021" s="55">
        <f t="shared" si="311"/>
        <v>0</v>
      </c>
      <c r="AC1021" s="55">
        <f t="shared" si="322"/>
        <v>0</v>
      </c>
      <c r="AD1021" s="56">
        <f t="shared" si="323"/>
        <v>160931.12</v>
      </c>
    </row>
    <row r="1022" spans="3:30">
      <c r="C1022" s="43" t="s">
        <v>1849</v>
      </c>
      <c r="D1022" s="44" t="s">
        <v>1850</v>
      </c>
      <c r="E1022" s="44"/>
      <c r="F1022" s="45">
        <v>41407.70413194444</v>
      </c>
      <c r="G1022" s="46">
        <v>64</v>
      </c>
      <c r="H1022" s="47">
        <v>43381</v>
      </c>
      <c r="I1022" s="47">
        <v>43390</v>
      </c>
      <c r="J1022" s="46">
        <v>67382</v>
      </c>
      <c r="K1022" s="46">
        <v>0</v>
      </c>
      <c r="L1022" s="46">
        <v>0</v>
      </c>
      <c r="M1022" s="46">
        <f t="shared" si="312"/>
        <v>67382</v>
      </c>
      <c r="N1022" s="46">
        <v>67382</v>
      </c>
      <c r="O1022" s="48">
        <f t="shared" si="313"/>
        <v>0</v>
      </c>
      <c r="P1022" s="46">
        <v>0</v>
      </c>
      <c r="Q1022" s="46">
        <v>67382</v>
      </c>
      <c r="R1022" s="49">
        <f t="shared" si="314"/>
        <v>1</v>
      </c>
      <c r="S1022" s="50">
        <f t="shared" si="315"/>
        <v>0.01</v>
      </c>
      <c r="T1022" s="49">
        <f t="shared" si="316"/>
        <v>673.82</v>
      </c>
      <c r="U1022" s="51">
        <f t="shared" si="317"/>
        <v>0</v>
      </c>
      <c r="V1022" s="52">
        <f>IF(0&lt;0.8,0,IF(0&lt;1,Sheet3!L561,1))*IF(G1022&lt;3,0.12 - O1022,0.01) *U1022</f>
        <v>0</v>
      </c>
      <c r="W1022" s="52">
        <f t="shared" si="318"/>
        <v>0</v>
      </c>
      <c r="X1022" s="53">
        <f t="shared" si="319"/>
        <v>0</v>
      </c>
      <c r="Y1022" s="53">
        <f t="shared" si="320"/>
        <v>0</v>
      </c>
      <c r="Z1022" s="54">
        <f t="shared" si="309"/>
        <v>0</v>
      </c>
      <c r="AA1022" s="54">
        <f t="shared" si="321"/>
        <v>0</v>
      </c>
      <c r="AB1022" s="55">
        <f t="shared" si="311"/>
        <v>0</v>
      </c>
      <c r="AC1022" s="55">
        <f t="shared" si="322"/>
        <v>0</v>
      </c>
      <c r="AD1022" s="56">
        <f t="shared" si="323"/>
        <v>673.82</v>
      </c>
    </row>
    <row r="1023" spans="3:30">
      <c r="C1023" s="43" t="s">
        <v>1851</v>
      </c>
      <c r="D1023" s="44" t="s">
        <v>1852</v>
      </c>
      <c r="E1023" s="44"/>
      <c r="F1023" s="45">
        <v>41419.46634259259</v>
      </c>
      <c r="G1023" s="46">
        <v>64</v>
      </c>
      <c r="H1023" s="47">
        <v>43418</v>
      </c>
      <c r="I1023" s="47">
        <v>43476</v>
      </c>
      <c r="J1023" s="46">
        <v>462370772</v>
      </c>
      <c r="K1023" s="46">
        <v>53531315</v>
      </c>
      <c r="L1023" s="46">
        <v>0</v>
      </c>
      <c r="M1023" s="46">
        <f t="shared" si="312"/>
        <v>408839457</v>
      </c>
      <c r="N1023" s="46">
        <v>589375468</v>
      </c>
      <c r="O1023" s="48">
        <f t="shared" si="313"/>
        <v>0.30631748486687949</v>
      </c>
      <c r="P1023" s="46">
        <v>0</v>
      </c>
      <c r="Q1023" s="46">
        <v>418967388</v>
      </c>
      <c r="R1023" s="49">
        <f t="shared" si="314"/>
        <v>1</v>
      </c>
      <c r="S1023" s="50">
        <f t="shared" si="315"/>
        <v>0.01</v>
      </c>
      <c r="T1023" s="49">
        <f t="shared" si="316"/>
        <v>4088394.5700000003</v>
      </c>
      <c r="U1023" s="51">
        <f t="shared" si="317"/>
        <v>0</v>
      </c>
      <c r="V1023" s="52">
        <f>IF(0&lt;0.8,0,IF(0&lt;1,Sheet3!L561,1))*IF(G1023&lt;3,0.12 - O1023,0.01) *U1023</f>
        <v>0</v>
      </c>
      <c r="W1023" s="52">
        <f t="shared" si="318"/>
        <v>0</v>
      </c>
      <c r="X1023" s="53">
        <f t="shared" si="319"/>
        <v>0</v>
      </c>
      <c r="Y1023" s="53">
        <f t="shared" si="320"/>
        <v>0</v>
      </c>
      <c r="Z1023" s="54">
        <f t="shared" si="309"/>
        <v>0</v>
      </c>
      <c r="AA1023" s="54">
        <f t="shared" si="321"/>
        <v>0</v>
      </c>
      <c r="AB1023" s="55">
        <f t="shared" si="311"/>
        <v>0</v>
      </c>
      <c r="AC1023" s="55">
        <f t="shared" si="322"/>
        <v>0</v>
      </c>
      <c r="AD1023" s="56">
        <f t="shared" si="323"/>
        <v>4088394.5700000003</v>
      </c>
    </row>
    <row r="1024" spans="3:30">
      <c r="C1024" s="43" t="s">
        <v>1853</v>
      </c>
      <c r="D1024" s="44" t="s">
        <v>1854</v>
      </c>
      <c r="E1024" s="44"/>
      <c r="F1024" s="45">
        <v>41424.405798611107</v>
      </c>
      <c r="G1024" s="46">
        <v>64</v>
      </c>
      <c r="H1024" s="47">
        <v>43377</v>
      </c>
      <c r="I1024" s="47">
        <v>43391</v>
      </c>
      <c r="J1024" s="46">
        <v>299764</v>
      </c>
      <c r="K1024" s="46">
        <v>0</v>
      </c>
      <c r="L1024" s="46">
        <v>0</v>
      </c>
      <c r="M1024" s="46">
        <f t="shared" si="312"/>
        <v>299764</v>
      </c>
      <c r="N1024" s="46">
        <v>299764</v>
      </c>
      <c r="O1024" s="48">
        <f t="shared" si="313"/>
        <v>0</v>
      </c>
      <c r="P1024" s="46">
        <v>0</v>
      </c>
      <c r="Q1024" s="46">
        <v>299764</v>
      </c>
      <c r="R1024" s="49">
        <f t="shared" si="314"/>
        <v>1</v>
      </c>
      <c r="S1024" s="50">
        <f t="shared" si="315"/>
        <v>0.01</v>
      </c>
      <c r="T1024" s="49">
        <f t="shared" si="316"/>
        <v>2997.64</v>
      </c>
      <c r="U1024" s="51">
        <f t="shared" si="317"/>
        <v>0</v>
      </c>
      <c r="V1024" s="52">
        <f>IF(0&lt;0.8,0,IF(0&lt;1,Sheet3!L561,1))*IF(G1024&lt;3,0.12 - O1024,0.01) *U1024</f>
        <v>0</v>
      </c>
      <c r="W1024" s="52">
        <f t="shared" si="318"/>
        <v>0</v>
      </c>
      <c r="X1024" s="53">
        <f t="shared" si="319"/>
        <v>0</v>
      </c>
      <c r="Y1024" s="53">
        <f t="shared" si="320"/>
        <v>0</v>
      </c>
      <c r="Z1024" s="54">
        <f t="shared" si="309"/>
        <v>0</v>
      </c>
      <c r="AA1024" s="54">
        <f t="shared" si="321"/>
        <v>0</v>
      </c>
      <c r="AB1024" s="55">
        <f t="shared" si="311"/>
        <v>0</v>
      </c>
      <c r="AC1024" s="55">
        <f t="shared" si="322"/>
        <v>0</v>
      </c>
      <c r="AD1024" s="56">
        <f t="shared" si="323"/>
        <v>2997.64</v>
      </c>
    </row>
    <row r="1025" spans="3:30">
      <c r="C1025" s="43" t="s">
        <v>1855</v>
      </c>
      <c r="D1025" s="44" t="s">
        <v>1856</v>
      </c>
      <c r="E1025" s="44"/>
      <c r="F1025" s="45">
        <v>41424.454652777778</v>
      </c>
      <c r="G1025" s="46">
        <v>64</v>
      </c>
      <c r="H1025" s="47">
        <v>43390</v>
      </c>
      <c r="I1025" s="47">
        <v>43426</v>
      </c>
      <c r="J1025" s="46">
        <v>2608824</v>
      </c>
      <c r="K1025" s="46">
        <v>0</v>
      </c>
      <c r="L1025" s="46">
        <v>0</v>
      </c>
      <c r="M1025" s="46">
        <f t="shared" si="312"/>
        <v>2608824</v>
      </c>
      <c r="N1025" s="46">
        <v>3915824</v>
      </c>
      <c r="O1025" s="48">
        <f t="shared" si="313"/>
        <v>0.33377393876742167</v>
      </c>
      <c r="P1025" s="46">
        <v>0</v>
      </c>
      <c r="Q1025" s="46">
        <v>2608824</v>
      </c>
      <c r="R1025" s="49">
        <f t="shared" si="314"/>
        <v>1</v>
      </c>
      <c r="S1025" s="50">
        <f t="shared" si="315"/>
        <v>0.01</v>
      </c>
      <c r="T1025" s="49">
        <f t="shared" si="316"/>
        <v>26088.240000000002</v>
      </c>
      <c r="U1025" s="51">
        <f t="shared" si="317"/>
        <v>0</v>
      </c>
      <c r="V1025" s="52">
        <f>IF(0&lt;0.8,0,IF(0&lt;1,Sheet3!L561,1))*IF(G1025&lt;3,0.12 - O1025,0.01) *U1025</f>
        <v>0</v>
      </c>
      <c r="W1025" s="52">
        <f t="shared" si="318"/>
        <v>0</v>
      </c>
      <c r="X1025" s="53">
        <f t="shared" si="319"/>
        <v>0</v>
      </c>
      <c r="Y1025" s="53">
        <f t="shared" si="320"/>
        <v>0</v>
      </c>
      <c r="Z1025" s="54">
        <f t="shared" si="309"/>
        <v>0</v>
      </c>
      <c r="AA1025" s="54">
        <f t="shared" si="321"/>
        <v>0</v>
      </c>
      <c r="AB1025" s="55">
        <f t="shared" si="311"/>
        <v>0</v>
      </c>
      <c r="AC1025" s="55">
        <f t="shared" si="322"/>
        <v>0</v>
      </c>
      <c r="AD1025" s="56">
        <f t="shared" si="323"/>
        <v>26088.240000000002</v>
      </c>
    </row>
    <row r="1026" spans="3:30">
      <c r="C1026" s="43" t="s">
        <v>1857</v>
      </c>
      <c r="D1026" s="44" t="s">
        <v>1858</v>
      </c>
      <c r="E1026" s="44"/>
      <c r="F1026" s="45">
        <v>41425.421921296293</v>
      </c>
      <c r="G1026" s="46">
        <v>64</v>
      </c>
      <c r="H1026" s="47">
        <v>43376</v>
      </c>
      <c r="I1026" s="47">
        <v>43391</v>
      </c>
      <c r="J1026" s="46">
        <v>203893</v>
      </c>
      <c r="K1026" s="46">
        <v>0</v>
      </c>
      <c r="L1026" s="46">
        <v>0</v>
      </c>
      <c r="M1026" s="46">
        <f t="shared" si="312"/>
        <v>203893</v>
      </c>
      <c r="N1026" s="46">
        <v>203893</v>
      </c>
      <c r="O1026" s="48">
        <f t="shared" si="313"/>
        <v>0</v>
      </c>
      <c r="P1026" s="46">
        <v>0</v>
      </c>
      <c r="Q1026" s="46">
        <v>203893</v>
      </c>
      <c r="R1026" s="49">
        <f t="shared" si="314"/>
        <v>1</v>
      </c>
      <c r="S1026" s="50">
        <f t="shared" si="315"/>
        <v>0.01</v>
      </c>
      <c r="T1026" s="49">
        <f t="shared" si="316"/>
        <v>2038.93</v>
      </c>
      <c r="U1026" s="51">
        <f t="shared" si="317"/>
        <v>0</v>
      </c>
      <c r="V1026" s="52">
        <f>IF(0&lt;0.8,0,IF(0&lt;1,Sheet3!L561,1))*IF(G1026&lt;3,0.12 - O1026,0.01) *U1026</f>
        <v>0</v>
      </c>
      <c r="W1026" s="52">
        <f t="shared" si="318"/>
        <v>0</v>
      </c>
      <c r="X1026" s="53">
        <f t="shared" si="319"/>
        <v>0</v>
      </c>
      <c r="Y1026" s="53">
        <f t="shared" si="320"/>
        <v>0</v>
      </c>
      <c r="Z1026" s="54">
        <f t="shared" si="309"/>
        <v>0</v>
      </c>
      <c r="AA1026" s="54">
        <f t="shared" si="321"/>
        <v>0</v>
      </c>
      <c r="AB1026" s="55">
        <f t="shared" si="311"/>
        <v>0</v>
      </c>
      <c r="AC1026" s="55">
        <f t="shared" si="322"/>
        <v>0</v>
      </c>
      <c r="AD1026" s="56">
        <f t="shared" si="323"/>
        <v>2038.93</v>
      </c>
    </row>
    <row r="1027" spans="3:30">
      <c r="C1027" s="43" t="s">
        <v>1859</v>
      </c>
      <c r="D1027" s="44" t="s">
        <v>1860</v>
      </c>
      <c r="E1027" s="44"/>
      <c r="F1027" s="45">
        <v>41433.644583333335</v>
      </c>
      <c r="G1027" s="46">
        <v>63</v>
      </c>
      <c r="H1027" s="47">
        <v>43381</v>
      </c>
      <c r="I1027" s="47">
        <v>43397</v>
      </c>
      <c r="J1027" s="46">
        <v>228951</v>
      </c>
      <c r="K1027" s="46">
        <v>0</v>
      </c>
      <c r="L1027" s="46">
        <v>0</v>
      </c>
      <c r="M1027" s="46">
        <f t="shared" si="312"/>
        <v>228951</v>
      </c>
      <c r="N1027" s="46">
        <v>228951</v>
      </c>
      <c r="O1027" s="48">
        <f t="shared" si="313"/>
        <v>0</v>
      </c>
      <c r="P1027" s="46">
        <v>0</v>
      </c>
      <c r="Q1027" s="46">
        <v>228951</v>
      </c>
      <c r="R1027" s="49">
        <f t="shared" si="314"/>
        <v>1</v>
      </c>
      <c r="S1027" s="50">
        <f t="shared" si="315"/>
        <v>0.01</v>
      </c>
      <c r="T1027" s="49">
        <f t="shared" si="316"/>
        <v>2289.5100000000002</v>
      </c>
      <c r="U1027" s="51">
        <f t="shared" si="317"/>
        <v>0</v>
      </c>
      <c r="V1027" s="52">
        <f>IF(0&lt;0.8,0,IF(0&lt;1,Sheet3!L561,1))*IF(G1027&lt;3,0.12 - O1027,0.01) *U1027</f>
        <v>0</v>
      </c>
      <c r="W1027" s="52">
        <f t="shared" si="318"/>
        <v>0</v>
      </c>
      <c r="X1027" s="53">
        <f t="shared" si="319"/>
        <v>0</v>
      </c>
      <c r="Y1027" s="53">
        <f t="shared" si="320"/>
        <v>0</v>
      </c>
      <c r="Z1027" s="54">
        <f t="shared" si="309"/>
        <v>0</v>
      </c>
      <c r="AA1027" s="54">
        <f t="shared" si="321"/>
        <v>0</v>
      </c>
      <c r="AB1027" s="55">
        <f t="shared" si="311"/>
        <v>0</v>
      </c>
      <c r="AC1027" s="55">
        <f t="shared" si="322"/>
        <v>0</v>
      </c>
      <c r="AD1027" s="56">
        <f t="shared" si="323"/>
        <v>2289.5100000000002</v>
      </c>
    </row>
    <row r="1028" spans="3:30">
      <c r="C1028" s="43" t="s">
        <v>1861</v>
      </c>
      <c r="D1028" s="44" t="s">
        <v>1862</v>
      </c>
      <c r="E1028" s="44"/>
      <c r="F1028" s="45">
        <v>41457.440671296295</v>
      </c>
      <c r="G1028" s="46">
        <v>62</v>
      </c>
      <c r="H1028" s="47">
        <v>43377</v>
      </c>
      <c r="I1028" s="47">
        <v>43385</v>
      </c>
      <c r="J1028" s="46">
        <v>2938507</v>
      </c>
      <c r="K1028" s="46">
        <v>0</v>
      </c>
      <c r="L1028" s="46">
        <v>0</v>
      </c>
      <c r="M1028" s="46">
        <f t="shared" si="312"/>
        <v>2938507</v>
      </c>
      <c r="N1028" s="46">
        <v>2938507</v>
      </c>
      <c r="O1028" s="48">
        <f t="shared" si="313"/>
        <v>0</v>
      </c>
      <c r="P1028" s="46">
        <v>0</v>
      </c>
      <c r="Q1028" s="46">
        <v>2938507</v>
      </c>
      <c r="R1028" s="49">
        <f t="shared" si="314"/>
        <v>1</v>
      </c>
      <c r="S1028" s="50">
        <f t="shared" si="315"/>
        <v>0.01</v>
      </c>
      <c r="T1028" s="49">
        <f t="shared" si="316"/>
        <v>29385.07</v>
      </c>
      <c r="U1028" s="51">
        <f t="shared" si="317"/>
        <v>0</v>
      </c>
      <c r="V1028" s="52">
        <f>IF(0&lt;0.8,0,IF(0&lt;1,Sheet3!L561,1))*IF(G1028&lt;3,0.12 - O1028,0.01) *U1028</f>
        <v>0</v>
      </c>
      <c r="W1028" s="52">
        <f t="shared" si="318"/>
        <v>0</v>
      </c>
      <c r="X1028" s="53">
        <f t="shared" si="319"/>
        <v>0</v>
      </c>
      <c r="Y1028" s="53">
        <f t="shared" si="320"/>
        <v>0</v>
      </c>
      <c r="Z1028" s="54">
        <f t="shared" si="309"/>
        <v>0</v>
      </c>
      <c r="AA1028" s="54">
        <f t="shared" si="321"/>
        <v>0</v>
      </c>
      <c r="AB1028" s="55">
        <f t="shared" si="311"/>
        <v>0</v>
      </c>
      <c r="AC1028" s="55">
        <f t="shared" si="322"/>
        <v>0</v>
      </c>
      <c r="AD1028" s="56">
        <f t="shared" si="323"/>
        <v>29385.07</v>
      </c>
    </row>
    <row r="1029" spans="3:30">
      <c r="C1029" s="43" t="s">
        <v>1863</v>
      </c>
      <c r="D1029" s="44" t="s">
        <v>1864</v>
      </c>
      <c r="E1029" s="44"/>
      <c r="F1029" s="45">
        <v>41457.434513888889</v>
      </c>
      <c r="G1029" s="46">
        <v>62</v>
      </c>
      <c r="H1029" s="47">
        <v>43406</v>
      </c>
      <c r="I1029" s="47">
        <v>43426</v>
      </c>
      <c r="J1029" s="46">
        <v>15806</v>
      </c>
      <c r="K1029" s="46">
        <v>0</v>
      </c>
      <c r="L1029" s="46">
        <v>0</v>
      </c>
      <c r="M1029" s="46">
        <f t="shared" si="312"/>
        <v>15806</v>
      </c>
      <c r="N1029" s="46">
        <v>15806</v>
      </c>
      <c r="O1029" s="48">
        <f t="shared" si="313"/>
        <v>0</v>
      </c>
      <c r="P1029" s="46">
        <v>0</v>
      </c>
      <c r="Q1029" s="46">
        <v>15806</v>
      </c>
      <c r="R1029" s="49">
        <f t="shared" si="314"/>
        <v>1</v>
      </c>
      <c r="S1029" s="50">
        <f t="shared" si="315"/>
        <v>0.01</v>
      </c>
      <c r="T1029" s="49">
        <f t="shared" si="316"/>
        <v>158.06</v>
      </c>
      <c r="U1029" s="51">
        <f t="shared" si="317"/>
        <v>0</v>
      </c>
      <c r="V1029" s="52">
        <f>IF(0&lt;0.8,0,IF(0&lt;1,Sheet3!L561,1))*IF(G1029&lt;3,0.12 - O1029,0.01) *U1029</f>
        <v>0</v>
      </c>
      <c r="W1029" s="52">
        <f t="shared" si="318"/>
        <v>0</v>
      </c>
      <c r="X1029" s="53">
        <f t="shared" si="319"/>
        <v>0</v>
      </c>
      <c r="Y1029" s="53">
        <f t="shared" si="320"/>
        <v>0</v>
      </c>
      <c r="Z1029" s="54">
        <f t="shared" si="309"/>
        <v>0</v>
      </c>
      <c r="AA1029" s="54">
        <f t="shared" si="321"/>
        <v>0</v>
      </c>
      <c r="AB1029" s="55">
        <f t="shared" si="311"/>
        <v>0</v>
      </c>
      <c r="AC1029" s="55">
        <f t="shared" si="322"/>
        <v>0</v>
      </c>
      <c r="AD1029" s="56">
        <f t="shared" si="323"/>
        <v>158.06</v>
      </c>
    </row>
    <row r="1030" spans="3:30">
      <c r="C1030" s="43" t="s">
        <v>1865</v>
      </c>
      <c r="D1030" s="44" t="s">
        <v>1866</v>
      </c>
      <c r="E1030" s="44"/>
      <c r="F1030" s="45">
        <v>41479.59480324074</v>
      </c>
      <c r="G1030" s="46">
        <v>62</v>
      </c>
      <c r="H1030" s="47" t="s">
        <v>24</v>
      </c>
      <c r="I1030" s="47" t="s">
        <v>24</v>
      </c>
      <c r="J1030" s="46">
        <v>13310</v>
      </c>
      <c r="K1030" s="46">
        <v>0</v>
      </c>
      <c r="L1030" s="46">
        <v>0</v>
      </c>
      <c r="M1030" s="46">
        <f t="shared" si="312"/>
        <v>13310</v>
      </c>
      <c r="N1030" s="46" t="s">
        <v>24</v>
      </c>
      <c r="O1030" s="48">
        <f t="shared" si="313"/>
        <v>0</v>
      </c>
      <c r="P1030" s="46">
        <v>0</v>
      </c>
      <c r="Q1030" s="46">
        <v>0</v>
      </c>
      <c r="R1030" s="49">
        <f t="shared" si="314"/>
        <v>1</v>
      </c>
      <c r="S1030" s="50">
        <f t="shared" si="315"/>
        <v>0.01</v>
      </c>
      <c r="T1030" s="49">
        <f t="shared" si="316"/>
        <v>133.1</v>
      </c>
      <c r="U1030" s="51">
        <f t="shared" si="317"/>
        <v>0</v>
      </c>
      <c r="V1030" s="52">
        <f>IF(0&lt;0.8,0,IF(0&lt;1,Sheet3!L561,1))*IF(G1030&lt;3,0.12 - O1030,0.01) *U1030</f>
        <v>0</v>
      </c>
      <c r="W1030" s="52">
        <f t="shared" si="318"/>
        <v>0</v>
      </c>
      <c r="X1030" s="53">
        <f t="shared" si="319"/>
        <v>0</v>
      </c>
      <c r="Y1030" s="53">
        <f t="shared" si="320"/>
        <v>0</v>
      </c>
      <c r="Z1030" s="54">
        <f>IF(R1030=1,0,"")</f>
        <v>0</v>
      </c>
      <c r="AA1030" s="54">
        <f t="shared" si="321"/>
        <v>0</v>
      </c>
      <c r="AB1030" s="55">
        <f>IF(R1030=0,"",0)</f>
        <v>0</v>
      </c>
      <c r="AC1030" s="55">
        <f t="shared" si="322"/>
        <v>0</v>
      </c>
      <c r="AD1030" s="56">
        <f t="shared" si="323"/>
        <v>133.1</v>
      </c>
    </row>
    <row r="1031" spans="3:30">
      <c r="C1031" s="43" t="s">
        <v>1867</v>
      </c>
      <c r="D1031" s="44" t="s">
        <v>1868</v>
      </c>
      <c r="E1031" s="44"/>
      <c r="F1031" s="45">
        <v>41479.59306712963</v>
      </c>
      <c r="G1031" s="46">
        <v>62</v>
      </c>
      <c r="H1031" s="47">
        <v>43376</v>
      </c>
      <c r="I1031" s="47">
        <v>43406</v>
      </c>
      <c r="J1031" s="46">
        <v>192301</v>
      </c>
      <c r="K1031" s="46">
        <v>0</v>
      </c>
      <c r="L1031" s="46">
        <v>0</v>
      </c>
      <c r="M1031" s="46">
        <f t="shared" si="312"/>
        <v>192301</v>
      </c>
      <c r="N1031" s="46">
        <v>192301</v>
      </c>
      <c r="O1031" s="48">
        <f t="shared" si="313"/>
        <v>0</v>
      </c>
      <c r="P1031" s="46">
        <v>0</v>
      </c>
      <c r="Q1031" s="46">
        <v>192301</v>
      </c>
      <c r="R1031" s="49">
        <f t="shared" si="314"/>
        <v>1</v>
      </c>
      <c r="S1031" s="50">
        <f t="shared" si="315"/>
        <v>0.01</v>
      </c>
      <c r="T1031" s="49">
        <f t="shared" si="316"/>
        <v>1923.01</v>
      </c>
      <c r="U1031" s="51">
        <f t="shared" si="317"/>
        <v>0</v>
      </c>
      <c r="V1031" s="52">
        <f>IF(0&lt;0.8,0,IF(0&lt;1,Sheet3!L561,1))*IF(G1031&lt;3,0.12 - O1031,0.01) *U1031</f>
        <v>0</v>
      </c>
      <c r="W1031" s="52">
        <f t="shared" si="318"/>
        <v>0</v>
      </c>
      <c r="X1031" s="53">
        <f t="shared" si="319"/>
        <v>0</v>
      </c>
      <c r="Y1031" s="53">
        <f t="shared" si="320"/>
        <v>0</v>
      </c>
      <c r="Z1031" s="54">
        <f t="shared" ref="Z1031:Z1087" si="324">IF(R1031=1,0,0)</f>
        <v>0</v>
      </c>
      <c r="AA1031" s="54">
        <f t="shared" si="321"/>
        <v>0</v>
      </c>
      <c r="AB1031" s="55">
        <f t="shared" ref="AB1031:AB1094" si="325">IF(R1031=0,0,0)</f>
        <v>0</v>
      </c>
      <c r="AC1031" s="55">
        <f t="shared" si="322"/>
        <v>0</v>
      </c>
      <c r="AD1031" s="56">
        <f t="shared" si="323"/>
        <v>1923.01</v>
      </c>
    </row>
    <row r="1032" spans="3:30">
      <c r="C1032" s="43" t="s">
        <v>1869</v>
      </c>
      <c r="D1032" s="44" t="s">
        <v>1870</v>
      </c>
      <c r="E1032" s="44"/>
      <c r="F1032" s="45">
        <v>41479.588738425926</v>
      </c>
      <c r="G1032" s="46">
        <v>62</v>
      </c>
      <c r="H1032" s="47">
        <v>43381</v>
      </c>
      <c r="I1032" s="47">
        <v>43398</v>
      </c>
      <c r="J1032" s="46">
        <v>630563</v>
      </c>
      <c r="K1032" s="46">
        <v>0</v>
      </c>
      <c r="L1032" s="46">
        <v>0</v>
      </c>
      <c r="M1032" s="46">
        <f t="shared" si="312"/>
        <v>630563</v>
      </c>
      <c r="N1032" s="46">
        <v>630563</v>
      </c>
      <c r="O1032" s="48">
        <f t="shared" si="313"/>
        <v>0</v>
      </c>
      <c r="P1032" s="46">
        <v>0</v>
      </c>
      <c r="Q1032" s="46">
        <v>630563</v>
      </c>
      <c r="R1032" s="49">
        <f t="shared" si="314"/>
        <v>1</v>
      </c>
      <c r="S1032" s="50">
        <f t="shared" si="315"/>
        <v>0.01</v>
      </c>
      <c r="T1032" s="49">
        <f t="shared" si="316"/>
        <v>6305.63</v>
      </c>
      <c r="U1032" s="51">
        <f t="shared" si="317"/>
        <v>0</v>
      </c>
      <c r="V1032" s="52">
        <f>IF(0&lt;0.8,0,IF(0&lt;1,Sheet3!L561,1))*IF(G1032&lt;3,0.12 - O1032,0.01) *U1032</f>
        <v>0</v>
      </c>
      <c r="W1032" s="52">
        <f t="shared" si="318"/>
        <v>0</v>
      </c>
      <c r="X1032" s="53">
        <f t="shared" si="319"/>
        <v>0</v>
      </c>
      <c r="Y1032" s="53">
        <f t="shared" si="320"/>
        <v>0</v>
      </c>
      <c r="Z1032" s="54">
        <f t="shared" si="324"/>
        <v>0</v>
      </c>
      <c r="AA1032" s="54">
        <f t="shared" si="321"/>
        <v>0</v>
      </c>
      <c r="AB1032" s="55">
        <f t="shared" si="325"/>
        <v>0</v>
      </c>
      <c r="AC1032" s="55">
        <f t="shared" si="322"/>
        <v>0</v>
      </c>
      <c r="AD1032" s="56">
        <f t="shared" si="323"/>
        <v>6305.63</v>
      </c>
    </row>
    <row r="1033" spans="3:30">
      <c r="C1033" s="43" t="s">
        <v>1871</v>
      </c>
      <c r="D1033" s="44" t="s">
        <v>1872</v>
      </c>
      <c r="E1033" s="44"/>
      <c r="F1033" s="45">
        <v>41479.585856481477</v>
      </c>
      <c r="G1033" s="46">
        <v>62</v>
      </c>
      <c r="H1033" s="47">
        <v>43375</v>
      </c>
      <c r="I1033" s="47">
        <v>43448</v>
      </c>
      <c r="J1033" s="46">
        <v>1470690</v>
      </c>
      <c r="K1033" s="46">
        <v>0</v>
      </c>
      <c r="L1033" s="46">
        <v>0</v>
      </c>
      <c r="M1033" s="46">
        <f t="shared" si="312"/>
        <v>1470690</v>
      </c>
      <c r="N1033" s="46">
        <v>1470690</v>
      </c>
      <c r="O1033" s="48">
        <f t="shared" si="313"/>
        <v>0</v>
      </c>
      <c r="P1033" s="46">
        <v>0</v>
      </c>
      <c r="Q1033" s="46">
        <v>1470690</v>
      </c>
      <c r="R1033" s="49">
        <f t="shared" si="314"/>
        <v>1</v>
      </c>
      <c r="S1033" s="50">
        <f t="shared" si="315"/>
        <v>0.01</v>
      </c>
      <c r="T1033" s="49">
        <f t="shared" si="316"/>
        <v>14706.9</v>
      </c>
      <c r="U1033" s="51">
        <f t="shared" si="317"/>
        <v>0</v>
      </c>
      <c r="V1033" s="52">
        <f>IF(0&lt;0.8,0,IF(0&lt;1,Sheet3!L561,1))*IF(G1033&lt;3,0.12 - O1033,0.01) *U1033</f>
        <v>0</v>
      </c>
      <c r="W1033" s="52">
        <f t="shared" si="318"/>
        <v>0</v>
      </c>
      <c r="X1033" s="53">
        <f t="shared" si="319"/>
        <v>0</v>
      </c>
      <c r="Y1033" s="53">
        <f t="shared" si="320"/>
        <v>0</v>
      </c>
      <c r="Z1033" s="54">
        <f t="shared" si="324"/>
        <v>0</v>
      </c>
      <c r="AA1033" s="54">
        <f t="shared" si="321"/>
        <v>0</v>
      </c>
      <c r="AB1033" s="55">
        <f t="shared" si="325"/>
        <v>0</v>
      </c>
      <c r="AC1033" s="55">
        <f t="shared" si="322"/>
        <v>0</v>
      </c>
      <c r="AD1033" s="56">
        <f t="shared" si="323"/>
        <v>14706.9</v>
      </c>
    </row>
    <row r="1034" spans="3:30">
      <c r="C1034" s="43" t="s">
        <v>1873</v>
      </c>
      <c r="D1034" s="44" t="s">
        <v>1874</v>
      </c>
      <c r="E1034" s="44"/>
      <c r="F1034" s="45">
        <v>41494.614884259259</v>
      </c>
      <c r="G1034" s="46">
        <v>61</v>
      </c>
      <c r="H1034" s="47">
        <v>43381</v>
      </c>
      <c r="I1034" s="47">
        <v>43398</v>
      </c>
      <c r="J1034" s="46">
        <v>187550</v>
      </c>
      <c r="K1034" s="46">
        <v>0</v>
      </c>
      <c r="L1034" s="46">
        <v>0</v>
      </c>
      <c r="M1034" s="46">
        <f t="shared" si="312"/>
        <v>187550</v>
      </c>
      <c r="N1034" s="46">
        <v>187550</v>
      </c>
      <c r="O1034" s="48">
        <f t="shared" si="313"/>
        <v>0</v>
      </c>
      <c r="P1034" s="46">
        <v>0</v>
      </c>
      <c r="Q1034" s="46">
        <v>187550</v>
      </c>
      <c r="R1034" s="49">
        <f t="shared" si="314"/>
        <v>1</v>
      </c>
      <c r="S1034" s="50">
        <f t="shared" si="315"/>
        <v>0.01</v>
      </c>
      <c r="T1034" s="49">
        <f t="shared" si="316"/>
        <v>1875.5</v>
      </c>
      <c r="U1034" s="51">
        <f t="shared" si="317"/>
        <v>0</v>
      </c>
      <c r="V1034" s="52">
        <f>IF(0&lt;0.8,0,IF(0&lt;1,Sheet3!L561,1))*IF(G1034&lt;3,0.12 - O1034,0.01) *U1034</f>
        <v>0</v>
      </c>
      <c r="W1034" s="52">
        <f t="shared" si="318"/>
        <v>0</v>
      </c>
      <c r="X1034" s="53">
        <f t="shared" si="319"/>
        <v>0</v>
      </c>
      <c r="Y1034" s="53">
        <f t="shared" si="320"/>
        <v>0</v>
      </c>
      <c r="Z1034" s="54">
        <f t="shared" si="324"/>
        <v>0</v>
      </c>
      <c r="AA1034" s="54">
        <f t="shared" si="321"/>
        <v>0</v>
      </c>
      <c r="AB1034" s="55">
        <f t="shared" si="325"/>
        <v>0</v>
      </c>
      <c r="AC1034" s="55">
        <f t="shared" si="322"/>
        <v>0</v>
      </c>
      <c r="AD1034" s="56">
        <f t="shared" si="323"/>
        <v>1875.5</v>
      </c>
    </row>
    <row r="1035" spans="3:30">
      <c r="C1035" s="43" t="s">
        <v>1875</v>
      </c>
      <c r="D1035" s="44" t="s">
        <v>1876</v>
      </c>
      <c r="E1035" s="44"/>
      <c r="F1035" s="45">
        <v>41506.634999999995</v>
      </c>
      <c r="G1035" s="46">
        <v>61</v>
      </c>
      <c r="H1035" s="47">
        <v>43376</v>
      </c>
      <c r="I1035" s="47">
        <v>43399</v>
      </c>
      <c r="J1035" s="46">
        <v>2088998</v>
      </c>
      <c r="K1035" s="46">
        <v>184769</v>
      </c>
      <c r="L1035" s="46">
        <v>0</v>
      </c>
      <c r="M1035" s="46">
        <f t="shared" si="312"/>
        <v>1904229</v>
      </c>
      <c r="N1035" s="46">
        <v>2088998</v>
      </c>
      <c r="O1035" s="48">
        <f t="shared" si="313"/>
        <v>8.8448624651627283E-2</v>
      </c>
      <c r="P1035" s="46">
        <v>0</v>
      </c>
      <c r="Q1035" s="46">
        <v>2088998</v>
      </c>
      <c r="R1035" s="49">
        <f t="shared" si="314"/>
        <v>1</v>
      </c>
      <c r="S1035" s="50">
        <f t="shared" si="315"/>
        <v>0.01</v>
      </c>
      <c r="T1035" s="49">
        <f t="shared" si="316"/>
        <v>19042.29</v>
      </c>
      <c r="U1035" s="51">
        <f t="shared" si="317"/>
        <v>0</v>
      </c>
      <c r="V1035" s="52">
        <f>IF(0&lt;0.8,0,IF(0&lt;1,Sheet3!L561,1))*IF(G1035&lt;3,0.12 - O1035,0.01) *U1035</f>
        <v>0</v>
      </c>
      <c r="W1035" s="52">
        <f t="shared" si="318"/>
        <v>0</v>
      </c>
      <c r="X1035" s="53">
        <f t="shared" si="319"/>
        <v>0</v>
      </c>
      <c r="Y1035" s="53">
        <f t="shared" si="320"/>
        <v>0</v>
      </c>
      <c r="Z1035" s="54">
        <f t="shared" si="324"/>
        <v>0</v>
      </c>
      <c r="AA1035" s="54">
        <f t="shared" si="321"/>
        <v>0</v>
      </c>
      <c r="AB1035" s="55">
        <f t="shared" si="325"/>
        <v>0</v>
      </c>
      <c r="AC1035" s="55">
        <f t="shared" si="322"/>
        <v>0</v>
      </c>
      <c r="AD1035" s="56">
        <f t="shared" si="323"/>
        <v>19042.29</v>
      </c>
    </row>
    <row r="1036" spans="3:30">
      <c r="C1036" s="43" t="s">
        <v>1877</v>
      </c>
      <c r="D1036" s="44" t="s">
        <v>1878</v>
      </c>
      <c r="E1036" s="44"/>
      <c r="F1036" s="45">
        <v>41514.616666666661</v>
      </c>
      <c r="G1036" s="46">
        <v>61</v>
      </c>
      <c r="H1036" s="47">
        <v>43377</v>
      </c>
      <c r="I1036" s="47">
        <v>43385</v>
      </c>
      <c r="J1036" s="46">
        <v>971108</v>
      </c>
      <c r="K1036" s="46">
        <v>0</v>
      </c>
      <c r="L1036" s="46">
        <v>0</v>
      </c>
      <c r="M1036" s="46">
        <f t="shared" si="312"/>
        <v>971108</v>
      </c>
      <c r="N1036" s="46">
        <v>971108</v>
      </c>
      <c r="O1036" s="48">
        <f t="shared" si="313"/>
        <v>0</v>
      </c>
      <c r="P1036" s="46">
        <v>0</v>
      </c>
      <c r="Q1036" s="46">
        <v>971108</v>
      </c>
      <c r="R1036" s="49">
        <f t="shared" si="314"/>
        <v>1</v>
      </c>
      <c r="S1036" s="50">
        <f t="shared" si="315"/>
        <v>0.01</v>
      </c>
      <c r="T1036" s="49">
        <f t="shared" si="316"/>
        <v>9711.08</v>
      </c>
      <c r="U1036" s="51">
        <f t="shared" si="317"/>
        <v>0</v>
      </c>
      <c r="V1036" s="52">
        <f>IF(0&lt;0.8,0,IF(0&lt;1,Sheet3!L561,1))*IF(G1036&lt;3,0.12 - O1036,0.01) *U1036</f>
        <v>0</v>
      </c>
      <c r="W1036" s="52">
        <f t="shared" si="318"/>
        <v>0</v>
      </c>
      <c r="X1036" s="53">
        <f t="shared" si="319"/>
        <v>0</v>
      </c>
      <c r="Y1036" s="53">
        <f t="shared" si="320"/>
        <v>0</v>
      </c>
      <c r="Z1036" s="54">
        <f t="shared" si="324"/>
        <v>0</v>
      </c>
      <c r="AA1036" s="54">
        <f t="shared" si="321"/>
        <v>0</v>
      </c>
      <c r="AB1036" s="55">
        <f t="shared" si="325"/>
        <v>0</v>
      </c>
      <c r="AC1036" s="55">
        <f t="shared" si="322"/>
        <v>0</v>
      </c>
      <c r="AD1036" s="56">
        <f t="shared" si="323"/>
        <v>9711.08</v>
      </c>
    </row>
    <row r="1037" spans="3:30">
      <c r="C1037" s="43" t="s">
        <v>1879</v>
      </c>
      <c r="D1037" s="44" t="s">
        <v>1880</v>
      </c>
      <c r="E1037" s="44"/>
      <c r="F1037" s="45">
        <v>41514.604155092587</v>
      </c>
      <c r="G1037" s="46">
        <v>61</v>
      </c>
      <c r="H1037" s="47" t="s">
        <v>24</v>
      </c>
      <c r="I1037" s="47" t="s">
        <v>24</v>
      </c>
      <c r="J1037" s="46">
        <v>119064</v>
      </c>
      <c r="K1037" s="46">
        <v>0</v>
      </c>
      <c r="L1037" s="46">
        <v>0</v>
      </c>
      <c r="M1037" s="46">
        <f t="shared" si="312"/>
        <v>119064</v>
      </c>
      <c r="N1037" s="46">
        <v>119064</v>
      </c>
      <c r="O1037" s="48">
        <f t="shared" si="313"/>
        <v>0</v>
      </c>
      <c r="P1037" s="46">
        <v>0</v>
      </c>
      <c r="Q1037" s="46">
        <v>119064</v>
      </c>
      <c r="R1037" s="49">
        <f t="shared" si="314"/>
        <v>1</v>
      </c>
      <c r="S1037" s="50">
        <f t="shared" si="315"/>
        <v>0.01</v>
      </c>
      <c r="T1037" s="49">
        <f t="shared" si="316"/>
        <v>1190.6400000000001</v>
      </c>
      <c r="U1037" s="51">
        <f t="shared" si="317"/>
        <v>0</v>
      </c>
      <c r="V1037" s="52">
        <f>IF(0&lt;0.8,0,IF(0&lt;1,Sheet3!L561,1))*IF(G1037&lt;3,0.12 - O1037,0.01) *U1037</f>
        <v>0</v>
      </c>
      <c r="W1037" s="52">
        <f t="shared" si="318"/>
        <v>0</v>
      </c>
      <c r="X1037" s="53">
        <f t="shared" si="319"/>
        <v>0</v>
      </c>
      <c r="Y1037" s="53">
        <f t="shared" si="320"/>
        <v>0</v>
      </c>
      <c r="Z1037" s="54">
        <f t="shared" si="324"/>
        <v>0</v>
      </c>
      <c r="AA1037" s="54">
        <f t="shared" si="321"/>
        <v>0</v>
      </c>
      <c r="AB1037" s="55">
        <f t="shared" si="325"/>
        <v>0</v>
      </c>
      <c r="AC1037" s="55">
        <f t="shared" si="322"/>
        <v>0</v>
      </c>
      <c r="AD1037" s="56">
        <f t="shared" si="323"/>
        <v>1190.6400000000001</v>
      </c>
    </row>
    <row r="1038" spans="3:30">
      <c r="C1038" s="43" t="s">
        <v>1881</v>
      </c>
      <c r="D1038" s="44" t="s">
        <v>1882</v>
      </c>
      <c r="E1038" s="44"/>
      <c r="F1038" s="45">
        <v>41514.580462962964</v>
      </c>
      <c r="G1038" s="46">
        <v>61</v>
      </c>
      <c r="H1038" s="47">
        <v>43419</v>
      </c>
      <c r="I1038" s="47">
        <v>43420</v>
      </c>
      <c r="J1038" s="46">
        <v>2583592</v>
      </c>
      <c r="K1038" s="46">
        <v>0</v>
      </c>
      <c r="L1038" s="46">
        <v>0</v>
      </c>
      <c r="M1038" s="46">
        <f t="shared" si="312"/>
        <v>2583592</v>
      </c>
      <c r="N1038" s="46">
        <v>4429592</v>
      </c>
      <c r="O1038" s="48">
        <f t="shared" si="313"/>
        <v>0.41674267065680093</v>
      </c>
      <c r="P1038" s="46">
        <v>0</v>
      </c>
      <c r="Q1038" s="46">
        <v>2583592</v>
      </c>
      <c r="R1038" s="49">
        <f t="shared" si="314"/>
        <v>1</v>
      </c>
      <c r="S1038" s="50">
        <f t="shared" si="315"/>
        <v>0.01</v>
      </c>
      <c r="T1038" s="49">
        <f t="shared" si="316"/>
        <v>25835.920000000002</v>
      </c>
      <c r="U1038" s="51">
        <f t="shared" si="317"/>
        <v>0</v>
      </c>
      <c r="V1038" s="52">
        <f>IF(0&lt;0.8,0,IF(0&lt;1,Sheet3!L561,1))*IF(G1038&lt;3,0.12 - O1038,0.01) *U1038</f>
        <v>0</v>
      </c>
      <c r="W1038" s="52">
        <f t="shared" si="318"/>
        <v>0</v>
      </c>
      <c r="X1038" s="53">
        <f t="shared" si="319"/>
        <v>0</v>
      </c>
      <c r="Y1038" s="53">
        <f t="shared" si="320"/>
        <v>0</v>
      </c>
      <c r="Z1038" s="54">
        <f t="shared" si="324"/>
        <v>0</v>
      </c>
      <c r="AA1038" s="54">
        <f t="shared" si="321"/>
        <v>0</v>
      </c>
      <c r="AB1038" s="55">
        <f t="shared" si="325"/>
        <v>0</v>
      </c>
      <c r="AC1038" s="55">
        <f t="shared" si="322"/>
        <v>0</v>
      </c>
      <c r="AD1038" s="56">
        <f t="shared" si="323"/>
        <v>25835.920000000002</v>
      </c>
    </row>
    <row r="1039" spans="3:30">
      <c r="C1039" s="43" t="s">
        <v>1883</v>
      </c>
      <c r="D1039" s="44" t="s">
        <v>1884</v>
      </c>
      <c r="E1039" s="44"/>
      <c r="F1039" s="45">
        <v>41514.579039351847</v>
      </c>
      <c r="G1039" s="46">
        <v>61</v>
      </c>
      <c r="H1039" s="47">
        <v>43381</v>
      </c>
      <c r="I1039" s="47">
        <v>43390</v>
      </c>
      <c r="J1039" s="46">
        <v>641829</v>
      </c>
      <c r="K1039" s="46">
        <v>0</v>
      </c>
      <c r="L1039" s="46">
        <v>0</v>
      </c>
      <c r="M1039" s="46">
        <f t="shared" si="312"/>
        <v>641829</v>
      </c>
      <c r="N1039" s="46">
        <v>641829</v>
      </c>
      <c r="O1039" s="48">
        <f t="shared" si="313"/>
        <v>0</v>
      </c>
      <c r="P1039" s="46">
        <v>0</v>
      </c>
      <c r="Q1039" s="46">
        <v>641829</v>
      </c>
      <c r="R1039" s="49">
        <f t="shared" si="314"/>
        <v>1</v>
      </c>
      <c r="S1039" s="50">
        <f t="shared" si="315"/>
        <v>0.01</v>
      </c>
      <c r="T1039" s="49">
        <f t="shared" si="316"/>
        <v>6418.29</v>
      </c>
      <c r="U1039" s="51">
        <f t="shared" si="317"/>
        <v>0</v>
      </c>
      <c r="V1039" s="52">
        <f>IF(0&lt;0.8,0,IF(0&lt;1,Sheet3!L561,1))*IF(G1039&lt;3,0.12 - O1039,0.01) *U1039</f>
        <v>0</v>
      </c>
      <c r="W1039" s="52">
        <f t="shared" si="318"/>
        <v>0</v>
      </c>
      <c r="X1039" s="53">
        <f t="shared" si="319"/>
        <v>0</v>
      </c>
      <c r="Y1039" s="53">
        <f t="shared" si="320"/>
        <v>0</v>
      </c>
      <c r="Z1039" s="54">
        <f t="shared" si="324"/>
        <v>0</v>
      </c>
      <c r="AA1039" s="54">
        <f t="shared" si="321"/>
        <v>0</v>
      </c>
      <c r="AB1039" s="55">
        <f t="shared" si="325"/>
        <v>0</v>
      </c>
      <c r="AC1039" s="55">
        <f t="shared" si="322"/>
        <v>0</v>
      </c>
      <c r="AD1039" s="56">
        <f t="shared" si="323"/>
        <v>6418.29</v>
      </c>
    </row>
    <row r="1040" spans="3:30">
      <c r="C1040" s="43" t="s">
        <v>1885</v>
      </c>
      <c r="D1040" s="44" t="s">
        <v>1886</v>
      </c>
      <c r="E1040" s="44"/>
      <c r="F1040" s="45">
        <v>41527.407905092594</v>
      </c>
      <c r="G1040" s="46">
        <v>60</v>
      </c>
      <c r="H1040" s="47">
        <v>43377</v>
      </c>
      <c r="I1040" s="47">
        <v>43395</v>
      </c>
      <c r="J1040" s="46">
        <v>2353727</v>
      </c>
      <c r="K1040" s="46">
        <v>0</v>
      </c>
      <c r="L1040" s="46">
        <v>0</v>
      </c>
      <c r="M1040" s="46">
        <f t="shared" si="312"/>
        <v>2353727</v>
      </c>
      <c r="N1040" s="46">
        <v>2353727</v>
      </c>
      <c r="O1040" s="48">
        <f t="shared" si="313"/>
        <v>0</v>
      </c>
      <c r="P1040" s="46">
        <v>0</v>
      </c>
      <c r="Q1040" s="46">
        <v>2353727</v>
      </c>
      <c r="R1040" s="49">
        <f t="shared" si="314"/>
        <v>1</v>
      </c>
      <c r="S1040" s="50">
        <f t="shared" si="315"/>
        <v>0.01</v>
      </c>
      <c r="T1040" s="49">
        <f t="shared" si="316"/>
        <v>23537.27</v>
      </c>
      <c r="U1040" s="51">
        <f t="shared" si="317"/>
        <v>0</v>
      </c>
      <c r="V1040" s="52">
        <f>IF(0&lt;0.8,0,IF(0&lt;1,Sheet3!L561,1))*IF(G1040&lt;3,0.12 - O1040,0.01) *U1040</f>
        <v>0</v>
      </c>
      <c r="W1040" s="52">
        <f t="shared" si="318"/>
        <v>0</v>
      </c>
      <c r="X1040" s="53">
        <f t="shared" si="319"/>
        <v>0</v>
      </c>
      <c r="Y1040" s="53">
        <f t="shared" si="320"/>
        <v>0</v>
      </c>
      <c r="Z1040" s="54">
        <f t="shared" si="324"/>
        <v>0</v>
      </c>
      <c r="AA1040" s="54">
        <f t="shared" si="321"/>
        <v>0</v>
      </c>
      <c r="AB1040" s="55">
        <f t="shared" si="325"/>
        <v>0</v>
      </c>
      <c r="AC1040" s="55">
        <f t="shared" si="322"/>
        <v>0</v>
      </c>
      <c r="AD1040" s="56">
        <f t="shared" si="323"/>
        <v>23537.27</v>
      </c>
    </row>
    <row r="1041" spans="3:30">
      <c r="C1041" s="43" t="s">
        <v>1887</v>
      </c>
      <c r="D1041" s="44" t="s">
        <v>1888</v>
      </c>
      <c r="E1041" s="44"/>
      <c r="F1041" s="45">
        <v>41535.632071759261</v>
      </c>
      <c r="G1041" s="46">
        <v>60</v>
      </c>
      <c r="H1041" s="47">
        <v>43377</v>
      </c>
      <c r="I1041" s="47">
        <v>43388</v>
      </c>
      <c r="J1041" s="46">
        <v>423451</v>
      </c>
      <c r="K1041" s="46">
        <v>0</v>
      </c>
      <c r="L1041" s="46">
        <v>0</v>
      </c>
      <c r="M1041" s="46">
        <f t="shared" si="312"/>
        <v>423451</v>
      </c>
      <c r="N1041" s="46">
        <v>423451</v>
      </c>
      <c r="O1041" s="48">
        <f t="shared" si="313"/>
        <v>0</v>
      </c>
      <c r="P1041" s="46">
        <v>0</v>
      </c>
      <c r="Q1041" s="46">
        <v>423451</v>
      </c>
      <c r="R1041" s="49">
        <f t="shared" si="314"/>
        <v>1</v>
      </c>
      <c r="S1041" s="50">
        <f t="shared" si="315"/>
        <v>0.01</v>
      </c>
      <c r="T1041" s="49">
        <f t="shared" si="316"/>
        <v>4234.51</v>
      </c>
      <c r="U1041" s="51">
        <f t="shared" si="317"/>
        <v>0</v>
      </c>
      <c r="V1041" s="52">
        <f>IF(0&lt;0.8,0,IF(0&lt;1,Sheet3!L561,1))*IF(G1041&lt;3,0.12 - O1041,0.01) *U1041</f>
        <v>0</v>
      </c>
      <c r="W1041" s="52">
        <f t="shared" si="318"/>
        <v>0</v>
      </c>
      <c r="X1041" s="53">
        <f t="shared" si="319"/>
        <v>0</v>
      </c>
      <c r="Y1041" s="53">
        <f t="shared" si="320"/>
        <v>0</v>
      </c>
      <c r="Z1041" s="54">
        <f t="shared" si="324"/>
        <v>0</v>
      </c>
      <c r="AA1041" s="54">
        <f t="shared" si="321"/>
        <v>0</v>
      </c>
      <c r="AB1041" s="55">
        <f t="shared" si="325"/>
        <v>0</v>
      </c>
      <c r="AC1041" s="55">
        <f t="shared" si="322"/>
        <v>0</v>
      </c>
      <c r="AD1041" s="56">
        <f t="shared" si="323"/>
        <v>4234.51</v>
      </c>
    </row>
    <row r="1042" spans="3:30">
      <c r="C1042" s="43" t="s">
        <v>1889</v>
      </c>
      <c r="D1042" s="44" t="s">
        <v>1890</v>
      </c>
      <c r="E1042" s="44"/>
      <c r="F1042" s="45">
        <v>41535.629432870366</v>
      </c>
      <c r="G1042" s="46">
        <v>60</v>
      </c>
      <c r="H1042" s="47" t="s">
        <v>24</v>
      </c>
      <c r="I1042" s="47" t="s">
        <v>24</v>
      </c>
      <c r="J1042" s="46">
        <v>1316782</v>
      </c>
      <c r="K1042" s="46">
        <v>0</v>
      </c>
      <c r="L1042" s="46">
        <v>0</v>
      </c>
      <c r="M1042" s="46">
        <f t="shared" si="312"/>
        <v>1316782</v>
      </c>
      <c r="N1042" s="46">
        <v>1316782</v>
      </c>
      <c r="O1042" s="48">
        <f t="shared" si="313"/>
        <v>0</v>
      </c>
      <c r="P1042" s="46">
        <v>0</v>
      </c>
      <c r="Q1042" s="46">
        <v>1316782</v>
      </c>
      <c r="R1042" s="49">
        <f t="shared" si="314"/>
        <v>1</v>
      </c>
      <c r="S1042" s="50">
        <f t="shared" si="315"/>
        <v>0.01</v>
      </c>
      <c r="T1042" s="49">
        <f t="shared" si="316"/>
        <v>13167.82</v>
      </c>
      <c r="U1042" s="51">
        <f t="shared" si="317"/>
        <v>0</v>
      </c>
      <c r="V1042" s="52">
        <f>IF(0&lt;0.8,0,IF(0&lt;1,Sheet3!L561,1))*IF(G1042&lt;3,0.12 - O1042,0.01) *U1042</f>
        <v>0</v>
      </c>
      <c r="W1042" s="52">
        <f t="shared" si="318"/>
        <v>0</v>
      </c>
      <c r="X1042" s="53">
        <f t="shared" si="319"/>
        <v>0</v>
      </c>
      <c r="Y1042" s="53">
        <f t="shared" si="320"/>
        <v>0</v>
      </c>
      <c r="Z1042" s="54">
        <f t="shared" si="324"/>
        <v>0</v>
      </c>
      <c r="AA1042" s="54">
        <f t="shared" si="321"/>
        <v>0</v>
      </c>
      <c r="AB1042" s="55">
        <f t="shared" si="325"/>
        <v>0</v>
      </c>
      <c r="AC1042" s="55">
        <f t="shared" si="322"/>
        <v>0</v>
      </c>
      <c r="AD1042" s="56">
        <f t="shared" si="323"/>
        <v>13167.82</v>
      </c>
    </row>
    <row r="1043" spans="3:30">
      <c r="C1043" s="43" t="s">
        <v>1891</v>
      </c>
      <c r="D1043" s="44" t="s">
        <v>1892</v>
      </c>
      <c r="E1043" s="44"/>
      <c r="F1043" s="45">
        <v>41541.392881944441</v>
      </c>
      <c r="G1043" s="46">
        <v>60</v>
      </c>
      <c r="H1043" s="47">
        <v>43404</v>
      </c>
      <c r="I1043" s="47">
        <v>43432</v>
      </c>
      <c r="J1043" s="46">
        <v>14698055</v>
      </c>
      <c r="K1043" s="46">
        <v>0</v>
      </c>
      <c r="L1043" s="46">
        <v>0</v>
      </c>
      <c r="M1043" s="46">
        <f t="shared" si="312"/>
        <v>14698055</v>
      </c>
      <c r="N1043" s="46">
        <v>16616003</v>
      </c>
      <c r="O1043" s="48">
        <f t="shared" si="313"/>
        <v>0.1154277596122244</v>
      </c>
      <c r="P1043" s="46">
        <v>0</v>
      </c>
      <c r="Q1043" s="46">
        <v>14743188</v>
      </c>
      <c r="R1043" s="49">
        <f t="shared" si="314"/>
        <v>1</v>
      </c>
      <c r="S1043" s="50">
        <f t="shared" si="315"/>
        <v>0.01</v>
      </c>
      <c r="T1043" s="49">
        <f t="shared" si="316"/>
        <v>146980.55000000002</v>
      </c>
      <c r="U1043" s="51">
        <f t="shared" si="317"/>
        <v>0</v>
      </c>
      <c r="V1043" s="52">
        <f>IF(0&lt;0.8,0,IF(0&lt;1,Sheet3!L561,1))*IF(G1043&lt;3,0.12 - O1043,0.01) *U1043</f>
        <v>0</v>
      </c>
      <c r="W1043" s="52">
        <f t="shared" si="318"/>
        <v>0</v>
      </c>
      <c r="X1043" s="53">
        <f t="shared" si="319"/>
        <v>0</v>
      </c>
      <c r="Y1043" s="53">
        <f t="shared" si="320"/>
        <v>0</v>
      </c>
      <c r="Z1043" s="54">
        <f t="shared" si="324"/>
        <v>0</v>
      </c>
      <c r="AA1043" s="54">
        <f t="shared" si="321"/>
        <v>0</v>
      </c>
      <c r="AB1043" s="55">
        <f t="shared" si="325"/>
        <v>0</v>
      </c>
      <c r="AC1043" s="55">
        <f t="shared" si="322"/>
        <v>0</v>
      </c>
      <c r="AD1043" s="56">
        <f t="shared" si="323"/>
        <v>146980.55000000002</v>
      </c>
    </row>
    <row r="1044" spans="3:30">
      <c r="C1044" s="43" t="s">
        <v>1893</v>
      </c>
      <c r="D1044" s="44" t="s">
        <v>1894</v>
      </c>
      <c r="E1044" s="44"/>
      <c r="F1044" s="45">
        <v>41555.681087962963</v>
      </c>
      <c r="G1044" s="46">
        <v>59</v>
      </c>
      <c r="H1044" s="47">
        <v>43404</v>
      </c>
      <c r="I1044" s="47">
        <v>43410</v>
      </c>
      <c r="J1044" s="46">
        <v>1597250</v>
      </c>
      <c r="K1044" s="46">
        <v>0</v>
      </c>
      <c r="L1044" s="46">
        <v>0</v>
      </c>
      <c r="M1044" s="46">
        <f t="shared" si="312"/>
        <v>1597250</v>
      </c>
      <c r="N1044" s="46">
        <v>2257250</v>
      </c>
      <c r="O1044" s="48">
        <f t="shared" si="313"/>
        <v>0.29239118396278663</v>
      </c>
      <c r="P1044" s="46">
        <v>0</v>
      </c>
      <c r="Q1044" s="46">
        <v>1597250</v>
      </c>
      <c r="R1044" s="49">
        <f t="shared" si="314"/>
        <v>1</v>
      </c>
      <c r="S1044" s="50">
        <f t="shared" si="315"/>
        <v>0.01</v>
      </c>
      <c r="T1044" s="49">
        <f t="shared" si="316"/>
        <v>15972.5</v>
      </c>
      <c r="U1044" s="51">
        <f t="shared" si="317"/>
        <v>0</v>
      </c>
      <c r="V1044" s="52">
        <f>IF(0&lt;0.8,0,IF(0&lt;1,Sheet3!L561,1))*IF(G1044&lt;3,0.12 - O1044,0.01) *U1044</f>
        <v>0</v>
      </c>
      <c r="W1044" s="52">
        <f t="shared" si="318"/>
        <v>0</v>
      </c>
      <c r="X1044" s="53">
        <f t="shared" si="319"/>
        <v>0</v>
      </c>
      <c r="Y1044" s="53">
        <f t="shared" si="320"/>
        <v>0</v>
      </c>
      <c r="Z1044" s="54">
        <f t="shared" si="324"/>
        <v>0</v>
      </c>
      <c r="AA1044" s="54">
        <f t="shared" si="321"/>
        <v>0</v>
      </c>
      <c r="AB1044" s="55">
        <f t="shared" si="325"/>
        <v>0</v>
      </c>
      <c r="AC1044" s="55">
        <f t="shared" si="322"/>
        <v>0</v>
      </c>
      <c r="AD1044" s="56">
        <f t="shared" si="323"/>
        <v>15972.5</v>
      </c>
    </row>
    <row r="1045" spans="3:30">
      <c r="C1045" s="43" t="s">
        <v>1895</v>
      </c>
      <c r="D1045" s="44" t="s">
        <v>1896</v>
      </c>
      <c r="E1045" s="44"/>
      <c r="F1045" s="45">
        <v>41555.669027777774</v>
      </c>
      <c r="G1045" s="46">
        <v>59</v>
      </c>
      <c r="H1045" s="47">
        <v>43375</v>
      </c>
      <c r="I1045" s="47">
        <v>43386</v>
      </c>
      <c r="J1045" s="46">
        <v>1547260</v>
      </c>
      <c r="K1045" s="46">
        <v>0</v>
      </c>
      <c r="L1045" s="46">
        <v>0</v>
      </c>
      <c r="M1045" s="46">
        <f t="shared" si="312"/>
        <v>1547260</v>
      </c>
      <c r="N1045" s="46">
        <v>1547260</v>
      </c>
      <c r="O1045" s="48">
        <f t="shared" si="313"/>
        <v>0</v>
      </c>
      <c r="P1045" s="46">
        <v>0</v>
      </c>
      <c r="Q1045" s="46">
        <v>1547260</v>
      </c>
      <c r="R1045" s="49">
        <f t="shared" si="314"/>
        <v>1</v>
      </c>
      <c r="S1045" s="50">
        <f t="shared" si="315"/>
        <v>0.01</v>
      </c>
      <c r="T1045" s="49">
        <f t="shared" si="316"/>
        <v>15472.6</v>
      </c>
      <c r="U1045" s="51">
        <f t="shared" si="317"/>
        <v>0</v>
      </c>
      <c r="V1045" s="52">
        <f>IF(0&lt;0.8,0,IF(0&lt;1,Sheet3!L561,1))*IF(G1045&lt;3,0.12 - O1045,0.01) *U1045</f>
        <v>0</v>
      </c>
      <c r="W1045" s="52">
        <f t="shared" si="318"/>
        <v>0</v>
      </c>
      <c r="X1045" s="53">
        <f t="shared" si="319"/>
        <v>0</v>
      </c>
      <c r="Y1045" s="53">
        <f t="shared" si="320"/>
        <v>0</v>
      </c>
      <c r="Z1045" s="54">
        <f t="shared" si="324"/>
        <v>0</v>
      </c>
      <c r="AA1045" s="54">
        <f t="shared" si="321"/>
        <v>0</v>
      </c>
      <c r="AB1045" s="55">
        <f t="shared" si="325"/>
        <v>0</v>
      </c>
      <c r="AC1045" s="55">
        <f t="shared" si="322"/>
        <v>0</v>
      </c>
      <c r="AD1045" s="56">
        <f t="shared" si="323"/>
        <v>15472.6</v>
      </c>
    </row>
    <row r="1046" spans="3:30">
      <c r="C1046" s="43" t="s">
        <v>1897</v>
      </c>
      <c r="D1046" s="44" t="s">
        <v>1898</v>
      </c>
      <c r="E1046" s="44"/>
      <c r="F1046" s="45">
        <v>41572.61482638889</v>
      </c>
      <c r="G1046" s="46">
        <v>59</v>
      </c>
      <c r="H1046" s="47">
        <v>43376</v>
      </c>
      <c r="I1046" s="47">
        <v>43397</v>
      </c>
      <c r="J1046" s="46">
        <v>2643255</v>
      </c>
      <c r="K1046" s="46">
        <v>239064</v>
      </c>
      <c r="L1046" s="46">
        <v>0</v>
      </c>
      <c r="M1046" s="46">
        <f t="shared" si="312"/>
        <v>2404191</v>
      </c>
      <c r="N1046" s="46">
        <v>2643255</v>
      </c>
      <c r="O1046" s="48">
        <f t="shared" si="313"/>
        <v>9.0443033305526721E-2</v>
      </c>
      <c r="P1046" s="46">
        <v>0</v>
      </c>
      <c r="Q1046" s="46">
        <v>2643255</v>
      </c>
      <c r="R1046" s="49">
        <f t="shared" si="314"/>
        <v>1</v>
      </c>
      <c r="S1046" s="50">
        <f t="shared" si="315"/>
        <v>0.01</v>
      </c>
      <c r="T1046" s="49">
        <f t="shared" si="316"/>
        <v>24041.91</v>
      </c>
      <c r="U1046" s="51">
        <f t="shared" si="317"/>
        <v>0</v>
      </c>
      <c r="V1046" s="52">
        <f>IF(0&lt;0.8,0,IF(0&lt;1,Sheet3!L561,1))*IF(G1046&lt;3,0.12 - O1046,0.01) *U1046</f>
        <v>0</v>
      </c>
      <c r="W1046" s="52">
        <f t="shared" si="318"/>
        <v>0</v>
      </c>
      <c r="X1046" s="53">
        <f t="shared" si="319"/>
        <v>0</v>
      </c>
      <c r="Y1046" s="53">
        <f t="shared" si="320"/>
        <v>0</v>
      </c>
      <c r="Z1046" s="54">
        <f t="shared" si="324"/>
        <v>0</v>
      </c>
      <c r="AA1046" s="54">
        <f t="shared" si="321"/>
        <v>0</v>
      </c>
      <c r="AB1046" s="55">
        <f t="shared" si="325"/>
        <v>0</v>
      </c>
      <c r="AC1046" s="55">
        <f t="shared" si="322"/>
        <v>0</v>
      </c>
      <c r="AD1046" s="56">
        <f t="shared" si="323"/>
        <v>24041.91</v>
      </c>
    </row>
    <row r="1047" spans="3:30">
      <c r="C1047" s="43" t="s">
        <v>1899</v>
      </c>
      <c r="D1047" s="44" t="s">
        <v>1900</v>
      </c>
      <c r="E1047" s="44"/>
      <c r="F1047" s="45">
        <v>41575.448923611111</v>
      </c>
      <c r="G1047" s="46">
        <v>59</v>
      </c>
      <c r="H1047" s="47">
        <v>43377</v>
      </c>
      <c r="I1047" s="47">
        <v>43391</v>
      </c>
      <c r="J1047" s="46">
        <v>19360</v>
      </c>
      <c r="K1047" s="46">
        <v>0</v>
      </c>
      <c r="L1047" s="46">
        <v>0</v>
      </c>
      <c r="M1047" s="46">
        <f t="shared" si="312"/>
        <v>19360</v>
      </c>
      <c r="N1047" s="46">
        <v>19360</v>
      </c>
      <c r="O1047" s="48">
        <f t="shared" si="313"/>
        <v>0</v>
      </c>
      <c r="P1047" s="46">
        <v>0</v>
      </c>
      <c r="Q1047" s="46">
        <v>19360</v>
      </c>
      <c r="R1047" s="49">
        <f t="shared" si="314"/>
        <v>1</v>
      </c>
      <c r="S1047" s="50">
        <f t="shared" si="315"/>
        <v>0.01</v>
      </c>
      <c r="T1047" s="49">
        <f t="shared" si="316"/>
        <v>193.6</v>
      </c>
      <c r="U1047" s="51">
        <f t="shared" si="317"/>
        <v>0</v>
      </c>
      <c r="V1047" s="52">
        <f>IF(0&lt;0.8,0,IF(0&lt;1,Sheet3!L561,1))*IF(G1047&lt;3,0.12 - O1047,0.01) *U1047</f>
        <v>0</v>
      </c>
      <c r="W1047" s="52">
        <f t="shared" si="318"/>
        <v>0</v>
      </c>
      <c r="X1047" s="53">
        <f t="shared" si="319"/>
        <v>0</v>
      </c>
      <c r="Y1047" s="53">
        <f t="shared" si="320"/>
        <v>0</v>
      </c>
      <c r="Z1047" s="54">
        <f t="shared" si="324"/>
        <v>0</v>
      </c>
      <c r="AA1047" s="54">
        <f t="shared" si="321"/>
        <v>0</v>
      </c>
      <c r="AB1047" s="55">
        <f t="shared" si="325"/>
        <v>0</v>
      </c>
      <c r="AC1047" s="55">
        <f t="shared" si="322"/>
        <v>0</v>
      </c>
      <c r="AD1047" s="56">
        <f t="shared" si="323"/>
        <v>193.6</v>
      </c>
    </row>
    <row r="1048" spans="3:30">
      <c r="C1048" s="43" t="s">
        <v>1901</v>
      </c>
      <c r="D1048" s="44" t="s">
        <v>1902</v>
      </c>
      <c r="E1048" s="44"/>
      <c r="F1048" s="45">
        <v>41575.446099537032</v>
      </c>
      <c r="G1048" s="46">
        <v>59</v>
      </c>
      <c r="H1048" s="47">
        <v>43381</v>
      </c>
      <c r="I1048" s="47">
        <v>43398</v>
      </c>
      <c r="J1048" s="46">
        <v>420749</v>
      </c>
      <c r="K1048" s="46">
        <v>0</v>
      </c>
      <c r="L1048" s="46">
        <v>0</v>
      </c>
      <c r="M1048" s="46">
        <f t="shared" si="312"/>
        <v>420749</v>
      </c>
      <c r="N1048" s="46">
        <v>420749</v>
      </c>
      <c r="O1048" s="48">
        <f t="shared" si="313"/>
        <v>0</v>
      </c>
      <c r="P1048" s="46">
        <v>0</v>
      </c>
      <c r="Q1048" s="46">
        <v>420749</v>
      </c>
      <c r="R1048" s="49">
        <f t="shared" si="314"/>
        <v>1</v>
      </c>
      <c r="S1048" s="50">
        <f t="shared" si="315"/>
        <v>0.01</v>
      </c>
      <c r="T1048" s="49">
        <f t="shared" si="316"/>
        <v>4207.49</v>
      </c>
      <c r="U1048" s="51">
        <f t="shared" si="317"/>
        <v>0</v>
      </c>
      <c r="V1048" s="52">
        <f>IF(0&lt;0.8,0,IF(0&lt;1,Sheet3!L561,1))*IF(G1048&lt;3,0.12 - O1048,0.01) *U1048</f>
        <v>0</v>
      </c>
      <c r="W1048" s="52">
        <f t="shared" si="318"/>
        <v>0</v>
      </c>
      <c r="X1048" s="53">
        <f t="shared" si="319"/>
        <v>0</v>
      </c>
      <c r="Y1048" s="53">
        <f t="shared" si="320"/>
        <v>0</v>
      </c>
      <c r="Z1048" s="54">
        <f t="shared" si="324"/>
        <v>0</v>
      </c>
      <c r="AA1048" s="54">
        <f t="shared" si="321"/>
        <v>0</v>
      </c>
      <c r="AB1048" s="55">
        <f t="shared" si="325"/>
        <v>0</v>
      </c>
      <c r="AC1048" s="55">
        <f t="shared" si="322"/>
        <v>0</v>
      </c>
      <c r="AD1048" s="56">
        <f t="shared" si="323"/>
        <v>4207.49</v>
      </c>
    </row>
    <row r="1049" spans="3:30">
      <c r="C1049" s="43" t="s">
        <v>1903</v>
      </c>
      <c r="D1049" s="44" t="s">
        <v>1904</v>
      </c>
      <c r="E1049" s="44"/>
      <c r="F1049" s="45">
        <v>41575.440428240741</v>
      </c>
      <c r="G1049" s="46">
        <v>59</v>
      </c>
      <c r="H1049" s="47">
        <v>43376</v>
      </c>
      <c r="I1049" s="47">
        <v>43399</v>
      </c>
      <c r="J1049" s="46">
        <v>406824</v>
      </c>
      <c r="K1049" s="46">
        <v>0</v>
      </c>
      <c r="L1049" s="46">
        <v>0</v>
      </c>
      <c r="M1049" s="46">
        <f t="shared" si="312"/>
        <v>406824</v>
      </c>
      <c r="N1049" s="46">
        <v>475158</v>
      </c>
      <c r="O1049" s="48">
        <f t="shared" si="313"/>
        <v>0.14381321581452911</v>
      </c>
      <c r="P1049" s="46">
        <v>0</v>
      </c>
      <c r="Q1049" s="46">
        <v>406824</v>
      </c>
      <c r="R1049" s="49">
        <f t="shared" si="314"/>
        <v>1</v>
      </c>
      <c r="S1049" s="50">
        <f t="shared" si="315"/>
        <v>0.01</v>
      </c>
      <c r="T1049" s="49">
        <f t="shared" si="316"/>
        <v>4068.2400000000002</v>
      </c>
      <c r="U1049" s="51">
        <f t="shared" si="317"/>
        <v>0</v>
      </c>
      <c r="V1049" s="52">
        <f>IF(0&lt;0.8,0,IF(0&lt;1,Sheet3!L561,1))*IF(G1049&lt;3,0.12 - O1049,0.01) *U1049</f>
        <v>0</v>
      </c>
      <c r="W1049" s="52">
        <f t="shared" si="318"/>
        <v>0</v>
      </c>
      <c r="X1049" s="53">
        <f t="shared" si="319"/>
        <v>0</v>
      </c>
      <c r="Y1049" s="53">
        <f t="shared" si="320"/>
        <v>0</v>
      </c>
      <c r="Z1049" s="54">
        <f t="shared" si="324"/>
        <v>0</v>
      </c>
      <c r="AA1049" s="54">
        <f t="shared" si="321"/>
        <v>0</v>
      </c>
      <c r="AB1049" s="55">
        <f t="shared" si="325"/>
        <v>0</v>
      </c>
      <c r="AC1049" s="55">
        <f t="shared" si="322"/>
        <v>0</v>
      </c>
      <c r="AD1049" s="56">
        <f t="shared" si="323"/>
        <v>4068.2400000000002</v>
      </c>
    </row>
    <row r="1050" spans="3:30">
      <c r="C1050" s="43" t="s">
        <v>1905</v>
      </c>
      <c r="D1050" s="44" t="s">
        <v>1906</v>
      </c>
      <c r="E1050" s="44"/>
      <c r="F1050" s="45">
        <v>41578.586168981477</v>
      </c>
      <c r="G1050" s="46">
        <v>59</v>
      </c>
      <c r="H1050" s="47">
        <v>43375</v>
      </c>
      <c r="I1050" s="47">
        <v>43405</v>
      </c>
      <c r="J1050" s="46">
        <v>371319</v>
      </c>
      <c r="K1050" s="46">
        <v>0</v>
      </c>
      <c r="L1050" s="46">
        <v>0</v>
      </c>
      <c r="M1050" s="46">
        <f t="shared" si="312"/>
        <v>371319</v>
      </c>
      <c r="N1050" s="46">
        <v>371319</v>
      </c>
      <c r="O1050" s="48">
        <f t="shared" si="313"/>
        <v>0</v>
      </c>
      <c r="P1050" s="46">
        <v>0</v>
      </c>
      <c r="Q1050" s="46">
        <v>371319</v>
      </c>
      <c r="R1050" s="49">
        <f t="shared" si="314"/>
        <v>1</v>
      </c>
      <c r="S1050" s="50">
        <f t="shared" si="315"/>
        <v>0.01</v>
      </c>
      <c r="T1050" s="49">
        <f t="shared" si="316"/>
        <v>3713.19</v>
      </c>
      <c r="U1050" s="51">
        <f t="shared" si="317"/>
        <v>0</v>
      </c>
      <c r="V1050" s="52">
        <f>IF(0&lt;0.8,0,IF(0&lt;1,Sheet3!L561,1))*IF(G1050&lt;3,0.12 - O1050,0.01) *U1050</f>
        <v>0</v>
      </c>
      <c r="W1050" s="52">
        <f t="shared" si="318"/>
        <v>0</v>
      </c>
      <c r="X1050" s="53">
        <f t="shared" si="319"/>
        <v>0</v>
      </c>
      <c r="Y1050" s="53">
        <f t="shared" si="320"/>
        <v>0</v>
      </c>
      <c r="Z1050" s="54">
        <f t="shared" si="324"/>
        <v>0</v>
      </c>
      <c r="AA1050" s="54">
        <f t="shared" si="321"/>
        <v>0</v>
      </c>
      <c r="AB1050" s="55">
        <f t="shared" si="325"/>
        <v>0</v>
      </c>
      <c r="AC1050" s="55">
        <f t="shared" si="322"/>
        <v>0</v>
      </c>
      <c r="AD1050" s="56">
        <f t="shared" si="323"/>
        <v>3713.19</v>
      </c>
    </row>
    <row r="1051" spans="3:30">
      <c r="C1051" s="43" t="s">
        <v>1907</v>
      </c>
      <c r="D1051" s="44" t="s">
        <v>1908</v>
      </c>
      <c r="E1051" s="44"/>
      <c r="F1051" s="45">
        <v>41586.613391203704</v>
      </c>
      <c r="G1051" s="46">
        <v>58</v>
      </c>
      <c r="H1051" s="47">
        <v>43377</v>
      </c>
      <c r="I1051" s="47">
        <v>43391</v>
      </c>
      <c r="J1051" s="46">
        <v>395573</v>
      </c>
      <c r="K1051" s="46">
        <v>0</v>
      </c>
      <c r="L1051" s="46">
        <v>0</v>
      </c>
      <c r="M1051" s="46">
        <f t="shared" si="312"/>
        <v>395573</v>
      </c>
      <c r="N1051" s="46">
        <v>395573</v>
      </c>
      <c r="O1051" s="48">
        <f t="shared" si="313"/>
        <v>0</v>
      </c>
      <c r="P1051" s="46">
        <v>0</v>
      </c>
      <c r="Q1051" s="46">
        <v>395573</v>
      </c>
      <c r="R1051" s="49">
        <f t="shared" si="314"/>
        <v>1</v>
      </c>
      <c r="S1051" s="50">
        <f t="shared" si="315"/>
        <v>0.01</v>
      </c>
      <c r="T1051" s="49">
        <f t="shared" si="316"/>
        <v>3955.73</v>
      </c>
      <c r="U1051" s="51">
        <f t="shared" si="317"/>
        <v>0</v>
      </c>
      <c r="V1051" s="52">
        <f>IF(0&lt;0.8,0,IF(0&lt;1,Sheet3!L561,1))*IF(G1051&lt;3,0.12 - O1051,0.01) *U1051</f>
        <v>0</v>
      </c>
      <c r="W1051" s="52">
        <f t="shared" si="318"/>
        <v>0</v>
      </c>
      <c r="X1051" s="53">
        <f t="shared" si="319"/>
        <v>0</v>
      </c>
      <c r="Y1051" s="53">
        <f t="shared" si="320"/>
        <v>0</v>
      </c>
      <c r="Z1051" s="54">
        <f t="shared" si="324"/>
        <v>0</v>
      </c>
      <c r="AA1051" s="54">
        <f t="shared" si="321"/>
        <v>0</v>
      </c>
      <c r="AB1051" s="55">
        <f t="shared" si="325"/>
        <v>0</v>
      </c>
      <c r="AC1051" s="55">
        <f t="shared" si="322"/>
        <v>0</v>
      </c>
      <c r="AD1051" s="56">
        <f t="shared" si="323"/>
        <v>3955.73</v>
      </c>
    </row>
    <row r="1052" spans="3:30">
      <c r="C1052" s="43" t="s">
        <v>1909</v>
      </c>
      <c r="D1052" s="44" t="s">
        <v>1910</v>
      </c>
      <c r="E1052" s="44"/>
      <c r="F1052" s="45">
        <v>41593.395115740735</v>
      </c>
      <c r="G1052" s="46">
        <v>58</v>
      </c>
      <c r="H1052" s="47">
        <v>43381</v>
      </c>
      <c r="I1052" s="47">
        <v>43413</v>
      </c>
      <c r="J1052" s="46">
        <v>3056125</v>
      </c>
      <c r="K1052" s="46">
        <v>0</v>
      </c>
      <c r="L1052" s="46">
        <v>0</v>
      </c>
      <c r="M1052" s="46">
        <f t="shared" si="312"/>
        <v>3056125</v>
      </c>
      <c r="N1052" s="46">
        <v>3056125</v>
      </c>
      <c r="O1052" s="48">
        <f t="shared" si="313"/>
        <v>0</v>
      </c>
      <c r="P1052" s="46">
        <v>0</v>
      </c>
      <c r="Q1052" s="46">
        <v>3056125</v>
      </c>
      <c r="R1052" s="49">
        <f t="shared" si="314"/>
        <v>1</v>
      </c>
      <c r="S1052" s="50">
        <f t="shared" si="315"/>
        <v>0.01</v>
      </c>
      <c r="T1052" s="49">
        <f t="shared" si="316"/>
        <v>30561.25</v>
      </c>
      <c r="U1052" s="51">
        <f t="shared" si="317"/>
        <v>0</v>
      </c>
      <c r="V1052" s="52">
        <f>IF(0&lt;0.8,0,IF(0&lt;1,Sheet3!L561,1))*IF(G1052&lt;3,0.12 - O1052,0.01) *U1052</f>
        <v>0</v>
      </c>
      <c r="W1052" s="52">
        <f t="shared" si="318"/>
        <v>0</v>
      </c>
      <c r="X1052" s="53">
        <f t="shared" si="319"/>
        <v>0</v>
      </c>
      <c r="Y1052" s="53">
        <f t="shared" si="320"/>
        <v>0</v>
      </c>
      <c r="Z1052" s="54">
        <f t="shared" si="324"/>
        <v>0</v>
      </c>
      <c r="AA1052" s="54">
        <f t="shared" si="321"/>
        <v>0</v>
      </c>
      <c r="AB1052" s="55">
        <f t="shared" si="325"/>
        <v>0</v>
      </c>
      <c r="AC1052" s="55">
        <f t="shared" si="322"/>
        <v>0</v>
      </c>
      <c r="AD1052" s="56">
        <f t="shared" si="323"/>
        <v>30561.25</v>
      </c>
    </row>
    <row r="1053" spans="3:30">
      <c r="C1053" s="43" t="s">
        <v>1911</v>
      </c>
      <c r="D1053" s="44" t="s">
        <v>1912</v>
      </c>
      <c r="E1053" s="44"/>
      <c r="F1053" s="45">
        <v>41593.675509259258</v>
      </c>
      <c r="G1053" s="46">
        <v>58</v>
      </c>
      <c r="H1053" s="47">
        <v>43372</v>
      </c>
      <c r="I1053" s="47">
        <v>43383</v>
      </c>
      <c r="J1053" s="46">
        <v>209151</v>
      </c>
      <c r="K1053" s="46">
        <v>0</v>
      </c>
      <c r="L1053" s="46">
        <v>0</v>
      </c>
      <c r="M1053" s="46">
        <f t="shared" si="312"/>
        <v>209151</v>
      </c>
      <c r="N1053" s="46">
        <v>209151</v>
      </c>
      <c r="O1053" s="48">
        <f t="shared" si="313"/>
        <v>0</v>
      </c>
      <c r="P1053" s="46">
        <v>0</v>
      </c>
      <c r="Q1053" s="46">
        <v>209151</v>
      </c>
      <c r="R1053" s="49">
        <f t="shared" si="314"/>
        <v>1</v>
      </c>
      <c r="S1053" s="50">
        <f t="shared" si="315"/>
        <v>0.01</v>
      </c>
      <c r="T1053" s="49">
        <f t="shared" si="316"/>
        <v>2091.5100000000002</v>
      </c>
      <c r="U1053" s="51">
        <f t="shared" si="317"/>
        <v>0</v>
      </c>
      <c r="V1053" s="52">
        <f>IF(0&lt;0.8,0,IF(0&lt;1,Sheet3!L561,1))*IF(G1053&lt;3,0.12 - O1053,0.01) *U1053</f>
        <v>0</v>
      </c>
      <c r="W1053" s="52">
        <f t="shared" si="318"/>
        <v>0</v>
      </c>
      <c r="X1053" s="53">
        <f t="shared" si="319"/>
        <v>0</v>
      </c>
      <c r="Y1053" s="53">
        <f t="shared" si="320"/>
        <v>0</v>
      </c>
      <c r="Z1053" s="54">
        <f t="shared" si="324"/>
        <v>0</v>
      </c>
      <c r="AA1053" s="54">
        <f t="shared" si="321"/>
        <v>0</v>
      </c>
      <c r="AB1053" s="55">
        <f t="shared" si="325"/>
        <v>0</v>
      </c>
      <c r="AC1053" s="55">
        <f t="shared" si="322"/>
        <v>0</v>
      </c>
      <c r="AD1053" s="56">
        <f t="shared" si="323"/>
        <v>2091.5100000000002</v>
      </c>
    </row>
    <row r="1054" spans="3:30">
      <c r="C1054" s="43" t="s">
        <v>1913</v>
      </c>
      <c r="D1054" s="44" t="s">
        <v>1914</v>
      </c>
      <c r="E1054" s="44"/>
      <c r="F1054" s="45">
        <v>41593.667511574073</v>
      </c>
      <c r="G1054" s="46">
        <v>58</v>
      </c>
      <c r="H1054" s="47">
        <v>43381</v>
      </c>
      <c r="I1054" s="47">
        <v>43404</v>
      </c>
      <c r="J1054" s="46">
        <v>3807588</v>
      </c>
      <c r="K1054" s="46">
        <v>0</v>
      </c>
      <c r="L1054" s="46">
        <v>0</v>
      </c>
      <c r="M1054" s="46">
        <f t="shared" si="312"/>
        <v>3807588</v>
      </c>
      <c r="N1054" s="46">
        <v>3807588</v>
      </c>
      <c r="O1054" s="48">
        <f t="shared" si="313"/>
        <v>0</v>
      </c>
      <c r="P1054" s="46">
        <v>0</v>
      </c>
      <c r="Q1054" s="46">
        <v>3807588</v>
      </c>
      <c r="R1054" s="49">
        <f t="shared" si="314"/>
        <v>1</v>
      </c>
      <c r="S1054" s="50">
        <f t="shared" si="315"/>
        <v>0.01</v>
      </c>
      <c r="T1054" s="49">
        <f t="shared" si="316"/>
        <v>38075.879999999997</v>
      </c>
      <c r="U1054" s="51">
        <f t="shared" si="317"/>
        <v>0</v>
      </c>
      <c r="V1054" s="52">
        <f>IF(0&lt;0.8,0,IF(0&lt;1,Sheet3!L561,1))*IF(G1054&lt;3,0.12 - O1054,0.01) *U1054</f>
        <v>0</v>
      </c>
      <c r="W1054" s="52">
        <f t="shared" si="318"/>
        <v>0</v>
      </c>
      <c r="X1054" s="53">
        <f t="shared" si="319"/>
        <v>0</v>
      </c>
      <c r="Y1054" s="53">
        <f t="shared" si="320"/>
        <v>0</v>
      </c>
      <c r="Z1054" s="54">
        <f t="shared" si="324"/>
        <v>0</v>
      </c>
      <c r="AA1054" s="54">
        <f t="shared" si="321"/>
        <v>0</v>
      </c>
      <c r="AB1054" s="55">
        <f t="shared" si="325"/>
        <v>0</v>
      </c>
      <c r="AC1054" s="55">
        <f t="shared" si="322"/>
        <v>0</v>
      </c>
      <c r="AD1054" s="56">
        <f t="shared" si="323"/>
        <v>38075.879999999997</v>
      </c>
    </row>
    <row r="1055" spans="3:30">
      <c r="C1055" s="43" t="s">
        <v>1915</v>
      </c>
      <c r="D1055" s="44" t="s">
        <v>1916</v>
      </c>
      <c r="E1055" s="44"/>
      <c r="F1055" s="45">
        <v>41593.65997685185</v>
      </c>
      <c r="G1055" s="46">
        <v>58</v>
      </c>
      <c r="H1055" s="47">
        <v>43381</v>
      </c>
      <c r="I1055" s="47">
        <v>43404</v>
      </c>
      <c r="J1055" s="46">
        <v>403208</v>
      </c>
      <c r="K1055" s="46">
        <v>0</v>
      </c>
      <c r="L1055" s="46">
        <v>0</v>
      </c>
      <c r="M1055" s="46">
        <f t="shared" si="312"/>
        <v>403208</v>
      </c>
      <c r="N1055" s="46">
        <v>403208</v>
      </c>
      <c r="O1055" s="48">
        <f t="shared" si="313"/>
        <v>0</v>
      </c>
      <c r="P1055" s="46">
        <v>0</v>
      </c>
      <c r="Q1055" s="46">
        <v>403208</v>
      </c>
      <c r="R1055" s="49">
        <f t="shared" si="314"/>
        <v>1</v>
      </c>
      <c r="S1055" s="50">
        <f t="shared" si="315"/>
        <v>0.01</v>
      </c>
      <c r="T1055" s="49">
        <f t="shared" si="316"/>
        <v>4032.08</v>
      </c>
      <c r="U1055" s="51">
        <f t="shared" si="317"/>
        <v>0</v>
      </c>
      <c r="V1055" s="52">
        <f>IF(0&lt;0.8,0,IF(0&lt;1,Sheet3!L561,1))*IF(G1055&lt;3,0.12 - O1055,0.01) *U1055</f>
        <v>0</v>
      </c>
      <c r="W1055" s="52">
        <f t="shared" si="318"/>
        <v>0</v>
      </c>
      <c r="X1055" s="53">
        <f t="shared" si="319"/>
        <v>0</v>
      </c>
      <c r="Y1055" s="53">
        <f t="shared" si="320"/>
        <v>0</v>
      </c>
      <c r="Z1055" s="54">
        <f t="shared" si="324"/>
        <v>0</v>
      </c>
      <c r="AA1055" s="54">
        <f t="shared" si="321"/>
        <v>0</v>
      </c>
      <c r="AB1055" s="55">
        <f t="shared" si="325"/>
        <v>0</v>
      </c>
      <c r="AC1055" s="55">
        <f t="shared" si="322"/>
        <v>0</v>
      </c>
      <c r="AD1055" s="56">
        <f t="shared" si="323"/>
        <v>4032.08</v>
      </c>
    </row>
    <row r="1056" spans="3:30">
      <c r="C1056" s="43" t="s">
        <v>1917</v>
      </c>
      <c r="D1056" s="44" t="s">
        <v>1918</v>
      </c>
      <c r="E1056" s="44"/>
      <c r="F1056" s="45">
        <v>41598.475937499999</v>
      </c>
      <c r="G1056" s="46">
        <v>58</v>
      </c>
      <c r="H1056" s="47">
        <v>43375</v>
      </c>
      <c r="I1056" s="47">
        <v>43391</v>
      </c>
      <c r="J1056" s="46">
        <v>2581324</v>
      </c>
      <c r="K1056" s="46">
        <v>0</v>
      </c>
      <c r="L1056" s="46">
        <v>0</v>
      </c>
      <c r="M1056" s="46">
        <f t="shared" si="312"/>
        <v>2581324</v>
      </c>
      <c r="N1056" s="46">
        <v>2581324</v>
      </c>
      <c r="O1056" s="48">
        <f t="shared" si="313"/>
        <v>0</v>
      </c>
      <c r="P1056" s="46">
        <v>0</v>
      </c>
      <c r="Q1056" s="46">
        <v>2581324</v>
      </c>
      <c r="R1056" s="49">
        <f t="shared" si="314"/>
        <v>1</v>
      </c>
      <c r="S1056" s="50">
        <f t="shared" si="315"/>
        <v>0.01</v>
      </c>
      <c r="T1056" s="49">
        <f t="shared" si="316"/>
        <v>25813.24</v>
      </c>
      <c r="U1056" s="51">
        <f t="shared" si="317"/>
        <v>0</v>
      </c>
      <c r="V1056" s="52">
        <f>IF(0&lt;0.8,0,IF(0&lt;1,Sheet3!L561,1))*IF(G1056&lt;3,0.12 - O1056,0.01) *U1056</f>
        <v>0</v>
      </c>
      <c r="W1056" s="52">
        <f t="shared" si="318"/>
        <v>0</v>
      </c>
      <c r="X1056" s="53">
        <f t="shared" si="319"/>
        <v>0</v>
      </c>
      <c r="Y1056" s="53">
        <f t="shared" si="320"/>
        <v>0</v>
      </c>
      <c r="Z1056" s="54">
        <f t="shared" si="324"/>
        <v>0</v>
      </c>
      <c r="AA1056" s="54">
        <f t="shared" si="321"/>
        <v>0</v>
      </c>
      <c r="AB1056" s="55">
        <f t="shared" si="325"/>
        <v>0</v>
      </c>
      <c r="AC1056" s="55">
        <f t="shared" si="322"/>
        <v>0</v>
      </c>
      <c r="AD1056" s="56">
        <f t="shared" si="323"/>
        <v>25813.24</v>
      </c>
    </row>
    <row r="1057" spans="3:30">
      <c r="C1057" s="43" t="s">
        <v>1919</v>
      </c>
      <c r="D1057" s="44" t="s">
        <v>1920</v>
      </c>
      <c r="E1057" s="44"/>
      <c r="F1057" s="45">
        <v>41606.461076388885</v>
      </c>
      <c r="G1057" s="46">
        <v>58</v>
      </c>
      <c r="H1057" s="47">
        <v>43377</v>
      </c>
      <c r="I1057" s="47">
        <v>43398</v>
      </c>
      <c r="J1057" s="46">
        <v>805768</v>
      </c>
      <c r="K1057" s="46">
        <v>0</v>
      </c>
      <c r="L1057" s="46">
        <v>0</v>
      </c>
      <c r="M1057" s="46">
        <f t="shared" si="312"/>
        <v>805768</v>
      </c>
      <c r="N1057" s="46">
        <v>805768</v>
      </c>
      <c r="O1057" s="48">
        <f t="shared" si="313"/>
        <v>0</v>
      </c>
      <c r="P1057" s="46">
        <v>0</v>
      </c>
      <c r="Q1057" s="46">
        <v>805768</v>
      </c>
      <c r="R1057" s="49">
        <f t="shared" si="314"/>
        <v>1</v>
      </c>
      <c r="S1057" s="50">
        <f t="shared" si="315"/>
        <v>0.01</v>
      </c>
      <c r="T1057" s="49">
        <f t="shared" si="316"/>
        <v>8057.68</v>
      </c>
      <c r="U1057" s="51">
        <f t="shared" si="317"/>
        <v>0</v>
      </c>
      <c r="V1057" s="52">
        <f>IF(0&lt;0.8,0,IF(0&lt;1,Sheet3!L561,1))*IF(G1057&lt;3,0.12 - O1057,0.01) *U1057</f>
        <v>0</v>
      </c>
      <c r="W1057" s="52">
        <f t="shared" si="318"/>
        <v>0</v>
      </c>
      <c r="X1057" s="53">
        <f t="shared" si="319"/>
        <v>0</v>
      </c>
      <c r="Y1057" s="53">
        <f t="shared" si="320"/>
        <v>0</v>
      </c>
      <c r="Z1057" s="54">
        <f t="shared" si="324"/>
        <v>0</v>
      </c>
      <c r="AA1057" s="54">
        <f t="shared" si="321"/>
        <v>0</v>
      </c>
      <c r="AB1057" s="55">
        <f t="shared" si="325"/>
        <v>0</v>
      </c>
      <c r="AC1057" s="55">
        <f t="shared" si="322"/>
        <v>0</v>
      </c>
      <c r="AD1057" s="56">
        <f t="shared" si="323"/>
        <v>8057.68</v>
      </c>
    </row>
    <row r="1058" spans="3:30">
      <c r="C1058" s="43" t="s">
        <v>1921</v>
      </c>
      <c r="D1058" s="44" t="s">
        <v>1922</v>
      </c>
      <c r="E1058" s="44"/>
      <c r="F1058" s="45">
        <v>41613.383750000001</v>
      </c>
      <c r="G1058" s="46">
        <v>57</v>
      </c>
      <c r="H1058" s="47">
        <v>43372</v>
      </c>
      <c r="I1058" s="47">
        <v>43441</v>
      </c>
      <c r="J1058" s="46">
        <v>8412092</v>
      </c>
      <c r="K1058" s="46">
        <v>4318259</v>
      </c>
      <c r="L1058" s="46">
        <v>0</v>
      </c>
      <c r="M1058" s="46">
        <f t="shared" si="312"/>
        <v>4093833</v>
      </c>
      <c r="N1058" s="46">
        <v>9211971</v>
      </c>
      <c r="O1058" s="48">
        <f t="shared" si="313"/>
        <v>0.5555964081953797</v>
      </c>
      <c r="P1058" s="46">
        <v>0</v>
      </c>
      <c r="Q1058" s="46">
        <v>4899572</v>
      </c>
      <c r="R1058" s="49">
        <f t="shared" si="314"/>
        <v>1</v>
      </c>
      <c r="S1058" s="50">
        <f t="shared" si="315"/>
        <v>0.01</v>
      </c>
      <c r="T1058" s="49">
        <f t="shared" si="316"/>
        <v>40938.33</v>
      </c>
      <c r="U1058" s="51">
        <f t="shared" si="317"/>
        <v>0</v>
      </c>
      <c r="V1058" s="52">
        <f>IF(0&lt;0.8,0,IF(0&lt;1,Sheet3!L561,1))*IF(G1058&lt;3,0.12 - O1058,0.01) *U1058</f>
        <v>0</v>
      </c>
      <c r="W1058" s="52">
        <f t="shared" si="318"/>
        <v>0</v>
      </c>
      <c r="X1058" s="53">
        <f t="shared" si="319"/>
        <v>0</v>
      </c>
      <c r="Y1058" s="53">
        <f t="shared" si="320"/>
        <v>0</v>
      </c>
      <c r="Z1058" s="54">
        <f t="shared" si="324"/>
        <v>0</v>
      </c>
      <c r="AA1058" s="54">
        <f t="shared" si="321"/>
        <v>0</v>
      </c>
      <c r="AB1058" s="55">
        <f t="shared" si="325"/>
        <v>0</v>
      </c>
      <c r="AC1058" s="55">
        <f t="shared" si="322"/>
        <v>0</v>
      </c>
      <c r="AD1058" s="56">
        <f t="shared" si="323"/>
        <v>40938.33</v>
      </c>
    </row>
    <row r="1059" spans="3:30">
      <c r="C1059" s="43" t="s">
        <v>1923</v>
      </c>
      <c r="D1059" s="44" t="s">
        <v>1924</v>
      </c>
      <c r="E1059" s="44"/>
      <c r="F1059" s="45">
        <v>41653.431967592594</v>
      </c>
      <c r="G1059" s="46">
        <v>56</v>
      </c>
      <c r="H1059" s="47">
        <v>43383</v>
      </c>
      <c r="I1059" s="47">
        <v>43399</v>
      </c>
      <c r="J1059" s="46">
        <v>1210567</v>
      </c>
      <c r="K1059" s="46">
        <v>0</v>
      </c>
      <c r="L1059" s="46">
        <v>0</v>
      </c>
      <c r="M1059" s="46">
        <f t="shared" si="312"/>
        <v>1210567</v>
      </c>
      <c r="N1059" s="46">
        <v>1210567</v>
      </c>
      <c r="O1059" s="48">
        <f t="shared" si="313"/>
        <v>0</v>
      </c>
      <c r="P1059" s="46">
        <v>0</v>
      </c>
      <c r="Q1059" s="46">
        <v>1210567</v>
      </c>
      <c r="R1059" s="49">
        <f t="shared" si="314"/>
        <v>1</v>
      </c>
      <c r="S1059" s="50">
        <f t="shared" si="315"/>
        <v>0.01</v>
      </c>
      <c r="T1059" s="49">
        <f t="shared" si="316"/>
        <v>12105.67</v>
      </c>
      <c r="U1059" s="51">
        <f t="shared" si="317"/>
        <v>0</v>
      </c>
      <c r="V1059" s="52">
        <f>IF(0&lt;0.8,0,IF(0&lt;1,Sheet3!L561,1))*IF(G1059&lt;3,0.12 - O1059,0.01) *U1059</f>
        <v>0</v>
      </c>
      <c r="W1059" s="52">
        <f t="shared" si="318"/>
        <v>0</v>
      </c>
      <c r="X1059" s="53">
        <f t="shared" si="319"/>
        <v>0</v>
      </c>
      <c r="Y1059" s="53">
        <f t="shared" si="320"/>
        <v>0</v>
      </c>
      <c r="Z1059" s="54">
        <f t="shared" si="324"/>
        <v>0</v>
      </c>
      <c r="AA1059" s="54">
        <f t="shared" si="321"/>
        <v>0</v>
      </c>
      <c r="AB1059" s="55">
        <f t="shared" si="325"/>
        <v>0</v>
      </c>
      <c r="AC1059" s="55">
        <f t="shared" si="322"/>
        <v>0</v>
      </c>
      <c r="AD1059" s="56">
        <f t="shared" si="323"/>
        <v>12105.67</v>
      </c>
    </row>
    <row r="1060" spans="3:30">
      <c r="C1060" s="43" t="s">
        <v>1925</v>
      </c>
      <c r="D1060" s="44" t="s">
        <v>1926</v>
      </c>
      <c r="E1060" s="44"/>
      <c r="F1060" s="45">
        <v>41655.595532407402</v>
      </c>
      <c r="G1060" s="46">
        <v>56</v>
      </c>
      <c r="H1060" s="47">
        <v>43381</v>
      </c>
      <c r="I1060" s="47">
        <v>43398</v>
      </c>
      <c r="J1060" s="46">
        <v>342676</v>
      </c>
      <c r="K1060" s="46">
        <v>0</v>
      </c>
      <c r="L1060" s="46">
        <v>0</v>
      </c>
      <c r="M1060" s="46">
        <f t="shared" si="312"/>
        <v>342676</v>
      </c>
      <c r="N1060" s="46">
        <v>342676</v>
      </c>
      <c r="O1060" s="48">
        <f t="shared" si="313"/>
        <v>0</v>
      </c>
      <c r="P1060" s="46">
        <v>0</v>
      </c>
      <c r="Q1060" s="46">
        <v>342676</v>
      </c>
      <c r="R1060" s="49">
        <f t="shared" si="314"/>
        <v>1</v>
      </c>
      <c r="S1060" s="50">
        <f t="shared" si="315"/>
        <v>0.01</v>
      </c>
      <c r="T1060" s="49">
        <f t="shared" si="316"/>
        <v>3426.76</v>
      </c>
      <c r="U1060" s="51">
        <f t="shared" si="317"/>
        <v>0</v>
      </c>
      <c r="V1060" s="52">
        <f>IF(0&lt;0.8,0,IF(0&lt;1,Sheet3!L561,1))*IF(G1060&lt;3,0.12 - O1060,0.01) *U1060</f>
        <v>0</v>
      </c>
      <c r="W1060" s="52">
        <f t="shared" si="318"/>
        <v>0</v>
      </c>
      <c r="X1060" s="53">
        <f t="shared" si="319"/>
        <v>0</v>
      </c>
      <c r="Y1060" s="53">
        <f t="shared" si="320"/>
        <v>0</v>
      </c>
      <c r="Z1060" s="54">
        <f t="shared" si="324"/>
        <v>0</v>
      </c>
      <c r="AA1060" s="54">
        <f t="shared" si="321"/>
        <v>0</v>
      </c>
      <c r="AB1060" s="55">
        <f t="shared" si="325"/>
        <v>0</v>
      </c>
      <c r="AC1060" s="55">
        <f t="shared" si="322"/>
        <v>0</v>
      </c>
      <c r="AD1060" s="56">
        <f t="shared" si="323"/>
        <v>3426.76</v>
      </c>
    </row>
    <row r="1061" spans="3:30">
      <c r="C1061" s="43" t="s">
        <v>1927</v>
      </c>
      <c r="D1061" s="44" t="s">
        <v>1928</v>
      </c>
      <c r="E1061" s="44"/>
      <c r="F1061" s="45">
        <v>41661.636319444442</v>
      </c>
      <c r="G1061" s="46">
        <v>56</v>
      </c>
      <c r="H1061" s="47">
        <v>43375</v>
      </c>
      <c r="I1061" s="47">
        <v>43393</v>
      </c>
      <c r="J1061" s="46">
        <v>1177716</v>
      </c>
      <c r="K1061" s="46">
        <v>0</v>
      </c>
      <c r="L1061" s="46">
        <v>0</v>
      </c>
      <c r="M1061" s="46">
        <f t="shared" si="312"/>
        <v>1177716</v>
      </c>
      <c r="N1061" s="46">
        <v>1177716</v>
      </c>
      <c r="O1061" s="48">
        <f t="shared" si="313"/>
        <v>0</v>
      </c>
      <c r="P1061" s="46">
        <v>0</v>
      </c>
      <c r="Q1061" s="46">
        <v>1177716</v>
      </c>
      <c r="R1061" s="49">
        <f t="shared" si="314"/>
        <v>1</v>
      </c>
      <c r="S1061" s="50">
        <f t="shared" si="315"/>
        <v>0.01</v>
      </c>
      <c r="T1061" s="49">
        <f t="shared" si="316"/>
        <v>11777.16</v>
      </c>
      <c r="U1061" s="51">
        <f t="shared" si="317"/>
        <v>0</v>
      </c>
      <c r="V1061" s="52">
        <f>IF(0&lt;0.8,0,IF(0&lt;1,Sheet3!L561,1))*IF(G1061&lt;3,0.12 - O1061,0.01) *U1061</f>
        <v>0</v>
      </c>
      <c r="W1061" s="52">
        <f t="shared" si="318"/>
        <v>0</v>
      </c>
      <c r="X1061" s="53">
        <f t="shared" si="319"/>
        <v>0</v>
      </c>
      <c r="Y1061" s="53">
        <f t="shared" si="320"/>
        <v>0</v>
      </c>
      <c r="Z1061" s="54">
        <f t="shared" si="324"/>
        <v>0</v>
      </c>
      <c r="AA1061" s="54">
        <f t="shared" si="321"/>
        <v>0</v>
      </c>
      <c r="AB1061" s="55">
        <f t="shared" si="325"/>
        <v>0</v>
      </c>
      <c r="AC1061" s="55">
        <f t="shared" si="322"/>
        <v>0</v>
      </c>
      <c r="AD1061" s="56">
        <f t="shared" si="323"/>
        <v>11777.16</v>
      </c>
    </row>
    <row r="1062" spans="3:30">
      <c r="C1062" s="43" t="s">
        <v>1929</v>
      </c>
      <c r="D1062" s="44" t="s">
        <v>1930</v>
      </c>
      <c r="E1062" s="44"/>
      <c r="F1062" s="45">
        <v>41688.653425925921</v>
      </c>
      <c r="G1062" s="46">
        <v>55</v>
      </c>
      <c r="H1062" s="47">
        <v>43377</v>
      </c>
      <c r="I1062" s="47">
        <v>43417</v>
      </c>
      <c r="J1062" s="46">
        <v>4311503</v>
      </c>
      <c r="K1062" s="46">
        <v>0</v>
      </c>
      <c r="L1062" s="46">
        <v>0</v>
      </c>
      <c r="M1062" s="46">
        <f t="shared" si="312"/>
        <v>4311503</v>
      </c>
      <c r="N1062" s="46">
        <v>4311503</v>
      </c>
      <c r="O1062" s="48">
        <f t="shared" si="313"/>
        <v>0</v>
      </c>
      <c r="P1062" s="46">
        <v>0</v>
      </c>
      <c r="Q1062" s="46">
        <v>4311503</v>
      </c>
      <c r="R1062" s="49">
        <f t="shared" si="314"/>
        <v>1</v>
      </c>
      <c r="S1062" s="50">
        <f t="shared" si="315"/>
        <v>0.01</v>
      </c>
      <c r="T1062" s="49">
        <f t="shared" si="316"/>
        <v>43115.03</v>
      </c>
      <c r="U1062" s="51">
        <f t="shared" si="317"/>
        <v>0</v>
      </c>
      <c r="V1062" s="52">
        <f>IF(0&lt;0.8,0,IF(0&lt;1,Sheet3!L561,1))*IF(G1062&lt;3,0.12 - O1062,0.01) *U1062</f>
        <v>0</v>
      </c>
      <c r="W1062" s="52">
        <f t="shared" si="318"/>
        <v>0</v>
      </c>
      <c r="X1062" s="53">
        <f t="shared" si="319"/>
        <v>0</v>
      </c>
      <c r="Y1062" s="53">
        <f t="shared" si="320"/>
        <v>0</v>
      </c>
      <c r="Z1062" s="54">
        <f t="shared" si="324"/>
        <v>0</v>
      </c>
      <c r="AA1062" s="54">
        <f t="shared" si="321"/>
        <v>0</v>
      </c>
      <c r="AB1062" s="55">
        <f t="shared" si="325"/>
        <v>0</v>
      </c>
      <c r="AC1062" s="55">
        <f t="shared" si="322"/>
        <v>0</v>
      </c>
      <c r="AD1062" s="56">
        <f t="shared" si="323"/>
        <v>43115.03</v>
      </c>
    </row>
    <row r="1063" spans="3:30">
      <c r="C1063" s="43" t="s">
        <v>1931</v>
      </c>
      <c r="D1063" s="44" t="s">
        <v>1932</v>
      </c>
      <c r="E1063" s="44"/>
      <c r="F1063" s="45">
        <v>41689.407453703701</v>
      </c>
      <c r="G1063" s="46">
        <v>55</v>
      </c>
      <c r="H1063" s="47">
        <v>43372</v>
      </c>
      <c r="I1063" s="47">
        <v>43382</v>
      </c>
      <c r="J1063" s="46">
        <v>2424751</v>
      </c>
      <c r="K1063" s="46">
        <v>0</v>
      </c>
      <c r="L1063" s="46">
        <v>0</v>
      </c>
      <c r="M1063" s="46">
        <f t="shared" si="312"/>
        <v>2424751</v>
      </c>
      <c r="N1063" s="46">
        <v>2424751</v>
      </c>
      <c r="O1063" s="48">
        <f t="shared" si="313"/>
        <v>0</v>
      </c>
      <c r="P1063" s="46">
        <v>0</v>
      </c>
      <c r="Q1063" s="46">
        <v>2424751</v>
      </c>
      <c r="R1063" s="49">
        <f t="shared" si="314"/>
        <v>1</v>
      </c>
      <c r="S1063" s="50">
        <f t="shared" si="315"/>
        <v>0.01</v>
      </c>
      <c r="T1063" s="49">
        <f t="shared" si="316"/>
        <v>24247.510000000002</v>
      </c>
      <c r="U1063" s="51">
        <f t="shared" si="317"/>
        <v>0</v>
      </c>
      <c r="V1063" s="52">
        <f>IF(0&lt;0.8,0,IF(0&lt;1,Sheet3!L561,1))*IF(G1063&lt;3,0.12 - O1063,0.01) *U1063</f>
        <v>0</v>
      </c>
      <c r="W1063" s="52">
        <f t="shared" si="318"/>
        <v>0</v>
      </c>
      <c r="X1063" s="53">
        <f t="shared" si="319"/>
        <v>0</v>
      </c>
      <c r="Y1063" s="53">
        <f t="shared" si="320"/>
        <v>0</v>
      </c>
      <c r="Z1063" s="54">
        <f t="shared" si="324"/>
        <v>0</v>
      </c>
      <c r="AA1063" s="54">
        <f t="shared" si="321"/>
        <v>0</v>
      </c>
      <c r="AB1063" s="55">
        <f t="shared" si="325"/>
        <v>0</v>
      </c>
      <c r="AC1063" s="55">
        <f t="shared" si="322"/>
        <v>0</v>
      </c>
      <c r="AD1063" s="56">
        <f t="shared" si="323"/>
        <v>24247.510000000002</v>
      </c>
    </row>
    <row r="1064" spans="3:30">
      <c r="C1064" s="43" t="s">
        <v>1933</v>
      </c>
      <c r="D1064" s="44" t="s">
        <v>1934</v>
      </c>
      <c r="E1064" s="44"/>
      <c r="F1064" s="45">
        <v>41699.610636574071</v>
      </c>
      <c r="G1064" s="46">
        <v>54</v>
      </c>
      <c r="H1064" s="47">
        <v>43381</v>
      </c>
      <c r="I1064" s="47">
        <v>43424</v>
      </c>
      <c r="J1064" s="46">
        <v>268015</v>
      </c>
      <c r="K1064" s="46">
        <v>0</v>
      </c>
      <c r="L1064" s="46">
        <v>0</v>
      </c>
      <c r="M1064" s="46">
        <f t="shared" si="312"/>
        <v>268015</v>
      </c>
      <c r="N1064" s="46">
        <v>268015</v>
      </c>
      <c r="O1064" s="48">
        <f t="shared" si="313"/>
        <v>0</v>
      </c>
      <c r="P1064" s="46">
        <v>0</v>
      </c>
      <c r="Q1064" s="46">
        <v>268015</v>
      </c>
      <c r="R1064" s="49">
        <f t="shared" si="314"/>
        <v>1</v>
      </c>
      <c r="S1064" s="50">
        <f t="shared" si="315"/>
        <v>0.01</v>
      </c>
      <c r="T1064" s="49">
        <f t="shared" si="316"/>
        <v>2680.15</v>
      </c>
      <c r="U1064" s="51">
        <f t="shared" si="317"/>
        <v>0</v>
      </c>
      <c r="V1064" s="52">
        <f>IF(0&lt;0.8,0,IF(0&lt;1,Sheet3!L561,1))*IF(G1064&lt;3,0.12 - O1064,0.01) *U1064</f>
        <v>0</v>
      </c>
      <c r="W1064" s="52">
        <f t="shared" si="318"/>
        <v>0</v>
      </c>
      <c r="X1064" s="53">
        <f t="shared" si="319"/>
        <v>0</v>
      </c>
      <c r="Y1064" s="53">
        <f t="shared" si="320"/>
        <v>0</v>
      </c>
      <c r="Z1064" s="54">
        <f t="shared" si="324"/>
        <v>0</v>
      </c>
      <c r="AA1064" s="54">
        <f t="shared" si="321"/>
        <v>0</v>
      </c>
      <c r="AB1064" s="55">
        <f t="shared" si="325"/>
        <v>0</v>
      </c>
      <c r="AC1064" s="55">
        <f t="shared" si="322"/>
        <v>0</v>
      </c>
      <c r="AD1064" s="56">
        <f t="shared" si="323"/>
        <v>2680.15</v>
      </c>
    </row>
    <row r="1065" spans="3:30">
      <c r="C1065" s="43" t="s">
        <v>1935</v>
      </c>
      <c r="D1065" s="44" t="s">
        <v>1936</v>
      </c>
      <c r="E1065" s="44"/>
      <c r="F1065" s="45">
        <v>41708.674224537033</v>
      </c>
      <c r="G1065" s="46">
        <v>54</v>
      </c>
      <c r="H1065" s="47">
        <v>43386</v>
      </c>
      <c r="I1065" s="47">
        <v>43405</v>
      </c>
      <c r="J1065" s="46">
        <v>262540966</v>
      </c>
      <c r="K1065" s="46">
        <v>6088827</v>
      </c>
      <c r="L1065" s="46">
        <v>0</v>
      </c>
      <c r="M1065" s="46">
        <f t="shared" si="312"/>
        <v>256452139</v>
      </c>
      <c r="N1065" s="46">
        <v>305576280</v>
      </c>
      <c r="O1065" s="48">
        <f t="shared" si="313"/>
        <v>0.16075901244690849</v>
      </c>
      <c r="P1065" s="46">
        <v>0</v>
      </c>
      <c r="Q1065" s="46">
        <v>256527064</v>
      </c>
      <c r="R1065" s="49">
        <f t="shared" si="314"/>
        <v>1</v>
      </c>
      <c r="S1065" s="50">
        <f t="shared" si="315"/>
        <v>0.01</v>
      </c>
      <c r="T1065" s="49">
        <f t="shared" si="316"/>
        <v>2564521.39</v>
      </c>
      <c r="U1065" s="51">
        <f t="shared" si="317"/>
        <v>0</v>
      </c>
      <c r="V1065" s="52">
        <f>IF(0&lt;0.8,0,IF(0&lt;1,Sheet3!L561,1))*IF(G1065&lt;3,0.12 - O1065,0.01) *U1065</f>
        <v>0</v>
      </c>
      <c r="W1065" s="52">
        <f t="shared" si="318"/>
        <v>0</v>
      </c>
      <c r="X1065" s="53">
        <f t="shared" si="319"/>
        <v>0</v>
      </c>
      <c r="Y1065" s="53">
        <f t="shared" si="320"/>
        <v>0</v>
      </c>
      <c r="Z1065" s="54">
        <f t="shared" si="324"/>
        <v>0</v>
      </c>
      <c r="AA1065" s="54">
        <f t="shared" si="321"/>
        <v>0</v>
      </c>
      <c r="AB1065" s="55">
        <f t="shared" si="325"/>
        <v>0</v>
      </c>
      <c r="AC1065" s="55">
        <f t="shared" si="322"/>
        <v>0</v>
      </c>
      <c r="AD1065" s="56">
        <f t="shared" si="323"/>
        <v>2564521.39</v>
      </c>
    </row>
    <row r="1066" spans="3:30">
      <c r="C1066" s="43" t="s">
        <v>1937</v>
      </c>
      <c r="D1066" s="44" t="s">
        <v>1938</v>
      </c>
      <c r="E1066" s="44"/>
      <c r="F1066" s="45">
        <v>41737.462430555555</v>
      </c>
      <c r="G1066" s="46">
        <v>53</v>
      </c>
      <c r="H1066" s="47">
        <v>43375</v>
      </c>
      <c r="I1066" s="47">
        <v>43393</v>
      </c>
      <c r="J1066" s="46">
        <v>654523</v>
      </c>
      <c r="K1066" s="46">
        <v>0</v>
      </c>
      <c r="L1066" s="46">
        <v>0</v>
      </c>
      <c r="M1066" s="46">
        <f t="shared" si="312"/>
        <v>654523</v>
      </c>
      <c r="N1066" s="46">
        <v>654523</v>
      </c>
      <c r="O1066" s="48">
        <f t="shared" si="313"/>
        <v>0</v>
      </c>
      <c r="P1066" s="46">
        <v>0</v>
      </c>
      <c r="Q1066" s="46">
        <v>654523</v>
      </c>
      <c r="R1066" s="49">
        <f t="shared" si="314"/>
        <v>1</v>
      </c>
      <c r="S1066" s="50">
        <f t="shared" si="315"/>
        <v>0.01</v>
      </c>
      <c r="T1066" s="49">
        <f t="shared" si="316"/>
        <v>6545.2300000000005</v>
      </c>
      <c r="U1066" s="51">
        <f t="shared" si="317"/>
        <v>0</v>
      </c>
      <c r="V1066" s="52">
        <f>IF(0&lt;0.8,0,IF(0&lt;1,Sheet3!L561,1))*IF(G1066&lt;3,0.12 - O1066,0.01) *U1066</f>
        <v>0</v>
      </c>
      <c r="W1066" s="52">
        <f t="shared" si="318"/>
        <v>0</v>
      </c>
      <c r="X1066" s="53">
        <f t="shared" si="319"/>
        <v>0</v>
      </c>
      <c r="Y1066" s="53">
        <f t="shared" si="320"/>
        <v>0</v>
      </c>
      <c r="Z1066" s="54">
        <f t="shared" si="324"/>
        <v>0</v>
      </c>
      <c r="AA1066" s="54">
        <f t="shared" si="321"/>
        <v>0</v>
      </c>
      <c r="AB1066" s="55">
        <f t="shared" si="325"/>
        <v>0</v>
      </c>
      <c r="AC1066" s="55">
        <f t="shared" si="322"/>
        <v>0</v>
      </c>
      <c r="AD1066" s="56">
        <f t="shared" si="323"/>
        <v>6545.2300000000005</v>
      </c>
    </row>
    <row r="1067" spans="3:30">
      <c r="C1067" s="43" t="s">
        <v>1939</v>
      </c>
      <c r="D1067" s="44" t="s">
        <v>1940</v>
      </c>
      <c r="E1067" s="44"/>
      <c r="F1067" s="45">
        <v>41737.453067129631</v>
      </c>
      <c r="G1067" s="46">
        <v>53</v>
      </c>
      <c r="H1067" s="47">
        <v>43375</v>
      </c>
      <c r="I1067" s="47">
        <v>43433</v>
      </c>
      <c r="J1067" s="46">
        <v>1068378</v>
      </c>
      <c r="K1067" s="46">
        <v>0</v>
      </c>
      <c r="L1067" s="46">
        <v>0</v>
      </c>
      <c r="M1067" s="46">
        <f t="shared" si="312"/>
        <v>1068378</v>
      </c>
      <c r="N1067" s="46">
        <v>1068378</v>
      </c>
      <c r="O1067" s="48">
        <f t="shared" si="313"/>
        <v>0</v>
      </c>
      <c r="P1067" s="46">
        <v>0</v>
      </c>
      <c r="Q1067" s="46">
        <v>1068378</v>
      </c>
      <c r="R1067" s="49">
        <f t="shared" si="314"/>
        <v>1</v>
      </c>
      <c r="S1067" s="50">
        <f t="shared" si="315"/>
        <v>0.01</v>
      </c>
      <c r="T1067" s="49">
        <f t="shared" si="316"/>
        <v>10683.78</v>
      </c>
      <c r="U1067" s="51">
        <f t="shared" si="317"/>
        <v>0</v>
      </c>
      <c r="V1067" s="52">
        <f>IF(0&lt;0.8,0,IF(0&lt;1,Sheet3!L561,1))*IF(G1067&lt;3,0.12 - O1067,0.01) *U1067</f>
        <v>0</v>
      </c>
      <c r="W1067" s="52">
        <f t="shared" si="318"/>
        <v>0</v>
      </c>
      <c r="X1067" s="53">
        <f t="shared" si="319"/>
        <v>0</v>
      </c>
      <c r="Y1067" s="53">
        <f t="shared" si="320"/>
        <v>0</v>
      </c>
      <c r="Z1067" s="54">
        <f t="shared" si="324"/>
        <v>0</v>
      </c>
      <c r="AA1067" s="54">
        <f t="shared" si="321"/>
        <v>0</v>
      </c>
      <c r="AB1067" s="55">
        <f t="shared" si="325"/>
        <v>0</v>
      </c>
      <c r="AC1067" s="55">
        <f t="shared" si="322"/>
        <v>0</v>
      </c>
      <c r="AD1067" s="56">
        <f t="shared" si="323"/>
        <v>10683.78</v>
      </c>
    </row>
    <row r="1068" spans="3:30">
      <c r="C1068" s="43" t="s">
        <v>1941</v>
      </c>
      <c r="D1068" s="44" t="s">
        <v>1942</v>
      </c>
      <c r="E1068" s="44"/>
      <c r="F1068" s="45">
        <v>41737.441388888888</v>
      </c>
      <c r="G1068" s="46">
        <v>53</v>
      </c>
      <c r="H1068" s="47">
        <v>43377</v>
      </c>
      <c r="I1068" s="47">
        <v>43391</v>
      </c>
      <c r="J1068" s="46">
        <v>555138</v>
      </c>
      <c r="K1068" s="46">
        <v>0</v>
      </c>
      <c r="L1068" s="46">
        <v>0</v>
      </c>
      <c r="M1068" s="46">
        <f t="shared" si="312"/>
        <v>555138</v>
      </c>
      <c r="N1068" s="46">
        <v>555138</v>
      </c>
      <c r="O1068" s="48">
        <f t="shared" si="313"/>
        <v>0</v>
      </c>
      <c r="P1068" s="46">
        <v>0</v>
      </c>
      <c r="Q1068" s="46">
        <v>555138</v>
      </c>
      <c r="R1068" s="49">
        <f t="shared" si="314"/>
        <v>1</v>
      </c>
      <c r="S1068" s="50">
        <f t="shared" si="315"/>
        <v>0.01</v>
      </c>
      <c r="T1068" s="49">
        <f t="shared" si="316"/>
        <v>5551.38</v>
      </c>
      <c r="U1068" s="51">
        <f t="shared" si="317"/>
        <v>0</v>
      </c>
      <c r="V1068" s="52">
        <f>IF(0&lt;0.8,0,IF(0&lt;1,Sheet3!L561,1))*IF(G1068&lt;3,0.12 - O1068,0.01) *U1068</f>
        <v>0</v>
      </c>
      <c r="W1068" s="52">
        <f t="shared" si="318"/>
        <v>0</v>
      </c>
      <c r="X1068" s="53">
        <f t="shared" si="319"/>
        <v>0</v>
      </c>
      <c r="Y1068" s="53">
        <f t="shared" si="320"/>
        <v>0</v>
      </c>
      <c r="Z1068" s="54">
        <f t="shared" si="324"/>
        <v>0</v>
      </c>
      <c r="AA1068" s="54">
        <f t="shared" si="321"/>
        <v>0</v>
      </c>
      <c r="AB1068" s="55">
        <f t="shared" si="325"/>
        <v>0</v>
      </c>
      <c r="AC1068" s="55">
        <f t="shared" si="322"/>
        <v>0</v>
      </c>
      <c r="AD1068" s="56">
        <f t="shared" si="323"/>
        <v>5551.38</v>
      </c>
    </row>
    <row r="1069" spans="3:30">
      <c r="C1069" s="43" t="s">
        <v>1943</v>
      </c>
      <c r="D1069" s="44" t="s">
        <v>1944</v>
      </c>
      <c r="E1069" s="44"/>
      <c r="F1069" s="45">
        <v>41740.466203703705</v>
      </c>
      <c r="G1069" s="46">
        <v>53</v>
      </c>
      <c r="H1069" s="47">
        <v>43379</v>
      </c>
      <c r="I1069" s="47">
        <v>43409</v>
      </c>
      <c r="J1069" s="46">
        <v>1899002</v>
      </c>
      <c r="K1069" s="46">
        <v>116305</v>
      </c>
      <c r="L1069" s="46">
        <v>0</v>
      </c>
      <c r="M1069" s="46">
        <f t="shared" si="312"/>
        <v>1782697</v>
      </c>
      <c r="N1069" s="46">
        <v>1899002</v>
      </c>
      <c r="O1069" s="48">
        <f t="shared" si="313"/>
        <v>6.1245327809028138E-2</v>
      </c>
      <c r="P1069" s="46">
        <v>0</v>
      </c>
      <c r="Q1069" s="46">
        <v>1899002</v>
      </c>
      <c r="R1069" s="49">
        <f t="shared" si="314"/>
        <v>1</v>
      </c>
      <c r="S1069" s="50">
        <f t="shared" si="315"/>
        <v>0.01</v>
      </c>
      <c r="T1069" s="49">
        <f t="shared" si="316"/>
        <v>17826.97</v>
      </c>
      <c r="U1069" s="51">
        <f t="shared" si="317"/>
        <v>0</v>
      </c>
      <c r="V1069" s="52">
        <f>IF(0&lt;0.8,0,IF(0&lt;1,Sheet3!L561,1))*IF(G1069&lt;3,0.12 - O1069,0.01) *U1069</f>
        <v>0</v>
      </c>
      <c r="W1069" s="52">
        <f t="shared" si="318"/>
        <v>0</v>
      </c>
      <c r="X1069" s="53">
        <f t="shared" si="319"/>
        <v>0</v>
      </c>
      <c r="Y1069" s="53">
        <f t="shared" si="320"/>
        <v>0</v>
      </c>
      <c r="Z1069" s="54">
        <f t="shared" si="324"/>
        <v>0</v>
      </c>
      <c r="AA1069" s="54">
        <f t="shared" si="321"/>
        <v>0</v>
      </c>
      <c r="AB1069" s="55">
        <f t="shared" si="325"/>
        <v>0</v>
      </c>
      <c r="AC1069" s="55">
        <f t="shared" si="322"/>
        <v>0</v>
      </c>
      <c r="AD1069" s="56">
        <f t="shared" si="323"/>
        <v>17826.97</v>
      </c>
    </row>
    <row r="1070" spans="3:30">
      <c r="C1070" s="43" t="s">
        <v>1945</v>
      </c>
      <c r="D1070" s="44" t="s">
        <v>1946</v>
      </c>
      <c r="E1070" s="44"/>
      <c r="F1070" s="45">
        <v>41743.680208333331</v>
      </c>
      <c r="G1070" s="46">
        <v>53</v>
      </c>
      <c r="H1070" s="47">
        <v>43376</v>
      </c>
      <c r="I1070" s="47">
        <v>43399</v>
      </c>
      <c r="J1070" s="46">
        <v>412851</v>
      </c>
      <c r="K1070" s="46">
        <v>0</v>
      </c>
      <c r="L1070" s="46">
        <v>0</v>
      </c>
      <c r="M1070" s="46">
        <f t="shared" si="312"/>
        <v>412851</v>
      </c>
      <c r="N1070" s="46">
        <v>412851</v>
      </c>
      <c r="O1070" s="48">
        <f t="shared" si="313"/>
        <v>0</v>
      </c>
      <c r="P1070" s="46">
        <v>0</v>
      </c>
      <c r="Q1070" s="46">
        <v>412851</v>
      </c>
      <c r="R1070" s="49">
        <f t="shared" si="314"/>
        <v>1</v>
      </c>
      <c r="S1070" s="50">
        <f t="shared" si="315"/>
        <v>0.01</v>
      </c>
      <c r="T1070" s="49">
        <f t="shared" si="316"/>
        <v>4128.51</v>
      </c>
      <c r="U1070" s="51">
        <f t="shared" si="317"/>
        <v>0</v>
      </c>
      <c r="V1070" s="52">
        <f>IF(0&lt;0.8,0,IF(0&lt;1,Sheet3!L561,1))*IF(G1070&lt;3,0.12 - O1070,0.01) *U1070</f>
        <v>0</v>
      </c>
      <c r="W1070" s="52">
        <f t="shared" si="318"/>
        <v>0</v>
      </c>
      <c r="X1070" s="53">
        <f t="shared" si="319"/>
        <v>0</v>
      </c>
      <c r="Y1070" s="53">
        <f t="shared" si="320"/>
        <v>0</v>
      </c>
      <c r="Z1070" s="54">
        <f t="shared" si="324"/>
        <v>0</v>
      </c>
      <c r="AA1070" s="54">
        <f t="shared" si="321"/>
        <v>0</v>
      </c>
      <c r="AB1070" s="55">
        <f t="shared" si="325"/>
        <v>0</v>
      </c>
      <c r="AC1070" s="55">
        <f t="shared" si="322"/>
        <v>0</v>
      </c>
      <c r="AD1070" s="56">
        <f t="shared" si="323"/>
        <v>4128.51</v>
      </c>
    </row>
    <row r="1071" spans="3:30">
      <c r="C1071" s="43" t="s">
        <v>1947</v>
      </c>
      <c r="D1071" s="44" t="s">
        <v>1948</v>
      </c>
      <c r="E1071" s="44"/>
      <c r="F1071" s="45">
        <v>41750.602905092594</v>
      </c>
      <c r="G1071" s="46">
        <v>53</v>
      </c>
      <c r="H1071" s="47">
        <v>43377</v>
      </c>
      <c r="I1071" s="47">
        <v>43430</v>
      </c>
      <c r="J1071" s="46">
        <v>694607</v>
      </c>
      <c r="K1071" s="46">
        <v>0</v>
      </c>
      <c r="L1071" s="46">
        <v>0</v>
      </c>
      <c r="M1071" s="46">
        <f t="shared" si="312"/>
        <v>694607</v>
      </c>
      <c r="N1071" s="46">
        <v>694607</v>
      </c>
      <c r="O1071" s="48">
        <f t="shared" si="313"/>
        <v>0</v>
      </c>
      <c r="P1071" s="46">
        <v>0</v>
      </c>
      <c r="Q1071" s="46">
        <v>694607</v>
      </c>
      <c r="R1071" s="49">
        <f t="shared" si="314"/>
        <v>1</v>
      </c>
      <c r="S1071" s="50">
        <f t="shared" si="315"/>
        <v>0.01</v>
      </c>
      <c r="T1071" s="49">
        <f t="shared" si="316"/>
        <v>6946.07</v>
      </c>
      <c r="U1071" s="51">
        <f t="shared" si="317"/>
        <v>0</v>
      </c>
      <c r="V1071" s="52">
        <f>IF(0&lt;0.8,0,IF(0&lt;1,Sheet3!L561,1))*IF(G1071&lt;3,0.12 - O1071,0.01) *U1071</f>
        <v>0</v>
      </c>
      <c r="W1071" s="52">
        <f t="shared" si="318"/>
        <v>0</v>
      </c>
      <c r="X1071" s="53">
        <f t="shared" si="319"/>
        <v>0</v>
      </c>
      <c r="Y1071" s="53">
        <f t="shared" si="320"/>
        <v>0</v>
      </c>
      <c r="Z1071" s="54">
        <f t="shared" si="324"/>
        <v>0</v>
      </c>
      <c r="AA1071" s="54">
        <f t="shared" si="321"/>
        <v>0</v>
      </c>
      <c r="AB1071" s="55">
        <f t="shared" si="325"/>
        <v>0</v>
      </c>
      <c r="AC1071" s="55">
        <f t="shared" si="322"/>
        <v>0</v>
      </c>
      <c r="AD1071" s="56">
        <f t="shared" si="323"/>
        <v>6946.07</v>
      </c>
    </row>
    <row r="1072" spans="3:30">
      <c r="C1072" s="43" t="s">
        <v>1949</v>
      </c>
      <c r="D1072" s="44" t="s">
        <v>1950</v>
      </c>
      <c r="E1072" s="44"/>
      <c r="F1072" s="45">
        <v>41751.661689814813</v>
      </c>
      <c r="G1072" s="46">
        <v>53</v>
      </c>
      <c r="H1072" s="47">
        <v>43375</v>
      </c>
      <c r="I1072" s="47">
        <v>43386</v>
      </c>
      <c r="J1072" s="46">
        <v>89011</v>
      </c>
      <c r="K1072" s="46">
        <v>0</v>
      </c>
      <c r="L1072" s="46">
        <v>0</v>
      </c>
      <c r="M1072" s="46">
        <f t="shared" si="312"/>
        <v>89011</v>
      </c>
      <c r="N1072" s="46">
        <v>89011</v>
      </c>
      <c r="O1072" s="48">
        <f t="shared" si="313"/>
        <v>0</v>
      </c>
      <c r="P1072" s="46">
        <v>0</v>
      </c>
      <c r="Q1072" s="46">
        <v>89011</v>
      </c>
      <c r="R1072" s="49">
        <f t="shared" si="314"/>
        <v>1</v>
      </c>
      <c r="S1072" s="50">
        <f t="shared" si="315"/>
        <v>0.01</v>
      </c>
      <c r="T1072" s="49">
        <f t="shared" si="316"/>
        <v>890.11</v>
      </c>
      <c r="U1072" s="51">
        <f t="shared" si="317"/>
        <v>0</v>
      </c>
      <c r="V1072" s="52">
        <f>IF(0&lt;0.8,0,IF(0&lt;1,Sheet3!L561,1))*IF(G1072&lt;3,0.12 - O1072,0.01) *U1072</f>
        <v>0</v>
      </c>
      <c r="W1072" s="52">
        <f t="shared" si="318"/>
        <v>0</v>
      </c>
      <c r="X1072" s="53">
        <f t="shared" si="319"/>
        <v>0</v>
      </c>
      <c r="Y1072" s="53">
        <f t="shared" si="320"/>
        <v>0</v>
      </c>
      <c r="Z1072" s="54">
        <f t="shared" si="324"/>
        <v>0</v>
      </c>
      <c r="AA1072" s="54">
        <f t="shared" si="321"/>
        <v>0</v>
      </c>
      <c r="AB1072" s="55">
        <f t="shared" si="325"/>
        <v>0</v>
      </c>
      <c r="AC1072" s="55">
        <f t="shared" si="322"/>
        <v>0</v>
      </c>
      <c r="AD1072" s="56">
        <f t="shared" si="323"/>
        <v>890.11</v>
      </c>
    </row>
    <row r="1073" spans="3:30">
      <c r="C1073" s="43" t="s">
        <v>1951</v>
      </c>
      <c r="D1073" s="44" t="s">
        <v>1952</v>
      </c>
      <c r="E1073" s="44"/>
      <c r="F1073" s="45">
        <v>41751.663148148145</v>
      </c>
      <c r="G1073" s="46">
        <v>53</v>
      </c>
      <c r="H1073" s="47">
        <v>43377</v>
      </c>
      <c r="I1073" s="47">
        <v>43390</v>
      </c>
      <c r="J1073" s="46">
        <v>1584398</v>
      </c>
      <c r="K1073" s="46">
        <v>0</v>
      </c>
      <c r="L1073" s="46">
        <v>0</v>
      </c>
      <c r="M1073" s="46">
        <f t="shared" si="312"/>
        <v>1584398</v>
      </c>
      <c r="N1073" s="46">
        <v>1584398</v>
      </c>
      <c r="O1073" s="48">
        <f t="shared" si="313"/>
        <v>0</v>
      </c>
      <c r="P1073" s="46">
        <v>0</v>
      </c>
      <c r="Q1073" s="46">
        <v>1584398</v>
      </c>
      <c r="R1073" s="49">
        <f t="shared" si="314"/>
        <v>1</v>
      </c>
      <c r="S1073" s="50">
        <f t="shared" si="315"/>
        <v>0.01</v>
      </c>
      <c r="T1073" s="49">
        <f t="shared" si="316"/>
        <v>15843.98</v>
      </c>
      <c r="U1073" s="51">
        <f t="shared" si="317"/>
        <v>0</v>
      </c>
      <c r="V1073" s="52">
        <f>IF(0&lt;0.8,0,IF(0&lt;1,Sheet3!L561,1))*IF(G1073&lt;3,0.12 - O1073,0.01) *U1073</f>
        <v>0</v>
      </c>
      <c r="W1073" s="52">
        <f t="shared" si="318"/>
        <v>0</v>
      </c>
      <c r="X1073" s="53">
        <f t="shared" si="319"/>
        <v>0</v>
      </c>
      <c r="Y1073" s="53">
        <f t="shared" si="320"/>
        <v>0</v>
      </c>
      <c r="Z1073" s="54">
        <f t="shared" si="324"/>
        <v>0</v>
      </c>
      <c r="AA1073" s="54">
        <f t="shared" si="321"/>
        <v>0</v>
      </c>
      <c r="AB1073" s="55">
        <f t="shared" si="325"/>
        <v>0</v>
      </c>
      <c r="AC1073" s="55">
        <f t="shared" si="322"/>
        <v>0</v>
      </c>
      <c r="AD1073" s="56">
        <f t="shared" si="323"/>
        <v>15843.98</v>
      </c>
    </row>
    <row r="1074" spans="3:30">
      <c r="C1074" s="43" t="s">
        <v>1953</v>
      </c>
      <c r="D1074" s="44" t="s">
        <v>1954</v>
      </c>
      <c r="E1074" s="44"/>
      <c r="F1074" s="45">
        <v>41766.474803240737</v>
      </c>
      <c r="G1074" s="46">
        <v>52</v>
      </c>
      <c r="H1074" s="47">
        <v>43376</v>
      </c>
      <c r="I1074" s="47">
        <v>43418</v>
      </c>
      <c r="J1074" s="46">
        <v>207713</v>
      </c>
      <c r="K1074" s="46">
        <v>0</v>
      </c>
      <c r="L1074" s="46">
        <v>0</v>
      </c>
      <c r="M1074" s="46">
        <f t="shared" si="312"/>
        <v>207713</v>
      </c>
      <c r="N1074" s="46">
        <v>293641</v>
      </c>
      <c r="O1074" s="48">
        <f t="shared" si="313"/>
        <v>0.29262943526278684</v>
      </c>
      <c r="P1074" s="46">
        <v>0</v>
      </c>
      <c r="Q1074" s="46">
        <v>207713</v>
      </c>
      <c r="R1074" s="49">
        <f t="shared" si="314"/>
        <v>1</v>
      </c>
      <c r="S1074" s="50">
        <f t="shared" si="315"/>
        <v>0.01</v>
      </c>
      <c r="T1074" s="49">
        <f t="shared" si="316"/>
        <v>2077.13</v>
      </c>
      <c r="U1074" s="51">
        <f t="shared" si="317"/>
        <v>0</v>
      </c>
      <c r="V1074" s="52">
        <f>IF(0&lt;0.8,0,IF(0&lt;1,Sheet3!L561,1))*IF(G1074&lt;3,0.12 - O1074,0.01) *U1074</f>
        <v>0</v>
      </c>
      <c r="W1074" s="52">
        <f t="shared" si="318"/>
        <v>0</v>
      </c>
      <c r="X1074" s="53">
        <f t="shared" si="319"/>
        <v>0</v>
      </c>
      <c r="Y1074" s="53">
        <f t="shared" si="320"/>
        <v>0</v>
      </c>
      <c r="Z1074" s="54">
        <f t="shared" si="324"/>
        <v>0</v>
      </c>
      <c r="AA1074" s="54">
        <f t="shared" si="321"/>
        <v>0</v>
      </c>
      <c r="AB1074" s="55">
        <f t="shared" si="325"/>
        <v>0</v>
      </c>
      <c r="AC1074" s="55">
        <f t="shared" si="322"/>
        <v>0</v>
      </c>
      <c r="AD1074" s="56">
        <f t="shared" si="323"/>
        <v>2077.13</v>
      </c>
    </row>
    <row r="1075" spans="3:30">
      <c r="C1075" s="43" t="s">
        <v>1955</v>
      </c>
      <c r="D1075" s="44" t="s">
        <v>1956</v>
      </c>
      <c r="E1075" s="44"/>
      <c r="F1075" s="45">
        <v>41781.585439814815</v>
      </c>
      <c r="G1075" s="46">
        <v>52</v>
      </c>
      <c r="H1075" s="47">
        <v>43377</v>
      </c>
      <c r="I1075" s="47">
        <v>43400</v>
      </c>
      <c r="J1075" s="46">
        <v>241582</v>
      </c>
      <c r="K1075" s="46">
        <v>0</v>
      </c>
      <c r="L1075" s="46">
        <v>0</v>
      </c>
      <c r="M1075" s="46">
        <f t="shared" ref="M1075:M1138" si="326">IFERROR(J1075-K1075-L1075,0)</f>
        <v>241582</v>
      </c>
      <c r="N1075" s="46">
        <v>241582</v>
      </c>
      <c r="O1075" s="48">
        <f t="shared" ref="O1075:O1138" si="327">IFERROR(IF(1 - M1075/N1075&lt;0,0,1-M1075/N1075),0)</f>
        <v>0</v>
      </c>
      <c r="P1075" s="46">
        <v>0</v>
      </c>
      <c r="Q1075" s="46">
        <v>241582</v>
      </c>
      <c r="R1075" s="49">
        <f t="shared" ref="R1075:R1138" si="328">IF(F1075&lt;DATEVALUE("2018-07-01"),1,0)</f>
        <v>1</v>
      </c>
      <c r="S1075" s="50">
        <f t="shared" ref="S1075:S1138" si="329">IF(R1075=1,1%,0)</f>
        <v>0.01</v>
      </c>
      <c r="T1075" s="49">
        <f t="shared" ref="T1075:T1138" si="330">IFERROR(S1075*M1075,0)</f>
        <v>2415.8200000000002</v>
      </c>
      <c r="U1075" s="51">
        <f t="shared" ref="U1075:U1138" si="331">IF(O1075&lt;=0.12,1,0)*(1-R1075)*M1075</f>
        <v>0</v>
      </c>
      <c r="V1075" s="52">
        <f>IF(0&lt;0.8,0,IF(0&lt;1,Sheet3!L561,1))*IF(G1075&lt;3,0.12 - O1075,0.01) *U1075</f>
        <v>0</v>
      </c>
      <c r="W1075" s="52">
        <f t="shared" ref="W1075:W1138" si="332">IF(0&gt;1,IF(0&lt;=1.1,1,IF(0&lt;=1.2,2,IF(0&lt;=1.5,3,5))),0) * 1000000</f>
        <v>0</v>
      </c>
      <c r="X1075" s="53">
        <f t="shared" ref="X1075:X1138" si="333">IF(AND(P1075&gt;=150000000,P1075&lt;300000000),5000000,IF(AND(P1075&gt;=300000000,P1075&lt;500000000),10000000,IF(AND(P1075&gt;=300000000,P1075&lt;500000000),15000000,IF(AND(P1075&gt;=500000000,P1075&lt;3000000000),20000000,IF(P1075&gt;=30000000000,35000000,0))))) * (1-R1075)</f>
        <v>0</v>
      </c>
      <c r="Y1075" s="53">
        <f t="shared" ref="Y1075:Y1138" si="334">IFERROR(Q1075 * (1-R1075),0)</f>
        <v>0</v>
      </c>
      <c r="Z1075" s="54">
        <f t="shared" si="324"/>
        <v>0</v>
      </c>
      <c r="AA1075" s="54">
        <f t="shared" ref="AA1075:AA1138" si="335">IFERROR((1-R1075) * Z1075 * 2%,0)</f>
        <v>0</v>
      </c>
      <c r="AB1075" s="55">
        <f t="shared" si="325"/>
        <v>0</v>
      </c>
      <c r="AC1075" s="55">
        <f t="shared" ref="AC1075:AC1138" si="336">IFERROR(AB1075 * (1-R1075) * 2%,0)</f>
        <v>0</v>
      </c>
      <c r="AD1075" s="56">
        <f t="shared" ref="AD1075:AD1138" si="337">T1075+V1075+W1075+X1075+AA1075+AC1075</f>
        <v>2415.8200000000002</v>
      </c>
    </row>
    <row r="1076" spans="3:30">
      <c r="C1076" s="43" t="s">
        <v>1957</v>
      </c>
      <c r="D1076" s="44" t="s">
        <v>1958</v>
      </c>
      <c r="E1076" s="44"/>
      <c r="F1076" s="45">
        <v>41782.578148148146</v>
      </c>
      <c r="G1076" s="46">
        <v>52</v>
      </c>
      <c r="H1076" s="47">
        <v>43381</v>
      </c>
      <c r="I1076" s="47">
        <v>43400</v>
      </c>
      <c r="J1076" s="46">
        <v>3124948</v>
      </c>
      <c r="K1076" s="46">
        <v>0</v>
      </c>
      <c r="L1076" s="46">
        <v>0</v>
      </c>
      <c r="M1076" s="46">
        <f t="shared" si="326"/>
        <v>3124948</v>
      </c>
      <c r="N1076" s="46">
        <v>3124948</v>
      </c>
      <c r="O1076" s="48">
        <f t="shared" si="327"/>
        <v>0</v>
      </c>
      <c r="P1076" s="46">
        <v>0</v>
      </c>
      <c r="Q1076" s="46">
        <v>3124948</v>
      </c>
      <c r="R1076" s="49">
        <f t="shared" si="328"/>
        <v>1</v>
      </c>
      <c r="S1076" s="50">
        <f t="shared" si="329"/>
        <v>0.01</v>
      </c>
      <c r="T1076" s="49">
        <f t="shared" si="330"/>
        <v>31249.48</v>
      </c>
      <c r="U1076" s="51">
        <f t="shared" si="331"/>
        <v>0</v>
      </c>
      <c r="V1076" s="52">
        <f>IF(0&lt;0.8,0,IF(0&lt;1,Sheet3!L561,1))*IF(G1076&lt;3,0.12 - O1076,0.01) *U1076</f>
        <v>0</v>
      </c>
      <c r="W1076" s="52">
        <f t="shared" si="332"/>
        <v>0</v>
      </c>
      <c r="X1076" s="53">
        <f t="shared" si="333"/>
        <v>0</v>
      </c>
      <c r="Y1076" s="53">
        <f t="shared" si="334"/>
        <v>0</v>
      </c>
      <c r="Z1076" s="54">
        <f t="shared" si="324"/>
        <v>0</v>
      </c>
      <c r="AA1076" s="54">
        <f t="shared" si="335"/>
        <v>0</v>
      </c>
      <c r="AB1076" s="55">
        <f t="shared" si="325"/>
        <v>0</v>
      </c>
      <c r="AC1076" s="55">
        <f t="shared" si="336"/>
        <v>0</v>
      </c>
      <c r="AD1076" s="56">
        <f t="shared" si="337"/>
        <v>31249.48</v>
      </c>
    </row>
    <row r="1077" spans="3:30">
      <c r="C1077" s="43" t="s">
        <v>1959</v>
      </c>
      <c r="D1077" s="44" t="s">
        <v>1960</v>
      </c>
      <c r="E1077" s="44"/>
      <c r="F1077" s="45">
        <v>41802.628912037035</v>
      </c>
      <c r="G1077" s="46">
        <v>51</v>
      </c>
      <c r="H1077" s="47">
        <v>43377</v>
      </c>
      <c r="I1077" s="47">
        <v>43391</v>
      </c>
      <c r="J1077" s="46">
        <v>292755</v>
      </c>
      <c r="K1077" s="46">
        <v>0</v>
      </c>
      <c r="L1077" s="46">
        <v>0</v>
      </c>
      <c r="M1077" s="46">
        <f t="shared" si="326"/>
        <v>292755</v>
      </c>
      <c r="N1077" s="46">
        <v>292755</v>
      </c>
      <c r="O1077" s="48">
        <f t="shared" si="327"/>
        <v>0</v>
      </c>
      <c r="P1077" s="46">
        <v>0</v>
      </c>
      <c r="Q1077" s="46">
        <v>292755</v>
      </c>
      <c r="R1077" s="49">
        <f t="shared" si="328"/>
        <v>1</v>
      </c>
      <c r="S1077" s="50">
        <f t="shared" si="329"/>
        <v>0.01</v>
      </c>
      <c r="T1077" s="49">
        <f t="shared" si="330"/>
        <v>2927.55</v>
      </c>
      <c r="U1077" s="51">
        <f t="shared" si="331"/>
        <v>0</v>
      </c>
      <c r="V1077" s="52">
        <f>IF(0&lt;0.8,0,IF(0&lt;1,Sheet3!L561,1))*IF(G1077&lt;3,0.12 - O1077,0.01) *U1077</f>
        <v>0</v>
      </c>
      <c r="W1077" s="52">
        <f t="shared" si="332"/>
        <v>0</v>
      </c>
      <c r="X1077" s="53">
        <f t="shared" si="333"/>
        <v>0</v>
      </c>
      <c r="Y1077" s="53">
        <f t="shared" si="334"/>
        <v>0</v>
      </c>
      <c r="Z1077" s="54">
        <f t="shared" si="324"/>
        <v>0</v>
      </c>
      <c r="AA1077" s="54">
        <f t="shared" si="335"/>
        <v>0</v>
      </c>
      <c r="AB1077" s="55">
        <f t="shared" si="325"/>
        <v>0</v>
      </c>
      <c r="AC1077" s="55">
        <f t="shared" si="336"/>
        <v>0</v>
      </c>
      <c r="AD1077" s="56">
        <f t="shared" si="337"/>
        <v>2927.55</v>
      </c>
    </row>
    <row r="1078" spans="3:30">
      <c r="C1078" s="43" t="s">
        <v>1961</v>
      </c>
      <c r="D1078" s="44" t="s">
        <v>1962</v>
      </c>
      <c r="E1078" s="44"/>
      <c r="F1078" s="45">
        <v>41802.635509259257</v>
      </c>
      <c r="G1078" s="46">
        <v>51</v>
      </c>
      <c r="H1078" s="47">
        <v>43372</v>
      </c>
      <c r="I1078" s="47">
        <v>43426</v>
      </c>
      <c r="J1078" s="46">
        <v>9568497</v>
      </c>
      <c r="K1078" s="46">
        <v>0</v>
      </c>
      <c r="L1078" s="46">
        <v>0</v>
      </c>
      <c r="M1078" s="46">
        <f t="shared" si="326"/>
        <v>9568497</v>
      </c>
      <c r="N1078" s="46">
        <v>12233302</v>
      </c>
      <c r="O1078" s="48">
        <f t="shared" si="327"/>
        <v>0.21783202932454382</v>
      </c>
      <c r="P1078" s="46">
        <v>0</v>
      </c>
      <c r="Q1078" s="46">
        <v>9568497</v>
      </c>
      <c r="R1078" s="49">
        <f t="shared" si="328"/>
        <v>1</v>
      </c>
      <c r="S1078" s="50">
        <f t="shared" si="329"/>
        <v>0.01</v>
      </c>
      <c r="T1078" s="49">
        <f t="shared" si="330"/>
        <v>95684.97</v>
      </c>
      <c r="U1078" s="51">
        <f t="shared" si="331"/>
        <v>0</v>
      </c>
      <c r="V1078" s="52">
        <f>IF(0&lt;0.8,0,IF(0&lt;1,Sheet3!L561,1))*IF(G1078&lt;3,0.12 - O1078,0.01) *U1078</f>
        <v>0</v>
      </c>
      <c r="W1078" s="52">
        <f t="shared" si="332"/>
        <v>0</v>
      </c>
      <c r="X1078" s="53">
        <f t="shared" si="333"/>
        <v>0</v>
      </c>
      <c r="Y1078" s="53">
        <f t="shared" si="334"/>
        <v>0</v>
      </c>
      <c r="Z1078" s="54">
        <f t="shared" si="324"/>
        <v>0</v>
      </c>
      <c r="AA1078" s="54">
        <f t="shared" si="335"/>
        <v>0</v>
      </c>
      <c r="AB1078" s="55">
        <f t="shared" si="325"/>
        <v>0</v>
      </c>
      <c r="AC1078" s="55">
        <f t="shared" si="336"/>
        <v>0</v>
      </c>
      <c r="AD1078" s="56">
        <f t="shared" si="337"/>
        <v>95684.97</v>
      </c>
    </row>
    <row r="1079" spans="3:30">
      <c r="C1079" s="43" t="s">
        <v>1963</v>
      </c>
      <c r="D1079" s="44" t="s">
        <v>1964</v>
      </c>
      <c r="E1079" s="44"/>
      <c r="F1079" s="45">
        <v>41821.398356481477</v>
      </c>
      <c r="G1079" s="46">
        <v>50</v>
      </c>
      <c r="H1079" s="47">
        <v>43375</v>
      </c>
      <c r="I1079" s="47">
        <v>43368</v>
      </c>
      <c r="J1079" s="46">
        <v>17103648</v>
      </c>
      <c r="K1079" s="46">
        <v>0</v>
      </c>
      <c r="L1079" s="46">
        <v>0</v>
      </c>
      <c r="M1079" s="46">
        <f t="shared" si="326"/>
        <v>17103648</v>
      </c>
      <c r="N1079" s="46">
        <v>17103648</v>
      </c>
      <c r="O1079" s="48">
        <f t="shared" si="327"/>
        <v>0</v>
      </c>
      <c r="P1079" s="46">
        <v>0</v>
      </c>
      <c r="Q1079" s="46">
        <v>17103648</v>
      </c>
      <c r="R1079" s="49">
        <f t="shared" si="328"/>
        <v>1</v>
      </c>
      <c r="S1079" s="50">
        <f t="shared" si="329"/>
        <v>0.01</v>
      </c>
      <c r="T1079" s="49">
        <f t="shared" si="330"/>
        <v>171036.48</v>
      </c>
      <c r="U1079" s="51">
        <f t="shared" si="331"/>
        <v>0</v>
      </c>
      <c r="V1079" s="52">
        <f>IF(0&lt;0.8,0,IF(0&lt;1,Sheet3!L561,1))*IF(G1079&lt;3,0.12 - O1079,0.01) *U1079</f>
        <v>0</v>
      </c>
      <c r="W1079" s="52">
        <f t="shared" si="332"/>
        <v>0</v>
      </c>
      <c r="X1079" s="53">
        <f t="shared" si="333"/>
        <v>0</v>
      </c>
      <c r="Y1079" s="53">
        <f t="shared" si="334"/>
        <v>0</v>
      </c>
      <c r="Z1079" s="54">
        <f t="shared" si="324"/>
        <v>0</v>
      </c>
      <c r="AA1079" s="54">
        <f t="shared" si="335"/>
        <v>0</v>
      </c>
      <c r="AB1079" s="55">
        <f t="shared" si="325"/>
        <v>0</v>
      </c>
      <c r="AC1079" s="55">
        <f t="shared" si="336"/>
        <v>0</v>
      </c>
      <c r="AD1079" s="56">
        <f t="shared" si="337"/>
        <v>171036.48</v>
      </c>
    </row>
    <row r="1080" spans="3:30">
      <c r="C1080" s="43" t="s">
        <v>1965</v>
      </c>
      <c r="D1080" s="44" t="s">
        <v>1966</v>
      </c>
      <c r="E1080" s="44"/>
      <c r="F1080" s="45">
        <v>41822.600624999999</v>
      </c>
      <c r="G1080" s="46">
        <v>50</v>
      </c>
      <c r="H1080" s="47">
        <v>43381</v>
      </c>
      <c r="I1080" s="47">
        <v>43461</v>
      </c>
      <c r="J1080" s="46">
        <v>753951</v>
      </c>
      <c r="K1080" s="46">
        <v>0</v>
      </c>
      <c r="L1080" s="46">
        <v>0</v>
      </c>
      <c r="M1080" s="46">
        <f t="shared" si="326"/>
        <v>753951</v>
      </c>
      <c r="N1080" s="46">
        <v>753951</v>
      </c>
      <c r="O1080" s="48">
        <f t="shared" si="327"/>
        <v>0</v>
      </c>
      <c r="P1080" s="46">
        <v>0</v>
      </c>
      <c r="Q1080" s="46">
        <v>753951</v>
      </c>
      <c r="R1080" s="49">
        <f t="shared" si="328"/>
        <v>1</v>
      </c>
      <c r="S1080" s="50">
        <f t="shared" si="329"/>
        <v>0.01</v>
      </c>
      <c r="T1080" s="49">
        <f t="shared" si="330"/>
        <v>7539.51</v>
      </c>
      <c r="U1080" s="51">
        <f t="shared" si="331"/>
        <v>0</v>
      </c>
      <c r="V1080" s="52">
        <f>IF(0&lt;0.8,0,IF(0&lt;1,Sheet3!L561,1))*IF(G1080&lt;3,0.12 - O1080,0.01) *U1080</f>
        <v>0</v>
      </c>
      <c r="W1080" s="52">
        <f t="shared" si="332"/>
        <v>0</v>
      </c>
      <c r="X1080" s="53">
        <f t="shared" si="333"/>
        <v>0</v>
      </c>
      <c r="Y1080" s="53">
        <f t="shared" si="334"/>
        <v>0</v>
      </c>
      <c r="Z1080" s="54">
        <f t="shared" si="324"/>
        <v>0</v>
      </c>
      <c r="AA1080" s="54">
        <f t="shared" si="335"/>
        <v>0</v>
      </c>
      <c r="AB1080" s="55">
        <f t="shared" si="325"/>
        <v>0</v>
      </c>
      <c r="AC1080" s="55">
        <f t="shared" si="336"/>
        <v>0</v>
      </c>
      <c r="AD1080" s="56">
        <f t="shared" si="337"/>
        <v>7539.51</v>
      </c>
    </row>
    <row r="1081" spans="3:30">
      <c r="C1081" s="43" t="s">
        <v>1967</v>
      </c>
      <c r="D1081" s="44" t="s">
        <v>1968</v>
      </c>
      <c r="E1081" s="44"/>
      <c r="F1081" s="45">
        <v>41827.455740740741</v>
      </c>
      <c r="G1081" s="46">
        <v>50</v>
      </c>
      <c r="H1081" s="47">
        <v>43375</v>
      </c>
      <c r="I1081" s="47">
        <v>43384</v>
      </c>
      <c r="J1081" s="46">
        <v>750698</v>
      </c>
      <c r="K1081" s="46">
        <v>0</v>
      </c>
      <c r="L1081" s="46">
        <v>0</v>
      </c>
      <c r="M1081" s="46">
        <f t="shared" si="326"/>
        <v>750698</v>
      </c>
      <c r="N1081" s="46">
        <v>750698</v>
      </c>
      <c r="O1081" s="48">
        <f t="shared" si="327"/>
        <v>0</v>
      </c>
      <c r="P1081" s="46">
        <v>0</v>
      </c>
      <c r="Q1081" s="46">
        <v>750698</v>
      </c>
      <c r="R1081" s="49">
        <f t="shared" si="328"/>
        <v>1</v>
      </c>
      <c r="S1081" s="50">
        <f t="shared" si="329"/>
        <v>0.01</v>
      </c>
      <c r="T1081" s="49">
        <f t="shared" si="330"/>
        <v>7506.9800000000005</v>
      </c>
      <c r="U1081" s="51">
        <f t="shared" si="331"/>
        <v>0</v>
      </c>
      <c r="V1081" s="52">
        <f>IF(0&lt;0.8,0,IF(0&lt;1,Sheet3!L561,1))*IF(G1081&lt;3,0.12 - O1081,0.01) *U1081</f>
        <v>0</v>
      </c>
      <c r="W1081" s="52">
        <f t="shared" si="332"/>
        <v>0</v>
      </c>
      <c r="X1081" s="53">
        <f t="shared" si="333"/>
        <v>0</v>
      </c>
      <c r="Y1081" s="53">
        <f t="shared" si="334"/>
        <v>0</v>
      </c>
      <c r="Z1081" s="54">
        <f t="shared" si="324"/>
        <v>0</v>
      </c>
      <c r="AA1081" s="54">
        <f t="shared" si="335"/>
        <v>0</v>
      </c>
      <c r="AB1081" s="55">
        <f t="shared" si="325"/>
        <v>0</v>
      </c>
      <c r="AC1081" s="55">
        <f t="shared" si="336"/>
        <v>0</v>
      </c>
      <c r="AD1081" s="56">
        <f t="shared" si="337"/>
        <v>7506.9800000000005</v>
      </c>
    </row>
    <row r="1082" spans="3:30">
      <c r="C1082" s="43" t="s">
        <v>1969</v>
      </c>
      <c r="D1082" s="44" t="s">
        <v>1970</v>
      </c>
      <c r="E1082" s="44"/>
      <c r="F1082" s="45">
        <v>41830.574502314812</v>
      </c>
      <c r="G1082" s="46">
        <v>50</v>
      </c>
      <c r="H1082" s="47">
        <v>43381</v>
      </c>
      <c r="I1082" s="47">
        <v>43420</v>
      </c>
      <c r="J1082" s="46">
        <v>336456</v>
      </c>
      <c r="K1082" s="46">
        <v>0</v>
      </c>
      <c r="L1082" s="46">
        <v>0</v>
      </c>
      <c r="M1082" s="46">
        <f t="shared" si="326"/>
        <v>336456</v>
      </c>
      <c r="N1082" s="46">
        <v>336456</v>
      </c>
      <c r="O1082" s="48">
        <f t="shared" si="327"/>
        <v>0</v>
      </c>
      <c r="P1082" s="46">
        <v>0</v>
      </c>
      <c r="Q1082" s="46">
        <v>336456</v>
      </c>
      <c r="R1082" s="49">
        <f t="shared" si="328"/>
        <v>1</v>
      </c>
      <c r="S1082" s="50">
        <f t="shared" si="329"/>
        <v>0.01</v>
      </c>
      <c r="T1082" s="49">
        <f t="shared" si="330"/>
        <v>3364.56</v>
      </c>
      <c r="U1082" s="51">
        <f t="shared" si="331"/>
        <v>0</v>
      </c>
      <c r="V1082" s="52">
        <f>IF(0&lt;0.8,0,IF(0&lt;1,Sheet3!L561,1))*IF(G1082&lt;3,0.12 - O1082,0.01) *U1082</f>
        <v>0</v>
      </c>
      <c r="W1082" s="52">
        <f t="shared" si="332"/>
        <v>0</v>
      </c>
      <c r="X1082" s="53">
        <f t="shared" si="333"/>
        <v>0</v>
      </c>
      <c r="Y1082" s="53">
        <f t="shared" si="334"/>
        <v>0</v>
      </c>
      <c r="Z1082" s="54">
        <f t="shared" si="324"/>
        <v>0</v>
      </c>
      <c r="AA1082" s="54">
        <f t="shared" si="335"/>
        <v>0</v>
      </c>
      <c r="AB1082" s="55">
        <f t="shared" si="325"/>
        <v>0</v>
      </c>
      <c r="AC1082" s="55">
        <f t="shared" si="336"/>
        <v>0</v>
      </c>
      <c r="AD1082" s="56">
        <f t="shared" si="337"/>
        <v>3364.56</v>
      </c>
    </row>
    <row r="1083" spans="3:30">
      <c r="C1083" s="43" t="s">
        <v>1971</v>
      </c>
      <c r="D1083" s="44" t="s">
        <v>1972</v>
      </c>
      <c r="E1083" s="44"/>
      <c r="F1083" s="45">
        <v>41830.587604166663</v>
      </c>
      <c r="G1083" s="46">
        <v>50</v>
      </c>
      <c r="H1083" s="47">
        <v>43375</v>
      </c>
      <c r="I1083" s="47">
        <v>43386</v>
      </c>
      <c r="J1083" s="46">
        <v>473130</v>
      </c>
      <c r="K1083" s="46">
        <v>0</v>
      </c>
      <c r="L1083" s="46">
        <v>0</v>
      </c>
      <c r="M1083" s="46">
        <f t="shared" si="326"/>
        <v>473130</v>
      </c>
      <c r="N1083" s="46">
        <v>473130</v>
      </c>
      <c r="O1083" s="48">
        <f t="shared" si="327"/>
        <v>0</v>
      </c>
      <c r="P1083" s="46">
        <v>0</v>
      </c>
      <c r="Q1083" s="46">
        <v>473130</v>
      </c>
      <c r="R1083" s="49">
        <f t="shared" si="328"/>
        <v>1</v>
      </c>
      <c r="S1083" s="50">
        <f t="shared" si="329"/>
        <v>0.01</v>
      </c>
      <c r="T1083" s="49">
        <f t="shared" si="330"/>
        <v>4731.3</v>
      </c>
      <c r="U1083" s="51">
        <f t="shared" si="331"/>
        <v>0</v>
      </c>
      <c r="V1083" s="52">
        <f>IF(0&lt;0.8,0,IF(0&lt;1,Sheet3!L561,1))*IF(G1083&lt;3,0.12 - O1083,0.01) *U1083</f>
        <v>0</v>
      </c>
      <c r="W1083" s="52">
        <f t="shared" si="332"/>
        <v>0</v>
      </c>
      <c r="X1083" s="53">
        <f t="shared" si="333"/>
        <v>0</v>
      </c>
      <c r="Y1083" s="53">
        <f t="shared" si="334"/>
        <v>0</v>
      </c>
      <c r="Z1083" s="54">
        <f t="shared" si="324"/>
        <v>0</v>
      </c>
      <c r="AA1083" s="54">
        <f t="shared" si="335"/>
        <v>0</v>
      </c>
      <c r="AB1083" s="55">
        <f t="shared" si="325"/>
        <v>0</v>
      </c>
      <c r="AC1083" s="55">
        <f t="shared" si="336"/>
        <v>0</v>
      </c>
      <c r="AD1083" s="56">
        <f t="shared" si="337"/>
        <v>4731.3</v>
      </c>
    </row>
    <row r="1084" spans="3:30">
      <c r="C1084" s="43" t="s">
        <v>1973</v>
      </c>
      <c r="D1084" s="44" t="s">
        <v>1974</v>
      </c>
      <c r="E1084" s="44"/>
      <c r="F1084" s="45">
        <v>41850.594317129631</v>
      </c>
      <c r="G1084" s="46">
        <v>50</v>
      </c>
      <c r="H1084" s="47">
        <v>43376</v>
      </c>
      <c r="I1084" s="47">
        <v>43385</v>
      </c>
      <c r="J1084" s="46">
        <v>372922</v>
      </c>
      <c r="K1084" s="46">
        <v>0</v>
      </c>
      <c r="L1084" s="46">
        <v>0</v>
      </c>
      <c r="M1084" s="46">
        <f t="shared" si="326"/>
        <v>372922</v>
      </c>
      <c r="N1084" s="46">
        <v>372922</v>
      </c>
      <c r="O1084" s="48">
        <f t="shared" si="327"/>
        <v>0</v>
      </c>
      <c r="P1084" s="46">
        <v>0</v>
      </c>
      <c r="Q1084" s="46">
        <v>372922</v>
      </c>
      <c r="R1084" s="49">
        <f t="shared" si="328"/>
        <v>1</v>
      </c>
      <c r="S1084" s="50">
        <f t="shared" si="329"/>
        <v>0.01</v>
      </c>
      <c r="T1084" s="49">
        <f t="shared" si="330"/>
        <v>3729.2200000000003</v>
      </c>
      <c r="U1084" s="51">
        <f t="shared" si="331"/>
        <v>0</v>
      </c>
      <c r="V1084" s="52">
        <f>IF(0&lt;0.8,0,IF(0&lt;1,Sheet3!L561,1))*IF(G1084&lt;3,0.12 - O1084,0.01) *U1084</f>
        <v>0</v>
      </c>
      <c r="W1084" s="52">
        <f t="shared" si="332"/>
        <v>0</v>
      </c>
      <c r="X1084" s="53">
        <f t="shared" si="333"/>
        <v>0</v>
      </c>
      <c r="Y1084" s="53">
        <f t="shared" si="334"/>
        <v>0</v>
      </c>
      <c r="Z1084" s="54">
        <f t="shared" si="324"/>
        <v>0</v>
      </c>
      <c r="AA1084" s="54">
        <f t="shared" si="335"/>
        <v>0</v>
      </c>
      <c r="AB1084" s="55">
        <f t="shared" si="325"/>
        <v>0</v>
      </c>
      <c r="AC1084" s="55">
        <f t="shared" si="336"/>
        <v>0</v>
      </c>
      <c r="AD1084" s="56">
        <f t="shared" si="337"/>
        <v>3729.2200000000003</v>
      </c>
    </row>
    <row r="1085" spans="3:30">
      <c r="C1085" s="43" t="s">
        <v>1975</v>
      </c>
      <c r="D1085" s="44" t="s">
        <v>1976</v>
      </c>
      <c r="E1085" s="44"/>
      <c r="F1085" s="45">
        <v>41851.603796296295</v>
      </c>
      <c r="G1085" s="46">
        <v>50</v>
      </c>
      <c r="H1085" s="47">
        <v>43381</v>
      </c>
      <c r="I1085" s="47">
        <v>43397</v>
      </c>
      <c r="J1085" s="46">
        <v>479427</v>
      </c>
      <c r="K1085" s="46">
        <v>0</v>
      </c>
      <c r="L1085" s="46">
        <v>0</v>
      </c>
      <c r="M1085" s="46">
        <f t="shared" si="326"/>
        <v>479427</v>
      </c>
      <c r="N1085" s="46">
        <v>479427</v>
      </c>
      <c r="O1085" s="48">
        <f t="shared" si="327"/>
        <v>0</v>
      </c>
      <c r="P1085" s="46">
        <v>0</v>
      </c>
      <c r="Q1085" s="46">
        <v>479427</v>
      </c>
      <c r="R1085" s="49">
        <f t="shared" si="328"/>
        <v>1</v>
      </c>
      <c r="S1085" s="50">
        <f t="shared" si="329"/>
        <v>0.01</v>
      </c>
      <c r="T1085" s="49">
        <f t="shared" si="330"/>
        <v>4794.2700000000004</v>
      </c>
      <c r="U1085" s="51">
        <f t="shared" si="331"/>
        <v>0</v>
      </c>
      <c r="V1085" s="52">
        <f>IF(0&lt;0.8,0,IF(0&lt;1,Sheet3!L561,1))*IF(G1085&lt;3,0.12 - O1085,0.01) *U1085</f>
        <v>0</v>
      </c>
      <c r="W1085" s="52">
        <f t="shared" si="332"/>
        <v>0</v>
      </c>
      <c r="X1085" s="53">
        <f t="shared" si="333"/>
        <v>0</v>
      </c>
      <c r="Y1085" s="53">
        <f t="shared" si="334"/>
        <v>0</v>
      </c>
      <c r="Z1085" s="54">
        <f t="shared" si="324"/>
        <v>0</v>
      </c>
      <c r="AA1085" s="54">
        <f t="shared" si="335"/>
        <v>0</v>
      </c>
      <c r="AB1085" s="55">
        <f t="shared" si="325"/>
        <v>0</v>
      </c>
      <c r="AC1085" s="55">
        <f t="shared" si="336"/>
        <v>0</v>
      </c>
      <c r="AD1085" s="56">
        <f t="shared" si="337"/>
        <v>4794.2700000000004</v>
      </c>
    </row>
    <row r="1086" spans="3:30">
      <c r="C1086" s="43" t="s">
        <v>1977</v>
      </c>
      <c r="D1086" s="44" t="s">
        <v>1978</v>
      </c>
      <c r="E1086" s="44"/>
      <c r="F1086" s="45">
        <v>41865.650891203702</v>
      </c>
      <c r="G1086" s="46">
        <v>49</v>
      </c>
      <c r="H1086" s="47">
        <v>43372</v>
      </c>
      <c r="I1086" s="47">
        <v>43390</v>
      </c>
      <c r="J1086" s="46">
        <v>1574308</v>
      </c>
      <c r="K1086" s="46">
        <v>0</v>
      </c>
      <c r="L1086" s="46">
        <v>0</v>
      </c>
      <c r="M1086" s="46">
        <f t="shared" si="326"/>
        <v>1574308</v>
      </c>
      <c r="N1086" s="46">
        <v>1574308</v>
      </c>
      <c r="O1086" s="48">
        <f t="shared" si="327"/>
        <v>0</v>
      </c>
      <c r="P1086" s="46">
        <v>0</v>
      </c>
      <c r="Q1086" s="46">
        <v>1574308</v>
      </c>
      <c r="R1086" s="49">
        <f t="shared" si="328"/>
        <v>1</v>
      </c>
      <c r="S1086" s="50">
        <f t="shared" si="329"/>
        <v>0.01</v>
      </c>
      <c r="T1086" s="49">
        <f t="shared" si="330"/>
        <v>15743.08</v>
      </c>
      <c r="U1086" s="51">
        <f t="shared" si="331"/>
        <v>0</v>
      </c>
      <c r="V1086" s="52">
        <f>IF(0&lt;0.8,0,IF(0&lt;1,Sheet3!L561,1))*IF(G1086&lt;3,0.12 - O1086,0.01) *U1086</f>
        <v>0</v>
      </c>
      <c r="W1086" s="52">
        <f t="shared" si="332"/>
        <v>0</v>
      </c>
      <c r="X1086" s="53">
        <f t="shared" si="333"/>
        <v>0</v>
      </c>
      <c r="Y1086" s="53">
        <f t="shared" si="334"/>
        <v>0</v>
      </c>
      <c r="Z1086" s="54">
        <f t="shared" si="324"/>
        <v>0</v>
      </c>
      <c r="AA1086" s="54">
        <f t="shared" si="335"/>
        <v>0</v>
      </c>
      <c r="AB1086" s="55">
        <f t="shared" si="325"/>
        <v>0</v>
      </c>
      <c r="AC1086" s="55">
        <f t="shared" si="336"/>
        <v>0</v>
      </c>
      <c r="AD1086" s="56">
        <f t="shared" si="337"/>
        <v>15743.08</v>
      </c>
    </row>
    <row r="1087" spans="3:30">
      <c r="C1087" s="43" t="s">
        <v>1979</v>
      </c>
      <c r="D1087" s="44" t="s">
        <v>1980</v>
      </c>
      <c r="E1087" s="44"/>
      <c r="F1087" s="45">
        <v>41867.583784722221</v>
      </c>
      <c r="G1087" s="46">
        <v>49</v>
      </c>
      <c r="H1087" s="47">
        <v>43377</v>
      </c>
      <c r="I1087" s="47">
        <v>43391</v>
      </c>
      <c r="J1087" s="46">
        <v>1457820</v>
      </c>
      <c r="K1087" s="46">
        <v>0</v>
      </c>
      <c r="L1087" s="46">
        <v>0</v>
      </c>
      <c r="M1087" s="46">
        <f t="shared" si="326"/>
        <v>1457820</v>
      </c>
      <c r="N1087" s="46">
        <v>1457820</v>
      </c>
      <c r="O1087" s="48">
        <f t="shared" si="327"/>
        <v>0</v>
      </c>
      <c r="P1087" s="46">
        <v>0</v>
      </c>
      <c r="Q1087" s="46">
        <v>1457820</v>
      </c>
      <c r="R1087" s="49">
        <f t="shared" si="328"/>
        <v>1</v>
      </c>
      <c r="S1087" s="50">
        <f t="shared" si="329"/>
        <v>0.01</v>
      </c>
      <c r="T1087" s="49">
        <f t="shared" si="330"/>
        <v>14578.2</v>
      </c>
      <c r="U1087" s="51">
        <f t="shared" si="331"/>
        <v>0</v>
      </c>
      <c r="V1087" s="52">
        <f>IF(0&lt;0.8,0,IF(0&lt;1,Sheet3!L561,1))*IF(G1087&lt;3,0.12 - O1087,0.01) *U1087</f>
        <v>0</v>
      </c>
      <c r="W1087" s="52">
        <f t="shared" si="332"/>
        <v>0</v>
      </c>
      <c r="X1087" s="53">
        <f t="shared" si="333"/>
        <v>0</v>
      </c>
      <c r="Y1087" s="53">
        <f t="shared" si="334"/>
        <v>0</v>
      </c>
      <c r="Z1087" s="54">
        <f t="shared" si="324"/>
        <v>0</v>
      </c>
      <c r="AA1087" s="54">
        <f t="shared" si="335"/>
        <v>0</v>
      </c>
      <c r="AB1087" s="55">
        <f t="shared" si="325"/>
        <v>0</v>
      </c>
      <c r="AC1087" s="55">
        <f t="shared" si="336"/>
        <v>0</v>
      </c>
      <c r="AD1087" s="56">
        <f t="shared" si="337"/>
        <v>14578.2</v>
      </c>
    </row>
    <row r="1088" spans="3:30">
      <c r="C1088" s="43" t="s">
        <v>1981</v>
      </c>
      <c r="D1088" s="44" t="s">
        <v>1982</v>
      </c>
      <c r="E1088" s="44"/>
      <c r="F1088" s="45">
        <v>41867.624780092592</v>
      </c>
      <c r="G1088" s="46">
        <v>49</v>
      </c>
      <c r="H1088" s="47">
        <v>43372</v>
      </c>
      <c r="I1088" s="47">
        <v>43390</v>
      </c>
      <c r="J1088" s="46">
        <v>203925885</v>
      </c>
      <c r="K1088" s="46">
        <v>0</v>
      </c>
      <c r="L1088" s="46">
        <v>0</v>
      </c>
      <c r="M1088" s="46">
        <f t="shared" si="326"/>
        <v>203925885</v>
      </c>
      <c r="N1088" s="46">
        <v>209605694</v>
      </c>
      <c r="O1088" s="48">
        <f t="shared" si="327"/>
        <v>2.7097589247742526E-2</v>
      </c>
      <c r="P1088" s="46">
        <v>0</v>
      </c>
      <c r="Q1088" s="46">
        <v>204156269</v>
      </c>
      <c r="R1088" s="49">
        <f t="shared" si="328"/>
        <v>1</v>
      </c>
      <c r="S1088" s="50">
        <f t="shared" si="329"/>
        <v>0.01</v>
      </c>
      <c r="T1088" s="49">
        <f t="shared" si="330"/>
        <v>2039258.85</v>
      </c>
      <c r="U1088" s="51">
        <f t="shared" si="331"/>
        <v>0</v>
      </c>
      <c r="V1088" s="52">
        <f>IF(0&lt;0.8,0,IF(0&lt;1,Sheet3!L561,1))*IF(G1088&lt;3,0.12 - O1088,0.01) *U1088</f>
        <v>0</v>
      </c>
      <c r="W1088" s="52">
        <f t="shared" si="332"/>
        <v>0</v>
      </c>
      <c r="X1088" s="53">
        <f t="shared" si="333"/>
        <v>0</v>
      </c>
      <c r="Y1088" s="53">
        <f t="shared" si="334"/>
        <v>0</v>
      </c>
      <c r="Z1088" s="54">
        <f>IF(R1088=1,0,700000)</f>
        <v>0</v>
      </c>
      <c r="AA1088" s="54">
        <f t="shared" si="335"/>
        <v>0</v>
      </c>
      <c r="AB1088" s="55">
        <f t="shared" si="325"/>
        <v>0</v>
      </c>
      <c r="AC1088" s="55">
        <f t="shared" si="336"/>
        <v>0</v>
      </c>
      <c r="AD1088" s="56">
        <f t="shared" si="337"/>
        <v>2039258.85</v>
      </c>
    </row>
    <row r="1089" spans="3:30">
      <c r="C1089" s="43" t="s">
        <v>1983</v>
      </c>
      <c r="D1089" s="44" t="s">
        <v>1984</v>
      </c>
      <c r="E1089" s="44"/>
      <c r="F1089" s="45">
        <v>41890.618414351848</v>
      </c>
      <c r="G1089" s="46">
        <v>48</v>
      </c>
      <c r="H1089" s="47">
        <v>43381</v>
      </c>
      <c r="I1089" s="47">
        <v>43400</v>
      </c>
      <c r="J1089" s="46">
        <v>804296</v>
      </c>
      <c r="K1089" s="46">
        <v>0</v>
      </c>
      <c r="L1089" s="46">
        <v>0</v>
      </c>
      <c r="M1089" s="46">
        <f t="shared" si="326"/>
        <v>804296</v>
      </c>
      <c r="N1089" s="46">
        <v>804296</v>
      </c>
      <c r="O1089" s="48">
        <f t="shared" si="327"/>
        <v>0</v>
      </c>
      <c r="P1089" s="46">
        <v>0</v>
      </c>
      <c r="Q1089" s="46">
        <v>804296</v>
      </c>
      <c r="R1089" s="49">
        <f t="shared" si="328"/>
        <v>1</v>
      </c>
      <c r="S1089" s="50">
        <f t="shared" si="329"/>
        <v>0.01</v>
      </c>
      <c r="T1089" s="49">
        <f t="shared" si="330"/>
        <v>8042.96</v>
      </c>
      <c r="U1089" s="51">
        <f t="shared" si="331"/>
        <v>0</v>
      </c>
      <c r="V1089" s="52">
        <f>IF(0&lt;0.8,0,IF(0&lt;1,Sheet3!L561,1))*IF(G1089&lt;3,0.12 - O1089,0.01) *U1089</f>
        <v>0</v>
      </c>
      <c r="W1089" s="52">
        <f t="shared" si="332"/>
        <v>0</v>
      </c>
      <c r="X1089" s="53">
        <f t="shared" si="333"/>
        <v>0</v>
      </c>
      <c r="Y1089" s="53">
        <f t="shared" si="334"/>
        <v>0</v>
      </c>
      <c r="Z1089" s="54">
        <f t="shared" ref="Z1089:Z1114" si="338">IF(R1089=1,0,0)</f>
        <v>0</v>
      </c>
      <c r="AA1089" s="54">
        <f t="shared" si="335"/>
        <v>0</v>
      </c>
      <c r="AB1089" s="55">
        <f t="shared" si="325"/>
        <v>0</v>
      </c>
      <c r="AC1089" s="55">
        <f t="shared" si="336"/>
        <v>0</v>
      </c>
      <c r="AD1089" s="56">
        <f t="shared" si="337"/>
        <v>8042.96</v>
      </c>
    </row>
    <row r="1090" spans="3:30">
      <c r="C1090" s="43" t="s">
        <v>1985</v>
      </c>
      <c r="D1090" s="44" t="s">
        <v>1986</v>
      </c>
      <c r="E1090" s="44"/>
      <c r="F1090" s="45">
        <v>41901.598761574074</v>
      </c>
      <c r="G1090" s="46">
        <v>48</v>
      </c>
      <c r="H1090" s="47">
        <v>43375</v>
      </c>
      <c r="I1090" s="47">
        <v>43393</v>
      </c>
      <c r="J1090" s="46">
        <v>343567</v>
      </c>
      <c r="K1090" s="46">
        <v>0</v>
      </c>
      <c r="L1090" s="46">
        <v>0</v>
      </c>
      <c r="M1090" s="46">
        <f t="shared" si="326"/>
        <v>343567</v>
      </c>
      <c r="N1090" s="46">
        <v>346063</v>
      </c>
      <c r="O1090" s="48">
        <f t="shared" si="327"/>
        <v>7.2125595628541594E-3</v>
      </c>
      <c r="P1090" s="46">
        <v>0</v>
      </c>
      <c r="Q1090" s="46">
        <v>343567</v>
      </c>
      <c r="R1090" s="49">
        <f t="shared" si="328"/>
        <v>1</v>
      </c>
      <c r="S1090" s="50">
        <f t="shared" si="329"/>
        <v>0.01</v>
      </c>
      <c r="T1090" s="49">
        <f t="shared" si="330"/>
        <v>3435.67</v>
      </c>
      <c r="U1090" s="51">
        <f t="shared" si="331"/>
        <v>0</v>
      </c>
      <c r="V1090" s="52">
        <f>IF(0&lt;0.8,0,IF(0&lt;1,Sheet3!L561,1))*IF(G1090&lt;3,0.12 - O1090,0.01) *U1090</f>
        <v>0</v>
      </c>
      <c r="W1090" s="52">
        <f t="shared" si="332"/>
        <v>0</v>
      </c>
      <c r="X1090" s="53">
        <f t="shared" si="333"/>
        <v>0</v>
      </c>
      <c r="Y1090" s="53">
        <f t="shared" si="334"/>
        <v>0</v>
      </c>
      <c r="Z1090" s="54">
        <f t="shared" si="338"/>
        <v>0</v>
      </c>
      <c r="AA1090" s="54">
        <f t="shared" si="335"/>
        <v>0</v>
      </c>
      <c r="AB1090" s="55">
        <f t="shared" si="325"/>
        <v>0</v>
      </c>
      <c r="AC1090" s="55">
        <f t="shared" si="336"/>
        <v>0</v>
      </c>
      <c r="AD1090" s="56">
        <f t="shared" si="337"/>
        <v>3435.67</v>
      </c>
    </row>
    <row r="1091" spans="3:30">
      <c r="C1091" s="43" t="s">
        <v>1987</v>
      </c>
      <c r="D1091" s="44" t="s">
        <v>1988</v>
      </c>
      <c r="E1091" s="44"/>
      <c r="F1091" s="45">
        <v>41905.647372685184</v>
      </c>
      <c r="G1091" s="46">
        <v>48</v>
      </c>
      <c r="H1091" s="47">
        <v>43381</v>
      </c>
      <c r="I1091" s="47">
        <v>43398</v>
      </c>
      <c r="J1091" s="46">
        <v>2521231</v>
      </c>
      <c r="K1091" s="46">
        <v>0</v>
      </c>
      <c r="L1091" s="46">
        <v>0</v>
      </c>
      <c r="M1091" s="46">
        <f t="shared" si="326"/>
        <v>2521231</v>
      </c>
      <c r="N1091" s="46">
        <v>2521231</v>
      </c>
      <c r="O1091" s="48">
        <f t="shared" si="327"/>
        <v>0</v>
      </c>
      <c r="P1091" s="46">
        <v>0</v>
      </c>
      <c r="Q1091" s="46">
        <v>2521231</v>
      </c>
      <c r="R1091" s="49">
        <f t="shared" si="328"/>
        <v>1</v>
      </c>
      <c r="S1091" s="50">
        <f t="shared" si="329"/>
        <v>0.01</v>
      </c>
      <c r="T1091" s="49">
        <f t="shared" si="330"/>
        <v>25212.31</v>
      </c>
      <c r="U1091" s="51">
        <f t="shared" si="331"/>
        <v>0</v>
      </c>
      <c r="V1091" s="52">
        <f>IF(0&lt;0.8,0,IF(0&lt;1,Sheet3!L561,1))*IF(G1091&lt;3,0.12 - O1091,0.01) *U1091</f>
        <v>0</v>
      </c>
      <c r="W1091" s="52">
        <f t="shared" si="332"/>
        <v>0</v>
      </c>
      <c r="X1091" s="53">
        <f t="shared" si="333"/>
        <v>0</v>
      </c>
      <c r="Y1091" s="53">
        <f t="shared" si="334"/>
        <v>0</v>
      </c>
      <c r="Z1091" s="54">
        <f t="shared" si="338"/>
        <v>0</v>
      </c>
      <c r="AA1091" s="54">
        <f t="shared" si="335"/>
        <v>0</v>
      </c>
      <c r="AB1091" s="55">
        <f t="shared" si="325"/>
        <v>0</v>
      </c>
      <c r="AC1091" s="55">
        <f t="shared" si="336"/>
        <v>0</v>
      </c>
      <c r="AD1091" s="56">
        <f t="shared" si="337"/>
        <v>25212.31</v>
      </c>
    </row>
    <row r="1092" spans="3:30">
      <c r="C1092" s="43" t="s">
        <v>1989</v>
      </c>
      <c r="D1092" s="44" t="s">
        <v>1990</v>
      </c>
      <c r="E1092" s="44"/>
      <c r="F1092" s="45">
        <v>41905.664201388885</v>
      </c>
      <c r="G1092" s="46">
        <v>48</v>
      </c>
      <c r="H1092" s="47">
        <v>43381</v>
      </c>
      <c r="I1092" s="47">
        <v>43398</v>
      </c>
      <c r="J1092" s="46">
        <v>2360600</v>
      </c>
      <c r="K1092" s="46">
        <v>0</v>
      </c>
      <c r="L1092" s="46">
        <v>0</v>
      </c>
      <c r="M1092" s="46">
        <f t="shared" si="326"/>
        <v>2360600</v>
      </c>
      <c r="N1092" s="46">
        <v>2360600</v>
      </c>
      <c r="O1092" s="48">
        <f t="shared" si="327"/>
        <v>0</v>
      </c>
      <c r="P1092" s="46">
        <v>0</v>
      </c>
      <c r="Q1092" s="46">
        <v>2360600</v>
      </c>
      <c r="R1092" s="49">
        <f t="shared" si="328"/>
        <v>1</v>
      </c>
      <c r="S1092" s="50">
        <f t="shared" si="329"/>
        <v>0.01</v>
      </c>
      <c r="T1092" s="49">
        <f t="shared" si="330"/>
        <v>23606</v>
      </c>
      <c r="U1092" s="51">
        <f t="shared" si="331"/>
        <v>0</v>
      </c>
      <c r="V1092" s="52">
        <f>IF(0&lt;0.8,0,IF(0&lt;1,Sheet3!L561,1))*IF(G1092&lt;3,0.12 - O1092,0.01) *U1092</f>
        <v>0</v>
      </c>
      <c r="W1092" s="52">
        <f t="shared" si="332"/>
        <v>0</v>
      </c>
      <c r="X1092" s="53">
        <f t="shared" si="333"/>
        <v>0</v>
      </c>
      <c r="Y1092" s="53">
        <f t="shared" si="334"/>
        <v>0</v>
      </c>
      <c r="Z1092" s="54">
        <f t="shared" si="338"/>
        <v>0</v>
      </c>
      <c r="AA1092" s="54">
        <f t="shared" si="335"/>
        <v>0</v>
      </c>
      <c r="AB1092" s="55">
        <f t="shared" si="325"/>
        <v>0</v>
      </c>
      <c r="AC1092" s="55">
        <f t="shared" si="336"/>
        <v>0</v>
      </c>
      <c r="AD1092" s="56">
        <f t="shared" si="337"/>
        <v>23606</v>
      </c>
    </row>
    <row r="1093" spans="3:30">
      <c r="C1093" s="43" t="s">
        <v>1991</v>
      </c>
      <c r="D1093" s="44" t="s">
        <v>1992</v>
      </c>
      <c r="E1093" s="44"/>
      <c r="F1093" s="45">
        <v>41907.677870370368</v>
      </c>
      <c r="G1093" s="46">
        <v>48</v>
      </c>
      <c r="H1093" s="47">
        <v>43372</v>
      </c>
      <c r="I1093" s="47">
        <v>43434</v>
      </c>
      <c r="J1093" s="46">
        <v>610755</v>
      </c>
      <c r="K1093" s="46">
        <v>0</v>
      </c>
      <c r="L1093" s="46">
        <v>0</v>
      </c>
      <c r="M1093" s="46">
        <f t="shared" si="326"/>
        <v>610755</v>
      </c>
      <c r="N1093" s="46">
        <v>610755</v>
      </c>
      <c r="O1093" s="48">
        <f t="shared" si="327"/>
        <v>0</v>
      </c>
      <c r="P1093" s="46">
        <v>0</v>
      </c>
      <c r="Q1093" s="46">
        <v>610755</v>
      </c>
      <c r="R1093" s="49">
        <f t="shared" si="328"/>
        <v>1</v>
      </c>
      <c r="S1093" s="50">
        <f t="shared" si="329"/>
        <v>0.01</v>
      </c>
      <c r="T1093" s="49">
        <f t="shared" si="330"/>
        <v>6107.55</v>
      </c>
      <c r="U1093" s="51">
        <f t="shared" si="331"/>
        <v>0</v>
      </c>
      <c r="V1093" s="52">
        <f>IF(0&lt;0.8,0,IF(0&lt;1,Sheet3!L561,1))*IF(G1093&lt;3,0.12 - O1093,0.01) *U1093</f>
        <v>0</v>
      </c>
      <c r="W1093" s="52">
        <f t="shared" si="332"/>
        <v>0</v>
      </c>
      <c r="X1093" s="53">
        <f t="shared" si="333"/>
        <v>0</v>
      </c>
      <c r="Y1093" s="53">
        <f t="shared" si="334"/>
        <v>0</v>
      </c>
      <c r="Z1093" s="54">
        <f t="shared" si="338"/>
        <v>0</v>
      </c>
      <c r="AA1093" s="54">
        <f t="shared" si="335"/>
        <v>0</v>
      </c>
      <c r="AB1093" s="55">
        <f t="shared" si="325"/>
        <v>0</v>
      </c>
      <c r="AC1093" s="55">
        <f t="shared" si="336"/>
        <v>0</v>
      </c>
      <c r="AD1093" s="56">
        <f t="shared" si="337"/>
        <v>6107.55</v>
      </c>
    </row>
    <row r="1094" spans="3:30">
      <c r="C1094" s="43" t="s">
        <v>1993</v>
      </c>
      <c r="D1094" s="44" t="s">
        <v>1994</v>
      </c>
      <c r="E1094" s="44"/>
      <c r="F1094" s="45">
        <v>41914.613749999997</v>
      </c>
      <c r="G1094" s="46">
        <v>47</v>
      </c>
      <c r="H1094" s="47">
        <v>43381</v>
      </c>
      <c r="I1094" s="47">
        <v>43430</v>
      </c>
      <c r="J1094" s="46">
        <v>260283</v>
      </c>
      <c r="K1094" s="46">
        <v>0</v>
      </c>
      <c r="L1094" s="46">
        <v>0</v>
      </c>
      <c r="M1094" s="46">
        <f t="shared" si="326"/>
        <v>260283</v>
      </c>
      <c r="N1094" s="46">
        <v>260283</v>
      </c>
      <c r="O1094" s="48">
        <f t="shared" si="327"/>
        <v>0</v>
      </c>
      <c r="P1094" s="46">
        <v>0</v>
      </c>
      <c r="Q1094" s="46">
        <v>260283</v>
      </c>
      <c r="R1094" s="49">
        <f t="shared" si="328"/>
        <v>1</v>
      </c>
      <c r="S1094" s="50">
        <f t="shared" si="329"/>
        <v>0.01</v>
      </c>
      <c r="T1094" s="49">
        <f t="shared" si="330"/>
        <v>2602.83</v>
      </c>
      <c r="U1094" s="51">
        <f t="shared" si="331"/>
        <v>0</v>
      </c>
      <c r="V1094" s="52">
        <f>IF(0&lt;0.8,0,IF(0&lt;1,Sheet3!L561,1))*IF(G1094&lt;3,0.12 - O1094,0.01) *U1094</f>
        <v>0</v>
      </c>
      <c r="W1094" s="52">
        <f t="shared" si="332"/>
        <v>0</v>
      </c>
      <c r="X1094" s="53">
        <f t="shared" si="333"/>
        <v>0</v>
      </c>
      <c r="Y1094" s="53">
        <f t="shared" si="334"/>
        <v>0</v>
      </c>
      <c r="Z1094" s="54">
        <f t="shared" si="338"/>
        <v>0</v>
      </c>
      <c r="AA1094" s="54">
        <f t="shared" si="335"/>
        <v>0</v>
      </c>
      <c r="AB1094" s="55">
        <f t="shared" si="325"/>
        <v>0</v>
      </c>
      <c r="AC1094" s="55">
        <f t="shared" si="336"/>
        <v>0</v>
      </c>
      <c r="AD1094" s="56">
        <f t="shared" si="337"/>
        <v>2602.83</v>
      </c>
    </row>
    <row r="1095" spans="3:30">
      <c r="C1095" s="43" t="s">
        <v>1995</v>
      </c>
      <c r="D1095" s="44" t="s">
        <v>1996</v>
      </c>
      <c r="E1095" s="44"/>
      <c r="F1095" s="45">
        <v>41920.683807870366</v>
      </c>
      <c r="G1095" s="46">
        <v>47</v>
      </c>
      <c r="H1095" s="47">
        <v>43381</v>
      </c>
      <c r="I1095" s="47">
        <v>43409</v>
      </c>
      <c r="J1095" s="46">
        <v>1191257</v>
      </c>
      <c r="K1095" s="46">
        <v>0</v>
      </c>
      <c r="L1095" s="46">
        <v>0</v>
      </c>
      <c r="M1095" s="46">
        <f t="shared" si="326"/>
        <v>1191257</v>
      </c>
      <c r="N1095" s="46">
        <v>1191257</v>
      </c>
      <c r="O1095" s="48">
        <f t="shared" si="327"/>
        <v>0</v>
      </c>
      <c r="P1095" s="46">
        <v>0</v>
      </c>
      <c r="Q1095" s="46">
        <v>1191257</v>
      </c>
      <c r="R1095" s="49">
        <f t="shared" si="328"/>
        <v>1</v>
      </c>
      <c r="S1095" s="50">
        <f t="shared" si="329"/>
        <v>0.01</v>
      </c>
      <c r="T1095" s="49">
        <f t="shared" si="330"/>
        <v>11912.57</v>
      </c>
      <c r="U1095" s="51">
        <f t="shared" si="331"/>
        <v>0</v>
      </c>
      <c r="V1095" s="52">
        <f>IF(0&lt;0.8,0,IF(0&lt;1,Sheet3!L561,1))*IF(G1095&lt;3,0.12 - O1095,0.01) *U1095</f>
        <v>0</v>
      </c>
      <c r="W1095" s="52">
        <f t="shared" si="332"/>
        <v>0</v>
      </c>
      <c r="X1095" s="53">
        <f t="shared" si="333"/>
        <v>0</v>
      </c>
      <c r="Y1095" s="53">
        <f t="shared" si="334"/>
        <v>0</v>
      </c>
      <c r="Z1095" s="54">
        <f t="shared" si="338"/>
        <v>0</v>
      </c>
      <c r="AA1095" s="54">
        <f t="shared" si="335"/>
        <v>0</v>
      </c>
      <c r="AB1095" s="55">
        <f t="shared" ref="AB1095:AB1158" si="339">IF(R1095=0,0,0)</f>
        <v>0</v>
      </c>
      <c r="AC1095" s="55">
        <f t="shared" si="336"/>
        <v>0</v>
      </c>
      <c r="AD1095" s="56">
        <f t="shared" si="337"/>
        <v>11912.57</v>
      </c>
    </row>
    <row r="1096" spans="3:30">
      <c r="C1096" s="43" t="s">
        <v>1997</v>
      </c>
      <c r="D1096" s="44" t="s">
        <v>1998</v>
      </c>
      <c r="E1096" s="44"/>
      <c r="F1096" s="45">
        <v>41933.617048611108</v>
      </c>
      <c r="G1096" s="46">
        <v>47</v>
      </c>
      <c r="H1096" s="47">
        <v>43381</v>
      </c>
      <c r="I1096" s="47">
        <v>43397</v>
      </c>
      <c r="J1096" s="46">
        <v>780113</v>
      </c>
      <c r="K1096" s="46">
        <v>0</v>
      </c>
      <c r="L1096" s="46">
        <v>0</v>
      </c>
      <c r="M1096" s="46">
        <f t="shared" si="326"/>
        <v>780113</v>
      </c>
      <c r="N1096" s="46">
        <v>780113</v>
      </c>
      <c r="O1096" s="48">
        <f t="shared" si="327"/>
        <v>0</v>
      </c>
      <c r="P1096" s="46">
        <v>0</v>
      </c>
      <c r="Q1096" s="46">
        <v>780113</v>
      </c>
      <c r="R1096" s="49">
        <f t="shared" si="328"/>
        <v>1</v>
      </c>
      <c r="S1096" s="50">
        <f t="shared" si="329"/>
        <v>0.01</v>
      </c>
      <c r="T1096" s="49">
        <f t="shared" si="330"/>
        <v>7801.13</v>
      </c>
      <c r="U1096" s="51">
        <f t="shared" si="331"/>
        <v>0</v>
      </c>
      <c r="V1096" s="52">
        <f>IF(0&lt;0.8,0,IF(0&lt;1,Sheet3!L561,1))*IF(G1096&lt;3,0.12 - O1096,0.01) *U1096</f>
        <v>0</v>
      </c>
      <c r="W1096" s="52">
        <f t="shared" si="332"/>
        <v>0</v>
      </c>
      <c r="X1096" s="53">
        <f t="shared" si="333"/>
        <v>0</v>
      </c>
      <c r="Y1096" s="53">
        <f t="shared" si="334"/>
        <v>0</v>
      </c>
      <c r="Z1096" s="54">
        <f t="shared" si="338"/>
        <v>0</v>
      </c>
      <c r="AA1096" s="54">
        <f t="shared" si="335"/>
        <v>0</v>
      </c>
      <c r="AB1096" s="55">
        <f t="shared" si="339"/>
        <v>0</v>
      </c>
      <c r="AC1096" s="55">
        <f t="shared" si="336"/>
        <v>0</v>
      </c>
      <c r="AD1096" s="56">
        <f t="shared" si="337"/>
        <v>7801.13</v>
      </c>
    </row>
    <row r="1097" spans="3:30">
      <c r="C1097" s="43" t="s">
        <v>1999</v>
      </c>
      <c r="D1097" s="44" t="s">
        <v>2000</v>
      </c>
      <c r="E1097" s="44"/>
      <c r="F1097" s="45">
        <v>41940.591446759259</v>
      </c>
      <c r="G1097" s="46">
        <v>47</v>
      </c>
      <c r="H1097" s="47">
        <v>43381</v>
      </c>
      <c r="I1097" s="47">
        <v>43397</v>
      </c>
      <c r="J1097" s="46">
        <v>988478</v>
      </c>
      <c r="K1097" s="46">
        <v>0</v>
      </c>
      <c r="L1097" s="46">
        <v>0</v>
      </c>
      <c r="M1097" s="46">
        <f t="shared" si="326"/>
        <v>988478</v>
      </c>
      <c r="N1097" s="46">
        <v>988478</v>
      </c>
      <c r="O1097" s="48">
        <f t="shared" si="327"/>
        <v>0</v>
      </c>
      <c r="P1097" s="46">
        <v>0</v>
      </c>
      <c r="Q1097" s="46">
        <v>988478</v>
      </c>
      <c r="R1097" s="49">
        <f t="shared" si="328"/>
        <v>1</v>
      </c>
      <c r="S1097" s="50">
        <f t="shared" si="329"/>
        <v>0.01</v>
      </c>
      <c r="T1097" s="49">
        <f t="shared" si="330"/>
        <v>9884.7800000000007</v>
      </c>
      <c r="U1097" s="51">
        <f t="shared" si="331"/>
        <v>0</v>
      </c>
      <c r="V1097" s="52">
        <f>IF(0&lt;0.8,0,IF(0&lt;1,Sheet3!L561,1))*IF(G1097&lt;3,0.12 - O1097,0.01) *U1097</f>
        <v>0</v>
      </c>
      <c r="W1097" s="52">
        <f t="shared" si="332"/>
        <v>0</v>
      </c>
      <c r="X1097" s="53">
        <f t="shared" si="333"/>
        <v>0</v>
      </c>
      <c r="Y1097" s="53">
        <f t="shared" si="334"/>
        <v>0</v>
      </c>
      <c r="Z1097" s="54">
        <f t="shared" si="338"/>
        <v>0</v>
      </c>
      <c r="AA1097" s="54">
        <f t="shared" si="335"/>
        <v>0</v>
      </c>
      <c r="AB1097" s="55">
        <f t="shared" si="339"/>
        <v>0</v>
      </c>
      <c r="AC1097" s="55">
        <f t="shared" si="336"/>
        <v>0</v>
      </c>
      <c r="AD1097" s="56">
        <f t="shared" si="337"/>
        <v>9884.7800000000007</v>
      </c>
    </row>
    <row r="1098" spans="3:30">
      <c r="C1098" s="43" t="s">
        <v>2001</v>
      </c>
      <c r="D1098" s="44" t="s">
        <v>2002</v>
      </c>
      <c r="E1098" s="44"/>
      <c r="F1098" s="45">
        <v>41942.377453703702</v>
      </c>
      <c r="G1098" s="46">
        <v>47</v>
      </c>
      <c r="H1098" s="47">
        <v>43376</v>
      </c>
      <c r="I1098" s="47">
        <v>43271</v>
      </c>
      <c r="J1098" s="46">
        <v>696108</v>
      </c>
      <c r="K1098" s="46">
        <v>0</v>
      </c>
      <c r="L1098" s="46">
        <v>0</v>
      </c>
      <c r="M1098" s="46">
        <f t="shared" si="326"/>
        <v>696108</v>
      </c>
      <c r="N1098" s="46">
        <v>696108</v>
      </c>
      <c r="O1098" s="48">
        <f t="shared" si="327"/>
        <v>0</v>
      </c>
      <c r="P1098" s="46">
        <v>0</v>
      </c>
      <c r="Q1098" s="46">
        <v>696108</v>
      </c>
      <c r="R1098" s="49">
        <f t="shared" si="328"/>
        <v>1</v>
      </c>
      <c r="S1098" s="50">
        <f t="shared" si="329"/>
        <v>0.01</v>
      </c>
      <c r="T1098" s="49">
        <f t="shared" si="330"/>
        <v>6961.08</v>
      </c>
      <c r="U1098" s="51">
        <f t="shared" si="331"/>
        <v>0</v>
      </c>
      <c r="V1098" s="52">
        <f>IF(0&lt;0.8,0,IF(0&lt;1,Sheet3!L561,1))*IF(G1098&lt;3,0.12 - O1098,0.01) *U1098</f>
        <v>0</v>
      </c>
      <c r="W1098" s="52">
        <f t="shared" si="332"/>
        <v>0</v>
      </c>
      <c r="X1098" s="53">
        <f t="shared" si="333"/>
        <v>0</v>
      </c>
      <c r="Y1098" s="53">
        <f t="shared" si="334"/>
        <v>0</v>
      </c>
      <c r="Z1098" s="54">
        <f t="shared" si="338"/>
        <v>0</v>
      </c>
      <c r="AA1098" s="54">
        <f t="shared" si="335"/>
        <v>0</v>
      </c>
      <c r="AB1098" s="55">
        <f t="shared" si="339"/>
        <v>0</v>
      </c>
      <c r="AC1098" s="55">
        <f t="shared" si="336"/>
        <v>0</v>
      </c>
      <c r="AD1098" s="56">
        <f t="shared" si="337"/>
        <v>6961.08</v>
      </c>
    </row>
    <row r="1099" spans="3:30">
      <c r="C1099" s="43" t="s">
        <v>2003</v>
      </c>
      <c r="D1099" s="44" t="s">
        <v>2004</v>
      </c>
      <c r="E1099" s="44"/>
      <c r="F1099" s="45">
        <v>41947.472581018519</v>
      </c>
      <c r="G1099" s="46">
        <v>46</v>
      </c>
      <c r="H1099" s="47">
        <v>43375</v>
      </c>
      <c r="I1099" s="47">
        <v>43393</v>
      </c>
      <c r="J1099" s="46">
        <v>1180780</v>
      </c>
      <c r="K1099" s="46">
        <v>0</v>
      </c>
      <c r="L1099" s="46">
        <v>0</v>
      </c>
      <c r="M1099" s="46">
        <f t="shared" si="326"/>
        <v>1180780</v>
      </c>
      <c r="N1099" s="46">
        <v>1180780</v>
      </c>
      <c r="O1099" s="48">
        <f t="shared" si="327"/>
        <v>0</v>
      </c>
      <c r="P1099" s="46">
        <v>0</v>
      </c>
      <c r="Q1099" s="46">
        <v>1180780</v>
      </c>
      <c r="R1099" s="49">
        <f t="shared" si="328"/>
        <v>1</v>
      </c>
      <c r="S1099" s="50">
        <f t="shared" si="329"/>
        <v>0.01</v>
      </c>
      <c r="T1099" s="49">
        <f t="shared" si="330"/>
        <v>11807.800000000001</v>
      </c>
      <c r="U1099" s="51">
        <f t="shared" si="331"/>
        <v>0</v>
      </c>
      <c r="V1099" s="52">
        <f>IF(0&lt;0.8,0,IF(0&lt;1,Sheet3!L561,1))*IF(G1099&lt;3,0.12 - O1099,0.01) *U1099</f>
        <v>0</v>
      </c>
      <c r="W1099" s="52">
        <f t="shared" si="332"/>
        <v>0</v>
      </c>
      <c r="X1099" s="53">
        <f t="shared" si="333"/>
        <v>0</v>
      </c>
      <c r="Y1099" s="53">
        <f t="shared" si="334"/>
        <v>0</v>
      </c>
      <c r="Z1099" s="54">
        <f t="shared" si="338"/>
        <v>0</v>
      </c>
      <c r="AA1099" s="54">
        <f t="shared" si="335"/>
        <v>0</v>
      </c>
      <c r="AB1099" s="55">
        <f t="shared" si="339"/>
        <v>0</v>
      </c>
      <c r="AC1099" s="55">
        <f t="shared" si="336"/>
        <v>0</v>
      </c>
      <c r="AD1099" s="56">
        <f t="shared" si="337"/>
        <v>11807.800000000001</v>
      </c>
    </row>
    <row r="1100" spans="3:30">
      <c r="C1100" s="43" t="s">
        <v>2005</v>
      </c>
      <c r="D1100" s="44" t="s">
        <v>2006</v>
      </c>
      <c r="E1100" s="44"/>
      <c r="F1100" s="45">
        <v>41951.435624999998</v>
      </c>
      <c r="G1100" s="46">
        <v>46</v>
      </c>
      <c r="H1100" s="47" t="s">
        <v>24</v>
      </c>
      <c r="I1100" s="47" t="s">
        <v>24</v>
      </c>
      <c r="J1100" s="46">
        <v>1739515</v>
      </c>
      <c r="K1100" s="46">
        <v>0</v>
      </c>
      <c r="L1100" s="46">
        <v>0</v>
      </c>
      <c r="M1100" s="46">
        <f t="shared" si="326"/>
        <v>1739515</v>
      </c>
      <c r="N1100" s="46">
        <v>1739515</v>
      </c>
      <c r="O1100" s="48">
        <f t="shared" si="327"/>
        <v>0</v>
      </c>
      <c r="P1100" s="46">
        <v>0</v>
      </c>
      <c r="Q1100" s="46">
        <v>1739515</v>
      </c>
      <c r="R1100" s="49">
        <f t="shared" si="328"/>
        <v>1</v>
      </c>
      <c r="S1100" s="50">
        <f t="shared" si="329"/>
        <v>0.01</v>
      </c>
      <c r="T1100" s="49">
        <f t="shared" si="330"/>
        <v>17395.150000000001</v>
      </c>
      <c r="U1100" s="51">
        <f t="shared" si="331"/>
        <v>0</v>
      </c>
      <c r="V1100" s="52">
        <f>IF(0&lt;0.8,0,IF(0&lt;1,Sheet3!L561,1))*IF(G1100&lt;3,0.12 - O1100,0.01) *U1100</f>
        <v>0</v>
      </c>
      <c r="W1100" s="52">
        <f t="shared" si="332"/>
        <v>0</v>
      </c>
      <c r="X1100" s="53">
        <f t="shared" si="333"/>
        <v>0</v>
      </c>
      <c r="Y1100" s="53">
        <f t="shared" si="334"/>
        <v>0</v>
      </c>
      <c r="Z1100" s="54">
        <f t="shared" si="338"/>
        <v>0</v>
      </c>
      <c r="AA1100" s="54">
        <f t="shared" si="335"/>
        <v>0</v>
      </c>
      <c r="AB1100" s="55">
        <f t="shared" si="339"/>
        <v>0</v>
      </c>
      <c r="AC1100" s="55">
        <f t="shared" si="336"/>
        <v>0</v>
      </c>
      <c r="AD1100" s="56">
        <f t="shared" si="337"/>
        <v>17395.150000000001</v>
      </c>
    </row>
    <row r="1101" spans="3:30">
      <c r="C1101" s="43" t="s">
        <v>2007</v>
      </c>
      <c r="D1101" s="44" t="s">
        <v>2008</v>
      </c>
      <c r="E1101" s="44"/>
      <c r="F1101" s="45">
        <v>41950.631597222222</v>
      </c>
      <c r="G1101" s="46">
        <v>46</v>
      </c>
      <c r="H1101" s="47">
        <v>43382</v>
      </c>
      <c r="I1101" s="47">
        <v>43396</v>
      </c>
      <c r="J1101" s="46">
        <v>384934</v>
      </c>
      <c r="K1101" s="46">
        <v>0</v>
      </c>
      <c r="L1101" s="46">
        <v>0</v>
      </c>
      <c r="M1101" s="46">
        <f t="shared" si="326"/>
        <v>384934</v>
      </c>
      <c r="N1101" s="46">
        <v>384934</v>
      </c>
      <c r="O1101" s="48">
        <f t="shared" si="327"/>
        <v>0</v>
      </c>
      <c r="P1101" s="46">
        <v>0</v>
      </c>
      <c r="Q1101" s="46">
        <v>384934</v>
      </c>
      <c r="R1101" s="49">
        <f t="shared" si="328"/>
        <v>1</v>
      </c>
      <c r="S1101" s="50">
        <f t="shared" si="329"/>
        <v>0.01</v>
      </c>
      <c r="T1101" s="49">
        <f t="shared" si="330"/>
        <v>3849.34</v>
      </c>
      <c r="U1101" s="51">
        <f t="shared" si="331"/>
        <v>0</v>
      </c>
      <c r="V1101" s="52">
        <f>IF(0&lt;0.8,0,IF(0&lt;1,Sheet3!L561,1))*IF(G1101&lt;3,0.12 - O1101,0.01) *U1101</f>
        <v>0</v>
      </c>
      <c r="W1101" s="52">
        <f t="shared" si="332"/>
        <v>0</v>
      </c>
      <c r="X1101" s="53">
        <f t="shared" si="333"/>
        <v>0</v>
      </c>
      <c r="Y1101" s="53">
        <f t="shared" si="334"/>
        <v>0</v>
      </c>
      <c r="Z1101" s="54">
        <f t="shared" si="338"/>
        <v>0</v>
      </c>
      <c r="AA1101" s="54">
        <f t="shared" si="335"/>
        <v>0</v>
      </c>
      <c r="AB1101" s="55">
        <f t="shared" si="339"/>
        <v>0</v>
      </c>
      <c r="AC1101" s="55">
        <f t="shared" si="336"/>
        <v>0</v>
      </c>
      <c r="AD1101" s="56">
        <f t="shared" si="337"/>
        <v>3849.34</v>
      </c>
    </row>
    <row r="1102" spans="3:30">
      <c r="C1102" s="43" t="s">
        <v>2009</v>
      </c>
      <c r="D1102" s="44" t="s">
        <v>2010</v>
      </c>
      <c r="E1102" s="44"/>
      <c r="F1102" s="45">
        <v>41950.623668981483</v>
      </c>
      <c r="G1102" s="46">
        <v>46</v>
      </c>
      <c r="H1102" s="47">
        <v>43381</v>
      </c>
      <c r="I1102" s="47">
        <v>43398</v>
      </c>
      <c r="J1102" s="46">
        <v>60727</v>
      </c>
      <c r="K1102" s="46">
        <v>0</v>
      </c>
      <c r="L1102" s="46">
        <v>0</v>
      </c>
      <c r="M1102" s="46">
        <f t="shared" si="326"/>
        <v>60727</v>
      </c>
      <c r="N1102" s="46">
        <v>60727</v>
      </c>
      <c r="O1102" s="48">
        <f t="shared" si="327"/>
        <v>0</v>
      </c>
      <c r="P1102" s="46">
        <v>0</v>
      </c>
      <c r="Q1102" s="46">
        <v>60727</v>
      </c>
      <c r="R1102" s="49">
        <f t="shared" si="328"/>
        <v>1</v>
      </c>
      <c r="S1102" s="50">
        <f t="shared" si="329"/>
        <v>0.01</v>
      </c>
      <c r="T1102" s="49">
        <f t="shared" si="330"/>
        <v>607.27</v>
      </c>
      <c r="U1102" s="51">
        <f t="shared" si="331"/>
        <v>0</v>
      </c>
      <c r="V1102" s="52">
        <f>IF(0&lt;0.8,0,IF(0&lt;1,Sheet3!L561,1))*IF(G1102&lt;3,0.12 - O1102,0.01) *U1102</f>
        <v>0</v>
      </c>
      <c r="W1102" s="52">
        <f t="shared" si="332"/>
        <v>0</v>
      </c>
      <c r="X1102" s="53">
        <f t="shared" si="333"/>
        <v>0</v>
      </c>
      <c r="Y1102" s="53">
        <f t="shared" si="334"/>
        <v>0</v>
      </c>
      <c r="Z1102" s="54">
        <f t="shared" si="338"/>
        <v>0</v>
      </c>
      <c r="AA1102" s="54">
        <f t="shared" si="335"/>
        <v>0</v>
      </c>
      <c r="AB1102" s="55">
        <f t="shared" si="339"/>
        <v>0</v>
      </c>
      <c r="AC1102" s="55">
        <f t="shared" si="336"/>
        <v>0</v>
      </c>
      <c r="AD1102" s="56">
        <f t="shared" si="337"/>
        <v>607.27</v>
      </c>
    </row>
    <row r="1103" spans="3:30">
      <c r="C1103" s="43" t="s">
        <v>2011</v>
      </c>
      <c r="D1103" s="44" t="s">
        <v>2012</v>
      </c>
      <c r="E1103" s="44"/>
      <c r="F1103" s="45">
        <v>41957.601006944446</v>
      </c>
      <c r="G1103" s="46">
        <v>46</v>
      </c>
      <c r="H1103" s="47">
        <v>43376</v>
      </c>
      <c r="I1103" s="47">
        <v>43399</v>
      </c>
      <c r="J1103" s="46">
        <v>298631</v>
      </c>
      <c r="K1103" s="46">
        <v>0</v>
      </c>
      <c r="L1103" s="46">
        <v>0</v>
      </c>
      <c r="M1103" s="46">
        <f t="shared" si="326"/>
        <v>298631</v>
      </c>
      <c r="N1103" s="46">
        <v>298631</v>
      </c>
      <c r="O1103" s="48">
        <f t="shared" si="327"/>
        <v>0</v>
      </c>
      <c r="P1103" s="46">
        <v>0</v>
      </c>
      <c r="Q1103" s="46">
        <v>298631</v>
      </c>
      <c r="R1103" s="49">
        <f t="shared" si="328"/>
        <v>1</v>
      </c>
      <c r="S1103" s="50">
        <f t="shared" si="329"/>
        <v>0.01</v>
      </c>
      <c r="T1103" s="49">
        <f t="shared" si="330"/>
        <v>2986.31</v>
      </c>
      <c r="U1103" s="51">
        <f t="shared" si="331"/>
        <v>0</v>
      </c>
      <c r="V1103" s="52">
        <f>IF(0&lt;0.8,0,IF(0&lt;1,Sheet3!L561,1))*IF(G1103&lt;3,0.12 - O1103,0.01) *U1103</f>
        <v>0</v>
      </c>
      <c r="W1103" s="52">
        <f t="shared" si="332"/>
        <v>0</v>
      </c>
      <c r="X1103" s="53">
        <f t="shared" si="333"/>
        <v>0</v>
      </c>
      <c r="Y1103" s="53">
        <f t="shared" si="334"/>
        <v>0</v>
      </c>
      <c r="Z1103" s="54">
        <f t="shared" si="338"/>
        <v>0</v>
      </c>
      <c r="AA1103" s="54">
        <f t="shared" si="335"/>
        <v>0</v>
      </c>
      <c r="AB1103" s="55">
        <f t="shared" si="339"/>
        <v>0</v>
      </c>
      <c r="AC1103" s="55">
        <f t="shared" si="336"/>
        <v>0</v>
      </c>
      <c r="AD1103" s="56">
        <f t="shared" si="337"/>
        <v>2986.31</v>
      </c>
    </row>
    <row r="1104" spans="3:30">
      <c r="C1104" s="43" t="s">
        <v>2013</v>
      </c>
      <c r="D1104" s="44" t="s">
        <v>2014</v>
      </c>
      <c r="E1104" s="44"/>
      <c r="F1104" s="45">
        <v>41963.389907407407</v>
      </c>
      <c r="G1104" s="46">
        <v>46</v>
      </c>
      <c r="H1104" s="47">
        <v>43381</v>
      </c>
      <c r="I1104" s="47">
        <v>43448</v>
      </c>
      <c r="J1104" s="46">
        <v>31412</v>
      </c>
      <c r="K1104" s="46">
        <v>0</v>
      </c>
      <c r="L1104" s="46">
        <v>0</v>
      </c>
      <c r="M1104" s="46">
        <f t="shared" si="326"/>
        <v>31412</v>
      </c>
      <c r="N1104" s="46">
        <v>31412</v>
      </c>
      <c r="O1104" s="48">
        <f t="shared" si="327"/>
        <v>0</v>
      </c>
      <c r="P1104" s="46">
        <v>0</v>
      </c>
      <c r="Q1104" s="46">
        <v>31412</v>
      </c>
      <c r="R1104" s="49">
        <f t="shared" si="328"/>
        <v>1</v>
      </c>
      <c r="S1104" s="50">
        <f t="shared" si="329"/>
        <v>0.01</v>
      </c>
      <c r="T1104" s="49">
        <f t="shared" si="330"/>
        <v>314.12</v>
      </c>
      <c r="U1104" s="51">
        <f t="shared" si="331"/>
        <v>0</v>
      </c>
      <c r="V1104" s="52">
        <f>IF(0&lt;0.8,0,IF(0&lt;1,Sheet3!L561,1))*IF(G1104&lt;3,0.12 - O1104,0.01) *U1104</f>
        <v>0</v>
      </c>
      <c r="W1104" s="52">
        <f t="shared" si="332"/>
        <v>0</v>
      </c>
      <c r="X1104" s="53">
        <f t="shared" si="333"/>
        <v>0</v>
      </c>
      <c r="Y1104" s="53">
        <f t="shared" si="334"/>
        <v>0</v>
      </c>
      <c r="Z1104" s="54">
        <f t="shared" si="338"/>
        <v>0</v>
      </c>
      <c r="AA1104" s="54">
        <f t="shared" si="335"/>
        <v>0</v>
      </c>
      <c r="AB1104" s="55">
        <f t="shared" si="339"/>
        <v>0</v>
      </c>
      <c r="AC1104" s="55">
        <f t="shared" si="336"/>
        <v>0</v>
      </c>
      <c r="AD1104" s="56">
        <f t="shared" si="337"/>
        <v>314.12</v>
      </c>
    </row>
    <row r="1105" spans="3:30">
      <c r="C1105" s="43" t="s">
        <v>2015</v>
      </c>
      <c r="D1105" s="44" t="s">
        <v>2016</v>
      </c>
      <c r="E1105" s="44"/>
      <c r="F1105" s="45">
        <v>41970.457233796296</v>
      </c>
      <c r="G1105" s="46">
        <v>46</v>
      </c>
      <c r="H1105" s="47">
        <v>43400</v>
      </c>
      <c r="I1105" s="47">
        <v>43469</v>
      </c>
      <c r="J1105" s="46">
        <v>93965603</v>
      </c>
      <c r="K1105" s="46">
        <v>0</v>
      </c>
      <c r="L1105" s="46">
        <v>0</v>
      </c>
      <c r="M1105" s="46">
        <f t="shared" si="326"/>
        <v>93965603</v>
      </c>
      <c r="N1105" s="46">
        <v>203853757</v>
      </c>
      <c r="O1105" s="48">
        <f t="shared" si="327"/>
        <v>0.53905385712366338</v>
      </c>
      <c r="P1105" s="46">
        <v>0</v>
      </c>
      <c r="Q1105" s="46">
        <v>110278870</v>
      </c>
      <c r="R1105" s="49">
        <f t="shared" si="328"/>
        <v>1</v>
      </c>
      <c r="S1105" s="50">
        <f t="shared" si="329"/>
        <v>0.01</v>
      </c>
      <c r="T1105" s="49">
        <f t="shared" si="330"/>
        <v>939656.03</v>
      </c>
      <c r="U1105" s="51">
        <f t="shared" si="331"/>
        <v>0</v>
      </c>
      <c r="V1105" s="52">
        <f>IF(0&lt;0.8,0,IF(0&lt;1,Sheet3!L561,1))*IF(G1105&lt;3,0.12 - O1105,0.01) *U1105</f>
        <v>0</v>
      </c>
      <c r="W1105" s="52">
        <f t="shared" si="332"/>
        <v>0</v>
      </c>
      <c r="X1105" s="53">
        <f t="shared" si="333"/>
        <v>0</v>
      </c>
      <c r="Y1105" s="53">
        <f t="shared" si="334"/>
        <v>0</v>
      </c>
      <c r="Z1105" s="54">
        <f t="shared" si="338"/>
        <v>0</v>
      </c>
      <c r="AA1105" s="54">
        <f t="shared" si="335"/>
        <v>0</v>
      </c>
      <c r="AB1105" s="55">
        <f t="shared" si="339"/>
        <v>0</v>
      </c>
      <c r="AC1105" s="55">
        <f t="shared" si="336"/>
        <v>0</v>
      </c>
      <c r="AD1105" s="56">
        <f t="shared" si="337"/>
        <v>939656.03</v>
      </c>
    </row>
    <row r="1106" spans="3:30">
      <c r="C1106" s="43" t="s">
        <v>2017</v>
      </c>
      <c r="D1106" s="44" t="s">
        <v>2018</v>
      </c>
      <c r="E1106" s="44"/>
      <c r="F1106" s="45">
        <v>41978.662604166668</v>
      </c>
      <c r="G1106" s="46">
        <v>45</v>
      </c>
      <c r="H1106" s="47">
        <v>43381</v>
      </c>
      <c r="I1106" s="47">
        <v>43400</v>
      </c>
      <c r="J1106" s="46">
        <v>297004</v>
      </c>
      <c r="K1106" s="46">
        <v>0</v>
      </c>
      <c r="L1106" s="46">
        <v>0</v>
      </c>
      <c r="M1106" s="46">
        <f t="shared" si="326"/>
        <v>297004</v>
      </c>
      <c r="N1106" s="46">
        <v>297004</v>
      </c>
      <c r="O1106" s="48">
        <f t="shared" si="327"/>
        <v>0</v>
      </c>
      <c r="P1106" s="46">
        <v>0</v>
      </c>
      <c r="Q1106" s="46">
        <v>297004</v>
      </c>
      <c r="R1106" s="49">
        <f t="shared" si="328"/>
        <v>1</v>
      </c>
      <c r="S1106" s="50">
        <f t="shared" si="329"/>
        <v>0.01</v>
      </c>
      <c r="T1106" s="49">
        <f t="shared" si="330"/>
        <v>2970.04</v>
      </c>
      <c r="U1106" s="51">
        <f t="shared" si="331"/>
        <v>0</v>
      </c>
      <c r="V1106" s="52">
        <f>IF(0&lt;0.8,0,IF(0&lt;1,Sheet3!L561,1))*IF(G1106&lt;3,0.12 - O1106,0.01) *U1106</f>
        <v>0</v>
      </c>
      <c r="W1106" s="52">
        <f t="shared" si="332"/>
        <v>0</v>
      </c>
      <c r="X1106" s="53">
        <f t="shared" si="333"/>
        <v>0</v>
      </c>
      <c r="Y1106" s="53">
        <f t="shared" si="334"/>
        <v>0</v>
      </c>
      <c r="Z1106" s="54">
        <f t="shared" si="338"/>
        <v>0</v>
      </c>
      <c r="AA1106" s="54">
        <f t="shared" si="335"/>
        <v>0</v>
      </c>
      <c r="AB1106" s="55">
        <f t="shared" si="339"/>
        <v>0</v>
      </c>
      <c r="AC1106" s="55">
        <f t="shared" si="336"/>
        <v>0</v>
      </c>
      <c r="AD1106" s="56">
        <f t="shared" si="337"/>
        <v>2970.04</v>
      </c>
    </row>
    <row r="1107" spans="3:30">
      <c r="C1107" s="43" t="s">
        <v>2019</v>
      </c>
      <c r="D1107" s="44" t="s">
        <v>2020</v>
      </c>
      <c r="E1107" s="44"/>
      <c r="F1107" s="45">
        <v>41991.451944444445</v>
      </c>
      <c r="G1107" s="46">
        <v>45</v>
      </c>
      <c r="H1107" s="47">
        <v>43381</v>
      </c>
      <c r="I1107" s="47">
        <v>43391</v>
      </c>
      <c r="J1107" s="46">
        <v>888911</v>
      </c>
      <c r="K1107" s="46">
        <v>0</v>
      </c>
      <c r="L1107" s="46">
        <v>0</v>
      </c>
      <c r="M1107" s="46">
        <f t="shared" si="326"/>
        <v>888911</v>
      </c>
      <c r="N1107" s="46">
        <v>888911</v>
      </c>
      <c r="O1107" s="48">
        <f t="shared" si="327"/>
        <v>0</v>
      </c>
      <c r="P1107" s="46">
        <v>0</v>
      </c>
      <c r="Q1107" s="46">
        <v>888911</v>
      </c>
      <c r="R1107" s="49">
        <f t="shared" si="328"/>
        <v>1</v>
      </c>
      <c r="S1107" s="50">
        <f t="shared" si="329"/>
        <v>0.01</v>
      </c>
      <c r="T1107" s="49">
        <f t="shared" si="330"/>
        <v>8889.11</v>
      </c>
      <c r="U1107" s="51">
        <f t="shared" si="331"/>
        <v>0</v>
      </c>
      <c r="V1107" s="52">
        <f>IF(0&lt;0.8,0,IF(0&lt;1,Sheet3!L561,1))*IF(G1107&lt;3,0.12 - O1107,0.01) *U1107</f>
        <v>0</v>
      </c>
      <c r="W1107" s="52">
        <f t="shared" si="332"/>
        <v>0</v>
      </c>
      <c r="X1107" s="53">
        <f t="shared" si="333"/>
        <v>0</v>
      </c>
      <c r="Y1107" s="53">
        <f t="shared" si="334"/>
        <v>0</v>
      </c>
      <c r="Z1107" s="54">
        <f t="shared" si="338"/>
        <v>0</v>
      </c>
      <c r="AA1107" s="54">
        <f t="shared" si="335"/>
        <v>0</v>
      </c>
      <c r="AB1107" s="55">
        <f t="shared" si="339"/>
        <v>0</v>
      </c>
      <c r="AC1107" s="55">
        <f t="shared" si="336"/>
        <v>0</v>
      </c>
      <c r="AD1107" s="56">
        <f t="shared" si="337"/>
        <v>8889.11</v>
      </c>
    </row>
    <row r="1108" spans="3:30">
      <c r="C1108" s="43" t="s">
        <v>2021</v>
      </c>
      <c r="D1108" s="44" t="s">
        <v>2022</v>
      </c>
      <c r="E1108" s="44"/>
      <c r="F1108" s="45">
        <v>41991.453333333331</v>
      </c>
      <c r="G1108" s="46">
        <v>45</v>
      </c>
      <c r="H1108" s="47">
        <v>43381</v>
      </c>
      <c r="I1108" s="47">
        <v>43400</v>
      </c>
      <c r="J1108" s="46">
        <v>1388354</v>
      </c>
      <c r="K1108" s="46">
        <v>0</v>
      </c>
      <c r="L1108" s="46">
        <v>0</v>
      </c>
      <c r="M1108" s="46">
        <f t="shared" si="326"/>
        <v>1388354</v>
      </c>
      <c r="N1108" s="46">
        <v>1733266</v>
      </c>
      <c r="O1108" s="48">
        <f t="shared" si="327"/>
        <v>0.19899542251448998</v>
      </c>
      <c r="P1108" s="46">
        <v>0</v>
      </c>
      <c r="Q1108" s="46">
        <v>1388354</v>
      </c>
      <c r="R1108" s="49">
        <f t="shared" si="328"/>
        <v>1</v>
      </c>
      <c r="S1108" s="50">
        <f t="shared" si="329"/>
        <v>0.01</v>
      </c>
      <c r="T1108" s="49">
        <f t="shared" si="330"/>
        <v>13883.54</v>
      </c>
      <c r="U1108" s="51">
        <f t="shared" si="331"/>
        <v>0</v>
      </c>
      <c r="V1108" s="52">
        <f>IF(0&lt;0.8,0,IF(0&lt;1,Sheet3!L561,1))*IF(G1108&lt;3,0.12 - O1108,0.01) *U1108</f>
        <v>0</v>
      </c>
      <c r="W1108" s="52">
        <f t="shared" si="332"/>
        <v>0</v>
      </c>
      <c r="X1108" s="53">
        <f t="shared" si="333"/>
        <v>0</v>
      </c>
      <c r="Y1108" s="53">
        <f t="shared" si="334"/>
        <v>0</v>
      </c>
      <c r="Z1108" s="54">
        <f t="shared" si="338"/>
        <v>0</v>
      </c>
      <c r="AA1108" s="54">
        <f t="shared" si="335"/>
        <v>0</v>
      </c>
      <c r="AB1108" s="55">
        <f t="shared" si="339"/>
        <v>0</v>
      </c>
      <c r="AC1108" s="55">
        <f t="shared" si="336"/>
        <v>0</v>
      </c>
      <c r="AD1108" s="56">
        <f t="shared" si="337"/>
        <v>13883.54</v>
      </c>
    </row>
    <row r="1109" spans="3:30">
      <c r="C1109" s="43" t="s">
        <v>2023</v>
      </c>
      <c r="D1109" s="44" t="s">
        <v>2024</v>
      </c>
      <c r="E1109" s="44"/>
      <c r="F1109" s="45">
        <v>42031.431064814817</v>
      </c>
      <c r="G1109" s="46">
        <v>44</v>
      </c>
      <c r="H1109" s="47">
        <v>43375</v>
      </c>
      <c r="I1109" s="47">
        <v>43423</v>
      </c>
      <c r="J1109" s="46">
        <v>1632494</v>
      </c>
      <c r="K1109" s="46">
        <v>0</v>
      </c>
      <c r="L1109" s="46">
        <v>0</v>
      </c>
      <c r="M1109" s="46">
        <f t="shared" si="326"/>
        <v>1632494</v>
      </c>
      <c r="N1109" s="46">
        <v>1632494</v>
      </c>
      <c r="O1109" s="48">
        <f t="shared" si="327"/>
        <v>0</v>
      </c>
      <c r="P1109" s="46">
        <v>0</v>
      </c>
      <c r="Q1109" s="46">
        <v>1632494</v>
      </c>
      <c r="R1109" s="49">
        <f t="shared" si="328"/>
        <v>1</v>
      </c>
      <c r="S1109" s="50">
        <f t="shared" si="329"/>
        <v>0.01</v>
      </c>
      <c r="T1109" s="49">
        <f t="shared" si="330"/>
        <v>16324.94</v>
      </c>
      <c r="U1109" s="51">
        <f t="shared" si="331"/>
        <v>0</v>
      </c>
      <c r="V1109" s="52">
        <f>IF(0&lt;0.8,0,IF(0&lt;1,Sheet3!L561,1))*IF(G1109&lt;3,0.12 - O1109,0.01) *U1109</f>
        <v>0</v>
      </c>
      <c r="W1109" s="52">
        <f t="shared" si="332"/>
        <v>0</v>
      </c>
      <c r="X1109" s="53">
        <f t="shared" si="333"/>
        <v>0</v>
      </c>
      <c r="Y1109" s="53">
        <f t="shared" si="334"/>
        <v>0</v>
      </c>
      <c r="Z1109" s="54">
        <f t="shared" si="338"/>
        <v>0</v>
      </c>
      <c r="AA1109" s="54">
        <f t="shared" si="335"/>
        <v>0</v>
      </c>
      <c r="AB1109" s="55">
        <f t="shared" si="339"/>
        <v>0</v>
      </c>
      <c r="AC1109" s="55">
        <f t="shared" si="336"/>
        <v>0</v>
      </c>
      <c r="AD1109" s="56">
        <f t="shared" si="337"/>
        <v>16324.94</v>
      </c>
    </row>
    <row r="1110" spans="3:30">
      <c r="C1110" s="43" t="s">
        <v>2025</v>
      </c>
      <c r="D1110" s="44" t="s">
        <v>2026</v>
      </c>
      <c r="E1110" s="44"/>
      <c r="F1110" s="45">
        <v>42034.584108796298</v>
      </c>
      <c r="G1110" s="46">
        <v>44</v>
      </c>
      <c r="H1110" s="47">
        <v>43376</v>
      </c>
      <c r="I1110" s="47">
        <v>43399</v>
      </c>
      <c r="J1110" s="46">
        <v>462002</v>
      </c>
      <c r="K1110" s="46">
        <v>0</v>
      </c>
      <c r="L1110" s="46">
        <v>0</v>
      </c>
      <c r="M1110" s="46">
        <f t="shared" si="326"/>
        <v>462002</v>
      </c>
      <c r="N1110" s="46">
        <v>462002</v>
      </c>
      <c r="O1110" s="48">
        <f t="shared" si="327"/>
        <v>0</v>
      </c>
      <c r="P1110" s="46">
        <v>0</v>
      </c>
      <c r="Q1110" s="46">
        <v>462002</v>
      </c>
      <c r="R1110" s="49">
        <f t="shared" si="328"/>
        <v>1</v>
      </c>
      <c r="S1110" s="50">
        <f t="shared" si="329"/>
        <v>0.01</v>
      </c>
      <c r="T1110" s="49">
        <f t="shared" si="330"/>
        <v>4620.0200000000004</v>
      </c>
      <c r="U1110" s="51">
        <f t="shared" si="331"/>
        <v>0</v>
      </c>
      <c r="V1110" s="52">
        <f>IF(0&lt;0.8,0,IF(0&lt;1,Sheet3!L561,1))*IF(G1110&lt;3,0.12 - O1110,0.01) *U1110</f>
        <v>0</v>
      </c>
      <c r="W1110" s="52">
        <f t="shared" si="332"/>
        <v>0</v>
      </c>
      <c r="X1110" s="53">
        <f t="shared" si="333"/>
        <v>0</v>
      </c>
      <c r="Y1110" s="53">
        <f t="shared" si="334"/>
        <v>0</v>
      </c>
      <c r="Z1110" s="54">
        <f t="shared" si="338"/>
        <v>0</v>
      </c>
      <c r="AA1110" s="54">
        <f t="shared" si="335"/>
        <v>0</v>
      </c>
      <c r="AB1110" s="55">
        <f t="shared" si="339"/>
        <v>0</v>
      </c>
      <c r="AC1110" s="55">
        <f t="shared" si="336"/>
        <v>0</v>
      </c>
      <c r="AD1110" s="56">
        <f t="shared" si="337"/>
        <v>4620.0200000000004</v>
      </c>
    </row>
    <row r="1111" spans="3:30">
      <c r="C1111" s="43" t="s">
        <v>2027</v>
      </c>
      <c r="D1111" s="44" t="s">
        <v>2028</v>
      </c>
      <c r="E1111" s="44"/>
      <c r="F1111" s="45">
        <v>42076.589641203704</v>
      </c>
      <c r="G1111" s="46">
        <v>42</v>
      </c>
      <c r="H1111" s="47">
        <v>43381</v>
      </c>
      <c r="I1111" s="47">
        <v>43410</v>
      </c>
      <c r="J1111" s="46">
        <v>4049407</v>
      </c>
      <c r="K1111" s="46">
        <v>0</v>
      </c>
      <c r="L1111" s="46">
        <v>0</v>
      </c>
      <c r="M1111" s="46">
        <f t="shared" si="326"/>
        <v>4049407</v>
      </c>
      <c r="N1111" s="46">
        <v>4049407</v>
      </c>
      <c r="O1111" s="48">
        <f t="shared" si="327"/>
        <v>0</v>
      </c>
      <c r="P1111" s="46">
        <v>0</v>
      </c>
      <c r="Q1111" s="46">
        <v>4049407</v>
      </c>
      <c r="R1111" s="49">
        <f t="shared" si="328"/>
        <v>1</v>
      </c>
      <c r="S1111" s="50">
        <f t="shared" si="329"/>
        <v>0.01</v>
      </c>
      <c r="T1111" s="49">
        <f t="shared" si="330"/>
        <v>40494.07</v>
      </c>
      <c r="U1111" s="51">
        <f t="shared" si="331"/>
        <v>0</v>
      </c>
      <c r="V1111" s="52">
        <f>IF(0&lt;0.8,0,IF(0&lt;1,Sheet3!L561,1))*IF(G1111&lt;3,0.12 - O1111,0.01) *U1111</f>
        <v>0</v>
      </c>
      <c r="W1111" s="52">
        <f t="shared" si="332"/>
        <v>0</v>
      </c>
      <c r="X1111" s="53">
        <f t="shared" si="333"/>
        <v>0</v>
      </c>
      <c r="Y1111" s="53">
        <f t="shared" si="334"/>
        <v>0</v>
      </c>
      <c r="Z1111" s="54">
        <f t="shared" si="338"/>
        <v>0</v>
      </c>
      <c r="AA1111" s="54">
        <f t="shared" si="335"/>
        <v>0</v>
      </c>
      <c r="AB1111" s="55">
        <f t="shared" si="339"/>
        <v>0</v>
      </c>
      <c r="AC1111" s="55">
        <f t="shared" si="336"/>
        <v>0</v>
      </c>
      <c r="AD1111" s="56">
        <f t="shared" si="337"/>
        <v>40494.07</v>
      </c>
    </row>
    <row r="1112" spans="3:30">
      <c r="C1112" s="43" t="s">
        <v>2029</v>
      </c>
      <c r="D1112" s="44" t="s">
        <v>2030</v>
      </c>
      <c r="E1112" s="44"/>
      <c r="F1112" s="45">
        <v>42079.603576388887</v>
      </c>
      <c r="G1112" s="46">
        <v>42</v>
      </c>
      <c r="H1112" s="47">
        <v>43411</v>
      </c>
      <c r="I1112" s="47">
        <v>43427</v>
      </c>
      <c r="J1112" s="46">
        <v>643405</v>
      </c>
      <c r="K1112" s="46">
        <v>146599</v>
      </c>
      <c r="L1112" s="46">
        <v>0</v>
      </c>
      <c r="M1112" s="46">
        <f t="shared" si="326"/>
        <v>496806</v>
      </c>
      <c r="N1112" s="46">
        <v>643405</v>
      </c>
      <c r="O1112" s="48">
        <f t="shared" si="327"/>
        <v>0.22784871115393879</v>
      </c>
      <c r="P1112" s="46">
        <v>0</v>
      </c>
      <c r="Q1112" s="46">
        <v>734445</v>
      </c>
      <c r="R1112" s="49">
        <f t="shared" si="328"/>
        <v>1</v>
      </c>
      <c r="S1112" s="50">
        <f t="shared" si="329"/>
        <v>0.01</v>
      </c>
      <c r="T1112" s="49">
        <f t="shared" si="330"/>
        <v>4968.0600000000004</v>
      </c>
      <c r="U1112" s="51">
        <f t="shared" si="331"/>
        <v>0</v>
      </c>
      <c r="V1112" s="52">
        <f>IF(0&lt;0.8,0,IF(0&lt;1,Sheet3!L561,1))*IF(G1112&lt;3,0.12 - O1112,0.01) *U1112</f>
        <v>0</v>
      </c>
      <c r="W1112" s="52">
        <f t="shared" si="332"/>
        <v>0</v>
      </c>
      <c r="X1112" s="53">
        <f t="shared" si="333"/>
        <v>0</v>
      </c>
      <c r="Y1112" s="53">
        <f t="shared" si="334"/>
        <v>0</v>
      </c>
      <c r="Z1112" s="54">
        <f t="shared" si="338"/>
        <v>0</v>
      </c>
      <c r="AA1112" s="54">
        <f t="shared" si="335"/>
        <v>0</v>
      </c>
      <c r="AB1112" s="55">
        <f t="shared" si="339"/>
        <v>0</v>
      </c>
      <c r="AC1112" s="55">
        <f t="shared" si="336"/>
        <v>0</v>
      </c>
      <c r="AD1112" s="56">
        <f t="shared" si="337"/>
        <v>4968.0600000000004</v>
      </c>
    </row>
    <row r="1113" spans="3:30">
      <c r="C1113" s="43" t="s">
        <v>2031</v>
      </c>
      <c r="D1113" s="44" t="s">
        <v>2032</v>
      </c>
      <c r="E1113" s="44"/>
      <c r="F1113" s="45">
        <v>42109.666874999995</v>
      </c>
      <c r="G1113" s="46">
        <v>41</v>
      </c>
      <c r="H1113" s="47">
        <v>43375</v>
      </c>
      <c r="I1113" s="47">
        <v>43392</v>
      </c>
      <c r="J1113" s="46">
        <v>262299</v>
      </c>
      <c r="K1113" s="46">
        <v>0</v>
      </c>
      <c r="L1113" s="46">
        <v>0</v>
      </c>
      <c r="M1113" s="46">
        <f t="shared" si="326"/>
        <v>262299</v>
      </c>
      <c r="N1113" s="46">
        <v>262299</v>
      </c>
      <c r="O1113" s="48">
        <f t="shared" si="327"/>
        <v>0</v>
      </c>
      <c r="P1113" s="46">
        <v>0</v>
      </c>
      <c r="Q1113" s="46">
        <v>262299</v>
      </c>
      <c r="R1113" s="49">
        <f t="shared" si="328"/>
        <v>1</v>
      </c>
      <c r="S1113" s="50">
        <f t="shared" si="329"/>
        <v>0.01</v>
      </c>
      <c r="T1113" s="49">
        <f t="shared" si="330"/>
        <v>2622.9900000000002</v>
      </c>
      <c r="U1113" s="51">
        <f t="shared" si="331"/>
        <v>0</v>
      </c>
      <c r="V1113" s="52">
        <f>IF(0&lt;0.8,0,IF(0&lt;1,Sheet3!L561,1))*IF(G1113&lt;3,0.12 - O1113,0.01) *U1113</f>
        <v>0</v>
      </c>
      <c r="W1113" s="52">
        <f t="shared" si="332"/>
        <v>0</v>
      </c>
      <c r="X1113" s="53">
        <f t="shared" si="333"/>
        <v>0</v>
      </c>
      <c r="Y1113" s="53">
        <f t="shared" si="334"/>
        <v>0</v>
      </c>
      <c r="Z1113" s="54">
        <f t="shared" si="338"/>
        <v>0</v>
      </c>
      <c r="AA1113" s="54">
        <f t="shared" si="335"/>
        <v>0</v>
      </c>
      <c r="AB1113" s="55">
        <f t="shared" si="339"/>
        <v>0</v>
      </c>
      <c r="AC1113" s="55">
        <f t="shared" si="336"/>
        <v>0</v>
      </c>
      <c r="AD1113" s="56">
        <f t="shared" si="337"/>
        <v>2622.9900000000002</v>
      </c>
    </row>
    <row r="1114" spans="3:30">
      <c r="C1114" s="43" t="s">
        <v>2033</v>
      </c>
      <c r="D1114" s="44" t="s">
        <v>2034</v>
      </c>
      <c r="E1114" s="44"/>
      <c r="F1114" s="45">
        <v>42114.593692129631</v>
      </c>
      <c r="G1114" s="46">
        <v>41</v>
      </c>
      <c r="H1114" s="47">
        <v>43442</v>
      </c>
      <c r="I1114" s="47">
        <v>43454</v>
      </c>
      <c r="J1114" s="46">
        <v>5393090</v>
      </c>
      <c r="K1114" s="46">
        <v>0</v>
      </c>
      <c r="L1114" s="46">
        <v>0</v>
      </c>
      <c r="M1114" s="46">
        <f t="shared" si="326"/>
        <v>5393090</v>
      </c>
      <c r="N1114" s="46">
        <v>5421143</v>
      </c>
      <c r="O1114" s="48">
        <f t="shared" si="327"/>
        <v>5.1747389803220578E-3</v>
      </c>
      <c r="P1114" s="46">
        <v>0</v>
      </c>
      <c r="Q1114" s="46">
        <v>5519414</v>
      </c>
      <c r="R1114" s="49">
        <f t="shared" si="328"/>
        <v>1</v>
      </c>
      <c r="S1114" s="50">
        <f t="shared" si="329"/>
        <v>0.01</v>
      </c>
      <c r="T1114" s="49">
        <f t="shared" si="330"/>
        <v>53930.9</v>
      </c>
      <c r="U1114" s="51">
        <f t="shared" si="331"/>
        <v>0</v>
      </c>
      <c r="V1114" s="52">
        <f>IF(0&lt;0.8,0,IF(0&lt;1,Sheet3!L561,1))*IF(G1114&lt;3,0.12 - O1114,0.01) *U1114</f>
        <v>0</v>
      </c>
      <c r="W1114" s="52">
        <f t="shared" si="332"/>
        <v>0</v>
      </c>
      <c r="X1114" s="53">
        <f t="shared" si="333"/>
        <v>0</v>
      </c>
      <c r="Y1114" s="53">
        <f t="shared" si="334"/>
        <v>0</v>
      </c>
      <c r="Z1114" s="54">
        <f t="shared" si="338"/>
        <v>0</v>
      </c>
      <c r="AA1114" s="54">
        <f t="shared" si="335"/>
        <v>0</v>
      </c>
      <c r="AB1114" s="55">
        <f t="shared" si="339"/>
        <v>0</v>
      </c>
      <c r="AC1114" s="55">
        <f t="shared" si="336"/>
        <v>0</v>
      </c>
      <c r="AD1114" s="56">
        <f t="shared" si="337"/>
        <v>53930.9</v>
      </c>
    </row>
    <row r="1115" spans="3:30">
      <c r="C1115" s="43" t="s">
        <v>2035</v>
      </c>
      <c r="D1115" s="44" t="s">
        <v>2036</v>
      </c>
      <c r="E1115" s="44"/>
      <c r="F1115" s="45">
        <v>42114.674641203703</v>
      </c>
      <c r="G1115" s="46">
        <v>41</v>
      </c>
      <c r="H1115" s="47">
        <v>43431</v>
      </c>
      <c r="I1115" s="47">
        <v>43496</v>
      </c>
      <c r="J1115" s="46">
        <v>332321952</v>
      </c>
      <c r="K1115" s="46">
        <v>4216400</v>
      </c>
      <c r="L1115" s="46">
        <v>0</v>
      </c>
      <c r="M1115" s="46">
        <f t="shared" si="326"/>
        <v>328105552</v>
      </c>
      <c r="N1115" s="46">
        <v>1027252990</v>
      </c>
      <c r="O1115" s="48">
        <f t="shared" si="327"/>
        <v>0.68059907812972154</v>
      </c>
      <c r="P1115" s="46">
        <v>0</v>
      </c>
      <c r="Q1115" s="46">
        <v>347503375</v>
      </c>
      <c r="R1115" s="49">
        <f t="shared" si="328"/>
        <v>1</v>
      </c>
      <c r="S1115" s="50">
        <f t="shared" si="329"/>
        <v>0.01</v>
      </c>
      <c r="T1115" s="49">
        <f t="shared" si="330"/>
        <v>3281055.52</v>
      </c>
      <c r="U1115" s="51">
        <f t="shared" si="331"/>
        <v>0</v>
      </c>
      <c r="V1115" s="52">
        <f>IF(0&lt;0.8,0,IF(0&lt;1,Sheet3!L561,1))*IF(G1115&lt;3,0.12 - O1115,0.01) *U1115</f>
        <v>0</v>
      </c>
      <c r="W1115" s="52">
        <f t="shared" si="332"/>
        <v>0</v>
      </c>
      <c r="X1115" s="53">
        <f t="shared" si="333"/>
        <v>0</v>
      </c>
      <c r="Y1115" s="53">
        <f t="shared" si="334"/>
        <v>0</v>
      </c>
      <c r="Z1115" s="54">
        <f>IF(R1115=1,0,50817792)</f>
        <v>0</v>
      </c>
      <c r="AA1115" s="54">
        <f t="shared" si="335"/>
        <v>0</v>
      </c>
      <c r="AB1115" s="55">
        <f t="shared" si="339"/>
        <v>0</v>
      </c>
      <c r="AC1115" s="55">
        <f t="shared" si="336"/>
        <v>0</v>
      </c>
      <c r="AD1115" s="56">
        <f t="shared" si="337"/>
        <v>3281055.52</v>
      </c>
    </row>
    <row r="1116" spans="3:30">
      <c r="C1116" s="43" t="s">
        <v>2037</v>
      </c>
      <c r="D1116" s="44" t="s">
        <v>2038</v>
      </c>
      <c r="E1116" s="44"/>
      <c r="F1116" s="45">
        <v>42128.387314814812</v>
      </c>
      <c r="G1116" s="46">
        <v>40</v>
      </c>
      <c r="H1116" s="47">
        <v>43404</v>
      </c>
      <c r="I1116" s="47">
        <v>43412</v>
      </c>
      <c r="J1116" s="46">
        <v>692340</v>
      </c>
      <c r="K1116" s="46">
        <v>0</v>
      </c>
      <c r="L1116" s="46">
        <v>0</v>
      </c>
      <c r="M1116" s="46">
        <f t="shared" si="326"/>
        <v>692340</v>
      </c>
      <c r="N1116" s="46">
        <v>904850</v>
      </c>
      <c r="O1116" s="48">
        <f t="shared" si="327"/>
        <v>0.23485660606730396</v>
      </c>
      <c r="P1116" s="46">
        <v>0</v>
      </c>
      <c r="Q1116" s="46">
        <v>692340</v>
      </c>
      <c r="R1116" s="49">
        <f t="shared" si="328"/>
        <v>1</v>
      </c>
      <c r="S1116" s="50">
        <f t="shared" si="329"/>
        <v>0.01</v>
      </c>
      <c r="T1116" s="49">
        <f t="shared" si="330"/>
        <v>6923.4000000000005</v>
      </c>
      <c r="U1116" s="51">
        <f t="shared" si="331"/>
        <v>0</v>
      </c>
      <c r="V1116" s="52">
        <f>IF(0&lt;0.8,0,IF(0&lt;1,Sheet3!L561,1))*IF(G1116&lt;3,0.12 - O1116,0.01) *U1116</f>
        <v>0</v>
      </c>
      <c r="W1116" s="52">
        <f t="shared" si="332"/>
        <v>0</v>
      </c>
      <c r="X1116" s="53">
        <f t="shared" si="333"/>
        <v>0</v>
      </c>
      <c r="Y1116" s="53">
        <f t="shared" si="334"/>
        <v>0</v>
      </c>
      <c r="Z1116" s="54">
        <f t="shared" ref="Z1116:Z1179" si="340">IF(R1116=1,0,0)</f>
        <v>0</v>
      </c>
      <c r="AA1116" s="54">
        <f t="shared" si="335"/>
        <v>0</v>
      </c>
      <c r="AB1116" s="55">
        <f t="shared" si="339"/>
        <v>0</v>
      </c>
      <c r="AC1116" s="55">
        <f t="shared" si="336"/>
        <v>0</v>
      </c>
      <c r="AD1116" s="56">
        <f t="shared" si="337"/>
        <v>6923.4000000000005</v>
      </c>
    </row>
    <row r="1117" spans="3:30">
      <c r="C1117" s="43" t="s">
        <v>2039</v>
      </c>
      <c r="D1117" s="44" t="s">
        <v>2038</v>
      </c>
      <c r="E1117" s="44"/>
      <c r="F1117" s="45">
        <v>42128.389479166668</v>
      </c>
      <c r="G1117" s="46">
        <v>40</v>
      </c>
      <c r="H1117" s="47">
        <v>43404</v>
      </c>
      <c r="I1117" s="47">
        <v>43412</v>
      </c>
      <c r="J1117" s="46">
        <v>328130</v>
      </c>
      <c r="K1117" s="46">
        <v>0</v>
      </c>
      <c r="L1117" s="46">
        <v>0</v>
      </c>
      <c r="M1117" s="46">
        <f t="shared" si="326"/>
        <v>328130</v>
      </c>
      <c r="N1117" s="46">
        <v>444999</v>
      </c>
      <c r="O1117" s="48">
        <f t="shared" si="327"/>
        <v>0.262627556466419</v>
      </c>
      <c r="P1117" s="46">
        <v>0</v>
      </c>
      <c r="Q1117" s="46">
        <v>328130</v>
      </c>
      <c r="R1117" s="49">
        <f t="shared" si="328"/>
        <v>1</v>
      </c>
      <c r="S1117" s="50">
        <f t="shared" si="329"/>
        <v>0.01</v>
      </c>
      <c r="T1117" s="49">
        <f t="shared" si="330"/>
        <v>3281.3</v>
      </c>
      <c r="U1117" s="51">
        <f t="shared" si="331"/>
        <v>0</v>
      </c>
      <c r="V1117" s="52">
        <f>IF(0&lt;0.8,0,IF(0&lt;1,Sheet3!L561,1))*IF(G1117&lt;3,0.12 - O1117,0.01) *U1117</f>
        <v>0</v>
      </c>
      <c r="W1117" s="52">
        <f t="shared" si="332"/>
        <v>0</v>
      </c>
      <c r="X1117" s="53">
        <f t="shared" si="333"/>
        <v>0</v>
      </c>
      <c r="Y1117" s="53">
        <f t="shared" si="334"/>
        <v>0</v>
      </c>
      <c r="Z1117" s="54">
        <f t="shared" si="340"/>
        <v>0</v>
      </c>
      <c r="AA1117" s="54">
        <f t="shared" si="335"/>
        <v>0</v>
      </c>
      <c r="AB1117" s="55">
        <f t="shared" si="339"/>
        <v>0</v>
      </c>
      <c r="AC1117" s="55">
        <f t="shared" si="336"/>
        <v>0</v>
      </c>
      <c r="AD1117" s="56">
        <f t="shared" si="337"/>
        <v>3281.3</v>
      </c>
    </row>
    <row r="1118" spans="3:30">
      <c r="C1118" s="43" t="s">
        <v>2040</v>
      </c>
      <c r="D1118" s="44" t="s">
        <v>2038</v>
      </c>
      <c r="E1118" s="44"/>
      <c r="F1118" s="45">
        <v>42128.391562500001</v>
      </c>
      <c r="G1118" s="46">
        <v>40</v>
      </c>
      <c r="H1118" s="47">
        <v>43404</v>
      </c>
      <c r="I1118" s="47">
        <v>43412</v>
      </c>
      <c r="J1118" s="46">
        <v>294168</v>
      </c>
      <c r="K1118" s="46">
        <v>0</v>
      </c>
      <c r="L1118" s="46">
        <v>0</v>
      </c>
      <c r="M1118" s="46">
        <f t="shared" si="326"/>
        <v>294168</v>
      </c>
      <c r="N1118" s="46">
        <v>343379</v>
      </c>
      <c r="O1118" s="48">
        <f t="shared" si="327"/>
        <v>0.14331394756231453</v>
      </c>
      <c r="P1118" s="46">
        <v>0</v>
      </c>
      <c r="Q1118" s="46">
        <v>294168</v>
      </c>
      <c r="R1118" s="49">
        <f t="shared" si="328"/>
        <v>1</v>
      </c>
      <c r="S1118" s="50">
        <f t="shared" si="329"/>
        <v>0.01</v>
      </c>
      <c r="T1118" s="49">
        <f t="shared" si="330"/>
        <v>2941.68</v>
      </c>
      <c r="U1118" s="51">
        <f t="shared" si="331"/>
        <v>0</v>
      </c>
      <c r="V1118" s="52">
        <f>IF(0&lt;0.8,0,IF(0&lt;1,Sheet3!L561,1))*IF(G1118&lt;3,0.12 - O1118,0.01) *U1118</f>
        <v>0</v>
      </c>
      <c r="W1118" s="52">
        <f t="shared" si="332"/>
        <v>0</v>
      </c>
      <c r="X1118" s="53">
        <f t="shared" si="333"/>
        <v>0</v>
      </c>
      <c r="Y1118" s="53">
        <f t="shared" si="334"/>
        <v>0</v>
      </c>
      <c r="Z1118" s="54">
        <f t="shared" si="340"/>
        <v>0</v>
      </c>
      <c r="AA1118" s="54">
        <f t="shared" si="335"/>
        <v>0</v>
      </c>
      <c r="AB1118" s="55">
        <f t="shared" si="339"/>
        <v>0</v>
      </c>
      <c r="AC1118" s="55">
        <f t="shared" si="336"/>
        <v>0</v>
      </c>
      <c r="AD1118" s="56">
        <f t="shared" si="337"/>
        <v>2941.68</v>
      </c>
    </row>
    <row r="1119" spans="3:30">
      <c r="C1119" s="43" t="s">
        <v>2041</v>
      </c>
      <c r="D1119" s="44" t="s">
        <v>2038</v>
      </c>
      <c r="E1119" s="44"/>
      <c r="F1119" s="45">
        <v>42128.392824074072</v>
      </c>
      <c r="G1119" s="46">
        <v>40</v>
      </c>
      <c r="H1119" s="47">
        <v>43404</v>
      </c>
      <c r="I1119" s="47">
        <v>43412</v>
      </c>
      <c r="J1119" s="46">
        <v>1052150</v>
      </c>
      <c r="K1119" s="46">
        <v>0</v>
      </c>
      <c r="L1119" s="46">
        <v>0</v>
      </c>
      <c r="M1119" s="46">
        <f t="shared" si="326"/>
        <v>1052150</v>
      </c>
      <c r="N1119" s="46">
        <v>1412522</v>
      </c>
      <c r="O1119" s="48">
        <f t="shared" si="327"/>
        <v>0.25512664581507405</v>
      </c>
      <c r="P1119" s="46">
        <v>0</v>
      </c>
      <c r="Q1119" s="46">
        <v>1052150</v>
      </c>
      <c r="R1119" s="49">
        <f t="shared" si="328"/>
        <v>1</v>
      </c>
      <c r="S1119" s="50">
        <f t="shared" si="329"/>
        <v>0.01</v>
      </c>
      <c r="T1119" s="49">
        <f t="shared" si="330"/>
        <v>10521.5</v>
      </c>
      <c r="U1119" s="51">
        <f t="shared" si="331"/>
        <v>0</v>
      </c>
      <c r="V1119" s="52">
        <f>IF(0&lt;0.8,0,IF(0&lt;1,Sheet3!L561,1))*IF(G1119&lt;3,0.12 - O1119,0.01) *U1119</f>
        <v>0</v>
      </c>
      <c r="W1119" s="52">
        <f t="shared" si="332"/>
        <v>0</v>
      </c>
      <c r="X1119" s="53">
        <f t="shared" si="333"/>
        <v>0</v>
      </c>
      <c r="Y1119" s="53">
        <f t="shared" si="334"/>
        <v>0</v>
      </c>
      <c r="Z1119" s="54">
        <f t="shared" si="340"/>
        <v>0</v>
      </c>
      <c r="AA1119" s="54">
        <f t="shared" si="335"/>
        <v>0</v>
      </c>
      <c r="AB1119" s="55">
        <f t="shared" si="339"/>
        <v>0</v>
      </c>
      <c r="AC1119" s="55">
        <f t="shared" si="336"/>
        <v>0</v>
      </c>
      <c r="AD1119" s="56">
        <f t="shared" si="337"/>
        <v>10521.5</v>
      </c>
    </row>
    <row r="1120" spans="3:30">
      <c r="C1120" s="43" t="s">
        <v>2042</v>
      </c>
      <c r="D1120" s="44" t="s">
        <v>2038</v>
      </c>
      <c r="E1120" s="44"/>
      <c r="F1120" s="45">
        <v>42128.40012731481</v>
      </c>
      <c r="G1120" s="46">
        <v>40</v>
      </c>
      <c r="H1120" s="47">
        <v>43404</v>
      </c>
      <c r="I1120" s="47">
        <v>43412</v>
      </c>
      <c r="J1120" s="46">
        <v>7838855</v>
      </c>
      <c r="K1120" s="46">
        <v>0</v>
      </c>
      <c r="L1120" s="46">
        <v>0</v>
      </c>
      <c r="M1120" s="46">
        <f t="shared" si="326"/>
        <v>7838855</v>
      </c>
      <c r="N1120" s="46">
        <v>9899421</v>
      </c>
      <c r="O1120" s="48">
        <f t="shared" si="327"/>
        <v>0.20815015342816512</v>
      </c>
      <c r="P1120" s="46">
        <v>0</v>
      </c>
      <c r="Q1120" s="46">
        <v>7838855</v>
      </c>
      <c r="R1120" s="49">
        <f t="shared" si="328"/>
        <v>1</v>
      </c>
      <c r="S1120" s="50">
        <f t="shared" si="329"/>
        <v>0.01</v>
      </c>
      <c r="T1120" s="49">
        <f t="shared" si="330"/>
        <v>78388.55</v>
      </c>
      <c r="U1120" s="51">
        <f t="shared" si="331"/>
        <v>0</v>
      </c>
      <c r="V1120" s="52">
        <f>IF(0&lt;0.8,0,IF(0&lt;1,Sheet3!L561,1))*IF(G1120&lt;3,0.12 - O1120,0.01) *U1120</f>
        <v>0</v>
      </c>
      <c r="W1120" s="52">
        <f t="shared" si="332"/>
        <v>0</v>
      </c>
      <c r="X1120" s="53">
        <f t="shared" si="333"/>
        <v>0</v>
      </c>
      <c r="Y1120" s="53">
        <f t="shared" si="334"/>
        <v>0</v>
      </c>
      <c r="Z1120" s="54">
        <f t="shared" si="340"/>
        <v>0</v>
      </c>
      <c r="AA1120" s="54">
        <f t="shared" si="335"/>
        <v>0</v>
      </c>
      <c r="AB1120" s="55">
        <f t="shared" si="339"/>
        <v>0</v>
      </c>
      <c r="AC1120" s="55">
        <f t="shared" si="336"/>
        <v>0</v>
      </c>
      <c r="AD1120" s="56">
        <f t="shared" si="337"/>
        <v>78388.55</v>
      </c>
    </row>
    <row r="1121" spans="3:30">
      <c r="C1121" s="43" t="s">
        <v>2043</v>
      </c>
      <c r="D1121" s="44" t="s">
        <v>2038</v>
      </c>
      <c r="E1121" s="44"/>
      <c r="F1121" s="45">
        <v>42128.401840277773</v>
      </c>
      <c r="G1121" s="46">
        <v>40</v>
      </c>
      <c r="H1121" s="47">
        <v>43404</v>
      </c>
      <c r="I1121" s="47">
        <v>43412</v>
      </c>
      <c r="J1121" s="46">
        <v>903265</v>
      </c>
      <c r="K1121" s="46">
        <v>0</v>
      </c>
      <c r="L1121" s="46">
        <v>0</v>
      </c>
      <c r="M1121" s="46">
        <f t="shared" si="326"/>
        <v>903265</v>
      </c>
      <c r="N1121" s="46">
        <v>1229295</v>
      </c>
      <c r="O1121" s="48">
        <f t="shared" si="327"/>
        <v>0.26521705530405637</v>
      </c>
      <c r="P1121" s="46">
        <v>0</v>
      </c>
      <c r="Q1121" s="46">
        <v>903265</v>
      </c>
      <c r="R1121" s="49">
        <f t="shared" si="328"/>
        <v>1</v>
      </c>
      <c r="S1121" s="50">
        <f t="shared" si="329"/>
        <v>0.01</v>
      </c>
      <c r="T1121" s="49">
        <f t="shared" si="330"/>
        <v>9032.65</v>
      </c>
      <c r="U1121" s="51">
        <f t="shared" si="331"/>
        <v>0</v>
      </c>
      <c r="V1121" s="52">
        <f>IF(0&lt;0.8,0,IF(0&lt;1,Sheet3!L561,1))*IF(G1121&lt;3,0.12 - O1121,0.01) *U1121</f>
        <v>0</v>
      </c>
      <c r="W1121" s="52">
        <f t="shared" si="332"/>
        <v>0</v>
      </c>
      <c r="X1121" s="53">
        <f t="shared" si="333"/>
        <v>0</v>
      </c>
      <c r="Y1121" s="53">
        <f t="shared" si="334"/>
        <v>0</v>
      </c>
      <c r="Z1121" s="54">
        <f t="shared" si="340"/>
        <v>0</v>
      </c>
      <c r="AA1121" s="54">
        <f t="shared" si="335"/>
        <v>0</v>
      </c>
      <c r="AB1121" s="55">
        <f t="shared" si="339"/>
        <v>0</v>
      </c>
      <c r="AC1121" s="55">
        <f t="shared" si="336"/>
        <v>0</v>
      </c>
      <c r="AD1121" s="56">
        <f t="shared" si="337"/>
        <v>9032.65</v>
      </c>
    </row>
    <row r="1122" spans="3:30">
      <c r="C1122" s="43" t="s">
        <v>2044</v>
      </c>
      <c r="D1122" s="44" t="s">
        <v>2038</v>
      </c>
      <c r="E1122" s="44"/>
      <c r="F1122" s="45">
        <v>42128.402638888889</v>
      </c>
      <c r="G1122" s="46">
        <v>40</v>
      </c>
      <c r="H1122" s="47">
        <v>43404</v>
      </c>
      <c r="I1122" s="47">
        <v>43412</v>
      </c>
      <c r="J1122" s="46">
        <v>179850</v>
      </c>
      <c r="K1122" s="46">
        <v>0</v>
      </c>
      <c r="L1122" s="46">
        <v>0</v>
      </c>
      <c r="M1122" s="46">
        <f t="shared" si="326"/>
        <v>179850</v>
      </c>
      <c r="N1122" s="46">
        <v>224956</v>
      </c>
      <c r="O1122" s="48">
        <f t="shared" si="327"/>
        <v>0.20051032201852803</v>
      </c>
      <c r="P1122" s="46">
        <v>0</v>
      </c>
      <c r="Q1122" s="46">
        <v>179850</v>
      </c>
      <c r="R1122" s="49">
        <f t="shared" si="328"/>
        <v>1</v>
      </c>
      <c r="S1122" s="50">
        <f t="shared" si="329"/>
        <v>0.01</v>
      </c>
      <c r="T1122" s="49">
        <f t="shared" si="330"/>
        <v>1798.5</v>
      </c>
      <c r="U1122" s="51">
        <f t="shared" si="331"/>
        <v>0</v>
      </c>
      <c r="V1122" s="52">
        <f>IF(0&lt;0.8,0,IF(0&lt;1,Sheet3!L561,1))*IF(G1122&lt;3,0.12 - O1122,0.01) *U1122</f>
        <v>0</v>
      </c>
      <c r="W1122" s="52">
        <f t="shared" si="332"/>
        <v>0</v>
      </c>
      <c r="X1122" s="53">
        <f t="shared" si="333"/>
        <v>0</v>
      </c>
      <c r="Y1122" s="53">
        <f t="shared" si="334"/>
        <v>0</v>
      </c>
      <c r="Z1122" s="54">
        <f t="shared" si="340"/>
        <v>0</v>
      </c>
      <c r="AA1122" s="54">
        <f t="shared" si="335"/>
        <v>0</v>
      </c>
      <c r="AB1122" s="55">
        <f t="shared" si="339"/>
        <v>0</v>
      </c>
      <c r="AC1122" s="55">
        <f t="shared" si="336"/>
        <v>0</v>
      </c>
      <c r="AD1122" s="56">
        <f t="shared" si="337"/>
        <v>1798.5</v>
      </c>
    </row>
    <row r="1123" spans="3:30">
      <c r="C1123" s="43" t="s">
        <v>2045</v>
      </c>
      <c r="D1123" s="44" t="s">
        <v>2038</v>
      </c>
      <c r="E1123" s="44"/>
      <c r="F1123" s="45">
        <v>42128.404247685183</v>
      </c>
      <c r="G1123" s="46">
        <v>40</v>
      </c>
      <c r="H1123" s="47">
        <v>43404</v>
      </c>
      <c r="I1123" s="47">
        <v>43412</v>
      </c>
      <c r="J1123" s="46">
        <v>251130</v>
      </c>
      <c r="K1123" s="46">
        <v>0</v>
      </c>
      <c r="L1123" s="46">
        <v>0</v>
      </c>
      <c r="M1123" s="46">
        <f t="shared" si="326"/>
        <v>251130</v>
      </c>
      <c r="N1123" s="46">
        <v>276548</v>
      </c>
      <c r="O1123" s="48">
        <f t="shared" si="327"/>
        <v>9.1911711529282458E-2</v>
      </c>
      <c r="P1123" s="46">
        <v>0</v>
      </c>
      <c r="Q1123" s="46">
        <v>251130</v>
      </c>
      <c r="R1123" s="49">
        <f t="shared" si="328"/>
        <v>1</v>
      </c>
      <c r="S1123" s="50">
        <f t="shared" si="329"/>
        <v>0.01</v>
      </c>
      <c r="T1123" s="49">
        <f t="shared" si="330"/>
        <v>2511.3000000000002</v>
      </c>
      <c r="U1123" s="51">
        <f t="shared" si="331"/>
        <v>0</v>
      </c>
      <c r="V1123" s="52">
        <f>IF(0&lt;0.8,0,IF(0&lt;1,Sheet3!L561,1))*IF(G1123&lt;3,0.12 - O1123,0.01) *U1123</f>
        <v>0</v>
      </c>
      <c r="W1123" s="52">
        <f t="shared" si="332"/>
        <v>0</v>
      </c>
      <c r="X1123" s="53">
        <f t="shared" si="333"/>
        <v>0</v>
      </c>
      <c r="Y1123" s="53">
        <f t="shared" si="334"/>
        <v>0</v>
      </c>
      <c r="Z1123" s="54">
        <f t="shared" si="340"/>
        <v>0</v>
      </c>
      <c r="AA1123" s="54">
        <f t="shared" si="335"/>
        <v>0</v>
      </c>
      <c r="AB1123" s="55">
        <f t="shared" si="339"/>
        <v>0</v>
      </c>
      <c r="AC1123" s="55">
        <f t="shared" si="336"/>
        <v>0</v>
      </c>
      <c r="AD1123" s="56">
        <f t="shared" si="337"/>
        <v>2511.3000000000002</v>
      </c>
    </row>
    <row r="1124" spans="3:30">
      <c r="C1124" s="43" t="s">
        <v>2046</v>
      </c>
      <c r="D1124" s="44" t="s">
        <v>2038</v>
      </c>
      <c r="E1124" s="44"/>
      <c r="F1124" s="45">
        <v>42128.404953703699</v>
      </c>
      <c r="G1124" s="46">
        <v>40</v>
      </c>
      <c r="H1124" s="47">
        <v>43404</v>
      </c>
      <c r="I1124" s="47">
        <v>43412</v>
      </c>
      <c r="J1124" s="46">
        <v>131890</v>
      </c>
      <c r="K1124" s="46">
        <v>0</v>
      </c>
      <c r="L1124" s="46">
        <v>0</v>
      </c>
      <c r="M1124" s="46">
        <f t="shared" si="326"/>
        <v>131890</v>
      </c>
      <c r="N1124" s="46">
        <v>142705</v>
      </c>
      <c r="O1124" s="48">
        <f t="shared" si="327"/>
        <v>7.5785711783048937E-2</v>
      </c>
      <c r="P1124" s="46">
        <v>0</v>
      </c>
      <c r="Q1124" s="46">
        <v>131890</v>
      </c>
      <c r="R1124" s="49">
        <f t="shared" si="328"/>
        <v>1</v>
      </c>
      <c r="S1124" s="50">
        <f t="shared" si="329"/>
        <v>0.01</v>
      </c>
      <c r="T1124" s="49">
        <f t="shared" si="330"/>
        <v>1318.9</v>
      </c>
      <c r="U1124" s="51">
        <f t="shared" si="331"/>
        <v>0</v>
      </c>
      <c r="V1124" s="52">
        <f>IF(0&lt;0.8,0,IF(0&lt;1,Sheet3!L561,1))*IF(G1124&lt;3,0.12 - O1124,0.01) *U1124</f>
        <v>0</v>
      </c>
      <c r="W1124" s="52">
        <f t="shared" si="332"/>
        <v>0</v>
      </c>
      <c r="X1124" s="53">
        <f t="shared" si="333"/>
        <v>0</v>
      </c>
      <c r="Y1124" s="53">
        <f t="shared" si="334"/>
        <v>0</v>
      </c>
      <c r="Z1124" s="54">
        <f t="shared" si="340"/>
        <v>0</v>
      </c>
      <c r="AA1124" s="54">
        <f t="shared" si="335"/>
        <v>0</v>
      </c>
      <c r="AB1124" s="55">
        <f t="shared" si="339"/>
        <v>0</v>
      </c>
      <c r="AC1124" s="55">
        <f t="shared" si="336"/>
        <v>0</v>
      </c>
      <c r="AD1124" s="56">
        <f t="shared" si="337"/>
        <v>1318.9</v>
      </c>
    </row>
    <row r="1125" spans="3:30">
      <c r="C1125" s="43" t="s">
        <v>2047</v>
      </c>
      <c r="D1125" s="44" t="s">
        <v>2038</v>
      </c>
      <c r="E1125" s="44"/>
      <c r="F1125" s="45">
        <v>42128.405740740738</v>
      </c>
      <c r="G1125" s="46">
        <v>40</v>
      </c>
      <c r="H1125" s="47">
        <v>43404</v>
      </c>
      <c r="I1125" s="47">
        <v>43412</v>
      </c>
      <c r="J1125" s="46">
        <v>230010</v>
      </c>
      <c r="K1125" s="46">
        <v>0</v>
      </c>
      <c r="L1125" s="46">
        <v>0</v>
      </c>
      <c r="M1125" s="46">
        <f t="shared" si="326"/>
        <v>230010</v>
      </c>
      <c r="N1125" s="46">
        <v>289972</v>
      </c>
      <c r="O1125" s="48">
        <f t="shared" si="327"/>
        <v>0.20678548273626418</v>
      </c>
      <c r="P1125" s="46">
        <v>0</v>
      </c>
      <c r="Q1125" s="46">
        <v>230010</v>
      </c>
      <c r="R1125" s="49">
        <f t="shared" si="328"/>
        <v>1</v>
      </c>
      <c r="S1125" s="50">
        <f t="shared" si="329"/>
        <v>0.01</v>
      </c>
      <c r="T1125" s="49">
        <f t="shared" si="330"/>
        <v>2300.1</v>
      </c>
      <c r="U1125" s="51">
        <f t="shared" si="331"/>
        <v>0</v>
      </c>
      <c r="V1125" s="52">
        <f>IF(0&lt;0.8,0,IF(0&lt;1,Sheet3!L561,1))*IF(G1125&lt;3,0.12 - O1125,0.01) *U1125</f>
        <v>0</v>
      </c>
      <c r="W1125" s="52">
        <f t="shared" si="332"/>
        <v>0</v>
      </c>
      <c r="X1125" s="53">
        <f t="shared" si="333"/>
        <v>0</v>
      </c>
      <c r="Y1125" s="53">
        <f t="shared" si="334"/>
        <v>0</v>
      </c>
      <c r="Z1125" s="54">
        <f t="shared" si="340"/>
        <v>0</v>
      </c>
      <c r="AA1125" s="54">
        <f t="shared" si="335"/>
        <v>0</v>
      </c>
      <c r="AB1125" s="55">
        <f t="shared" si="339"/>
        <v>0</v>
      </c>
      <c r="AC1125" s="55">
        <f t="shared" si="336"/>
        <v>0</v>
      </c>
      <c r="AD1125" s="56">
        <f t="shared" si="337"/>
        <v>2300.1</v>
      </c>
    </row>
    <row r="1126" spans="3:30">
      <c r="C1126" s="43" t="s">
        <v>2048</v>
      </c>
      <c r="D1126" s="44" t="s">
        <v>2038</v>
      </c>
      <c r="E1126" s="44"/>
      <c r="F1126" s="45">
        <v>42128.409884259258</v>
      </c>
      <c r="G1126" s="46">
        <v>40</v>
      </c>
      <c r="H1126" s="47">
        <v>43404</v>
      </c>
      <c r="I1126" s="47">
        <v>43412</v>
      </c>
      <c r="J1126" s="46">
        <v>124460</v>
      </c>
      <c r="K1126" s="46">
        <v>0</v>
      </c>
      <c r="L1126" s="46">
        <v>0</v>
      </c>
      <c r="M1126" s="46">
        <f t="shared" si="326"/>
        <v>124460</v>
      </c>
      <c r="N1126" s="46">
        <v>171579</v>
      </c>
      <c r="O1126" s="48">
        <f t="shared" si="327"/>
        <v>0.2746198544110876</v>
      </c>
      <c r="P1126" s="46">
        <v>0</v>
      </c>
      <c r="Q1126" s="46">
        <v>124460</v>
      </c>
      <c r="R1126" s="49">
        <f t="shared" si="328"/>
        <v>1</v>
      </c>
      <c r="S1126" s="50">
        <f t="shared" si="329"/>
        <v>0.01</v>
      </c>
      <c r="T1126" s="49">
        <f t="shared" si="330"/>
        <v>1244.6000000000001</v>
      </c>
      <c r="U1126" s="51">
        <f t="shared" si="331"/>
        <v>0</v>
      </c>
      <c r="V1126" s="52">
        <f>IF(0&lt;0.8,0,IF(0&lt;1,Sheet3!L561,1))*IF(G1126&lt;3,0.12 - O1126,0.01) *U1126</f>
        <v>0</v>
      </c>
      <c r="W1126" s="52">
        <f t="shared" si="332"/>
        <v>0</v>
      </c>
      <c r="X1126" s="53">
        <f t="shared" si="333"/>
        <v>0</v>
      </c>
      <c r="Y1126" s="53">
        <f t="shared" si="334"/>
        <v>0</v>
      </c>
      <c r="Z1126" s="54">
        <f t="shared" si="340"/>
        <v>0</v>
      </c>
      <c r="AA1126" s="54">
        <f t="shared" si="335"/>
        <v>0</v>
      </c>
      <c r="AB1126" s="55">
        <f t="shared" si="339"/>
        <v>0</v>
      </c>
      <c r="AC1126" s="55">
        <f t="shared" si="336"/>
        <v>0</v>
      </c>
      <c r="AD1126" s="56">
        <f t="shared" si="337"/>
        <v>1244.6000000000001</v>
      </c>
    </row>
    <row r="1127" spans="3:30">
      <c r="C1127" s="43" t="s">
        <v>2049</v>
      </c>
      <c r="D1127" s="44" t="s">
        <v>2038</v>
      </c>
      <c r="E1127" s="44"/>
      <c r="F1127" s="45">
        <v>42128.412974537037</v>
      </c>
      <c r="G1127" s="46">
        <v>40</v>
      </c>
      <c r="H1127" s="47">
        <v>43404</v>
      </c>
      <c r="I1127" s="47">
        <v>43412</v>
      </c>
      <c r="J1127" s="46">
        <v>225225</v>
      </c>
      <c r="K1127" s="46">
        <v>0</v>
      </c>
      <c r="L1127" s="46">
        <v>0</v>
      </c>
      <c r="M1127" s="46">
        <f t="shared" si="326"/>
        <v>225225</v>
      </c>
      <c r="N1127" s="46">
        <v>239515</v>
      </c>
      <c r="O1127" s="48">
        <f t="shared" si="327"/>
        <v>5.9662234098073141E-2</v>
      </c>
      <c r="P1127" s="46">
        <v>0</v>
      </c>
      <c r="Q1127" s="46">
        <v>225225</v>
      </c>
      <c r="R1127" s="49">
        <f t="shared" si="328"/>
        <v>1</v>
      </c>
      <c r="S1127" s="50">
        <f t="shared" si="329"/>
        <v>0.01</v>
      </c>
      <c r="T1127" s="49">
        <f t="shared" si="330"/>
        <v>2252.25</v>
      </c>
      <c r="U1127" s="51">
        <f t="shared" si="331"/>
        <v>0</v>
      </c>
      <c r="V1127" s="52">
        <f>IF(0&lt;0.8,0,IF(0&lt;1,Sheet3!L561,1))*IF(G1127&lt;3,0.12 - O1127,0.01) *U1127</f>
        <v>0</v>
      </c>
      <c r="W1127" s="52">
        <f t="shared" si="332"/>
        <v>0</v>
      </c>
      <c r="X1127" s="53">
        <f t="shared" si="333"/>
        <v>0</v>
      </c>
      <c r="Y1127" s="53">
        <f t="shared" si="334"/>
        <v>0</v>
      </c>
      <c r="Z1127" s="54">
        <f t="shared" si="340"/>
        <v>0</v>
      </c>
      <c r="AA1127" s="54">
        <f t="shared" si="335"/>
        <v>0</v>
      </c>
      <c r="AB1127" s="55">
        <f t="shared" si="339"/>
        <v>0</v>
      </c>
      <c r="AC1127" s="55">
        <f t="shared" si="336"/>
        <v>0</v>
      </c>
      <c r="AD1127" s="56">
        <f t="shared" si="337"/>
        <v>2252.25</v>
      </c>
    </row>
    <row r="1128" spans="3:30">
      <c r="C1128" s="43" t="s">
        <v>2050</v>
      </c>
      <c r="D1128" s="44" t="s">
        <v>2038</v>
      </c>
      <c r="E1128" s="44"/>
      <c r="F1128" s="45">
        <v>42128.414293981477</v>
      </c>
      <c r="G1128" s="46">
        <v>40</v>
      </c>
      <c r="H1128" s="47">
        <v>43404</v>
      </c>
      <c r="I1128" s="47">
        <v>43412</v>
      </c>
      <c r="J1128" s="46">
        <v>317405</v>
      </c>
      <c r="K1128" s="46">
        <v>0</v>
      </c>
      <c r="L1128" s="46">
        <v>0</v>
      </c>
      <c r="M1128" s="46">
        <f t="shared" si="326"/>
        <v>317405</v>
      </c>
      <c r="N1128" s="46">
        <v>516348</v>
      </c>
      <c r="O1128" s="48">
        <f t="shared" si="327"/>
        <v>0.38528860380983365</v>
      </c>
      <c r="P1128" s="46">
        <v>0</v>
      </c>
      <c r="Q1128" s="46">
        <v>317405</v>
      </c>
      <c r="R1128" s="49">
        <f t="shared" si="328"/>
        <v>1</v>
      </c>
      <c r="S1128" s="50">
        <f t="shared" si="329"/>
        <v>0.01</v>
      </c>
      <c r="T1128" s="49">
        <f t="shared" si="330"/>
        <v>3174.05</v>
      </c>
      <c r="U1128" s="51">
        <f t="shared" si="331"/>
        <v>0</v>
      </c>
      <c r="V1128" s="52">
        <f>IF(0&lt;0.8,0,IF(0&lt;1,Sheet3!L561,1))*IF(G1128&lt;3,0.12 - O1128,0.01) *U1128</f>
        <v>0</v>
      </c>
      <c r="W1128" s="52">
        <f t="shared" si="332"/>
        <v>0</v>
      </c>
      <c r="X1128" s="53">
        <f t="shared" si="333"/>
        <v>0</v>
      </c>
      <c r="Y1128" s="53">
        <f t="shared" si="334"/>
        <v>0</v>
      </c>
      <c r="Z1128" s="54">
        <f t="shared" si="340"/>
        <v>0</v>
      </c>
      <c r="AA1128" s="54">
        <f t="shared" si="335"/>
        <v>0</v>
      </c>
      <c r="AB1128" s="55">
        <f t="shared" si="339"/>
        <v>0</v>
      </c>
      <c r="AC1128" s="55">
        <f t="shared" si="336"/>
        <v>0</v>
      </c>
      <c r="AD1128" s="56">
        <f t="shared" si="337"/>
        <v>3174.05</v>
      </c>
    </row>
    <row r="1129" spans="3:30">
      <c r="C1129" s="43" t="s">
        <v>2051</v>
      </c>
      <c r="D1129" s="44" t="s">
        <v>2038</v>
      </c>
      <c r="E1129" s="44"/>
      <c r="F1129" s="45">
        <v>42128.415173611109</v>
      </c>
      <c r="G1129" s="46">
        <v>40</v>
      </c>
      <c r="H1129" s="47">
        <v>43404</v>
      </c>
      <c r="I1129" s="47">
        <v>43412</v>
      </c>
      <c r="J1129" s="46">
        <v>473385</v>
      </c>
      <c r="K1129" s="46">
        <v>0</v>
      </c>
      <c r="L1129" s="46">
        <v>0</v>
      </c>
      <c r="M1129" s="46">
        <f t="shared" si="326"/>
        <v>473385</v>
      </c>
      <c r="N1129" s="46">
        <v>529301</v>
      </c>
      <c r="O1129" s="48">
        <f t="shared" si="327"/>
        <v>0.10564121360057888</v>
      </c>
      <c r="P1129" s="46">
        <v>0</v>
      </c>
      <c r="Q1129" s="46">
        <v>473385</v>
      </c>
      <c r="R1129" s="49">
        <f t="shared" si="328"/>
        <v>1</v>
      </c>
      <c r="S1129" s="50">
        <f t="shared" si="329"/>
        <v>0.01</v>
      </c>
      <c r="T1129" s="49">
        <f t="shared" si="330"/>
        <v>4733.8500000000004</v>
      </c>
      <c r="U1129" s="51">
        <f t="shared" si="331"/>
        <v>0</v>
      </c>
      <c r="V1129" s="52">
        <f>IF(0&lt;0.8,0,IF(0&lt;1,Sheet3!L561,1))*IF(G1129&lt;3,0.12 - O1129,0.01) *U1129</f>
        <v>0</v>
      </c>
      <c r="W1129" s="52">
        <f t="shared" si="332"/>
        <v>0</v>
      </c>
      <c r="X1129" s="53">
        <f t="shared" si="333"/>
        <v>0</v>
      </c>
      <c r="Y1129" s="53">
        <f t="shared" si="334"/>
        <v>0</v>
      </c>
      <c r="Z1129" s="54">
        <f t="shared" si="340"/>
        <v>0</v>
      </c>
      <c r="AA1129" s="54">
        <f t="shared" si="335"/>
        <v>0</v>
      </c>
      <c r="AB1129" s="55">
        <f t="shared" si="339"/>
        <v>0</v>
      </c>
      <c r="AC1129" s="55">
        <f t="shared" si="336"/>
        <v>0</v>
      </c>
      <c r="AD1129" s="56">
        <f t="shared" si="337"/>
        <v>4733.8500000000004</v>
      </c>
    </row>
    <row r="1130" spans="3:30">
      <c r="C1130" s="43" t="s">
        <v>2052</v>
      </c>
      <c r="D1130" s="44" t="s">
        <v>2038</v>
      </c>
      <c r="E1130" s="44"/>
      <c r="F1130" s="45">
        <v>42128.416076388887</v>
      </c>
      <c r="G1130" s="46">
        <v>40</v>
      </c>
      <c r="H1130" s="47">
        <v>43404</v>
      </c>
      <c r="I1130" s="47">
        <v>43412</v>
      </c>
      <c r="J1130" s="46">
        <v>68239</v>
      </c>
      <c r="K1130" s="46">
        <v>0</v>
      </c>
      <c r="L1130" s="46">
        <v>0</v>
      </c>
      <c r="M1130" s="46">
        <f t="shared" si="326"/>
        <v>68239</v>
      </c>
      <c r="N1130" s="46">
        <v>101035</v>
      </c>
      <c r="O1130" s="48">
        <f t="shared" si="327"/>
        <v>0.32460038600484975</v>
      </c>
      <c r="P1130" s="46">
        <v>0</v>
      </c>
      <c r="Q1130" s="46">
        <v>68239</v>
      </c>
      <c r="R1130" s="49">
        <f t="shared" si="328"/>
        <v>1</v>
      </c>
      <c r="S1130" s="50">
        <f t="shared" si="329"/>
        <v>0.01</v>
      </c>
      <c r="T1130" s="49">
        <f t="shared" si="330"/>
        <v>682.39</v>
      </c>
      <c r="U1130" s="51">
        <f t="shared" si="331"/>
        <v>0</v>
      </c>
      <c r="V1130" s="52">
        <f>IF(0&lt;0.8,0,IF(0&lt;1,Sheet3!L561,1))*IF(G1130&lt;3,0.12 - O1130,0.01) *U1130</f>
        <v>0</v>
      </c>
      <c r="W1130" s="52">
        <f t="shared" si="332"/>
        <v>0</v>
      </c>
      <c r="X1130" s="53">
        <f t="shared" si="333"/>
        <v>0</v>
      </c>
      <c r="Y1130" s="53">
        <f t="shared" si="334"/>
        <v>0</v>
      </c>
      <c r="Z1130" s="54">
        <f t="shared" si="340"/>
        <v>0</v>
      </c>
      <c r="AA1130" s="54">
        <f t="shared" si="335"/>
        <v>0</v>
      </c>
      <c r="AB1130" s="55">
        <f t="shared" si="339"/>
        <v>0</v>
      </c>
      <c r="AC1130" s="55">
        <f t="shared" si="336"/>
        <v>0</v>
      </c>
      <c r="AD1130" s="56">
        <f t="shared" si="337"/>
        <v>682.39</v>
      </c>
    </row>
    <row r="1131" spans="3:30">
      <c r="C1131" s="43" t="s">
        <v>2053</v>
      </c>
      <c r="D1131" s="44" t="s">
        <v>2038</v>
      </c>
      <c r="E1131" s="44"/>
      <c r="F1131" s="45">
        <v>42128.418229166666</v>
      </c>
      <c r="G1131" s="46">
        <v>40</v>
      </c>
      <c r="H1131" s="47">
        <v>43404</v>
      </c>
      <c r="I1131" s="47">
        <v>43412</v>
      </c>
      <c r="J1131" s="46">
        <v>234829</v>
      </c>
      <c r="K1131" s="46">
        <v>0</v>
      </c>
      <c r="L1131" s="46">
        <v>0</v>
      </c>
      <c r="M1131" s="46">
        <f t="shared" si="326"/>
        <v>234829</v>
      </c>
      <c r="N1131" s="46">
        <v>309665</v>
      </c>
      <c r="O1131" s="48">
        <f t="shared" si="327"/>
        <v>0.24166760854471769</v>
      </c>
      <c r="P1131" s="46">
        <v>0</v>
      </c>
      <c r="Q1131" s="46">
        <v>234829</v>
      </c>
      <c r="R1131" s="49">
        <f t="shared" si="328"/>
        <v>1</v>
      </c>
      <c r="S1131" s="50">
        <f t="shared" si="329"/>
        <v>0.01</v>
      </c>
      <c r="T1131" s="49">
        <f t="shared" si="330"/>
        <v>2348.29</v>
      </c>
      <c r="U1131" s="51">
        <f t="shared" si="331"/>
        <v>0</v>
      </c>
      <c r="V1131" s="52">
        <f>IF(0&lt;0.8,0,IF(0&lt;1,Sheet3!L561,1))*IF(G1131&lt;3,0.12 - O1131,0.01) *U1131</f>
        <v>0</v>
      </c>
      <c r="W1131" s="52">
        <f t="shared" si="332"/>
        <v>0</v>
      </c>
      <c r="X1131" s="53">
        <f t="shared" si="333"/>
        <v>0</v>
      </c>
      <c r="Y1131" s="53">
        <f t="shared" si="334"/>
        <v>0</v>
      </c>
      <c r="Z1131" s="54">
        <f t="shared" si="340"/>
        <v>0</v>
      </c>
      <c r="AA1131" s="54">
        <f t="shared" si="335"/>
        <v>0</v>
      </c>
      <c r="AB1131" s="55">
        <f t="shared" si="339"/>
        <v>0</v>
      </c>
      <c r="AC1131" s="55">
        <f t="shared" si="336"/>
        <v>0</v>
      </c>
      <c r="AD1131" s="56">
        <f t="shared" si="337"/>
        <v>2348.29</v>
      </c>
    </row>
    <row r="1132" spans="3:30">
      <c r="C1132" s="43" t="s">
        <v>2054</v>
      </c>
      <c r="D1132" s="44" t="s">
        <v>2038</v>
      </c>
      <c r="E1132" s="44"/>
      <c r="F1132" s="45">
        <v>42128.418854166666</v>
      </c>
      <c r="G1132" s="46">
        <v>40</v>
      </c>
      <c r="H1132" s="47">
        <v>43404</v>
      </c>
      <c r="I1132" s="47">
        <v>43412</v>
      </c>
      <c r="J1132" s="46">
        <v>387970</v>
      </c>
      <c r="K1132" s="46">
        <v>0</v>
      </c>
      <c r="L1132" s="46">
        <v>0</v>
      </c>
      <c r="M1132" s="46">
        <f t="shared" si="326"/>
        <v>387970</v>
      </c>
      <c r="N1132" s="46">
        <v>566027</v>
      </c>
      <c r="O1132" s="48">
        <f t="shared" si="327"/>
        <v>0.31457333307421731</v>
      </c>
      <c r="P1132" s="46">
        <v>0</v>
      </c>
      <c r="Q1132" s="46">
        <v>387970</v>
      </c>
      <c r="R1132" s="49">
        <f t="shared" si="328"/>
        <v>1</v>
      </c>
      <c r="S1132" s="50">
        <f t="shared" si="329"/>
        <v>0.01</v>
      </c>
      <c r="T1132" s="49">
        <f t="shared" si="330"/>
        <v>3879.7000000000003</v>
      </c>
      <c r="U1132" s="51">
        <f t="shared" si="331"/>
        <v>0</v>
      </c>
      <c r="V1132" s="52">
        <f>IF(0&lt;0.8,0,IF(0&lt;1,Sheet3!L561,1))*IF(G1132&lt;3,0.12 - O1132,0.01) *U1132</f>
        <v>0</v>
      </c>
      <c r="W1132" s="52">
        <f t="shared" si="332"/>
        <v>0</v>
      </c>
      <c r="X1132" s="53">
        <f t="shared" si="333"/>
        <v>0</v>
      </c>
      <c r="Y1132" s="53">
        <f t="shared" si="334"/>
        <v>0</v>
      </c>
      <c r="Z1132" s="54">
        <f t="shared" si="340"/>
        <v>0</v>
      </c>
      <c r="AA1132" s="54">
        <f t="shared" si="335"/>
        <v>0</v>
      </c>
      <c r="AB1132" s="55">
        <f t="shared" si="339"/>
        <v>0</v>
      </c>
      <c r="AC1132" s="55">
        <f t="shared" si="336"/>
        <v>0</v>
      </c>
      <c r="AD1132" s="56">
        <f t="shared" si="337"/>
        <v>3879.7000000000003</v>
      </c>
    </row>
    <row r="1133" spans="3:30">
      <c r="C1133" s="43" t="s">
        <v>2055</v>
      </c>
      <c r="D1133" s="44" t="s">
        <v>2038</v>
      </c>
      <c r="E1133" s="44"/>
      <c r="F1133" s="45">
        <v>42128.420486111107</v>
      </c>
      <c r="G1133" s="46">
        <v>40</v>
      </c>
      <c r="H1133" s="47">
        <v>43404</v>
      </c>
      <c r="I1133" s="47">
        <v>43412</v>
      </c>
      <c r="J1133" s="46">
        <v>744508</v>
      </c>
      <c r="K1133" s="46">
        <v>0</v>
      </c>
      <c r="L1133" s="46">
        <v>0</v>
      </c>
      <c r="M1133" s="46">
        <f t="shared" si="326"/>
        <v>744508</v>
      </c>
      <c r="N1133" s="46">
        <v>1074137</v>
      </c>
      <c r="O1133" s="48">
        <f t="shared" si="327"/>
        <v>0.30687798670002053</v>
      </c>
      <c r="P1133" s="46">
        <v>0</v>
      </c>
      <c r="Q1133" s="46">
        <v>744508</v>
      </c>
      <c r="R1133" s="49">
        <f t="shared" si="328"/>
        <v>1</v>
      </c>
      <c r="S1133" s="50">
        <f t="shared" si="329"/>
        <v>0.01</v>
      </c>
      <c r="T1133" s="49">
        <f t="shared" si="330"/>
        <v>7445.08</v>
      </c>
      <c r="U1133" s="51">
        <f t="shared" si="331"/>
        <v>0</v>
      </c>
      <c r="V1133" s="52">
        <f>IF(0&lt;0.8,0,IF(0&lt;1,Sheet3!L561,1))*IF(G1133&lt;3,0.12 - O1133,0.01) *U1133</f>
        <v>0</v>
      </c>
      <c r="W1133" s="52">
        <f t="shared" si="332"/>
        <v>0</v>
      </c>
      <c r="X1133" s="53">
        <f t="shared" si="333"/>
        <v>0</v>
      </c>
      <c r="Y1133" s="53">
        <f t="shared" si="334"/>
        <v>0</v>
      </c>
      <c r="Z1133" s="54">
        <f t="shared" si="340"/>
        <v>0</v>
      </c>
      <c r="AA1133" s="54">
        <f t="shared" si="335"/>
        <v>0</v>
      </c>
      <c r="AB1133" s="55">
        <f t="shared" si="339"/>
        <v>0</v>
      </c>
      <c r="AC1133" s="55">
        <f t="shared" si="336"/>
        <v>0</v>
      </c>
      <c r="AD1133" s="56">
        <f t="shared" si="337"/>
        <v>7445.08</v>
      </c>
    </row>
    <row r="1134" spans="3:30">
      <c r="C1134" s="43" t="s">
        <v>2056</v>
      </c>
      <c r="D1134" s="44" t="s">
        <v>2057</v>
      </c>
      <c r="E1134" s="44"/>
      <c r="F1134" s="45">
        <v>42128.438969907409</v>
      </c>
      <c r="G1134" s="46">
        <v>40</v>
      </c>
      <c r="H1134" s="47">
        <v>43386</v>
      </c>
      <c r="I1134" s="47">
        <v>43425</v>
      </c>
      <c r="J1134" s="46">
        <v>2652734</v>
      </c>
      <c r="K1134" s="46">
        <v>0</v>
      </c>
      <c r="L1134" s="46">
        <v>0</v>
      </c>
      <c r="M1134" s="46">
        <f t="shared" si="326"/>
        <v>2652734</v>
      </c>
      <c r="N1134" s="46">
        <v>2652734</v>
      </c>
      <c r="O1134" s="48">
        <f t="shared" si="327"/>
        <v>0</v>
      </c>
      <c r="P1134" s="46">
        <v>0</v>
      </c>
      <c r="Q1134" s="46">
        <v>2652734</v>
      </c>
      <c r="R1134" s="49">
        <f t="shared" si="328"/>
        <v>1</v>
      </c>
      <c r="S1134" s="50">
        <f t="shared" si="329"/>
        <v>0.01</v>
      </c>
      <c r="T1134" s="49">
        <f t="shared" si="330"/>
        <v>26527.34</v>
      </c>
      <c r="U1134" s="51">
        <f t="shared" si="331"/>
        <v>0</v>
      </c>
      <c r="V1134" s="52">
        <f>IF(0&lt;0.8,0,IF(0&lt;1,Sheet3!L561,1))*IF(G1134&lt;3,0.12 - O1134,0.01) *U1134</f>
        <v>0</v>
      </c>
      <c r="W1134" s="52">
        <f t="shared" si="332"/>
        <v>0</v>
      </c>
      <c r="X1134" s="53">
        <f t="shared" si="333"/>
        <v>0</v>
      </c>
      <c r="Y1134" s="53">
        <f t="shared" si="334"/>
        <v>0</v>
      </c>
      <c r="Z1134" s="54">
        <f t="shared" si="340"/>
        <v>0</v>
      </c>
      <c r="AA1134" s="54">
        <f t="shared" si="335"/>
        <v>0</v>
      </c>
      <c r="AB1134" s="55">
        <f t="shared" si="339"/>
        <v>0</v>
      </c>
      <c r="AC1134" s="55">
        <f t="shared" si="336"/>
        <v>0</v>
      </c>
      <c r="AD1134" s="56">
        <f t="shared" si="337"/>
        <v>26527.34</v>
      </c>
    </row>
    <row r="1135" spans="3:30">
      <c r="C1135" s="43" t="s">
        <v>2058</v>
      </c>
      <c r="D1135" s="44" t="s">
        <v>2059</v>
      </c>
      <c r="E1135" s="44"/>
      <c r="F1135" s="45">
        <v>42135.659328703703</v>
      </c>
      <c r="G1135" s="46">
        <v>40</v>
      </c>
      <c r="H1135" s="47">
        <v>43372</v>
      </c>
      <c r="I1135" s="47">
        <v>43402</v>
      </c>
      <c r="J1135" s="46">
        <v>4561718</v>
      </c>
      <c r="K1135" s="46">
        <v>0</v>
      </c>
      <c r="L1135" s="46">
        <v>0</v>
      </c>
      <c r="M1135" s="46">
        <f t="shared" si="326"/>
        <v>4561718</v>
      </c>
      <c r="N1135" s="46">
        <v>4561718</v>
      </c>
      <c r="O1135" s="48">
        <f t="shared" si="327"/>
        <v>0</v>
      </c>
      <c r="P1135" s="46">
        <v>0</v>
      </c>
      <c r="Q1135" s="46">
        <v>4561718</v>
      </c>
      <c r="R1135" s="49">
        <f t="shared" si="328"/>
        <v>1</v>
      </c>
      <c r="S1135" s="50">
        <f t="shared" si="329"/>
        <v>0.01</v>
      </c>
      <c r="T1135" s="49">
        <f t="shared" si="330"/>
        <v>45617.18</v>
      </c>
      <c r="U1135" s="51">
        <f t="shared" si="331"/>
        <v>0</v>
      </c>
      <c r="V1135" s="52">
        <f>IF(0&lt;0.8,0,IF(0&lt;1,Sheet3!L561,1))*IF(G1135&lt;3,0.12 - O1135,0.01) *U1135</f>
        <v>0</v>
      </c>
      <c r="W1135" s="52">
        <f t="shared" si="332"/>
        <v>0</v>
      </c>
      <c r="X1135" s="53">
        <f t="shared" si="333"/>
        <v>0</v>
      </c>
      <c r="Y1135" s="53">
        <f t="shared" si="334"/>
        <v>0</v>
      </c>
      <c r="Z1135" s="54">
        <f t="shared" si="340"/>
        <v>0</v>
      </c>
      <c r="AA1135" s="54">
        <f t="shared" si="335"/>
        <v>0</v>
      </c>
      <c r="AB1135" s="55">
        <f t="shared" si="339"/>
        <v>0</v>
      </c>
      <c r="AC1135" s="55">
        <f t="shared" si="336"/>
        <v>0</v>
      </c>
      <c r="AD1135" s="56">
        <f t="shared" si="337"/>
        <v>45617.18</v>
      </c>
    </row>
    <row r="1136" spans="3:30">
      <c r="C1136" s="43" t="s">
        <v>2060</v>
      </c>
      <c r="D1136" s="44" t="s">
        <v>2061</v>
      </c>
      <c r="E1136" s="44"/>
      <c r="F1136" s="45">
        <v>42146.363506944443</v>
      </c>
      <c r="G1136" s="46">
        <v>40</v>
      </c>
      <c r="H1136" s="47">
        <v>43381</v>
      </c>
      <c r="I1136" s="47">
        <v>43400</v>
      </c>
      <c r="J1136" s="46">
        <v>1111028</v>
      </c>
      <c r="K1136" s="46">
        <v>0</v>
      </c>
      <c r="L1136" s="46">
        <v>0</v>
      </c>
      <c r="M1136" s="46">
        <f t="shared" si="326"/>
        <v>1111028</v>
      </c>
      <c r="N1136" s="46">
        <v>1111028</v>
      </c>
      <c r="O1136" s="48">
        <f t="shared" si="327"/>
        <v>0</v>
      </c>
      <c r="P1136" s="46">
        <v>0</v>
      </c>
      <c r="Q1136" s="46">
        <v>1111028</v>
      </c>
      <c r="R1136" s="49">
        <f t="shared" si="328"/>
        <v>1</v>
      </c>
      <c r="S1136" s="50">
        <f t="shared" si="329"/>
        <v>0.01</v>
      </c>
      <c r="T1136" s="49">
        <f t="shared" si="330"/>
        <v>11110.28</v>
      </c>
      <c r="U1136" s="51">
        <f t="shared" si="331"/>
        <v>0</v>
      </c>
      <c r="V1136" s="52">
        <f>IF(0&lt;0.8,0,IF(0&lt;1,Sheet3!L561,1))*IF(G1136&lt;3,0.12 - O1136,0.01) *U1136</f>
        <v>0</v>
      </c>
      <c r="W1136" s="52">
        <f t="shared" si="332"/>
        <v>0</v>
      </c>
      <c r="X1136" s="53">
        <f t="shared" si="333"/>
        <v>0</v>
      </c>
      <c r="Y1136" s="53">
        <f t="shared" si="334"/>
        <v>0</v>
      </c>
      <c r="Z1136" s="54">
        <f t="shared" si="340"/>
        <v>0</v>
      </c>
      <c r="AA1136" s="54">
        <f t="shared" si="335"/>
        <v>0</v>
      </c>
      <c r="AB1136" s="55">
        <f t="shared" si="339"/>
        <v>0</v>
      </c>
      <c r="AC1136" s="55">
        <f t="shared" si="336"/>
        <v>0</v>
      </c>
      <c r="AD1136" s="56">
        <f t="shared" si="337"/>
        <v>11110.28</v>
      </c>
    </row>
    <row r="1137" spans="3:30">
      <c r="C1137" s="43" t="s">
        <v>2062</v>
      </c>
      <c r="D1137" s="44" t="s">
        <v>2063</v>
      </c>
      <c r="E1137" s="44"/>
      <c r="F1137" s="45">
        <v>42159.666585648149</v>
      </c>
      <c r="G1137" s="46">
        <v>39</v>
      </c>
      <c r="H1137" s="47">
        <v>43381</v>
      </c>
      <c r="I1137" s="47">
        <v>43390</v>
      </c>
      <c r="J1137" s="46">
        <v>13310</v>
      </c>
      <c r="K1137" s="46">
        <v>0</v>
      </c>
      <c r="L1137" s="46">
        <v>0</v>
      </c>
      <c r="M1137" s="46">
        <f t="shared" si="326"/>
        <v>13310</v>
      </c>
      <c r="N1137" s="46">
        <v>13310</v>
      </c>
      <c r="O1137" s="48">
        <f t="shared" si="327"/>
        <v>0</v>
      </c>
      <c r="P1137" s="46">
        <v>0</v>
      </c>
      <c r="Q1137" s="46">
        <v>13310</v>
      </c>
      <c r="R1137" s="49">
        <f t="shared" si="328"/>
        <v>1</v>
      </c>
      <c r="S1137" s="50">
        <f t="shared" si="329"/>
        <v>0.01</v>
      </c>
      <c r="T1137" s="49">
        <f t="shared" si="330"/>
        <v>133.1</v>
      </c>
      <c r="U1137" s="51">
        <f t="shared" si="331"/>
        <v>0</v>
      </c>
      <c r="V1137" s="52">
        <f>IF(0&lt;0.8,0,IF(0&lt;1,Sheet3!L561,1))*IF(G1137&lt;3,0.12 - O1137,0.01) *U1137</f>
        <v>0</v>
      </c>
      <c r="W1137" s="52">
        <f t="shared" si="332"/>
        <v>0</v>
      </c>
      <c r="X1137" s="53">
        <f t="shared" si="333"/>
        <v>0</v>
      </c>
      <c r="Y1137" s="53">
        <f t="shared" si="334"/>
        <v>0</v>
      </c>
      <c r="Z1137" s="54">
        <f t="shared" si="340"/>
        <v>0</v>
      </c>
      <c r="AA1137" s="54">
        <f t="shared" si="335"/>
        <v>0</v>
      </c>
      <c r="AB1137" s="55">
        <f t="shared" si="339"/>
        <v>0</v>
      </c>
      <c r="AC1137" s="55">
        <f t="shared" si="336"/>
        <v>0</v>
      </c>
      <c r="AD1137" s="56">
        <f t="shared" si="337"/>
        <v>133.1</v>
      </c>
    </row>
    <row r="1138" spans="3:30">
      <c r="C1138" s="43" t="s">
        <v>2064</v>
      </c>
      <c r="D1138" s="44" t="s">
        <v>2065</v>
      </c>
      <c r="E1138" s="44"/>
      <c r="F1138" s="45">
        <v>42165.703483796293</v>
      </c>
      <c r="G1138" s="46">
        <v>39</v>
      </c>
      <c r="H1138" s="47">
        <v>43372</v>
      </c>
      <c r="I1138" s="47">
        <v>43402</v>
      </c>
      <c r="J1138" s="46">
        <v>14954882</v>
      </c>
      <c r="K1138" s="46">
        <v>1359495</v>
      </c>
      <c r="L1138" s="46">
        <v>0</v>
      </c>
      <c r="M1138" s="46">
        <f t="shared" si="326"/>
        <v>13595387</v>
      </c>
      <c r="N1138" s="46">
        <v>14954882</v>
      </c>
      <c r="O1138" s="48">
        <f t="shared" si="327"/>
        <v>9.0906434433919325E-2</v>
      </c>
      <c r="P1138" s="46">
        <v>0</v>
      </c>
      <c r="Q1138" s="46">
        <v>14954882</v>
      </c>
      <c r="R1138" s="49">
        <f t="shared" si="328"/>
        <v>1</v>
      </c>
      <c r="S1138" s="50">
        <f t="shared" si="329"/>
        <v>0.01</v>
      </c>
      <c r="T1138" s="49">
        <f t="shared" si="330"/>
        <v>135953.87</v>
      </c>
      <c r="U1138" s="51">
        <f t="shared" si="331"/>
        <v>0</v>
      </c>
      <c r="V1138" s="52">
        <f>IF(0&lt;0.8,0,IF(0&lt;1,Sheet3!L561,1))*IF(G1138&lt;3,0.12 - O1138,0.01) *U1138</f>
        <v>0</v>
      </c>
      <c r="W1138" s="52">
        <f t="shared" si="332"/>
        <v>0</v>
      </c>
      <c r="X1138" s="53">
        <f t="shared" si="333"/>
        <v>0</v>
      </c>
      <c r="Y1138" s="53">
        <f t="shared" si="334"/>
        <v>0</v>
      </c>
      <c r="Z1138" s="54">
        <f t="shared" si="340"/>
        <v>0</v>
      </c>
      <c r="AA1138" s="54">
        <f t="shared" si="335"/>
        <v>0</v>
      </c>
      <c r="AB1138" s="55">
        <f t="shared" si="339"/>
        <v>0</v>
      </c>
      <c r="AC1138" s="55">
        <f t="shared" si="336"/>
        <v>0</v>
      </c>
      <c r="AD1138" s="56">
        <f t="shared" si="337"/>
        <v>135953.87</v>
      </c>
    </row>
    <row r="1139" spans="3:30">
      <c r="C1139" s="43" t="s">
        <v>2066</v>
      </c>
      <c r="D1139" s="44" t="s">
        <v>2067</v>
      </c>
      <c r="E1139" s="44"/>
      <c r="F1139" s="45">
        <v>42165.698819444442</v>
      </c>
      <c r="G1139" s="46">
        <v>39</v>
      </c>
      <c r="H1139" s="47">
        <v>43381</v>
      </c>
      <c r="I1139" s="47">
        <v>43397</v>
      </c>
      <c r="J1139" s="46">
        <v>45133</v>
      </c>
      <c r="K1139" s="46">
        <v>0</v>
      </c>
      <c r="L1139" s="46">
        <v>0</v>
      </c>
      <c r="M1139" s="46">
        <f t="shared" ref="M1139:M1202" si="341">IFERROR(J1139-K1139-L1139,0)</f>
        <v>45133</v>
      </c>
      <c r="N1139" s="46">
        <v>45133</v>
      </c>
      <c r="O1139" s="48">
        <f t="shared" ref="O1139:O1202" si="342">IFERROR(IF(1 - M1139/N1139&lt;0,0,1-M1139/N1139),0)</f>
        <v>0</v>
      </c>
      <c r="P1139" s="46">
        <v>0</v>
      </c>
      <c r="Q1139" s="46">
        <v>45133</v>
      </c>
      <c r="R1139" s="49">
        <f t="shared" ref="R1139:R1202" si="343">IF(F1139&lt;DATEVALUE("2018-07-01"),1,0)</f>
        <v>1</v>
      </c>
      <c r="S1139" s="50">
        <f t="shared" ref="S1139:S1202" si="344">IF(R1139=1,1%,0)</f>
        <v>0.01</v>
      </c>
      <c r="T1139" s="49">
        <f t="shared" ref="T1139:T1202" si="345">IFERROR(S1139*M1139,0)</f>
        <v>451.33</v>
      </c>
      <c r="U1139" s="51">
        <f t="shared" ref="U1139:U1202" si="346">IF(O1139&lt;=0.12,1,0)*(1-R1139)*M1139</f>
        <v>0</v>
      </c>
      <c r="V1139" s="52">
        <f>IF(0&lt;0.8,0,IF(0&lt;1,Sheet3!L561,1))*IF(G1139&lt;3,0.12 - O1139,0.01) *U1139</f>
        <v>0</v>
      </c>
      <c r="W1139" s="52">
        <f t="shared" ref="W1139:W1202" si="347">IF(0&gt;1,IF(0&lt;=1.1,1,IF(0&lt;=1.2,2,IF(0&lt;=1.5,3,5))),0) * 1000000</f>
        <v>0</v>
      </c>
      <c r="X1139" s="53">
        <f t="shared" ref="X1139:X1202" si="348">IF(AND(P1139&gt;=150000000,P1139&lt;300000000),5000000,IF(AND(P1139&gt;=300000000,P1139&lt;500000000),10000000,IF(AND(P1139&gt;=300000000,P1139&lt;500000000),15000000,IF(AND(P1139&gt;=500000000,P1139&lt;3000000000),20000000,IF(P1139&gt;=30000000000,35000000,0))))) * (1-R1139)</f>
        <v>0</v>
      </c>
      <c r="Y1139" s="53">
        <f t="shared" ref="Y1139:Y1202" si="349">IFERROR(Q1139 * (1-R1139),0)</f>
        <v>0</v>
      </c>
      <c r="Z1139" s="54">
        <f t="shared" si="340"/>
        <v>0</v>
      </c>
      <c r="AA1139" s="54">
        <f t="shared" ref="AA1139:AA1202" si="350">IFERROR((1-R1139) * Z1139 * 2%,0)</f>
        <v>0</v>
      </c>
      <c r="AB1139" s="55">
        <f t="shared" si="339"/>
        <v>0</v>
      </c>
      <c r="AC1139" s="55">
        <f t="shared" ref="AC1139:AC1202" si="351">IFERROR(AB1139 * (1-R1139) * 2%,0)</f>
        <v>0</v>
      </c>
      <c r="AD1139" s="56">
        <f t="shared" ref="AD1139:AD1202" si="352">T1139+V1139+W1139+X1139+AA1139+AC1139</f>
        <v>451.33</v>
      </c>
    </row>
    <row r="1140" spans="3:30">
      <c r="C1140" s="43" t="s">
        <v>2068</v>
      </c>
      <c r="D1140" s="44" t="s">
        <v>2069</v>
      </c>
      <c r="E1140" s="44"/>
      <c r="F1140" s="45">
        <v>42167.712534722217</v>
      </c>
      <c r="G1140" s="46">
        <v>39</v>
      </c>
      <c r="H1140" s="47">
        <v>43372</v>
      </c>
      <c r="I1140" s="47">
        <v>43413</v>
      </c>
      <c r="J1140" s="46">
        <v>655418</v>
      </c>
      <c r="K1140" s="46">
        <v>0</v>
      </c>
      <c r="L1140" s="46">
        <v>0</v>
      </c>
      <c r="M1140" s="46">
        <f t="shared" si="341"/>
        <v>655418</v>
      </c>
      <c r="N1140" s="46">
        <v>655418</v>
      </c>
      <c r="O1140" s="48">
        <f t="shared" si="342"/>
        <v>0</v>
      </c>
      <c r="P1140" s="46">
        <v>0</v>
      </c>
      <c r="Q1140" s="46">
        <v>655418</v>
      </c>
      <c r="R1140" s="49">
        <f t="shared" si="343"/>
        <v>1</v>
      </c>
      <c r="S1140" s="50">
        <f t="shared" si="344"/>
        <v>0.01</v>
      </c>
      <c r="T1140" s="49">
        <f t="shared" si="345"/>
        <v>6554.18</v>
      </c>
      <c r="U1140" s="51">
        <f t="shared" si="346"/>
        <v>0</v>
      </c>
      <c r="V1140" s="52">
        <f>IF(0&lt;0.8,0,IF(0&lt;1,Sheet3!L561,1))*IF(G1140&lt;3,0.12 - O1140,0.01) *U1140</f>
        <v>0</v>
      </c>
      <c r="W1140" s="52">
        <f t="shared" si="347"/>
        <v>0</v>
      </c>
      <c r="X1140" s="53">
        <f t="shared" si="348"/>
        <v>0</v>
      </c>
      <c r="Y1140" s="53">
        <f t="shared" si="349"/>
        <v>0</v>
      </c>
      <c r="Z1140" s="54">
        <f t="shared" si="340"/>
        <v>0</v>
      </c>
      <c r="AA1140" s="54">
        <f t="shared" si="350"/>
        <v>0</v>
      </c>
      <c r="AB1140" s="55">
        <f t="shared" si="339"/>
        <v>0</v>
      </c>
      <c r="AC1140" s="55">
        <f t="shared" si="351"/>
        <v>0</v>
      </c>
      <c r="AD1140" s="56">
        <f t="shared" si="352"/>
        <v>6554.18</v>
      </c>
    </row>
    <row r="1141" spans="3:30">
      <c r="C1141" s="43" t="s">
        <v>2070</v>
      </c>
      <c r="D1141" s="44" t="s">
        <v>2071</v>
      </c>
      <c r="E1141" s="44"/>
      <c r="F1141" s="45">
        <v>42167.707094907404</v>
      </c>
      <c r="G1141" s="46">
        <v>39</v>
      </c>
      <c r="H1141" s="47">
        <v>43381</v>
      </c>
      <c r="I1141" s="47">
        <v>43397</v>
      </c>
      <c r="J1141" s="46">
        <v>406450</v>
      </c>
      <c r="K1141" s="46">
        <v>0</v>
      </c>
      <c r="L1141" s="46">
        <v>0</v>
      </c>
      <c r="M1141" s="46">
        <f t="shared" si="341"/>
        <v>406450</v>
      </c>
      <c r="N1141" s="46">
        <v>406450</v>
      </c>
      <c r="O1141" s="48">
        <f t="shared" si="342"/>
        <v>0</v>
      </c>
      <c r="P1141" s="46">
        <v>0</v>
      </c>
      <c r="Q1141" s="46">
        <v>406450</v>
      </c>
      <c r="R1141" s="49">
        <f t="shared" si="343"/>
        <v>1</v>
      </c>
      <c r="S1141" s="50">
        <f t="shared" si="344"/>
        <v>0.01</v>
      </c>
      <c r="T1141" s="49">
        <f t="shared" si="345"/>
        <v>4064.5</v>
      </c>
      <c r="U1141" s="51">
        <f t="shared" si="346"/>
        <v>0</v>
      </c>
      <c r="V1141" s="52">
        <f>IF(0&lt;0.8,0,IF(0&lt;1,Sheet3!L561,1))*IF(G1141&lt;3,0.12 - O1141,0.01) *U1141</f>
        <v>0</v>
      </c>
      <c r="W1141" s="52">
        <f t="shared" si="347"/>
        <v>0</v>
      </c>
      <c r="X1141" s="53">
        <f t="shared" si="348"/>
        <v>0</v>
      </c>
      <c r="Y1141" s="53">
        <f t="shared" si="349"/>
        <v>0</v>
      </c>
      <c r="Z1141" s="54">
        <f t="shared" si="340"/>
        <v>0</v>
      </c>
      <c r="AA1141" s="54">
        <f t="shared" si="350"/>
        <v>0</v>
      </c>
      <c r="AB1141" s="55">
        <f t="shared" si="339"/>
        <v>0</v>
      </c>
      <c r="AC1141" s="55">
        <f t="shared" si="351"/>
        <v>0</v>
      </c>
      <c r="AD1141" s="56">
        <f t="shared" si="352"/>
        <v>4064.5</v>
      </c>
    </row>
    <row r="1142" spans="3:30">
      <c r="C1142" s="43" t="s">
        <v>2072</v>
      </c>
      <c r="D1142" s="44" t="s">
        <v>2073</v>
      </c>
      <c r="E1142" s="44"/>
      <c r="F1142" s="45">
        <v>42167.708136574074</v>
      </c>
      <c r="G1142" s="46">
        <v>39</v>
      </c>
      <c r="H1142" s="47">
        <v>43372</v>
      </c>
      <c r="I1142" s="47">
        <v>43384</v>
      </c>
      <c r="J1142" s="46">
        <v>125114</v>
      </c>
      <c r="K1142" s="46">
        <v>0</v>
      </c>
      <c r="L1142" s="46">
        <v>0</v>
      </c>
      <c r="M1142" s="46">
        <f t="shared" si="341"/>
        <v>125114</v>
      </c>
      <c r="N1142" s="46">
        <v>125114</v>
      </c>
      <c r="O1142" s="48">
        <f t="shared" si="342"/>
        <v>0</v>
      </c>
      <c r="P1142" s="46">
        <v>0</v>
      </c>
      <c r="Q1142" s="46">
        <v>125114</v>
      </c>
      <c r="R1142" s="49">
        <f t="shared" si="343"/>
        <v>1</v>
      </c>
      <c r="S1142" s="50">
        <f t="shared" si="344"/>
        <v>0.01</v>
      </c>
      <c r="T1142" s="49">
        <f t="shared" si="345"/>
        <v>1251.1400000000001</v>
      </c>
      <c r="U1142" s="51">
        <f t="shared" si="346"/>
        <v>0</v>
      </c>
      <c r="V1142" s="52">
        <f>IF(0&lt;0.8,0,IF(0&lt;1,Sheet3!L561,1))*IF(G1142&lt;3,0.12 - O1142,0.01) *U1142</f>
        <v>0</v>
      </c>
      <c r="W1142" s="52">
        <f t="shared" si="347"/>
        <v>0</v>
      </c>
      <c r="X1142" s="53">
        <f t="shared" si="348"/>
        <v>0</v>
      </c>
      <c r="Y1142" s="53">
        <f t="shared" si="349"/>
        <v>0</v>
      </c>
      <c r="Z1142" s="54">
        <f t="shared" si="340"/>
        <v>0</v>
      </c>
      <c r="AA1142" s="54">
        <f t="shared" si="350"/>
        <v>0</v>
      </c>
      <c r="AB1142" s="55">
        <f t="shared" si="339"/>
        <v>0</v>
      </c>
      <c r="AC1142" s="55">
        <f t="shared" si="351"/>
        <v>0</v>
      </c>
      <c r="AD1142" s="56">
        <f t="shared" si="352"/>
        <v>1251.1400000000001</v>
      </c>
    </row>
    <row r="1143" spans="3:30">
      <c r="C1143" s="43" t="s">
        <v>2074</v>
      </c>
      <c r="D1143" s="44" t="s">
        <v>2075</v>
      </c>
      <c r="E1143" s="44"/>
      <c r="F1143" s="45">
        <v>42167.711446759255</v>
      </c>
      <c r="G1143" s="46">
        <v>39</v>
      </c>
      <c r="H1143" s="47">
        <v>43381</v>
      </c>
      <c r="I1143" s="47">
        <v>43403</v>
      </c>
      <c r="J1143" s="46">
        <v>500733</v>
      </c>
      <c r="K1143" s="46">
        <v>0</v>
      </c>
      <c r="L1143" s="46">
        <v>0</v>
      </c>
      <c r="M1143" s="46">
        <f t="shared" si="341"/>
        <v>500733</v>
      </c>
      <c r="N1143" s="46">
        <v>500733</v>
      </c>
      <c r="O1143" s="48">
        <f t="shared" si="342"/>
        <v>0</v>
      </c>
      <c r="P1143" s="46">
        <v>0</v>
      </c>
      <c r="Q1143" s="46">
        <v>500733</v>
      </c>
      <c r="R1143" s="49">
        <f t="shared" si="343"/>
        <v>1</v>
      </c>
      <c r="S1143" s="50">
        <f t="shared" si="344"/>
        <v>0.01</v>
      </c>
      <c r="T1143" s="49">
        <f t="shared" si="345"/>
        <v>5007.33</v>
      </c>
      <c r="U1143" s="51">
        <f t="shared" si="346"/>
        <v>0</v>
      </c>
      <c r="V1143" s="52">
        <f>IF(0&lt;0.8,0,IF(0&lt;1,Sheet3!L561,1))*IF(G1143&lt;3,0.12 - O1143,0.01) *U1143</f>
        <v>0</v>
      </c>
      <c r="W1143" s="52">
        <f t="shared" si="347"/>
        <v>0</v>
      </c>
      <c r="X1143" s="53">
        <f t="shared" si="348"/>
        <v>0</v>
      </c>
      <c r="Y1143" s="53">
        <f t="shared" si="349"/>
        <v>0</v>
      </c>
      <c r="Z1143" s="54">
        <f t="shared" si="340"/>
        <v>0</v>
      </c>
      <c r="AA1143" s="54">
        <f t="shared" si="350"/>
        <v>0</v>
      </c>
      <c r="AB1143" s="55">
        <f t="shared" si="339"/>
        <v>0</v>
      </c>
      <c r="AC1143" s="55">
        <f t="shared" si="351"/>
        <v>0</v>
      </c>
      <c r="AD1143" s="56">
        <f t="shared" si="352"/>
        <v>5007.33</v>
      </c>
    </row>
    <row r="1144" spans="3:30">
      <c r="C1144" s="43" t="s">
        <v>2076</v>
      </c>
      <c r="D1144" s="44" t="s">
        <v>2077</v>
      </c>
      <c r="E1144" s="44"/>
      <c r="F1144" s="45">
        <v>42173.404849537037</v>
      </c>
      <c r="G1144" s="46">
        <v>39</v>
      </c>
      <c r="H1144" s="47">
        <v>43404</v>
      </c>
      <c r="I1144" s="47">
        <v>43417</v>
      </c>
      <c r="J1144" s="46">
        <v>2361566</v>
      </c>
      <c r="K1144" s="46">
        <v>0</v>
      </c>
      <c r="L1144" s="46">
        <v>0</v>
      </c>
      <c r="M1144" s="46">
        <f t="shared" si="341"/>
        <v>2361566</v>
      </c>
      <c r="N1144" s="46">
        <v>2361566</v>
      </c>
      <c r="O1144" s="48">
        <f t="shared" si="342"/>
        <v>0</v>
      </c>
      <c r="P1144" s="46">
        <v>0</v>
      </c>
      <c r="Q1144" s="46">
        <v>5555966</v>
      </c>
      <c r="R1144" s="49">
        <f t="shared" si="343"/>
        <v>1</v>
      </c>
      <c r="S1144" s="50">
        <f t="shared" si="344"/>
        <v>0.01</v>
      </c>
      <c r="T1144" s="49">
        <f t="shared" si="345"/>
        <v>23615.66</v>
      </c>
      <c r="U1144" s="51">
        <f t="shared" si="346"/>
        <v>0</v>
      </c>
      <c r="V1144" s="52">
        <f>IF(0&lt;0.8,0,IF(0&lt;1,Sheet3!L561,1))*IF(G1144&lt;3,0.12 - O1144,0.01) *U1144</f>
        <v>0</v>
      </c>
      <c r="W1144" s="52">
        <f t="shared" si="347"/>
        <v>0</v>
      </c>
      <c r="X1144" s="53">
        <f t="shared" si="348"/>
        <v>0</v>
      </c>
      <c r="Y1144" s="53">
        <f t="shared" si="349"/>
        <v>0</v>
      </c>
      <c r="Z1144" s="54">
        <f t="shared" si="340"/>
        <v>0</v>
      </c>
      <c r="AA1144" s="54">
        <f t="shared" si="350"/>
        <v>0</v>
      </c>
      <c r="AB1144" s="55">
        <f t="shared" si="339"/>
        <v>0</v>
      </c>
      <c r="AC1144" s="55">
        <f t="shared" si="351"/>
        <v>0</v>
      </c>
      <c r="AD1144" s="56">
        <f t="shared" si="352"/>
        <v>23615.66</v>
      </c>
    </row>
    <row r="1145" spans="3:30">
      <c r="C1145" s="43" t="s">
        <v>2078</v>
      </c>
      <c r="D1145" s="44" t="s">
        <v>2079</v>
      </c>
      <c r="E1145" s="44"/>
      <c r="F1145" s="45">
        <v>42173.409837962958</v>
      </c>
      <c r="G1145" s="46">
        <v>39</v>
      </c>
      <c r="H1145" s="47">
        <v>43404</v>
      </c>
      <c r="I1145" s="47">
        <v>43412</v>
      </c>
      <c r="J1145" s="46">
        <v>61655</v>
      </c>
      <c r="K1145" s="46">
        <v>0</v>
      </c>
      <c r="L1145" s="46">
        <v>0</v>
      </c>
      <c r="M1145" s="46">
        <f t="shared" si="341"/>
        <v>61655</v>
      </c>
      <c r="N1145" s="46">
        <v>88401</v>
      </c>
      <c r="O1145" s="48">
        <f t="shared" si="342"/>
        <v>0.30255313853915677</v>
      </c>
      <c r="P1145" s="46">
        <v>0</v>
      </c>
      <c r="Q1145" s="46">
        <v>61655</v>
      </c>
      <c r="R1145" s="49">
        <f t="shared" si="343"/>
        <v>1</v>
      </c>
      <c r="S1145" s="50">
        <f t="shared" si="344"/>
        <v>0.01</v>
      </c>
      <c r="T1145" s="49">
        <f t="shared" si="345"/>
        <v>616.55000000000007</v>
      </c>
      <c r="U1145" s="51">
        <f t="shared" si="346"/>
        <v>0</v>
      </c>
      <c r="V1145" s="52">
        <f>IF(0&lt;0.8,0,IF(0&lt;1,Sheet3!L561,1))*IF(G1145&lt;3,0.12 - O1145,0.01) *U1145</f>
        <v>0</v>
      </c>
      <c r="W1145" s="52">
        <f t="shared" si="347"/>
        <v>0</v>
      </c>
      <c r="X1145" s="53">
        <f t="shared" si="348"/>
        <v>0</v>
      </c>
      <c r="Y1145" s="53">
        <f t="shared" si="349"/>
        <v>0</v>
      </c>
      <c r="Z1145" s="54">
        <f t="shared" si="340"/>
        <v>0</v>
      </c>
      <c r="AA1145" s="54">
        <f t="shared" si="350"/>
        <v>0</v>
      </c>
      <c r="AB1145" s="55">
        <f t="shared" si="339"/>
        <v>0</v>
      </c>
      <c r="AC1145" s="55">
        <f t="shared" si="351"/>
        <v>0</v>
      </c>
      <c r="AD1145" s="56">
        <f t="shared" si="352"/>
        <v>616.55000000000007</v>
      </c>
    </row>
    <row r="1146" spans="3:30">
      <c r="C1146" s="43" t="s">
        <v>2080</v>
      </c>
      <c r="D1146" s="44" t="s">
        <v>2081</v>
      </c>
      <c r="E1146" s="44"/>
      <c r="F1146" s="45">
        <v>42173.411134259259</v>
      </c>
      <c r="G1146" s="46">
        <v>39</v>
      </c>
      <c r="H1146" s="47">
        <v>43404</v>
      </c>
      <c r="I1146" s="47">
        <v>43412</v>
      </c>
      <c r="J1146" s="46">
        <v>22990</v>
      </c>
      <c r="K1146" s="46">
        <v>0</v>
      </c>
      <c r="L1146" s="46">
        <v>0</v>
      </c>
      <c r="M1146" s="46">
        <f t="shared" si="341"/>
        <v>22990</v>
      </c>
      <c r="N1146" s="46">
        <v>29948</v>
      </c>
      <c r="O1146" s="48">
        <f t="shared" si="342"/>
        <v>0.23233604915186323</v>
      </c>
      <c r="P1146" s="46">
        <v>0</v>
      </c>
      <c r="Q1146" s="46">
        <v>22990</v>
      </c>
      <c r="R1146" s="49">
        <f t="shared" si="343"/>
        <v>1</v>
      </c>
      <c r="S1146" s="50">
        <f t="shared" si="344"/>
        <v>0.01</v>
      </c>
      <c r="T1146" s="49">
        <f t="shared" si="345"/>
        <v>229.9</v>
      </c>
      <c r="U1146" s="51">
        <f t="shared" si="346"/>
        <v>0</v>
      </c>
      <c r="V1146" s="52">
        <f>IF(0&lt;0.8,0,IF(0&lt;1,Sheet3!L561,1))*IF(G1146&lt;3,0.12 - O1146,0.01) *U1146</f>
        <v>0</v>
      </c>
      <c r="W1146" s="52">
        <f t="shared" si="347"/>
        <v>0</v>
      </c>
      <c r="X1146" s="53">
        <f t="shared" si="348"/>
        <v>0</v>
      </c>
      <c r="Y1146" s="53">
        <f t="shared" si="349"/>
        <v>0</v>
      </c>
      <c r="Z1146" s="54">
        <f t="shared" si="340"/>
        <v>0</v>
      </c>
      <c r="AA1146" s="54">
        <f t="shared" si="350"/>
        <v>0</v>
      </c>
      <c r="AB1146" s="55">
        <f t="shared" si="339"/>
        <v>0</v>
      </c>
      <c r="AC1146" s="55">
        <f t="shared" si="351"/>
        <v>0</v>
      </c>
      <c r="AD1146" s="56">
        <f t="shared" si="352"/>
        <v>229.9</v>
      </c>
    </row>
    <row r="1147" spans="3:30">
      <c r="C1147" s="43" t="s">
        <v>2082</v>
      </c>
      <c r="D1147" s="44" t="s">
        <v>2083</v>
      </c>
      <c r="E1147" s="44"/>
      <c r="F1147" s="45">
        <v>42173.416041666664</v>
      </c>
      <c r="G1147" s="46">
        <v>39</v>
      </c>
      <c r="H1147" s="47">
        <v>43376</v>
      </c>
      <c r="I1147" s="47">
        <v>43385</v>
      </c>
      <c r="J1147" s="46">
        <v>723054</v>
      </c>
      <c r="K1147" s="46">
        <v>0</v>
      </c>
      <c r="L1147" s="46">
        <v>0</v>
      </c>
      <c r="M1147" s="46">
        <f t="shared" si="341"/>
        <v>723054</v>
      </c>
      <c r="N1147" s="46">
        <v>723054</v>
      </c>
      <c r="O1147" s="48">
        <f t="shared" si="342"/>
        <v>0</v>
      </c>
      <c r="P1147" s="46">
        <v>0</v>
      </c>
      <c r="Q1147" s="46">
        <v>723054</v>
      </c>
      <c r="R1147" s="49">
        <f t="shared" si="343"/>
        <v>1</v>
      </c>
      <c r="S1147" s="50">
        <f t="shared" si="344"/>
        <v>0.01</v>
      </c>
      <c r="T1147" s="49">
        <f t="shared" si="345"/>
        <v>7230.54</v>
      </c>
      <c r="U1147" s="51">
        <f t="shared" si="346"/>
        <v>0</v>
      </c>
      <c r="V1147" s="52">
        <f>IF(0&lt;0.8,0,IF(0&lt;1,Sheet3!L561,1))*IF(G1147&lt;3,0.12 - O1147,0.01) *U1147</f>
        <v>0</v>
      </c>
      <c r="W1147" s="52">
        <f t="shared" si="347"/>
        <v>0</v>
      </c>
      <c r="X1147" s="53">
        <f t="shared" si="348"/>
        <v>0</v>
      </c>
      <c r="Y1147" s="53">
        <f t="shared" si="349"/>
        <v>0</v>
      </c>
      <c r="Z1147" s="54">
        <f t="shared" si="340"/>
        <v>0</v>
      </c>
      <c r="AA1147" s="54">
        <f t="shared" si="350"/>
        <v>0</v>
      </c>
      <c r="AB1147" s="55">
        <f t="shared" si="339"/>
        <v>0</v>
      </c>
      <c r="AC1147" s="55">
        <f t="shared" si="351"/>
        <v>0</v>
      </c>
      <c r="AD1147" s="56">
        <f t="shared" si="352"/>
        <v>7230.54</v>
      </c>
    </row>
    <row r="1148" spans="3:30">
      <c r="C1148" s="43" t="s">
        <v>2084</v>
      </c>
      <c r="D1148" s="44" t="s">
        <v>2085</v>
      </c>
      <c r="E1148" s="44"/>
      <c r="F1148" s="45">
        <v>42177.406168981477</v>
      </c>
      <c r="G1148" s="46">
        <v>39</v>
      </c>
      <c r="H1148" s="47">
        <v>43381</v>
      </c>
      <c r="I1148" s="47">
        <v>43397</v>
      </c>
      <c r="J1148" s="46">
        <v>232016</v>
      </c>
      <c r="K1148" s="46">
        <v>0</v>
      </c>
      <c r="L1148" s="46">
        <v>0</v>
      </c>
      <c r="M1148" s="46">
        <f t="shared" si="341"/>
        <v>232016</v>
      </c>
      <c r="N1148" s="46">
        <v>232016</v>
      </c>
      <c r="O1148" s="48">
        <f t="shared" si="342"/>
        <v>0</v>
      </c>
      <c r="P1148" s="46">
        <v>0</v>
      </c>
      <c r="Q1148" s="46">
        <v>232016</v>
      </c>
      <c r="R1148" s="49">
        <f t="shared" si="343"/>
        <v>1</v>
      </c>
      <c r="S1148" s="50">
        <f t="shared" si="344"/>
        <v>0.01</v>
      </c>
      <c r="T1148" s="49">
        <f t="shared" si="345"/>
        <v>2320.16</v>
      </c>
      <c r="U1148" s="51">
        <f t="shared" si="346"/>
        <v>0</v>
      </c>
      <c r="V1148" s="52">
        <f>IF(0&lt;0.8,0,IF(0&lt;1,Sheet3!L561,1))*IF(G1148&lt;3,0.12 - O1148,0.01) *U1148</f>
        <v>0</v>
      </c>
      <c r="W1148" s="52">
        <f t="shared" si="347"/>
        <v>0</v>
      </c>
      <c r="X1148" s="53">
        <f t="shared" si="348"/>
        <v>0</v>
      </c>
      <c r="Y1148" s="53">
        <f t="shared" si="349"/>
        <v>0</v>
      </c>
      <c r="Z1148" s="54">
        <f t="shared" si="340"/>
        <v>0</v>
      </c>
      <c r="AA1148" s="54">
        <f t="shared" si="350"/>
        <v>0</v>
      </c>
      <c r="AB1148" s="55">
        <f t="shared" si="339"/>
        <v>0</v>
      </c>
      <c r="AC1148" s="55">
        <f t="shared" si="351"/>
        <v>0</v>
      </c>
      <c r="AD1148" s="56">
        <f t="shared" si="352"/>
        <v>2320.16</v>
      </c>
    </row>
    <row r="1149" spans="3:30">
      <c r="C1149" s="43" t="s">
        <v>2086</v>
      </c>
      <c r="D1149" s="44" t="s">
        <v>2087</v>
      </c>
      <c r="E1149" s="44"/>
      <c r="F1149" s="45">
        <v>42185.700555555552</v>
      </c>
      <c r="G1149" s="46">
        <v>39</v>
      </c>
      <c r="H1149" s="47">
        <v>43381</v>
      </c>
      <c r="I1149" s="47">
        <v>43390</v>
      </c>
      <c r="J1149" s="46">
        <v>234641</v>
      </c>
      <c r="K1149" s="46">
        <v>0</v>
      </c>
      <c r="L1149" s="46">
        <v>0</v>
      </c>
      <c r="M1149" s="46">
        <f t="shared" si="341"/>
        <v>234641</v>
      </c>
      <c r="N1149" s="46">
        <v>234641</v>
      </c>
      <c r="O1149" s="48">
        <f t="shared" si="342"/>
        <v>0</v>
      </c>
      <c r="P1149" s="46">
        <v>0</v>
      </c>
      <c r="Q1149" s="46">
        <v>234641</v>
      </c>
      <c r="R1149" s="49">
        <f t="shared" si="343"/>
        <v>1</v>
      </c>
      <c r="S1149" s="50">
        <f t="shared" si="344"/>
        <v>0.01</v>
      </c>
      <c r="T1149" s="49">
        <f t="shared" si="345"/>
        <v>2346.41</v>
      </c>
      <c r="U1149" s="51">
        <f t="shared" si="346"/>
        <v>0</v>
      </c>
      <c r="V1149" s="52">
        <f>IF(0&lt;0.8,0,IF(0&lt;1,Sheet3!L561,1))*IF(G1149&lt;3,0.12 - O1149,0.01) *U1149</f>
        <v>0</v>
      </c>
      <c r="W1149" s="52">
        <f t="shared" si="347"/>
        <v>0</v>
      </c>
      <c r="X1149" s="53">
        <f t="shared" si="348"/>
        <v>0</v>
      </c>
      <c r="Y1149" s="53">
        <f t="shared" si="349"/>
        <v>0</v>
      </c>
      <c r="Z1149" s="54">
        <f t="shared" si="340"/>
        <v>0</v>
      </c>
      <c r="AA1149" s="54">
        <f t="shared" si="350"/>
        <v>0</v>
      </c>
      <c r="AB1149" s="55">
        <f t="shared" si="339"/>
        <v>0</v>
      </c>
      <c r="AC1149" s="55">
        <f t="shared" si="351"/>
        <v>0</v>
      </c>
      <c r="AD1149" s="56">
        <f t="shared" si="352"/>
        <v>2346.41</v>
      </c>
    </row>
    <row r="1150" spans="3:30">
      <c r="C1150" s="43" t="s">
        <v>2088</v>
      </c>
      <c r="D1150" s="44" t="s">
        <v>2089</v>
      </c>
      <c r="E1150" s="44"/>
      <c r="F1150" s="45">
        <v>42185.698842592588</v>
      </c>
      <c r="G1150" s="46">
        <v>39</v>
      </c>
      <c r="H1150" s="47">
        <v>43383</v>
      </c>
      <c r="I1150" s="47">
        <v>43374</v>
      </c>
      <c r="J1150" s="46">
        <v>3033691</v>
      </c>
      <c r="K1150" s="46">
        <v>0</v>
      </c>
      <c r="L1150" s="46">
        <v>0</v>
      </c>
      <c r="M1150" s="46">
        <f t="shared" si="341"/>
        <v>3033691</v>
      </c>
      <c r="N1150" s="46">
        <v>3033691</v>
      </c>
      <c r="O1150" s="48">
        <f t="shared" si="342"/>
        <v>0</v>
      </c>
      <c r="P1150" s="46">
        <v>0</v>
      </c>
      <c r="Q1150" s="46">
        <v>3033691</v>
      </c>
      <c r="R1150" s="49">
        <f t="shared" si="343"/>
        <v>1</v>
      </c>
      <c r="S1150" s="50">
        <f t="shared" si="344"/>
        <v>0.01</v>
      </c>
      <c r="T1150" s="49">
        <f t="shared" si="345"/>
        <v>30336.91</v>
      </c>
      <c r="U1150" s="51">
        <f t="shared" si="346"/>
        <v>0</v>
      </c>
      <c r="V1150" s="52">
        <f>IF(0&lt;0.8,0,IF(0&lt;1,Sheet3!L561,1))*IF(G1150&lt;3,0.12 - O1150,0.01) *U1150</f>
        <v>0</v>
      </c>
      <c r="W1150" s="52">
        <f t="shared" si="347"/>
        <v>0</v>
      </c>
      <c r="X1150" s="53">
        <f t="shared" si="348"/>
        <v>0</v>
      </c>
      <c r="Y1150" s="53">
        <f t="shared" si="349"/>
        <v>0</v>
      </c>
      <c r="Z1150" s="54">
        <f t="shared" si="340"/>
        <v>0</v>
      </c>
      <c r="AA1150" s="54">
        <f t="shared" si="350"/>
        <v>0</v>
      </c>
      <c r="AB1150" s="55">
        <f t="shared" si="339"/>
        <v>0</v>
      </c>
      <c r="AC1150" s="55">
        <f t="shared" si="351"/>
        <v>0</v>
      </c>
      <c r="AD1150" s="56">
        <f t="shared" si="352"/>
        <v>30336.91</v>
      </c>
    </row>
    <row r="1151" spans="3:30">
      <c r="C1151" s="43" t="s">
        <v>2090</v>
      </c>
      <c r="D1151" s="44" t="s">
        <v>2091</v>
      </c>
      <c r="E1151" s="44"/>
      <c r="F1151" s="45">
        <v>42187.704826388886</v>
      </c>
      <c r="G1151" s="46">
        <v>38</v>
      </c>
      <c r="H1151" s="47">
        <v>43404</v>
      </c>
      <c r="I1151" s="47">
        <v>43242</v>
      </c>
      <c r="J1151" s="46">
        <v>12655556</v>
      </c>
      <c r="K1151" s="46">
        <v>0</v>
      </c>
      <c r="L1151" s="46">
        <v>0</v>
      </c>
      <c r="M1151" s="46">
        <f t="shared" si="341"/>
        <v>12655556</v>
      </c>
      <c r="N1151" s="46">
        <v>25146431</v>
      </c>
      <c r="O1151" s="48">
        <f t="shared" si="342"/>
        <v>0.49672555918571504</v>
      </c>
      <c r="P1151" s="46">
        <v>0</v>
      </c>
      <c r="Q1151" s="46">
        <v>12655556</v>
      </c>
      <c r="R1151" s="49">
        <f t="shared" si="343"/>
        <v>1</v>
      </c>
      <c r="S1151" s="50">
        <f t="shared" si="344"/>
        <v>0.01</v>
      </c>
      <c r="T1151" s="49">
        <f t="shared" si="345"/>
        <v>126555.56</v>
      </c>
      <c r="U1151" s="51">
        <f t="shared" si="346"/>
        <v>0</v>
      </c>
      <c r="V1151" s="52">
        <f>IF(0&lt;0.8,0,IF(0&lt;1,Sheet3!L561,1))*IF(G1151&lt;3,0.12 - O1151,0.01) *U1151</f>
        <v>0</v>
      </c>
      <c r="W1151" s="52">
        <f t="shared" si="347"/>
        <v>0</v>
      </c>
      <c r="X1151" s="53">
        <f t="shared" si="348"/>
        <v>0</v>
      </c>
      <c r="Y1151" s="53">
        <f t="shared" si="349"/>
        <v>0</v>
      </c>
      <c r="Z1151" s="54">
        <f t="shared" si="340"/>
        <v>0</v>
      </c>
      <c r="AA1151" s="54">
        <f t="shared" si="350"/>
        <v>0</v>
      </c>
      <c r="AB1151" s="55">
        <f t="shared" si="339"/>
        <v>0</v>
      </c>
      <c r="AC1151" s="55">
        <f t="shared" si="351"/>
        <v>0</v>
      </c>
      <c r="AD1151" s="56">
        <f t="shared" si="352"/>
        <v>126555.56</v>
      </c>
    </row>
    <row r="1152" spans="3:30">
      <c r="C1152" s="43" t="s">
        <v>2092</v>
      </c>
      <c r="D1152" s="44" t="s">
        <v>2093</v>
      </c>
      <c r="E1152" s="44"/>
      <c r="F1152" s="45">
        <v>42200.594224537039</v>
      </c>
      <c r="G1152" s="46">
        <v>38</v>
      </c>
      <c r="H1152" s="47">
        <v>43381</v>
      </c>
      <c r="I1152" s="47">
        <v>43390</v>
      </c>
      <c r="J1152" s="46">
        <v>279510</v>
      </c>
      <c r="K1152" s="46">
        <v>0</v>
      </c>
      <c r="L1152" s="46">
        <v>0</v>
      </c>
      <c r="M1152" s="46">
        <f t="shared" si="341"/>
        <v>279510</v>
      </c>
      <c r="N1152" s="46">
        <v>279510</v>
      </c>
      <c r="O1152" s="48">
        <f t="shared" si="342"/>
        <v>0</v>
      </c>
      <c r="P1152" s="46">
        <v>0</v>
      </c>
      <c r="Q1152" s="46">
        <v>279510</v>
      </c>
      <c r="R1152" s="49">
        <f t="shared" si="343"/>
        <v>1</v>
      </c>
      <c r="S1152" s="50">
        <f t="shared" si="344"/>
        <v>0.01</v>
      </c>
      <c r="T1152" s="49">
        <f t="shared" si="345"/>
        <v>2795.1</v>
      </c>
      <c r="U1152" s="51">
        <f t="shared" si="346"/>
        <v>0</v>
      </c>
      <c r="V1152" s="52">
        <f>IF(0&lt;0.8,0,IF(0&lt;1,Sheet3!L561,1))*IF(G1152&lt;3,0.12 - O1152,0.01) *U1152</f>
        <v>0</v>
      </c>
      <c r="W1152" s="52">
        <f t="shared" si="347"/>
        <v>0</v>
      </c>
      <c r="X1152" s="53">
        <f t="shared" si="348"/>
        <v>0</v>
      </c>
      <c r="Y1152" s="53">
        <f t="shared" si="349"/>
        <v>0</v>
      </c>
      <c r="Z1152" s="54">
        <f t="shared" si="340"/>
        <v>0</v>
      </c>
      <c r="AA1152" s="54">
        <f t="shared" si="350"/>
        <v>0</v>
      </c>
      <c r="AB1152" s="55">
        <f t="shared" si="339"/>
        <v>0</v>
      </c>
      <c r="AC1152" s="55">
        <f t="shared" si="351"/>
        <v>0</v>
      </c>
      <c r="AD1152" s="56">
        <f t="shared" si="352"/>
        <v>2795.1</v>
      </c>
    </row>
    <row r="1153" spans="3:30">
      <c r="C1153" s="43" t="s">
        <v>2094</v>
      </c>
      <c r="D1153" s="44" t="s">
        <v>2095</v>
      </c>
      <c r="E1153" s="44"/>
      <c r="F1153" s="45">
        <v>42200.603310185186</v>
      </c>
      <c r="G1153" s="46">
        <v>38</v>
      </c>
      <c r="H1153" s="47">
        <v>43404</v>
      </c>
      <c r="I1153" s="47">
        <v>43412</v>
      </c>
      <c r="J1153" s="46">
        <v>985160</v>
      </c>
      <c r="K1153" s="46">
        <v>0</v>
      </c>
      <c r="L1153" s="46">
        <v>0</v>
      </c>
      <c r="M1153" s="46">
        <f t="shared" si="341"/>
        <v>985160</v>
      </c>
      <c r="N1153" s="46">
        <v>1420970</v>
      </c>
      <c r="O1153" s="48">
        <f t="shared" si="342"/>
        <v>0.30669894508680695</v>
      </c>
      <c r="P1153" s="46">
        <v>0</v>
      </c>
      <c r="Q1153" s="46">
        <v>985160</v>
      </c>
      <c r="R1153" s="49">
        <f t="shared" si="343"/>
        <v>1</v>
      </c>
      <c r="S1153" s="50">
        <f t="shared" si="344"/>
        <v>0.01</v>
      </c>
      <c r="T1153" s="49">
        <f t="shared" si="345"/>
        <v>9851.6</v>
      </c>
      <c r="U1153" s="51">
        <f t="shared" si="346"/>
        <v>0</v>
      </c>
      <c r="V1153" s="52">
        <f>IF(0&lt;0.8,0,IF(0&lt;1,Sheet3!L561,1))*IF(G1153&lt;3,0.12 - O1153,0.01) *U1153</f>
        <v>0</v>
      </c>
      <c r="W1153" s="52">
        <f t="shared" si="347"/>
        <v>0</v>
      </c>
      <c r="X1153" s="53">
        <f t="shared" si="348"/>
        <v>0</v>
      </c>
      <c r="Y1153" s="53">
        <f t="shared" si="349"/>
        <v>0</v>
      </c>
      <c r="Z1153" s="54">
        <f t="shared" si="340"/>
        <v>0</v>
      </c>
      <c r="AA1153" s="54">
        <f t="shared" si="350"/>
        <v>0</v>
      </c>
      <c r="AB1153" s="55">
        <f t="shared" si="339"/>
        <v>0</v>
      </c>
      <c r="AC1153" s="55">
        <f t="shared" si="351"/>
        <v>0</v>
      </c>
      <c r="AD1153" s="56">
        <f t="shared" si="352"/>
        <v>9851.6</v>
      </c>
    </row>
    <row r="1154" spans="3:30">
      <c r="C1154" s="43" t="s">
        <v>2096</v>
      </c>
      <c r="D1154" s="44" t="s">
        <v>2097</v>
      </c>
      <c r="E1154" s="44"/>
      <c r="F1154" s="45">
        <v>42207.580266203702</v>
      </c>
      <c r="G1154" s="46">
        <v>38</v>
      </c>
      <c r="H1154" s="47">
        <v>43372</v>
      </c>
      <c r="I1154" s="47">
        <v>43420</v>
      </c>
      <c r="J1154" s="46">
        <v>246736</v>
      </c>
      <c r="K1154" s="46">
        <v>0</v>
      </c>
      <c r="L1154" s="46">
        <v>0</v>
      </c>
      <c r="M1154" s="46">
        <f t="shared" si="341"/>
        <v>246736</v>
      </c>
      <c r="N1154" s="46">
        <v>246736</v>
      </c>
      <c r="O1154" s="48">
        <f t="shared" si="342"/>
        <v>0</v>
      </c>
      <c r="P1154" s="46">
        <v>0</v>
      </c>
      <c r="Q1154" s="46">
        <v>246736</v>
      </c>
      <c r="R1154" s="49">
        <f t="shared" si="343"/>
        <v>1</v>
      </c>
      <c r="S1154" s="50">
        <f t="shared" si="344"/>
        <v>0.01</v>
      </c>
      <c r="T1154" s="49">
        <f t="shared" si="345"/>
        <v>2467.36</v>
      </c>
      <c r="U1154" s="51">
        <f t="shared" si="346"/>
        <v>0</v>
      </c>
      <c r="V1154" s="52">
        <f>IF(0&lt;0.8,0,IF(0&lt;1,Sheet3!L561,1))*IF(G1154&lt;3,0.12 - O1154,0.01) *U1154</f>
        <v>0</v>
      </c>
      <c r="W1154" s="52">
        <f t="shared" si="347"/>
        <v>0</v>
      </c>
      <c r="X1154" s="53">
        <f t="shared" si="348"/>
        <v>0</v>
      </c>
      <c r="Y1154" s="53">
        <f t="shared" si="349"/>
        <v>0</v>
      </c>
      <c r="Z1154" s="54">
        <f t="shared" si="340"/>
        <v>0</v>
      </c>
      <c r="AA1154" s="54">
        <f t="shared" si="350"/>
        <v>0</v>
      </c>
      <c r="AB1154" s="55">
        <f t="shared" si="339"/>
        <v>0</v>
      </c>
      <c r="AC1154" s="55">
        <f t="shared" si="351"/>
        <v>0</v>
      </c>
      <c r="AD1154" s="56">
        <f t="shared" si="352"/>
        <v>2467.36</v>
      </c>
    </row>
    <row r="1155" spans="3:30">
      <c r="C1155" s="43" t="s">
        <v>2098</v>
      </c>
      <c r="D1155" s="44" t="s">
        <v>2099</v>
      </c>
      <c r="E1155" s="44"/>
      <c r="F1155" s="45">
        <v>42219.602476851847</v>
      </c>
      <c r="G1155" s="46">
        <v>37</v>
      </c>
      <c r="H1155" s="47">
        <v>43372</v>
      </c>
      <c r="I1155" s="47">
        <v>43404</v>
      </c>
      <c r="J1155" s="46">
        <v>2624889</v>
      </c>
      <c r="K1155" s="46">
        <v>0</v>
      </c>
      <c r="L1155" s="46">
        <v>0</v>
      </c>
      <c r="M1155" s="46">
        <f t="shared" si="341"/>
        <v>2624889</v>
      </c>
      <c r="N1155" s="46">
        <v>2624889</v>
      </c>
      <c r="O1155" s="48">
        <f t="shared" si="342"/>
        <v>0</v>
      </c>
      <c r="P1155" s="46">
        <v>0</v>
      </c>
      <c r="Q1155" s="46">
        <v>2624889</v>
      </c>
      <c r="R1155" s="49">
        <f t="shared" si="343"/>
        <v>1</v>
      </c>
      <c r="S1155" s="50">
        <f t="shared" si="344"/>
        <v>0.01</v>
      </c>
      <c r="T1155" s="49">
        <f t="shared" si="345"/>
        <v>26248.89</v>
      </c>
      <c r="U1155" s="51">
        <f t="shared" si="346"/>
        <v>0</v>
      </c>
      <c r="V1155" s="52">
        <f>IF(0&lt;0.8,0,IF(0&lt;1,Sheet3!L561,1))*IF(G1155&lt;3,0.12 - O1155,0.01) *U1155</f>
        <v>0</v>
      </c>
      <c r="W1155" s="52">
        <f t="shared" si="347"/>
        <v>0</v>
      </c>
      <c r="X1155" s="53">
        <f t="shared" si="348"/>
        <v>0</v>
      </c>
      <c r="Y1155" s="53">
        <f t="shared" si="349"/>
        <v>0</v>
      </c>
      <c r="Z1155" s="54">
        <f t="shared" si="340"/>
        <v>0</v>
      </c>
      <c r="AA1155" s="54">
        <f t="shared" si="350"/>
        <v>0</v>
      </c>
      <c r="AB1155" s="55">
        <f t="shared" si="339"/>
        <v>0</v>
      </c>
      <c r="AC1155" s="55">
        <f t="shared" si="351"/>
        <v>0</v>
      </c>
      <c r="AD1155" s="56">
        <f t="shared" si="352"/>
        <v>26248.89</v>
      </c>
    </row>
    <row r="1156" spans="3:30">
      <c r="C1156" s="43" t="s">
        <v>2100</v>
      </c>
      <c r="D1156" s="44" t="s">
        <v>2101</v>
      </c>
      <c r="E1156" s="44"/>
      <c r="F1156" s="45">
        <v>42219.601458333331</v>
      </c>
      <c r="G1156" s="46">
        <v>37</v>
      </c>
      <c r="H1156" s="47">
        <v>43381</v>
      </c>
      <c r="I1156" s="47">
        <v>43417</v>
      </c>
      <c r="J1156" s="46">
        <v>1888765</v>
      </c>
      <c r="K1156" s="46">
        <v>0</v>
      </c>
      <c r="L1156" s="46">
        <v>0</v>
      </c>
      <c r="M1156" s="46">
        <f t="shared" si="341"/>
        <v>1888765</v>
      </c>
      <c r="N1156" s="46">
        <v>1888765</v>
      </c>
      <c r="O1156" s="48">
        <f t="shared" si="342"/>
        <v>0</v>
      </c>
      <c r="P1156" s="46">
        <v>0</v>
      </c>
      <c r="Q1156" s="46">
        <v>1888765</v>
      </c>
      <c r="R1156" s="49">
        <f t="shared" si="343"/>
        <v>1</v>
      </c>
      <c r="S1156" s="50">
        <f t="shared" si="344"/>
        <v>0.01</v>
      </c>
      <c r="T1156" s="49">
        <f t="shared" si="345"/>
        <v>18887.650000000001</v>
      </c>
      <c r="U1156" s="51">
        <f t="shared" si="346"/>
        <v>0</v>
      </c>
      <c r="V1156" s="52">
        <f>IF(0&lt;0.8,0,IF(0&lt;1,Sheet3!L561,1))*IF(G1156&lt;3,0.12 - O1156,0.01) *U1156</f>
        <v>0</v>
      </c>
      <c r="W1156" s="52">
        <f t="shared" si="347"/>
        <v>0</v>
      </c>
      <c r="X1156" s="53">
        <f t="shared" si="348"/>
        <v>0</v>
      </c>
      <c r="Y1156" s="53">
        <f t="shared" si="349"/>
        <v>0</v>
      </c>
      <c r="Z1156" s="54">
        <f t="shared" si="340"/>
        <v>0</v>
      </c>
      <c r="AA1156" s="54">
        <f t="shared" si="350"/>
        <v>0</v>
      </c>
      <c r="AB1156" s="55">
        <f t="shared" si="339"/>
        <v>0</v>
      </c>
      <c r="AC1156" s="55">
        <f t="shared" si="351"/>
        <v>0</v>
      </c>
      <c r="AD1156" s="56">
        <f t="shared" si="352"/>
        <v>18887.650000000001</v>
      </c>
    </row>
    <row r="1157" spans="3:30">
      <c r="C1157" s="43" t="s">
        <v>2102</v>
      </c>
      <c r="D1157" s="44" t="s">
        <v>2103</v>
      </c>
      <c r="E1157" s="44"/>
      <c r="F1157" s="45">
        <v>42222.667349537034</v>
      </c>
      <c r="G1157" s="46">
        <v>37</v>
      </c>
      <c r="H1157" s="47">
        <v>43404</v>
      </c>
      <c r="I1157" s="47">
        <v>43412</v>
      </c>
      <c r="J1157" s="46">
        <v>200448</v>
      </c>
      <c r="K1157" s="46">
        <v>0</v>
      </c>
      <c r="L1157" s="46">
        <v>0</v>
      </c>
      <c r="M1157" s="46">
        <f t="shared" si="341"/>
        <v>200448</v>
      </c>
      <c r="N1157" s="46">
        <v>223174</v>
      </c>
      <c r="O1157" s="48">
        <f t="shared" si="342"/>
        <v>0.10183085843333006</v>
      </c>
      <c r="P1157" s="46">
        <v>0</v>
      </c>
      <c r="Q1157" s="46">
        <v>200448</v>
      </c>
      <c r="R1157" s="49">
        <f t="shared" si="343"/>
        <v>1</v>
      </c>
      <c r="S1157" s="50">
        <f t="shared" si="344"/>
        <v>0.01</v>
      </c>
      <c r="T1157" s="49">
        <f t="shared" si="345"/>
        <v>2004.48</v>
      </c>
      <c r="U1157" s="51">
        <f t="shared" si="346"/>
        <v>0</v>
      </c>
      <c r="V1157" s="52">
        <f>IF(0&lt;0.8,0,IF(0&lt;1,Sheet3!L561,1))*IF(G1157&lt;3,0.12 - O1157,0.01) *U1157</f>
        <v>0</v>
      </c>
      <c r="W1157" s="52">
        <f t="shared" si="347"/>
        <v>0</v>
      </c>
      <c r="X1157" s="53">
        <f t="shared" si="348"/>
        <v>0</v>
      </c>
      <c r="Y1157" s="53">
        <f t="shared" si="349"/>
        <v>0</v>
      </c>
      <c r="Z1157" s="54">
        <f t="shared" si="340"/>
        <v>0</v>
      </c>
      <c r="AA1157" s="54">
        <f t="shared" si="350"/>
        <v>0</v>
      </c>
      <c r="AB1157" s="55">
        <f t="shared" si="339"/>
        <v>0</v>
      </c>
      <c r="AC1157" s="55">
        <f t="shared" si="351"/>
        <v>0</v>
      </c>
      <c r="AD1157" s="56">
        <f t="shared" si="352"/>
        <v>2004.48</v>
      </c>
    </row>
    <row r="1158" spans="3:30">
      <c r="C1158" s="43" t="s">
        <v>2104</v>
      </c>
      <c r="D1158" s="44" t="s">
        <v>2105</v>
      </c>
      <c r="E1158" s="44"/>
      <c r="F1158" s="45">
        <v>42222.665196759255</v>
      </c>
      <c r="G1158" s="46">
        <v>37</v>
      </c>
      <c r="H1158" s="47">
        <v>43372</v>
      </c>
      <c r="I1158" s="47">
        <v>43397</v>
      </c>
      <c r="J1158" s="46">
        <v>606404</v>
      </c>
      <c r="K1158" s="46">
        <v>0</v>
      </c>
      <c r="L1158" s="46">
        <v>0</v>
      </c>
      <c r="M1158" s="46">
        <f t="shared" si="341"/>
        <v>606404</v>
      </c>
      <c r="N1158" s="46">
        <v>606404</v>
      </c>
      <c r="O1158" s="48">
        <f t="shared" si="342"/>
        <v>0</v>
      </c>
      <c r="P1158" s="46">
        <v>0</v>
      </c>
      <c r="Q1158" s="46">
        <v>606404</v>
      </c>
      <c r="R1158" s="49">
        <f t="shared" si="343"/>
        <v>1</v>
      </c>
      <c r="S1158" s="50">
        <f t="shared" si="344"/>
        <v>0.01</v>
      </c>
      <c r="T1158" s="49">
        <f t="shared" si="345"/>
        <v>6064.04</v>
      </c>
      <c r="U1158" s="51">
        <f t="shared" si="346"/>
        <v>0</v>
      </c>
      <c r="V1158" s="52">
        <f>IF(0&lt;0.8,0,IF(0&lt;1,Sheet3!L561,1))*IF(G1158&lt;3,0.12 - O1158,0.01) *U1158</f>
        <v>0</v>
      </c>
      <c r="W1158" s="52">
        <f t="shared" si="347"/>
        <v>0</v>
      </c>
      <c r="X1158" s="53">
        <f t="shared" si="348"/>
        <v>0</v>
      </c>
      <c r="Y1158" s="53">
        <f t="shared" si="349"/>
        <v>0</v>
      </c>
      <c r="Z1158" s="54">
        <f t="shared" si="340"/>
        <v>0</v>
      </c>
      <c r="AA1158" s="54">
        <f t="shared" si="350"/>
        <v>0</v>
      </c>
      <c r="AB1158" s="55">
        <f t="shared" si="339"/>
        <v>0</v>
      </c>
      <c r="AC1158" s="55">
        <f t="shared" si="351"/>
        <v>0</v>
      </c>
      <c r="AD1158" s="56">
        <f t="shared" si="352"/>
        <v>6064.04</v>
      </c>
    </row>
    <row r="1159" spans="3:30">
      <c r="C1159" s="43" t="s">
        <v>2106</v>
      </c>
      <c r="D1159" s="44" t="s">
        <v>2107</v>
      </c>
      <c r="E1159" s="44"/>
      <c r="F1159" s="45">
        <v>42222.659340277773</v>
      </c>
      <c r="G1159" s="46">
        <v>37</v>
      </c>
      <c r="H1159" s="47" t="s">
        <v>24</v>
      </c>
      <c r="I1159" s="47" t="s">
        <v>24</v>
      </c>
      <c r="J1159" s="46">
        <v>190938</v>
      </c>
      <c r="K1159" s="46">
        <v>0</v>
      </c>
      <c r="L1159" s="46">
        <v>0</v>
      </c>
      <c r="M1159" s="46">
        <f t="shared" si="341"/>
        <v>190938</v>
      </c>
      <c r="N1159" s="46">
        <v>190938</v>
      </c>
      <c r="O1159" s="48">
        <f t="shared" si="342"/>
        <v>0</v>
      </c>
      <c r="P1159" s="46">
        <v>0</v>
      </c>
      <c r="Q1159" s="46">
        <v>190938</v>
      </c>
      <c r="R1159" s="49">
        <f t="shared" si="343"/>
        <v>1</v>
      </c>
      <c r="S1159" s="50">
        <f t="shared" si="344"/>
        <v>0.01</v>
      </c>
      <c r="T1159" s="49">
        <f t="shared" si="345"/>
        <v>1909.38</v>
      </c>
      <c r="U1159" s="51">
        <f t="shared" si="346"/>
        <v>0</v>
      </c>
      <c r="V1159" s="52">
        <f>IF(0&lt;0.8,0,IF(0&lt;1,Sheet3!L561,1))*IF(G1159&lt;3,0.12 - O1159,0.01) *U1159</f>
        <v>0</v>
      </c>
      <c r="W1159" s="52">
        <f t="shared" si="347"/>
        <v>0</v>
      </c>
      <c r="X1159" s="53">
        <f t="shared" si="348"/>
        <v>0</v>
      </c>
      <c r="Y1159" s="53">
        <f t="shared" si="349"/>
        <v>0</v>
      </c>
      <c r="Z1159" s="54">
        <f t="shared" si="340"/>
        <v>0</v>
      </c>
      <c r="AA1159" s="54">
        <f t="shared" si="350"/>
        <v>0</v>
      </c>
      <c r="AB1159" s="55">
        <f t="shared" ref="AB1159:AB1192" si="353">IF(R1159=0,0,0)</f>
        <v>0</v>
      </c>
      <c r="AC1159" s="55">
        <f t="shared" si="351"/>
        <v>0</v>
      </c>
      <c r="AD1159" s="56">
        <f t="shared" si="352"/>
        <v>1909.38</v>
      </c>
    </row>
    <row r="1160" spans="3:30">
      <c r="C1160" s="43" t="s">
        <v>2108</v>
      </c>
      <c r="D1160" s="44" t="s">
        <v>2109</v>
      </c>
      <c r="E1160" s="44"/>
      <c r="F1160" s="45">
        <v>42234.648460648146</v>
      </c>
      <c r="G1160" s="46">
        <v>37</v>
      </c>
      <c r="H1160" s="47">
        <v>43395</v>
      </c>
      <c r="I1160" s="47">
        <v>43452</v>
      </c>
      <c r="J1160" s="46">
        <v>25788206</v>
      </c>
      <c r="K1160" s="46">
        <v>0</v>
      </c>
      <c r="L1160" s="46">
        <v>0</v>
      </c>
      <c r="M1160" s="46">
        <f t="shared" si="341"/>
        <v>25788206</v>
      </c>
      <c r="N1160" s="46">
        <v>30876464</v>
      </c>
      <c r="O1160" s="48">
        <f t="shared" si="342"/>
        <v>0.16479406450168643</v>
      </c>
      <c r="P1160" s="46">
        <v>0</v>
      </c>
      <c r="Q1160" s="46">
        <v>25801516</v>
      </c>
      <c r="R1160" s="49">
        <f t="shared" si="343"/>
        <v>1</v>
      </c>
      <c r="S1160" s="50">
        <f t="shared" si="344"/>
        <v>0.01</v>
      </c>
      <c r="T1160" s="49">
        <f t="shared" si="345"/>
        <v>257882.06</v>
      </c>
      <c r="U1160" s="51">
        <f t="shared" si="346"/>
        <v>0</v>
      </c>
      <c r="V1160" s="52">
        <f>IF(0&lt;0.8,0,IF(0&lt;1,Sheet3!L561,1))*IF(G1160&lt;3,0.12 - O1160,0.01) *U1160</f>
        <v>0</v>
      </c>
      <c r="W1160" s="52">
        <f t="shared" si="347"/>
        <v>0</v>
      </c>
      <c r="X1160" s="53">
        <f t="shared" si="348"/>
        <v>0</v>
      </c>
      <c r="Y1160" s="53">
        <f t="shared" si="349"/>
        <v>0</v>
      </c>
      <c r="Z1160" s="54">
        <f t="shared" si="340"/>
        <v>0</v>
      </c>
      <c r="AA1160" s="54">
        <f t="shared" si="350"/>
        <v>0</v>
      </c>
      <c r="AB1160" s="55">
        <f t="shared" si="353"/>
        <v>0</v>
      </c>
      <c r="AC1160" s="55">
        <f t="shared" si="351"/>
        <v>0</v>
      </c>
      <c r="AD1160" s="56">
        <f t="shared" si="352"/>
        <v>257882.06</v>
      </c>
    </row>
    <row r="1161" spans="3:30">
      <c r="C1161" s="43" t="s">
        <v>2110</v>
      </c>
      <c r="D1161" s="44" t="s">
        <v>2111</v>
      </c>
      <c r="E1161" s="44"/>
      <c r="F1161" s="45">
        <v>42234.641956018517</v>
      </c>
      <c r="G1161" s="46">
        <v>37</v>
      </c>
      <c r="H1161" s="47">
        <v>43376</v>
      </c>
      <c r="I1161" s="47">
        <v>43390</v>
      </c>
      <c r="J1161" s="46">
        <v>658175</v>
      </c>
      <c r="K1161" s="46">
        <v>0</v>
      </c>
      <c r="L1161" s="46">
        <v>0</v>
      </c>
      <c r="M1161" s="46">
        <f t="shared" si="341"/>
        <v>658175</v>
      </c>
      <c r="N1161" s="46">
        <v>761890</v>
      </c>
      <c r="O1161" s="48">
        <f t="shared" si="342"/>
        <v>0.13612857499114051</v>
      </c>
      <c r="P1161" s="46">
        <v>0</v>
      </c>
      <c r="Q1161" s="46">
        <v>658175</v>
      </c>
      <c r="R1161" s="49">
        <f t="shared" si="343"/>
        <v>1</v>
      </c>
      <c r="S1161" s="50">
        <f t="shared" si="344"/>
        <v>0.01</v>
      </c>
      <c r="T1161" s="49">
        <f t="shared" si="345"/>
        <v>6581.75</v>
      </c>
      <c r="U1161" s="51">
        <f t="shared" si="346"/>
        <v>0</v>
      </c>
      <c r="V1161" s="52">
        <f>IF(0&lt;0.8,0,IF(0&lt;1,Sheet3!L561,1))*IF(G1161&lt;3,0.12 - O1161,0.01) *U1161</f>
        <v>0</v>
      </c>
      <c r="W1161" s="52">
        <f t="shared" si="347"/>
        <v>0</v>
      </c>
      <c r="X1161" s="53">
        <f t="shared" si="348"/>
        <v>0</v>
      </c>
      <c r="Y1161" s="53">
        <f t="shared" si="349"/>
        <v>0</v>
      </c>
      <c r="Z1161" s="54">
        <f t="shared" si="340"/>
        <v>0</v>
      </c>
      <c r="AA1161" s="54">
        <f t="shared" si="350"/>
        <v>0</v>
      </c>
      <c r="AB1161" s="55">
        <f t="shared" si="353"/>
        <v>0</v>
      </c>
      <c r="AC1161" s="55">
        <f t="shared" si="351"/>
        <v>0</v>
      </c>
      <c r="AD1161" s="56">
        <f t="shared" si="352"/>
        <v>6581.75</v>
      </c>
    </row>
    <row r="1162" spans="3:30">
      <c r="C1162" s="43" t="s">
        <v>2112</v>
      </c>
      <c r="D1162" s="44" t="s">
        <v>2113</v>
      </c>
      <c r="E1162" s="44"/>
      <c r="F1162" s="45">
        <v>42234.639247685183</v>
      </c>
      <c r="G1162" s="46">
        <v>37</v>
      </c>
      <c r="H1162" s="47">
        <v>43390</v>
      </c>
      <c r="I1162" s="47">
        <v>43404</v>
      </c>
      <c r="J1162" s="46">
        <v>1153675</v>
      </c>
      <c r="K1162" s="46">
        <v>15972</v>
      </c>
      <c r="L1162" s="46">
        <v>0</v>
      </c>
      <c r="M1162" s="46">
        <f t="shared" si="341"/>
        <v>1137703</v>
      </c>
      <c r="N1162" s="46">
        <v>1153675</v>
      </c>
      <c r="O1162" s="48">
        <f t="shared" si="342"/>
        <v>1.3844453593949813E-2</v>
      </c>
      <c r="P1162" s="46">
        <v>0</v>
      </c>
      <c r="Q1162" s="46">
        <v>1137703</v>
      </c>
      <c r="R1162" s="49">
        <f t="shared" si="343"/>
        <v>1</v>
      </c>
      <c r="S1162" s="50">
        <f t="shared" si="344"/>
        <v>0.01</v>
      </c>
      <c r="T1162" s="49">
        <f t="shared" si="345"/>
        <v>11377.03</v>
      </c>
      <c r="U1162" s="51">
        <f t="shared" si="346"/>
        <v>0</v>
      </c>
      <c r="V1162" s="52">
        <f>IF(0&lt;0.8,0,IF(0&lt;1,Sheet3!L561,1))*IF(G1162&lt;3,0.12 - O1162,0.01) *U1162</f>
        <v>0</v>
      </c>
      <c r="W1162" s="52">
        <f t="shared" si="347"/>
        <v>0</v>
      </c>
      <c r="X1162" s="53">
        <f t="shared" si="348"/>
        <v>0</v>
      </c>
      <c r="Y1162" s="53">
        <f t="shared" si="349"/>
        <v>0</v>
      </c>
      <c r="Z1162" s="54">
        <f t="shared" si="340"/>
        <v>0</v>
      </c>
      <c r="AA1162" s="54">
        <f t="shared" si="350"/>
        <v>0</v>
      </c>
      <c r="AB1162" s="55">
        <f t="shared" si="353"/>
        <v>0</v>
      </c>
      <c r="AC1162" s="55">
        <f t="shared" si="351"/>
        <v>0</v>
      </c>
      <c r="AD1162" s="56">
        <f t="shared" si="352"/>
        <v>11377.03</v>
      </c>
    </row>
    <row r="1163" spans="3:30">
      <c r="C1163" s="43" t="s">
        <v>2114</v>
      </c>
      <c r="D1163" s="44" t="s">
        <v>2115</v>
      </c>
      <c r="E1163" s="44"/>
      <c r="F1163" s="45">
        <v>42237.372071759259</v>
      </c>
      <c r="G1163" s="46">
        <v>37</v>
      </c>
      <c r="H1163" s="47">
        <v>43372</v>
      </c>
      <c r="I1163" s="47">
        <v>43404</v>
      </c>
      <c r="J1163" s="46">
        <v>766761</v>
      </c>
      <c r="K1163" s="46">
        <v>0</v>
      </c>
      <c r="L1163" s="46">
        <v>0</v>
      </c>
      <c r="M1163" s="46">
        <f t="shared" si="341"/>
        <v>766761</v>
      </c>
      <c r="N1163" s="46">
        <v>809478</v>
      </c>
      <c r="O1163" s="48">
        <f t="shared" si="342"/>
        <v>5.2771045043843112E-2</v>
      </c>
      <c r="P1163" s="46">
        <v>0</v>
      </c>
      <c r="Q1163" s="46">
        <v>766761</v>
      </c>
      <c r="R1163" s="49">
        <f t="shared" si="343"/>
        <v>1</v>
      </c>
      <c r="S1163" s="50">
        <f t="shared" si="344"/>
        <v>0.01</v>
      </c>
      <c r="T1163" s="49">
        <f t="shared" si="345"/>
        <v>7667.6100000000006</v>
      </c>
      <c r="U1163" s="51">
        <f t="shared" si="346"/>
        <v>0</v>
      </c>
      <c r="V1163" s="52">
        <f>IF(0&lt;0.8,0,IF(0&lt;1,Sheet3!L561,1))*IF(G1163&lt;3,0.12 - O1163,0.01) *U1163</f>
        <v>0</v>
      </c>
      <c r="W1163" s="52">
        <f t="shared" si="347"/>
        <v>0</v>
      </c>
      <c r="X1163" s="53">
        <f t="shared" si="348"/>
        <v>0</v>
      </c>
      <c r="Y1163" s="53">
        <f t="shared" si="349"/>
        <v>0</v>
      </c>
      <c r="Z1163" s="54">
        <f t="shared" si="340"/>
        <v>0</v>
      </c>
      <c r="AA1163" s="54">
        <f t="shared" si="350"/>
        <v>0</v>
      </c>
      <c r="AB1163" s="55">
        <f t="shared" si="353"/>
        <v>0</v>
      </c>
      <c r="AC1163" s="55">
        <f t="shared" si="351"/>
        <v>0</v>
      </c>
      <c r="AD1163" s="56">
        <f t="shared" si="352"/>
        <v>7667.6100000000006</v>
      </c>
    </row>
    <row r="1164" spans="3:30">
      <c r="C1164" s="43" t="s">
        <v>2116</v>
      </c>
      <c r="D1164" s="44" t="s">
        <v>2117</v>
      </c>
      <c r="E1164" s="44"/>
      <c r="F1164" s="45">
        <v>42241.690706018519</v>
      </c>
      <c r="G1164" s="46">
        <v>37</v>
      </c>
      <c r="H1164" s="47">
        <v>43388</v>
      </c>
      <c r="I1164" s="47">
        <v>43412</v>
      </c>
      <c r="J1164" s="46">
        <v>255552</v>
      </c>
      <c r="K1164" s="46">
        <v>0</v>
      </c>
      <c r="L1164" s="46">
        <v>0</v>
      </c>
      <c r="M1164" s="46">
        <f t="shared" si="341"/>
        <v>255552</v>
      </c>
      <c r="N1164" s="46">
        <v>255552</v>
      </c>
      <c r="O1164" s="48">
        <f t="shared" si="342"/>
        <v>0</v>
      </c>
      <c r="P1164" s="46">
        <v>0</v>
      </c>
      <c r="Q1164" s="46">
        <v>255552</v>
      </c>
      <c r="R1164" s="49">
        <f t="shared" si="343"/>
        <v>1</v>
      </c>
      <c r="S1164" s="50">
        <f t="shared" si="344"/>
        <v>0.01</v>
      </c>
      <c r="T1164" s="49">
        <f t="shared" si="345"/>
        <v>2555.52</v>
      </c>
      <c r="U1164" s="51">
        <f t="shared" si="346"/>
        <v>0</v>
      </c>
      <c r="V1164" s="52">
        <f>IF(0&lt;0.8,0,IF(0&lt;1,Sheet3!L561,1))*IF(G1164&lt;3,0.12 - O1164,0.01) *U1164</f>
        <v>0</v>
      </c>
      <c r="W1164" s="52">
        <f t="shared" si="347"/>
        <v>0</v>
      </c>
      <c r="X1164" s="53">
        <f t="shared" si="348"/>
        <v>0</v>
      </c>
      <c r="Y1164" s="53">
        <f t="shared" si="349"/>
        <v>0</v>
      </c>
      <c r="Z1164" s="54">
        <f t="shared" si="340"/>
        <v>0</v>
      </c>
      <c r="AA1164" s="54">
        <f t="shared" si="350"/>
        <v>0</v>
      </c>
      <c r="AB1164" s="55">
        <f t="shared" si="353"/>
        <v>0</v>
      </c>
      <c r="AC1164" s="55">
        <f t="shared" si="351"/>
        <v>0</v>
      </c>
      <c r="AD1164" s="56">
        <f t="shared" si="352"/>
        <v>2555.52</v>
      </c>
    </row>
    <row r="1165" spans="3:30">
      <c r="C1165" s="43" t="s">
        <v>2118</v>
      </c>
      <c r="D1165" s="44" t="s">
        <v>2119</v>
      </c>
      <c r="E1165" s="44"/>
      <c r="F1165" s="45">
        <v>42244.422534722224</v>
      </c>
      <c r="G1165" s="46">
        <v>37</v>
      </c>
      <c r="H1165" s="47">
        <v>43377</v>
      </c>
      <c r="I1165" s="47">
        <v>43388</v>
      </c>
      <c r="J1165" s="46">
        <v>360610</v>
      </c>
      <c r="K1165" s="46">
        <v>0</v>
      </c>
      <c r="L1165" s="46">
        <v>0</v>
      </c>
      <c r="M1165" s="46">
        <f t="shared" si="341"/>
        <v>360610</v>
      </c>
      <c r="N1165" s="46">
        <v>360610</v>
      </c>
      <c r="O1165" s="48">
        <f t="shared" si="342"/>
        <v>0</v>
      </c>
      <c r="P1165" s="46">
        <v>0</v>
      </c>
      <c r="Q1165" s="46">
        <v>360610</v>
      </c>
      <c r="R1165" s="49">
        <f t="shared" si="343"/>
        <v>1</v>
      </c>
      <c r="S1165" s="50">
        <f t="shared" si="344"/>
        <v>0.01</v>
      </c>
      <c r="T1165" s="49">
        <f t="shared" si="345"/>
        <v>3606.1</v>
      </c>
      <c r="U1165" s="51">
        <f t="shared" si="346"/>
        <v>0</v>
      </c>
      <c r="V1165" s="52">
        <f>IF(0&lt;0.8,0,IF(0&lt;1,Sheet3!L561,1))*IF(G1165&lt;3,0.12 - O1165,0.01) *U1165</f>
        <v>0</v>
      </c>
      <c r="W1165" s="52">
        <f t="shared" si="347"/>
        <v>0</v>
      </c>
      <c r="X1165" s="53">
        <f t="shared" si="348"/>
        <v>0</v>
      </c>
      <c r="Y1165" s="53">
        <f t="shared" si="349"/>
        <v>0</v>
      </c>
      <c r="Z1165" s="54">
        <f t="shared" si="340"/>
        <v>0</v>
      </c>
      <c r="AA1165" s="54">
        <f t="shared" si="350"/>
        <v>0</v>
      </c>
      <c r="AB1165" s="55">
        <f t="shared" si="353"/>
        <v>0</v>
      </c>
      <c r="AC1165" s="55">
        <f t="shared" si="351"/>
        <v>0</v>
      </c>
      <c r="AD1165" s="56">
        <f t="shared" si="352"/>
        <v>3606.1</v>
      </c>
    </row>
    <row r="1166" spans="3:30">
      <c r="C1166" s="43" t="s">
        <v>2120</v>
      </c>
      <c r="D1166" s="44" t="s">
        <v>2121</v>
      </c>
      <c r="E1166" s="44"/>
      <c r="F1166" s="45">
        <v>42250.65898148148</v>
      </c>
      <c r="G1166" s="46">
        <v>36</v>
      </c>
      <c r="H1166" s="47">
        <v>43381</v>
      </c>
      <c r="I1166" s="47">
        <v>43445</v>
      </c>
      <c r="J1166" s="46">
        <v>1129677</v>
      </c>
      <c r="K1166" s="46">
        <v>0</v>
      </c>
      <c r="L1166" s="46">
        <v>0</v>
      </c>
      <c r="M1166" s="46">
        <f t="shared" si="341"/>
        <v>1129677</v>
      </c>
      <c r="N1166" s="46">
        <v>1129677</v>
      </c>
      <c r="O1166" s="48">
        <f t="shared" si="342"/>
        <v>0</v>
      </c>
      <c r="P1166" s="46">
        <v>0</v>
      </c>
      <c r="Q1166" s="46">
        <v>1129677</v>
      </c>
      <c r="R1166" s="49">
        <f t="shared" si="343"/>
        <v>1</v>
      </c>
      <c r="S1166" s="50">
        <f t="shared" si="344"/>
        <v>0.01</v>
      </c>
      <c r="T1166" s="49">
        <f t="shared" si="345"/>
        <v>11296.77</v>
      </c>
      <c r="U1166" s="51">
        <f t="shared" si="346"/>
        <v>0</v>
      </c>
      <c r="V1166" s="52">
        <f>IF(0&lt;0.8,0,IF(0&lt;1,Sheet3!L561,1))*IF(G1166&lt;3,0.12 - O1166,0.01) *U1166</f>
        <v>0</v>
      </c>
      <c r="W1166" s="52">
        <f t="shared" si="347"/>
        <v>0</v>
      </c>
      <c r="X1166" s="53">
        <f t="shared" si="348"/>
        <v>0</v>
      </c>
      <c r="Y1166" s="53">
        <f t="shared" si="349"/>
        <v>0</v>
      </c>
      <c r="Z1166" s="54">
        <f t="shared" si="340"/>
        <v>0</v>
      </c>
      <c r="AA1166" s="54">
        <f t="shared" si="350"/>
        <v>0</v>
      </c>
      <c r="AB1166" s="55">
        <f t="shared" si="353"/>
        <v>0</v>
      </c>
      <c r="AC1166" s="55">
        <f t="shared" si="351"/>
        <v>0</v>
      </c>
      <c r="AD1166" s="56">
        <f t="shared" si="352"/>
        <v>11296.77</v>
      </c>
    </row>
    <row r="1167" spans="3:30">
      <c r="C1167" s="43" t="s">
        <v>2122</v>
      </c>
      <c r="D1167" s="44" t="s">
        <v>2123</v>
      </c>
      <c r="E1167" s="44"/>
      <c r="F1167" s="45">
        <v>42263.373067129629</v>
      </c>
      <c r="G1167" s="46">
        <v>36</v>
      </c>
      <c r="H1167" s="47">
        <v>43404</v>
      </c>
      <c r="I1167" s="47">
        <v>43412</v>
      </c>
      <c r="J1167" s="46">
        <v>713185</v>
      </c>
      <c r="K1167" s="46">
        <v>0</v>
      </c>
      <c r="L1167" s="46">
        <v>0</v>
      </c>
      <c r="M1167" s="46">
        <f t="shared" si="341"/>
        <v>713185</v>
      </c>
      <c r="N1167" s="46">
        <v>1014152</v>
      </c>
      <c r="O1167" s="48">
        <f t="shared" si="342"/>
        <v>0.29676715127515407</v>
      </c>
      <c r="P1167" s="46">
        <v>0</v>
      </c>
      <c r="Q1167" s="46">
        <v>713185</v>
      </c>
      <c r="R1167" s="49">
        <f t="shared" si="343"/>
        <v>1</v>
      </c>
      <c r="S1167" s="50">
        <f t="shared" si="344"/>
        <v>0.01</v>
      </c>
      <c r="T1167" s="49">
        <f t="shared" si="345"/>
        <v>7131.85</v>
      </c>
      <c r="U1167" s="51">
        <f t="shared" si="346"/>
        <v>0</v>
      </c>
      <c r="V1167" s="52">
        <f>IF(0&lt;0.8,0,IF(0&lt;1,Sheet3!L561,1))*IF(G1167&lt;3,0.12 - O1167,0.01) *U1167</f>
        <v>0</v>
      </c>
      <c r="W1167" s="52">
        <f t="shared" si="347"/>
        <v>0</v>
      </c>
      <c r="X1167" s="53">
        <f t="shared" si="348"/>
        <v>0</v>
      </c>
      <c r="Y1167" s="53">
        <f t="shared" si="349"/>
        <v>0</v>
      </c>
      <c r="Z1167" s="54">
        <f t="shared" si="340"/>
        <v>0</v>
      </c>
      <c r="AA1167" s="54">
        <f t="shared" si="350"/>
        <v>0</v>
      </c>
      <c r="AB1167" s="55">
        <f t="shared" si="353"/>
        <v>0</v>
      </c>
      <c r="AC1167" s="55">
        <f t="shared" si="351"/>
        <v>0</v>
      </c>
      <c r="AD1167" s="56">
        <f t="shared" si="352"/>
        <v>7131.85</v>
      </c>
    </row>
    <row r="1168" spans="3:30">
      <c r="C1168" s="43" t="s">
        <v>2124</v>
      </c>
      <c r="D1168" s="44" t="s">
        <v>2125</v>
      </c>
      <c r="E1168" s="44"/>
      <c r="F1168" s="45">
        <v>42268.420497685183</v>
      </c>
      <c r="G1168" s="46">
        <v>36</v>
      </c>
      <c r="H1168" s="47">
        <v>43376</v>
      </c>
      <c r="I1168" s="47">
        <v>43397</v>
      </c>
      <c r="J1168" s="46">
        <v>68794</v>
      </c>
      <c r="K1168" s="46">
        <v>0</v>
      </c>
      <c r="L1168" s="46">
        <v>0</v>
      </c>
      <c r="M1168" s="46">
        <f t="shared" si="341"/>
        <v>68794</v>
      </c>
      <c r="N1168" s="46">
        <v>88113</v>
      </c>
      <c r="O1168" s="48">
        <f t="shared" si="342"/>
        <v>0.21925255070193961</v>
      </c>
      <c r="P1168" s="46">
        <v>0</v>
      </c>
      <c r="Q1168" s="46">
        <v>68794</v>
      </c>
      <c r="R1168" s="49">
        <f t="shared" si="343"/>
        <v>1</v>
      </c>
      <c r="S1168" s="50">
        <f t="shared" si="344"/>
        <v>0.01</v>
      </c>
      <c r="T1168" s="49">
        <f t="shared" si="345"/>
        <v>687.94</v>
      </c>
      <c r="U1168" s="51">
        <f t="shared" si="346"/>
        <v>0</v>
      </c>
      <c r="V1168" s="52">
        <f>IF(0&lt;0.8,0,IF(0&lt;1,Sheet3!L561,1))*IF(G1168&lt;3,0.12 - O1168,0.01) *U1168</f>
        <v>0</v>
      </c>
      <c r="W1168" s="52">
        <f t="shared" si="347"/>
        <v>0</v>
      </c>
      <c r="X1168" s="53">
        <f t="shared" si="348"/>
        <v>0</v>
      </c>
      <c r="Y1168" s="53">
        <f t="shared" si="349"/>
        <v>0</v>
      </c>
      <c r="Z1168" s="54">
        <f t="shared" si="340"/>
        <v>0</v>
      </c>
      <c r="AA1168" s="54">
        <f t="shared" si="350"/>
        <v>0</v>
      </c>
      <c r="AB1168" s="55">
        <f t="shared" si="353"/>
        <v>0</v>
      </c>
      <c r="AC1168" s="55">
        <f t="shared" si="351"/>
        <v>0</v>
      </c>
      <c r="AD1168" s="56">
        <f t="shared" si="352"/>
        <v>687.94</v>
      </c>
    </row>
    <row r="1169" spans="3:30">
      <c r="C1169" s="43" t="s">
        <v>2126</v>
      </c>
      <c r="D1169" s="44" t="s">
        <v>2127</v>
      </c>
      <c r="E1169" s="44"/>
      <c r="F1169" s="45">
        <v>42268.423935185187</v>
      </c>
      <c r="G1169" s="46">
        <v>36</v>
      </c>
      <c r="H1169" s="47">
        <v>43372</v>
      </c>
      <c r="I1169" s="47">
        <v>43388</v>
      </c>
      <c r="J1169" s="46">
        <v>219808</v>
      </c>
      <c r="K1169" s="46">
        <v>0</v>
      </c>
      <c r="L1169" s="46">
        <v>0</v>
      </c>
      <c r="M1169" s="46">
        <f t="shared" si="341"/>
        <v>219808</v>
      </c>
      <c r="N1169" s="46">
        <v>219808</v>
      </c>
      <c r="O1169" s="48">
        <f t="shared" si="342"/>
        <v>0</v>
      </c>
      <c r="P1169" s="46">
        <v>0</v>
      </c>
      <c r="Q1169" s="46">
        <v>219808</v>
      </c>
      <c r="R1169" s="49">
        <f t="shared" si="343"/>
        <v>1</v>
      </c>
      <c r="S1169" s="50">
        <f t="shared" si="344"/>
        <v>0.01</v>
      </c>
      <c r="T1169" s="49">
        <f t="shared" si="345"/>
        <v>2198.08</v>
      </c>
      <c r="U1169" s="51">
        <f t="shared" si="346"/>
        <v>0</v>
      </c>
      <c r="V1169" s="52">
        <f>IF(0&lt;0.8,0,IF(0&lt;1,Sheet3!L561,1))*IF(G1169&lt;3,0.12 - O1169,0.01) *U1169</f>
        <v>0</v>
      </c>
      <c r="W1169" s="52">
        <f t="shared" si="347"/>
        <v>0</v>
      </c>
      <c r="X1169" s="53">
        <f t="shared" si="348"/>
        <v>0</v>
      </c>
      <c r="Y1169" s="53">
        <f t="shared" si="349"/>
        <v>0</v>
      </c>
      <c r="Z1169" s="54">
        <f t="shared" si="340"/>
        <v>0</v>
      </c>
      <c r="AA1169" s="54">
        <f t="shared" si="350"/>
        <v>0</v>
      </c>
      <c r="AB1169" s="55">
        <f t="shared" si="353"/>
        <v>0</v>
      </c>
      <c r="AC1169" s="55">
        <f t="shared" si="351"/>
        <v>0</v>
      </c>
      <c r="AD1169" s="56">
        <f t="shared" si="352"/>
        <v>2198.08</v>
      </c>
    </row>
    <row r="1170" spans="3:30">
      <c r="C1170" s="43" t="s">
        <v>2128</v>
      </c>
      <c r="D1170" s="44" t="s">
        <v>2129</v>
      </c>
      <c r="E1170" s="44"/>
      <c r="F1170" s="45">
        <v>42268.427025462959</v>
      </c>
      <c r="G1170" s="46">
        <v>36</v>
      </c>
      <c r="H1170" s="47">
        <v>43381</v>
      </c>
      <c r="I1170" s="47">
        <v>43406</v>
      </c>
      <c r="J1170" s="46">
        <v>2201955</v>
      </c>
      <c r="K1170" s="46">
        <v>0</v>
      </c>
      <c r="L1170" s="46">
        <v>0</v>
      </c>
      <c r="M1170" s="46">
        <f t="shared" si="341"/>
        <v>2201955</v>
      </c>
      <c r="N1170" s="46">
        <v>2201955</v>
      </c>
      <c r="O1170" s="48">
        <f t="shared" si="342"/>
        <v>0</v>
      </c>
      <c r="P1170" s="46">
        <v>0</v>
      </c>
      <c r="Q1170" s="46">
        <v>2201955</v>
      </c>
      <c r="R1170" s="49">
        <f t="shared" si="343"/>
        <v>1</v>
      </c>
      <c r="S1170" s="50">
        <f t="shared" si="344"/>
        <v>0.01</v>
      </c>
      <c r="T1170" s="49">
        <f t="shared" si="345"/>
        <v>22019.55</v>
      </c>
      <c r="U1170" s="51">
        <f t="shared" si="346"/>
        <v>0</v>
      </c>
      <c r="V1170" s="52">
        <f>IF(0&lt;0.8,0,IF(0&lt;1,Sheet3!L561,1))*IF(G1170&lt;3,0.12 - O1170,0.01) *U1170</f>
        <v>0</v>
      </c>
      <c r="W1170" s="52">
        <f t="shared" si="347"/>
        <v>0</v>
      </c>
      <c r="X1170" s="53">
        <f t="shared" si="348"/>
        <v>0</v>
      </c>
      <c r="Y1170" s="53">
        <f t="shared" si="349"/>
        <v>0</v>
      </c>
      <c r="Z1170" s="54">
        <f t="shared" si="340"/>
        <v>0</v>
      </c>
      <c r="AA1170" s="54">
        <f t="shared" si="350"/>
        <v>0</v>
      </c>
      <c r="AB1170" s="55">
        <f t="shared" si="353"/>
        <v>0</v>
      </c>
      <c r="AC1170" s="55">
        <f t="shared" si="351"/>
        <v>0</v>
      </c>
      <c r="AD1170" s="56">
        <f t="shared" si="352"/>
        <v>22019.55</v>
      </c>
    </row>
    <row r="1171" spans="3:30">
      <c r="C1171" s="43" t="s">
        <v>2130</v>
      </c>
      <c r="D1171" s="44" t="s">
        <v>2131</v>
      </c>
      <c r="E1171" s="44"/>
      <c r="F1171" s="45">
        <v>42268.431030092594</v>
      </c>
      <c r="G1171" s="46">
        <v>36</v>
      </c>
      <c r="H1171" s="47">
        <v>43381</v>
      </c>
      <c r="I1171" s="47">
        <v>43398</v>
      </c>
      <c r="J1171" s="46">
        <v>585655</v>
      </c>
      <c r="K1171" s="46">
        <v>0</v>
      </c>
      <c r="L1171" s="46">
        <v>0</v>
      </c>
      <c r="M1171" s="46">
        <f t="shared" si="341"/>
        <v>585655</v>
      </c>
      <c r="N1171" s="46">
        <v>585655</v>
      </c>
      <c r="O1171" s="48">
        <f t="shared" si="342"/>
        <v>0</v>
      </c>
      <c r="P1171" s="46">
        <v>0</v>
      </c>
      <c r="Q1171" s="46">
        <v>585655</v>
      </c>
      <c r="R1171" s="49">
        <f t="shared" si="343"/>
        <v>1</v>
      </c>
      <c r="S1171" s="50">
        <f t="shared" si="344"/>
        <v>0.01</v>
      </c>
      <c r="T1171" s="49">
        <f t="shared" si="345"/>
        <v>5856.55</v>
      </c>
      <c r="U1171" s="51">
        <f t="shared" si="346"/>
        <v>0</v>
      </c>
      <c r="V1171" s="52">
        <f>IF(0&lt;0.8,0,IF(0&lt;1,Sheet3!L561,1))*IF(G1171&lt;3,0.12 - O1171,0.01) *U1171</f>
        <v>0</v>
      </c>
      <c r="W1171" s="52">
        <f t="shared" si="347"/>
        <v>0</v>
      </c>
      <c r="X1171" s="53">
        <f t="shared" si="348"/>
        <v>0</v>
      </c>
      <c r="Y1171" s="53">
        <f t="shared" si="349"/>
        <v>0</v>
      </c>
      <c r="Z1171" s="54">
        <f t="shared" si="340"/>
        <v>0</v>
      </c>
      <c r="AA1171" s="54">
        <f t="shared" si="350"/>
        <v>0</v>
      </c>
      <c r="AB1171" s="55">
        <f t="shared" si="353"/>
        <v>0</v>
      </c>
      <c r="AC1171" s="55">
        <f t="shared" si="351"/>
        <v>0</v>
      </c>
      <c r="AD1171" s="56">
        <f t="shared" si="352"/>
        <v>5856.55</v>
      </c>
    </row>
    <row r="1172" spans="3:30">
      <c r="C1172" s="43" t="s">
        <v>2132</v>
      </c>
      <c r="D1172" s="44" t="s">
        <v>2133</v>
      </c>
      <c r="E1172" s="44"/>
      <c r="F1172" s="45">
        <v>42270.575243055551</v>
      </c>
      <c r="G1172" s="46">
        <v>36</v>
      </c>
      <c r="H1172" s="47">
        <v>43377</v>
      </c>
      <c r="I1172" s="47">
        <v>43403</v>
      </c>
      <c r="J1172" s="46">
        <v>316324</v>
      </c>
      <c r="K1172" s="46">
        <v>0</v>
      </c>
      <c r="L1172" s="46">
        <v>0</v>
      </c>
      <c r="M1172" s="46">
        <f t="shared" si="341"/>
        <v>316324</v>
      </c>
      <c r="N1172" s="46">
        <v>316324</v>
      </c>
      <c r="O1172" s="48">
        <f t="shared" si="342"/>
        <v>0</v>
      </c>
      <c r="P1172" s="46">
        <v>0</v>
      </c>
      <c r="Q1172" s="46">
        <v>316324</v>
      </c>
      <c r="R1172" s="49">
        <f t="shared" si="343"/>
        <v>1</v>
      </c>
      <c r="S1172" s="50">
        <f t="shared" si="344"/>
        <v>0.01</v>
      </c>
      <c r="T1172" s="49">
        <f t="shared" si="345"/>
        <v>3163.2400000000002</v>
      </c>
      <c r="U1172" s="51">
        <f t="shared" si="346"/>
        <v>0</v>
      </c>
      <c r="V1172" s="52">
        <f>IF(0&lt;0.8,0,IF(0&lt;1,Sheet3!L561,1))*IF(G1172&lt;3,0.12 - O1172,0.01) *U1172</f>
        <v>0</v>
      </c>
      <c r="W1172" s="52">
        <f t="shared" si="347"/>
        <v>0</v>
      </c>
      <c r="X1172" s="53">
        <f t="shared" si="348"/>
        <v>0</v>
      </c>
      <c r="Y1172" s="53">
        <f t="shared" si="349"/>
        <v>0</v>
      </c>
      <c r="Z1172" s="54">
        <f t="shared" si="340"/>
        <v>0</v>
      </c>
      <c r="AA1172" s="54">
        <f t="shared" si="350"/>
        <v>0</v>
      </c>
      <c r="AB1172" s="55">
        <f t="shared" si="353"/>
        <v>0</v>
      </c>
      <c r="AC1172" s="55">
        <f t="shared" si="351"/>
        <v>0</v>
      </c>
      <c r="AD1172" s="56">
        <f t="shared" si="352"/>
        <v>3163.2400000000002</v>
      </c>
    </row>
    <row r="1173" spans="3:30">
      <c r="C1173" s="43" t="s">
        <v>2134</v>
      </c>
      <c r="D1173" s="44" t="s">
        <v>2135</v>
      </c>
      <c r="E1173" s="44"/>
      <c r="F1173" s="45">
        <v>42270.570590277777</v>
      </c>
      <c r="G1173" s="46">
        <v>36</v>
      </c>
      <c r="H1173" s="47">
        <v>43378</v>
      </c>
      <c r="I1173" s="47">
        <v>43424</v>
      </c>
      <c r="J1173" s="46">
        <v>326117</v>
      </c>
      <c r="K1173" s="46">
        <v>0</v>
      </c>
      <c r="L1173" s="46">
        <v>0</v>
      </c>
      <c r="M1173" s="46">
        <f t="shared" si="341"/>
        <v>326117</v>
      </c>
      <c r="N1173" s="46">
        <v>302818</v>
      </c>
      <c r="O1173" s="48">
        <f t="shared" si="342"/>
        <v>0</v>
      </c>
      <c r="P1173" s="46">
        <v>0</v>
      </c>
      <c r="Q1173" s="46">
        <v>326117</v>
      </c>
      <c r="R1173" s="49">
        <f t="shared" si="343"/>
        <v>1</v>
      </c>
      <c r="S1173" s="50">
        <f t="shared" si="344"/>
        <v>0.01</v>
      </c>
      <c r="T1173" s="49">
        <f t="shared" si="345"/>
        <v>3261.17</v>
      </c>
      <c r="U1173" s="51">
        <f t="shared" si="346"/>
        <v>0</v>
      </c>
      <c r="V1173" s="52">
        <f>IF(0&lt;0.8,0,IF(0&lt;1,Sheet3!L561,1))*IF(G1173&lt;3,0.12 - O1173,0.01) *U1173</f>
        <v>0</v>
      </c>
      <c r="W1173" s="52">
        <f t="shared" si="347"/>
        <v>0</v>
      </c>
      <c r="X1173" s="53">
        <f t="shared" si="348"/>
        <v>0</v>
      </c>
      <c r="Y1173" s="53">
        <f t="shared" si="349"/>
        <v>0</v>
      </c>
      <c r="Z1173" s="54">
        <f t="shared" si="340"/>
        <v>0</v>
      </c>
      <c r="AA1173" s="54">
        <f t="shared" si="350"/>
        <v>0</v>
      </c>
      <c r="AB1173" s="55">
        <f t="shared" si="353"/>
        <v>0</v>
      </c>
      <c r="AC1173" s="55">
        <f t="shared" si="351"/>
        <v>0</v>
      </c>
      <c r="AD1173" s="56">
        <f t="shared" si="352"/>
        <v>3261.17</v>
      </c>
    </row>
    <row r="1174" spans="3:30">
      <c r="C1174" s="43" t="s">
        <v>2136</v>
      </c>
      <c r="D1174" s="44" t="s">
        <v>2137</v>
      </c>
      <c r="E1174" s="44"/>
      <c r="F1174" s="45">
        <v>42279.639537037037</v>
      </c>
      <c r="G1174" s="46">
        <v>35</v>
      </c>
      <c r="H1174" s="47">
        <v>43388</v>
      </c>
      <c r="I1174" s="47">
        <v>43412</v>
      </c>
      <c r="J1174" s="46">
        <v>385506</v>
      </c>
      <c r="K1174" s="46">
        <v>0</v>
      </c>
      <c r="L1174" s="46">
        <v>0</v>
      </c>
      <c r="M1174" s="46">
        <f t="shared" si="341"/>
        <v>385506</v>
      </c>
      <c r="N1174" s="46">
        <v>369655</v>
      </c>
      <c r="O1174" s="48">
        <f t="shared" si="342"/>
        <v>0</v>
      </c>
      <c r="P1174" s="46">
        <v>0</v>
      </c>
      <c r="Q1174" s="46">
        <v>385506</v>
      </c>
      <c r="R1174" s="49">
        <f t="shared" si="343"/>
        <v>1</v>
      </c>
      <c r="S1174" s="50">
        <f t="shared" si="344"/>
        <v>0.01</v>
      </c>
      <c r="T1174" s="49">
        <f t="shared" si="345"/>
        <v>3855.06</v>
      </c>
      <c r="U1174" s="51">
        <f t="shared" si="346"/>
        <v>0</v>
      </c>
      <c r="V1174" s="52">
        <f>IF(0&lt;0.8,0,IF(0&lt;1,Sheet3!L561,1))*IF(G1174&lt;3,0.12 - O1174,0.01) *U1174</f>
        <v>0</v>
      </c>
      <c r="W1174" s="52">
        <f t="shared" si="347"/>
        <v>0</v>
      </c>
      <c r="X1174" s="53">
        <f t="shared" si="348"/>
        <v>0</v>
      </c>
      <c r="Y1174" s="53">
        <f t="shared" si="349"/>
        <v>0</v>
      </c>
      <c r="Z1174" s="54">
        <f t="shared" si="340"/>
        <v>0</v>
      </c>
      <c r="AA1174" s="54">
        <f t="shared" si="350"/>
        <v>0</v>
      </c>
      <c r="AB1174" s="55">
        <f t="shared" si="353"/>
        <v>0</v>
      </c>
      <c r="AC1174" s="55">
        <f t="shared" si="351"/>
        <v>0</v>
      </c>
      <c r="AD1174" s="56">
        <f t="shared" si="352"/>
        <v>3855.06</v>
      </c>
    </row>
    <row r="1175" spans="3:30">
      <c r="C1175" s="43" t="s">
        <v>2138</v>
      </c>
      <c r="D1175" s="44" t="s">
        <v>2139</v>
      </c>
      <c r="E1175" s="44"/>
      <c r="F1175" s="45">
        <v>42280.362835648149</v>
      </c>
      <c r="G1175" s="46">
        <v>35</v>
      </c>
      <c r="H1175" s="47">
        <v>43381</v>
      </c>
      <c r="I1175" s="47">
        <v>43400</v>
      </c>
      <c r="J1175" s="46">
        <v>133100</v>
      </c>
      <c r="K1175" s="46">
        <v>0</v>
      </c>
      <c r="L1175" s="46">
        <v>0</v>
      </c>
      <c r="M1175" s="46">
        <f t="shared" si="341"/>
        <v>133100</v>
      </c>
      <c r="N1175" s="46">
        <v>133100</v>
      </c>
      <c r="O1175" s="48">
        <f t="shared" si="342"/>
        <v>0</v>
      </c>
      <c r="P1175" s="46">
        <v>0</v>
      </c>
      <c r="Q1175" s="46">
        <v>133100</v>
      </c>
      <c r="R1175" s="49">
        <f t="shared" si="343"/>
        <v>1</v>
      </c>
      <c r="S1175" s="50">
        <f t="shared" si="344"/>
        <v>0.01</v>
      </c>
      <c r="T1175" s="49">
        <f t="shared" si="345"/>
        <v>1331</v>
      </c>
      <c r="U1175" s="51">
        <f t="shared" si="346"/>
        <v>0</v>
      </c>
      <c r="V1175" s="52">
        <f>IF(0&lt;0.8,0,IF(0&lt;1,Sheet3!L561,1))*IF(G1175&lt;3,0.12 - O1175,0.01) *U1175</f>
        <v>0</v>
      </c>
      <c r="W1175" s="52">
        <f t="shared" si="347"/>
        <v>0</v>
      </c>
      <c r="X1175" s="53">
        <f t="shared" si="348"/>
        <v>0</v>
      </c>
      <c r="Y1175" s="53">
        <f t="shared" si="349"/>
        <v>0</v>
      </c>
      <c r="Z1175" s="54">
        <f t="shared" si="340"/>
        <v>0</v>
      </c>
      <c r="AA1175" s="54">
        <f t="shared" si="350"/>
        <v>0</v>
      </c>
      <c r="AB1175" s="55">
        <f t="shared" si="353"/>
        <v>0</v>
      </c>
      <c r="AC1175" s="55">
        <f t="shared" si="351"/>
        <v>0</v>
      </c>
      <c r="AD1175" s="56">
        <f t="shared" si="352"/>
        <v>1331</v>
      </c>
    </row>
    <row r="1176" spans="3:30">
      <c r="C1176" s="43" t="s">
        <v>2140</v>
      </c>
      <c r="D1176" s="44" t="s">
        <v>2141</v>
      </c>
      <c r="E1176" s="44"/>
      <c r="F1176" s="45">
        <v>42289.400497685187</v>
      </c>
      <c r="G1176" s="46">
        <v>35</v>
      </c>
      <c r="H1176" s="47">
        <v>43381</v>
      </c>
      <c r="I1176" s="47">
        <v>43396</v>
      </c>
      <c r="J1176" s="46">
        <v>1415616</v>
      </c>
      <c r="K1176" s="46">
        <v>0</v>
      </c>
      <c r="L1176" s="46">
        <v>0</v>
      </c>
      <c r="M1176" s="46">
        <f t="shared" si="341"/>
        <v>1415616</v>
      </c>
      <c r="N1176" s="46">
        <v>1415616</v>
      </c>
      <c r="O1176" s="48">
        <f t="shared" si="342"/>
        <v>0</v>
      </c>
      <c r="P1176" s="46">
        <v>0</v>
      </c>
      <c r="Q1176" s="46">
        <v>1415616</v>
      </c>
      <c r="R1176" s="49">
        <f t="shared" si="343"/>
        <v>1</v>
      </c>
      <c r="S1176" s="50">
        <f t="shared" si="344"/>
        <v>0.01</v>
      </c>
      <c r="T1176" s="49">
        <f t="shared" si="345"/>
        <v>14156.16</v>
      </c>
      <c r="U1176" s="51">
        <f t="shared" si="346"/>
        <v>0</v>
      </c>
      <c r="V1176" s="52">
        <f>IF(0&lt;0.8,0,IF(0&lt;1,Sheet3!L561,1))*IF(G1176&lt;3,0.12 - O1176,0.01) *U1176</f>
        <v>0</v>
      </c>
      <c r="W1176" s="52">
        <f t="shared" si="347"/>
        <v>0</v>
      </c>
      <c r="X1176" s="53">
        <f t="shared" si="348"/>
        <v>0</v>
      </c>
      <c r="Y1176" s="53">
        <f t="shared" si="349"/>
        <v>0</v>
      </c>
      <c r="Z1176" s="54">
        <f t="shared" si="340"/>
        <v>0</v>
      </c>
      <c r="AA1176" s="54">
        <f t="shared" si="350"/>
        <v>0</v>
      </c>
      <c r="AB1176" s="55">
        <f t="shared" si="353"/>
        <v>0</v>
      </c>
      <c r="AC1176" s="55">
        <f t="shared" si="351"/>
        <v>0</v>
      </c>
      <c r="AD1176" s="56">
        <f t="shared" si="352"/>
        <v>14156.16</v>
      </c>
    </row>
    <row r="1177" spans="3:30">
      <c r="C1177" s="43" t="s">
        <v>2142</v>
      </c>
      <c r="D1177" s="44" t="s">
        <v>2143</v>
      </c>
      <c r="E1177" s="44"/>
      <c r="F1177" s="45">
        <v>42299.621631944443</v>
      </c>
      <c r="G1177" s="46">
        <v>35</v>
      </c>
      <c r="H1177" s="47">
        <v>43404</v>
      </c>
      <c r="I1177" s="47">
        <v>43412</v>
      </c>
      <c r="J1177" s="46">
        <v>57475</v>
      </c>
      <c r="K1177" s="46">
        <v>0</v>
      </c>
      <c r="L1177" s="46">
        <v>0</v>
      </c>
      <c r="M1177" s="46">
        <f t="shared" si="341"/>
        <v>57475</v>
      </c>
      <c r="N1177" s="46">
        <v>85063</v>
      </c>
      <c r="O1177" s="48">
        <f t="shared" si="342"/>
        <v>0.32432432432432434</v>
      </c>
      <c r="P1177" s="46">
        <v>0</v>
      </c>
      <c r="Q1177" s="46">
        <v>57475</v>
      </c>
      <c r="R1177" s="49">
        <f t="shared" si="343"/>
        <v>1</v>
      </c>
      <c r="S1177" s="50">
        <f t="shared" si="344"/>
        <v>0.01</v>
      </c>
      <c r="T1177" s="49">
        <f t="shared" si="345"/>
        <v>574.75</v>
      </c>
      <c r="U1177" s="51">
        <f t="shared" si="346"/>
        <v>0</v>
      </c>
      <c r="V1177" s="52">
        <f>IF(0&lt;0.8,0,IF(0&lt;1,Sheet3!L561,1))*IF(G1177&lt;3,0.12 - O1177,0.01) *U1177</f>
        <v>0</v>
      </c>
      <c r="W1177" s="52">
        <f t="shared" si="347"/>
        <v>0</v>
      </c>
      <c r="X1177" s="53">
        <f t="shared" si="348"/>
        <v>0</v>
      </c>
      <c r="Y1177" s="53">
        <f t="shared" si="349"/>
        <v>0</v>
      </c>
      <c r="Z1177" s="54">
        <f t="shared" si="340"/>
        <v>0</v>
      </c>
      <c r="AA1177" s="54">
        <f t="shared" si="350"/>
        <v>0</v>
      </c>
      <c r="AB1177" s="55">
        <f t="shared" si="353"/>
        <v>0</v>
      </c>
      <c r="AC1177" s="55">
        <f t="shared" si="351"/>
        <v>0</v>
      </c>
      <c r="AD1177" s="56">
        <f t="shared" si="352"/>
        <v>574.75</v>
      </c>
    </row>
    <row r="1178" spans="3:30">
      <c r="C1178" s="43" t="s">
        <v>2144</v>
      </c>
      <c r="D1178" s="44" t="s">
        <v>2145</v>
      </c>
      <c r="E1178" s="44"/>
      <c r="F1178" s="45">
        <v>42299.626539351848</v>
      </c>
      <c r="G1178" s="46">
        <v>35</v>
      </c>
      <c r="H1178" s="47">
        <v>43427</v>
      </c>
      <c r="I1178" s="47">
        <v>43434</v>
      </c>
      <c r="J1178" s="46">
        <v>31899801</v>
      </c>
      <c r="K1178" s="46">
        <v>3203156</v>
      </c>
      <c r="L1178" s="46">
        <v>0</v>
      </c>
      <c r="M1178" s="46">
        <f t="shared" si="341"/>
        <v>28696645</v>
      </c>
      <c r="N1178" s="46">
        <v>36032657</v>
      </c>
      <c r="O1178" s="48">
        <f t="shared" si="342"/>
        <v>0.20359342359904242</v>
      </c>
      <c r="P1178" s="46">
        <v>0</v>
      </c>
      <c r="Q1178" s="46">
        <v>29282851</v>
      </c>
      <c r="R1178" s="49">
        <f t="shared" si="343"/>
        <v>1</v>
      </c>
      <c r="S1178" s="50">
        <f t="shared" si="344"/>
        <v>0.01</v>
      </c>
      <c r="T1178" s="49">
        <f t="shared" si="345"/>
        <v>286966.45</v>
      </c>
      <c r="U1178" s="51">
        <f t="shared" si="346"/>
        <v>0</v>
      </c>
      <c r="V1178" s="52">
        <f>IF(0&lt;0.8,0,IF(0&lt;1,Sheet3!L561,1))*IF(G1178&lt;3,0.12 - O1178,0.01) *U1178</f>
        <v>0</v>
      </c>
      <c r="W1178" s="52">
        <f t="shared" si="347"/>
        <v>0</v>
      </c>
      <c r="X1178" s="53">
        <f t="shared" si="348"/>
        <v>0</v>
      </c>
      <c r="Y1178" s="53">
        <f t="shared" si="349"/>
        <v>0</v>
      </c>
      <c r="Z1178" s="54">
        <f t="shared" si="340"/>
        <v>0</v>
      </c>
      <c r="AA1178" s="54">
        <f t="shared" si="350"/>
        <v>0</v>
      </c>
      <c r="AB1178" s="55">
        <f t="shared" si="353"/>
        <v>0</v>
      </c>
      <c r="AC1178" s="55">
        <f t="shared" si="351"/>
        <v>0</v>
      </c>
      <c r="AD1178" s="56">
        <f t="shared" si="352"/>
        <v>286966.45</v>
      </c>
    </row>
    <row r="1179" spans="3:30">
      <c r="C1179" s="43" t="s">
        <v>2146</v>
      </c>
      <c r="D1179" s="44" t="s">
        <v>2123</v>
      </c>
      <c r="E1179" s="44"/>
      <c r="F1179" s="45">
        <v>42311.668587962959</v>
      </c>
      <c r="G1179" s="46">
        <v>34</v>
      </c>
      <c r="H1179" s="47">
        <v>43404</v>
      </c>
      <c r="I1179" s="47">
        <v>43412</v>
      </c>
      <c r="J1179" s="46">
        <v>32395</v>
      </c>
      <c r="K1179" s="46">
        <v>0</v>
      </c>
      <c r="L1179" s="46">
        <v>0</v>
      </c>
      <c r="M1179" s="46">
        <f t="shared" si="341"/>
        <v>32395</v>
      </c>
      <c r="N1179" s="46">
        <v>39930</v>
      </c>
      <c r="O1179" s="48">
        <f t="shared" si="342"/>
        <v>0.18870523415977958</v>
      </c>
      <c r="P1179" s="46">
        <v>0</v>
      </c>
      <c r="Q1179" s="46">
        <v>32395</v>
      </c>
      <c r="R1179" s="49">
        <f t="shared" si="343"/>
        <v>1</v>
      </c>
      <c r="S1179" s="50">
        <f t="shared" si="344"/>
        <v>0.01</v>
      </c>
      <c r="T1179" s="49">
        <f t="shared" si="345"/>
        <v>323.95</v>
      </c>
      <c r="U1179" s="51">
        <f t="shared" si="346"/>
        <v>0</v>
      </c>
      <c r="V1179" s="52">
        <f>IF(0&lt;0.8,0,IF(0&lt;1,Sheet3!L561,1))*IF(G1179&lt;3,0.12 - O1179,0.01) *U1179</f>
        <v>0</v>
      </c>
      <c r="W1179" s="52">
        <f t="shared" si="347"/>
        <v>0</v>
      </c>
      <c r="X1179" s="53">
        <f t="shared" si="348"/>
        <v>0</v>
      </c>
      <c r="Y1179" s="53">
        <f t="shared" si="349"/>
        <v>0</v>
      </c>
      <c r="Z1179" s="54">
        <f t="shared" si="340"/>
        <v>0</v>
      </c>
      <c r="AA1179" s="54">
        <f t="shared" si="350"/>
        <v>0</v>
      </c>
      <c r="AB1179" s="55">
        <f t="shared" si="353"/>
        <v>0</v>
      </c>
      <c r="AC1179" s="55">
        <f t="shared" si="351"/>
        <v>0</v>
      </c>
      <c r="AD1179" s="56">
        <f t="shared" si="352"/>
        <v>323.95</v>
      </c>
    </row>
    <row r="1180" spans="3:30">
      <c r="C1180" s="43" t="s">
        <v>2147</v>
      </c>
      <c r="D1180" s="44" t="s">
        <v>2148</v>
      </c>
      <c r="E1180" s="44"/>
      <c r="F1180" s="45">
        <v>42320.58694444444</v>
      </c>
      <c r="G1180" s="46">
        <v>34</v>
      </c>
      <c r="H1180" s="47">
        <v>43378</v>
      </c>
      <c r="I1180" s="47">
        <v>43400</v>
      </c>
      <c r="J1180" s="46">
        <v>87514</v>
      </c>
      <c r="K1180" s="46">
        <v>0</v>
      </c>
      <c r="L1180" s="46">
        <v>0</v>
      </c>
      <c r="M1180" s="46">
        <f t="shared" si="341"/>
        <v>87514</v>
      </c>
      <c r="N1180" s="46">
        <v>87514</v>
      </c>
      <c r="O1180" s="48">
        <f t="shared" si="342"/>
        <v>0</v>
      </c>
      <c r="P1180" s="46">
        <v>0</v>
      </c>
      <c r="Q1180" s="46">
        <v>87514</v>
      </c>
      <c r="R1180" s="49">
        <f t="shared" si="343"/>
        <v>1</v>
      </c>
      <c r="S1180" s="50">
        <f t="shared" si="344"/>
        <v>0.01</v>
      </c>
      <c r="T1180" s="49">
        <f t="shared" si="345"/>
        <v>875.14</v>
      </c>
      <c r="U1180" s="51">
        <f t="shared" si="346"/>
        <v>0</v>
      </c>
      <c r="V1180" s="52">
        <f>IF(0&lt;0.8,0,IF(0&lt;1,Sheet3!L561,1))*IF(G1180&lt;3,0.12 - O1180,0.01) *U1180</f>
        <v>0</v>
      </c>
      <c r="W1180" s="52">
        <f t="shared" si="347"/>
        <v>0</v>
      </c>
      <c r="X1180" s="53">
        <f t="shared" si="348"/>
        <v>0</v>
      </c>
      <c r="Y1180" s="53">
        <f t="shared" si="349"/>
        <v>0</v>
      </c>
      <c r="Z1180" s="54">
        <f t="shared" ref="Z1180:Z1192" si="354">IF(R1180=1,0,0)</f>
        <v>0</v>
      </c>
      <c r="AA1180" s="54">
        <f t="shared" si="350"/>
        <v>0</v>
      </c>
      <c r="AB1180" s="55">
        <f t="shared" si="353"/>
        <v>0</v>
      </c>
      <c r="AC1180" s="55">
        <f t="shared" si="351"/>
        <v>0</v>
      </c>
      <c r="AD1180" s="56">
        <f t="shared" si="352"/>
        <v>875.14</v>
      </c>
    </row>
    <row r="1181" spans="3:30">
      <c r="C1181" s="43" t="s">
        <v>2149</v>
      </c>
      <c r="D1181" s="44" t="s">
        <v>2150</v>
      </c>
      <c r="E1181" s="44"/>
      <c r="F1181" s="45">
        <v>42328.378113425926</v>
      </c>
      <c r="G1181" s="46">
        <v>34</v>
      </c>
      <c r="H1181" s="47">
        <v>43372</v>
      </c>
      <c r="I1181" s="47">
        <v>43388</v>
      </c>
      <c r="J1181" s="46">
        <v>398395</v>
      </c>
      <c r="K1181" s="46">
        <v>0</v>
      </c>
      <c r="L1181" s="46">
        <v>0</v>
      </c>
      <c r="M1181" s="46">
        <f t="shared" si="341"/>
        <v>398395</v>
      </c>
      <c r="N1181" s="46">
        <v>398395</v>
      </c>
      <c r="O1181" s="48">
        <f t="shared" si="342"/>
        <v>0</v>
      </c>
      <c r="P1181" s="46">
        <v>0</v>
      </c>
      <c r="Q1181" s="46">
        <v>398395</v>
      </c>
      <c r="R1181" s="49">
        <f t="shared" si="343"/>
        <v>1</v>
      </c>
      <c r="S1181" s="50">
        <f t="shared" si="344"/>
        <v>0.01</v>
      </c>
      <c r="T1181" s="49">
        <f t="shared" si="345"/>
        <v>3983.9500000000003</v>
      </c>
      <c r="U1181" s="51">
        <f t="shared" si="346"/>
        <v>0</v>
      </c>
      <c r="V1181" s="52">
        <f>IF(0&lt;0.8,0,IF(0&lt;1,Sheet3!L561,1))*IF(G1181&lt;3,0.12 - O1181,0.01) *U1181</f>
        <v>0</v>
      </c>
      <c r="W1181" s="52">
        <f t="shared" si="347"/>
        <v>0</v>
      </c>
      <c r="X1181" s="53">
        <f t="shared" si="348"/>
        <v>0</v>
      </c>
      <c r="Y1181" s="53">
        <f t="shared" si="349"/>
        <v>0</v>
      </c>
      <c r="Z1181" s="54">
        <f t="shared" si="354"/>
        <v>0</v>
      </c>
      <c r="AA1181" s="54">
        <f t="shared" si="350"/>
        <v>0</v>
      </c>
      <c r="AB1181" s="55">
        <f t="shared" si="353"/>
        <v>0</v>
      </c>
      <c r="AC1181" s="55">
        <f t="shared" si="351"/>
        <v>0</v>
      </c>
      <c r="AD1181" s="56">
        <f t="shared" si="352"/>
        <v>3983.9500000000003</v>
      </c>
    </row>
    <row r="1182" spans="3:30">
      <c r="C1182" s="43" t="s">
        <v>2151</v>
      </c>
      <c r="D1182" s="44" t="s">
        <v>2152</v>
      </c>
      <c r="E1182" s="44"/>
      <c r="F1182" s="45">
        <v>42333.642835648148</v>
      </c>
      <c r="G1182" s="46">
        <v>34</v>
      </c>
      <c r="H1182" s="47">
        <v>43381</v>
      </c>
      <c r="I1182" s="47">
        <v>43409</v>
      </c>
      <c r="J1182" s="46">
        <v>1983839</v>
      </c>
      <c r="K1182" s="46">
        <v>0</v>
      </c>
      <c r="L1182" s="46">
        <v>0</v>
      </c>
      <c r="M1182" s="46">
        <f t="shared" si="341"/>
        <v>1983839</v>
      </c>
      <c r="N1182" s="46">
        <v>1983839</v>
      </c>
      <c r="O1182" s="48">
        <f t="shared" si="342"/>
        <v>0</v>
      </c>
      <c r="P1182" s="46">
        <v>0</v>
      </c>
      <c r="Q1182" s="46">
        <v>1983839</v>
      </c>
      <c r="R1182" s="49">
        <f t="shared" si="343"/>
        <v>1</v>
      </c>
      <c r="S1182" s="50">
        <f t="shared" si="344"/>
        <v>0.01</v>
      </c>
      <c r="T1182" s="49">
        <f t="shared" si="345"/>
        <v>19838.39</v>
      </c>
      <c r="U1182" s="51">
        <f t="shared" si="346"/>
        <v>0</v>
      </c>
      <c r="V1182" s="52">
        <f>IF(0&lt;0.8,0,IF(0&lt;1,Sheet3!L561,1))*IF(G1182&lt;3,0.12 - O1182,0.01) *U1182</f>
        <v>0</v>
      </c>
      <c r="W1182" s="52">
        <f t="shared" si="347"/>
        <v>0</v>
      </c>
      <c r="X1182" s="53">
        <f t="shared" si="348"/>
        <v>0</v>
      </c>
      <c r="Y1182" s="53">
        <f t="shared" si="349"/>
        <v>0</v>
      </c>
      <c r="Z1182" s="54">
        <f t="shared" si="354"/>
        <v>0</v>
      </c>
      <c r="AA1182" s="54">
        <f t="shared" si="350"/>
        <v>0</v>
      </c>
      <c r="AB1182" s="55">
        <f t="shared" si="353"/>
        <v>0</v>
      </c>
      <c r="AC1182" s="55">
        <f t="shared" si="351"/>
        <v>0</v>
      </c>
      <c r="AD1182" s="56">
        <f t="shared" si="352"/>
        <v>19838.39</v>
      </c>
    </row>
    <row r="1183" spans="3:30">
      <c r="C1183" s="43" t="s">
        <v>2153</v>
      </c>
      <c r="D1183" s="44" t="s">
        <v>2154</v>
      </c>
      <c r="E1183" s="44"/>
      <c r="F1183" s="45">
        <v>42333.655486111107</v>
      </c>
      <c r="G1183" s="46">
        <v>34</v>
      </c>
      <c r="H1183" s="47">
        <v>43372</v>
      </c>
      <c r="I1183" s="47">
        <v>43379</v>
      </c>
      <c r="J1183" s="46">
        <v>925669</v>
      </c>
      <c r="K1183" s="46">
        <v>0</v>
      </c>
      <c r="L1183" s="46">
        <v>0</v>
      </c>
      <c r="M1183" s="46">
        <f t="shared" si="341"/>
        <v>925669</v>
      </c>
      <c r="N1183" s="46">
        <v>925669</v>
      </c>
      <c r="O1183" s="48">
        <f t="shared" si="342"/>
        <v>0</v>
      </c>
      <c r="P1183" s="46">
        <v>0</v>
      </c>
      <c r="Q1183" s="46">
        <v>925669</v>
      </c>
      <c r="R1183" s="49">
        <f t="shared" si="343"/>
        <v>1</v>
      </c>
      <c r="S1183" s="50">
        <f t="shared" si="344"/>
        <v>0.01</v>
      </c>
      <c r="T1183" s="49">
        <f t="shared" si="345"/>
        <v>9256.69</v>
      </c>
      <c r="U1183" s="51">
        <f t="shared" si="346"/>
        <v>0</v>
      </c>
      <c r="V1183" s="52">
        <f>IF(0&lt;0.8,0,IF(0&lt;1,Sheet3!L561,1))*IF(G1183&lt;3,0.12 - O1183,0.01) *U1183</f>
        <v>0</v>
      </c>
      <c r="W1183" s="52">
        <f t="shared" si="347"/>
        <v>0</v>
      </c>
      <c r="X1183" s="53">
        <f t="shared" si="348"/>
        <v>0</v>
      </c>
      <c r="Y1183" s="53">
        <f t="shared" si="349"/>
        <v>0</v>
      </c>
      <c r="Z1183" s="54">
        <f t="shared" si="354"/>
        <v>0</v>
      </c>
      <c r="AA1183" s="54">
        <f t="shared" si="350"/>
        <v>0</v>
      </c>
      <c r="AB1183" s="55">
        <f t="shared" si="353"/>
        <v>0</v>
      </c>
      <c r="AC1183" s="55">
        <f t="shared" si="351"/>
        <v>0</v>
      </c>
      <c r="AD1183" s="56">
        <f t="shared" si="352"/>
        <v>9256.69</v>
      </c>
    </row>
    <row r="1184" spans="3:30">
      <c r="C1184" s="43" t="s">
        <v>2155</v>
      </c>
      <c r="D1184" s="44" t="s">
        <v>2156</v>
      </c>
      <c r="E1184" s="44"/>
      <c r="F1184" s="45">
        <v>42335.644918981481</v>
      </c>
      <c r="G1184" s="46">
        <v>34</v>
      </c>
      <c r="H1184" s="47">
        <v>43419</v>
      </c>
      <c r="I1184" s="47">
        <v>43479</v>
      </c>
      <c r="J1184" s="46">
        <v>15806</v>
      </c>
      <c r="K1184" s="46">
        <v>0</v>
      </c>
      <c r="L1184" s="46">
        <v>0</v>
      </c>
      <c r="M1184" s="46">
        <f t="shared" si="341"/>
        <v>15806</v>
      </c>
      <c r="N1184" s="46">
        <v>15806</v>
      </c>
      <c r="O1184" s="48">
        <f t="shared" si="342"/>
        <v>0</v>
      </c>
      <c r="P1184" s="46">
        <v>0</v>
      </c>
      <c r="Q1184" s="46">
        <v>15806</v>
      </c>
      <c r="R1184" s="49">
        <f t="shared" si="343"/>
        <v>1</v>
      </c>
      <c r="S1184" s="50">
        <f t="shared" si="344"/>
        <v>0.01</v>
      </c>
      <c r="T1184" s="49">
        <f t="shared" si="345"/>
        <v>158.06</v>
      </c>
      <c r="U1184" s="51">
        <f t="shared" si="346"/>
        <v>0</v>
      </c>
      <c r="V1184" s="52">
        <f>IF(0&lt;0.8,0,IF(0&lt;1,Sheet3!L561,1))*IF(G1184&lt;3,0.12 - O1184,0.01) *U1184</f>
        <v>0</v>
      </c>
      <c r="W1184" s="52">
        <f t="shared" si="347"/>
        <v>0</v>
      </c>
      <c r="X1184" s="53">
        <f t="shared" si="348"/>
        <v>0</v>
      </c>
      <c r="Y1184" s="53">
        <f t="shared" si="349"/>
        <v>0</v>
      </c>
      <c r="Z1184" s="54">
        <f t="shared" si="354"/>
        <v>0</v>
      </c>
      <c r="AA1184" s="54">
        <f t="shared" si="350"/>
        <v>0</v>
      </c>
      <c r="AB1184" s="55">
        <f t="shared" si="353"/>
        <v>0</v>
      </c>
      <c r="AC1184" s="55">
        <f t="shared" si="351"/>
        <v>0</v>
      </c>
      <c r="AD1184" s="56">
        <f t="shared" si="352"/>
        <v>158.06</v>
      </c>
    </row>
    <row r="1185" spans="3:30">
      <c r="C1185" s="43" t="s">
        <v>2157</v>
      </c>
      <c r="D1185" s="44" t="s">
        <v>2158</v>
      </c>
      <c r="E1185" s="44"/>
      <c r="F1185" s="45">
        <v>42338.592546296291</v>
      </c>
      <c r="G1185" s="46">
        <v>34</v>
      </c>
      <c r="H1185" s="47">
        <v>43372</v>
      </c>
      <c r="I1185" s="47">
        <v>43424</v>
      </c>
      <c r="J1185" s="46">
        <v>5396211</v>
      </c>
      <c r="K1185" s="46">
        <v>0</v>
      </c>
      <c r="L1185" s="46">
        <v>0</v>
      </c>
      <c r="M1185" s="46">
        <f t="shared" si="341"/>
        <v>5396211</v>
      </c>
      <c r="N1185" s="46">
        <v>5396211</v>
      </c>
      <c r="O1185" s="48">
        <f t="shared" si="342"/>
        <v>0</v>
      </c>
      <c r="P1185" s="46">
        <v>0</v>
      </c>
      <c r="Q1185" s="46">
        <v>5396211</v>
      </c>
      <c r="R1185" s="49">
        <f t="shared" si="343"/>
        <v>1</v>
      </c>
      <c r="S1185" s="50">
        <f t="shared" si="344"/>
        <v>0.01</v>
      </c>
      <c r="T1185" s="49">
        <f t="shared" si="345"/>
        <v>53962.11</v>
      </c>
      <c r="U1185" s="51">
        <f t="shared" si="346"/>
        <v>0</v>
      </c>
      <c r="V1185" s="52">
        <f>IF(0&lt;0.8,0,IF(0&lt;1,Sheet3!L561,1))*IF(G1185&lt;3,0.12 - O1185,0.01) *U1185</f>
        <v>0</v>
      </c>
      <c r="W1185" s="52">
        <f t="shared" si="347"/>
        <v>0</v>
      </c>
      <c r="X1185" s="53">
        <f t="shared" si="348"/>
        <v>0</v>
      </c>
      <c r="Y1185" s="53">
        <f t="shared" si="349"/>
        <v>0</v>
      </c>
      <c r="Z1185" s="54">
        <f t="shared" si="354"/>
        <v>0</v>
      </c>
      <c r="AA1185" s="54">
        <f t="shared" si="350"/>
        <v>0</v>
      </c>
      <c r="AB1185" s="55">
        <f t="shared" si="353"/>
        <v>0</v>
      </c>
      <c r="AC1185" s="55">
        <f t="shared" si="351"/>
        <v>0</v>
      </c>
      <c r="AD1185" s="56">
        <f t="shared" si="352"/>
        <v>53962.11</v>
      </c>
    </row>
    <row r="1186" spans="3:30">
      <c r="C1186" s="43" t="s">
        <v>2159</v>
      </c>
      <c r="D1186" s="44" t="s">
        <v>2160</v>
      </c>
      <c r="E1186" s="44"/>
      <c r="F1186" s="45">
        <v>42340.479884259257</v>
      </c>
      <c r="G1186" s="46">
        <v>33</v>
      </c>
      <c r="H1186" s="47">
        <v>43381</v>
      </c>
      <c r="I1186" s="47">
        <v>43390</v>
      </c>
      <c r="J1186" s="46">
        <v>962022</v>
      </c>
      <c r="K1186" s="46">
        <v>0</v>
      </c>
      <c r="L1186" s="46">
        <v>0</v>
      </c>
      <c r="M1186" s="46">
        <f t="shared" si="341"/>
        <v>962022</v>
      </c>
      <c r="N1186" s="46">
        <v>962022</v>
      </c>
      <c r="O1186" s="48">
        <f t="shared" si="342"/>
        <v>0</v>
      </c>
      <c r="P1186" s="46">
        <v>0</v>
      </c>
      <c r="Q1186" s="46">
        <v>962022</v>
      </c>
      <c r="R1186" s="49">
        <f t="shared" si="343"/>
        <v>1</v>
      </c>
      <c r="S1186" s="50">
        <f t="shared" si="344"/>
        <v>0.01</v>
      </c>
      <c r="T1186" s="49">
        <f t="shared" si="345"/>
        <v>9620.2199999999993</v>
      </c>
      <c r="U1186" s="51">
        <f t="shared" si="346"/>
        <v>0</v>
      </c>
      <c r="V1186" s="52">
        <f>IF(0&lt;0.8,0,IF(0&lt;1,Sheet3!L561,1))*IF(G1186&lt;3,0.12 - O1186,0.01) *U1186</f>
        <v>0</v>
      </c>
      <c r="W1186" s="52">
        <f t="shared" si="347"/>
        <v>0</v>
      </c>
      <c r="X1186" s="53">
        <f t="shared" si="348"/>
        <v>0</v>
      </c>
      <c r="Y1186" s="53">
        <f t="shared" si="349"/>
        <v>0</v>
      </c>
      <c r="Z1186" s="54">
        <f t="shared" si="354"/>
        <v>0</v>
      </c>
      <c r="AA1186" s="54">
        <f t="shared" si="350"/>
        <v>0</v>
      </c>
      <c r="AB1186" s="55">
        <f t="shared" si="353"/>
        <v>0</v>
      </c>
      <c r="AC1186" s="55">
        <f t="shared" si="351"/>
        <v>0</v>
      </c>
      <c r="AD1186" s="56">
        <f t="shared" si="352"/>
        <v>9620.2199999999993</v>
      </c>
    </row>
    <row r="1187" spans="3:30">
      <c r="C1187" s="43" t="s">
        <v>2161</v>
      </c>
      <c r="D1187" s="44" t="s">
        <v>2162</v>
      </c>
      <c r="E1187" s="44"/>
      <c r="F1187" s="45">
        <v>42346.392094907409</v>
      </c>
      <c r="G1187" s="46">
        <v>33</v>
      </c>
      <c r="H1187" s="47">
        <v>43378</v>
      </c>
      <c r="I1187" s="47">
        <v>43400</v>
      </c>
      <c r="J1187" s="46">
        <v>165990</v>
      </c>
      <c r="K1187" s="46">
        <v>0</v>
      </c>
      <c r="L1187" s="46">
        <v>0</v>
      </c>
      <c r="M1187" s="46">
        <f t="shared" si="341"/>
        <v>165990</v>
      </c>
      <c r="N1187" s="46">
        <v>165990</v>
      </c>
      <c r="O1187" s="48">
        <f t="shared" si="342"/>
        <v>0</v>
      </c>
      <c r="P1187" s="46">
        <v>0</v>
      </c>
      <c r="Q1187" s="46">
        <v>165990</v>
      </c>
      <c r="R1187" s="49">
        <f t="shared" si="343"/>
        <v>1</v>
      </c>
      <c r="S1187" s="50">
        <f t="shared" si="344"/>
        <v>0.01</v>
      </c>
      <c r="T1187" s="49">
        <f t="shared" si="345"/>
        <v>1659.9</v>
      </c>
      <c r="U1187" s="51">
        <f t="shared" si="346"/>
        <v>0</v>
      </c>
      <c r="V1187" s="52">
        <f>IF(0&lt;0.8,0,IF(0&lt;1,Sheet3!L561,1))*IF(G1187&lt;3,0.12 - O1187,0.01) *U1187</f>
        <v>0</v>
      </c>
      <c r="W1187" s="52">
        <f t="shared" si="347"/>
        <v>0</v>
      </c>
      <c r="X1187" s="53">
        <f t="shared" si="348"/>
        <v>0</v>
      </c>
      <c r="Y1187" s="53">
        <f t="shared" si="349"/>
        <v>0</v>
      </c>
      <c r="Z1187" s="54">
        <f t="shared" si="354"/>
        <v>0</v>
      </c>
      <c r="AA1187" s="54">
        <f t="shared" si="350"/>
        <v>0</v>
      </c>
      <c r="AB1187" s="55">
        <f t="shared" si="353"/>
        <v>0</v>
      </c>
      <c r="AC1187" s="55">
        <f t="shared" si="351"/>
        <v>0</v>
      </c>
      <c r="AD1187" s="56">
        <f t="shared" si="352"/>
        <v>1659.9</v>
      </c>
    </row>
    <row r="1188" spans="3:30">
      <c r="C1188" s="43" t="s">
        <v>2163</v>
      </c>
      <c r="D1188" s="44" t="s">
        <v>2164</v>
      </c>
      <c r="E1188" s="44"/>
      <c r="F1188" s="45">
        <v>42346.409872685181</v>
      </c>
      <c r="G1188" s="46">
        <v>33</v>
      </c>
      <c r="H1188" s="47">
        <v>43375</v>
      </c>
      <c r="I1188" s="47">
        <v>43439</v>
      </c>
      <c r="J1188" s="46">
        <v>53240</v>
      </c>
      <c r="K1188" s="46">
        <v>0</v>
      </c>
      <c r="L1188" s="46">
        <v>0</v>
      </c>
      <c r="M1188" s="46">
        <f t="shared" si="341"/>
        <v>53240</v>
      </c>
      <c r="N1188" s="46">
        <v>53240</v>
      </c>
      <c r="O1188" s="48">
        <f t="shared" si="342"/>
        <v>0</v>
      </c>
      <c r="P1188" s="46">
        <v>0</v>
      </c>
      <c r="Q1188" s="46">
        <v>53240</v>
      </c>
      <c r="R1188" s="49">
        <f t="shared" si="343"/>
        <v>1</v>
      </c>
      <c r="S1188" s="50">
        <f t="shared" si="344"/>
        <v>0.01</v>
      </c>
      <c r="T1188" s="49">
        <f t="shared" si="345"/>
        <v>532.4</v>
      </c>
      <c r="U1188" s="51">
        <f t="shared" si="346"/>
        <v>0</v>
      </c>
      <c r="V1188" s="52">
        <f>IF(0&lt;0.8,0,IF(0&lt;1,Sheet3!L561,1))*IF(G1188&lt;3,0.12 - O1188,0.01) *U1188</f>
        <v>0</v>
      </c>
      <c r="W1188" s="52">
        <f t="shared" si="347"/>
        <v>0</v>
      </c>
      <c r="X1188" s="53">
        <f t="shared" si="348"/>
        <v>0</v>
      </c>
      <c r="Y1188" s="53">
        <f t="shared" si="349"/>
        <v>0</v>
      </c>
      <c r="Z1188" s="54">
        <f t="shared" si="354"/>
        <v>0</v>
      </c>
      <c r="AA1188" s="54">
        <f t="shared" si="350"/>
        <v>0</v>
      </c>
      <c r="AB1188" s="55">
        <f t="shared" si="353"/>
        <v>0</v>
      </c>
      <c r="AC1188" s="55">
        <f t="shared" si="351"/>
        <v>0</v>
      </c>
      <c r="AD1188" s="56">
        <f t="shared" si="352"/>
        <v>532.4</v>
      </c>
    </row>
    <row r="1189" spans="3:30">
      <c r="C1189" s="43" t="s">
        <v>2165</v>
      </c>
      <c r="D1189" s="44" t="s">
        <v>2166</v>
      </c>
      <c r="E1189" s="44"/>
      <c r="F1189" s="45">
        <v>42355.44427083333</v>
      </c>
      <c r="G1189" s="46">
        <v>33</v>
      </c>
      <c r="H1189" s="47">
        <v>43377</v>
      </c>
      <c r="I1189" s="47">
        <v>43391</v>
      </c>
      <c r="J1189" s="46">
        <v>713014</v>
      </c>
      <c r="K1189" s="46">
        <v>0</v>
      </c>
      <c r="L1189" s="46">
        <v>0</v>
      </c>
      <c r="M1189" s="46">
        <f t="shared" si="341"/>
        <v>713014</v>
      </c>
      <c r="N1189" s="46">
        <v>713014</v>
      </c>
      <c r="O1189" s="48">
        <f t="shared" si="342"/>
        <v>0</v>
      </c>
      <c r="P1189" s="46">
        <v>0</v>
      </c>
      <c r="Q1189" s="46">
        <v>713014</v>
      </c>
      <c r="R1189" s="49">
        <f t="shared" si="343"/>
        <v>1</v>
      </c>
      <c r="S1189" s="50">
        <f t="shared" si="344"/>
        <v>0.01</v>
      </c>
      <c r="T1189" s="49">
        <f t="shared" si="345"/>
        <v>7130.14</v>
      </c>
      <c r="U1189" s="51">
        <f t="shared" si="346"/>
        <v>0</v>
      </c>
      <c r="V1189" s="52">
        <f>IF(0&lt;0.8,0,IF(0&lt;1,Sheet3!L561,1))*IF(G1189&lt;3,0.12 - O1189,0.01) *U1189</f>
        <v>0</v>
      </c>
      <c r="W1189" s="52">
        <f t="shared" si="347"/>
        <v>0</v>
      </c>
      <c r="X1189" s="53">
        <f t="shared" si="348"/>
        <v>0</v>
      </c>
      <c r="Y1189" s="53">
        <f t="shared" si="349"/>
        <v>0</v>
      </c>
      <c r="Z1189" s="54">
        <f t="shared" si="354"/>
        <v>0</v>
      </c>
      <c r="AA1189" s="54">
        <f t="shared" si="350"/>
        <v>0</v>
      </c>
      <c r="AB1189" s="55">
        <f t="shared" si="353"/>
        <v>0</v>
      </c>
      <c r="AC1189" s="55">
        <f t="shared" si="351"/>
        <v>0</v>
      </c>
      <c r="AD1189" s="56">
        <f t="shared" si="352"/>
        <v>7130.14</v>
      </c>
    </row>
    <row r="1190" spans="3:30">
      <c r="C1190" s="43" t="s">
        <v>2167</v>
      </c>
      <c r="D1190" s="44" t="s">
        <v>2168</v>
      </c>
      <c r="E1190" s="44"/>
      <c r="F1190" s="45">
        <v>42355.562465277777</v>
      </c>
      <c r="G1190" s="46">
        <v>33</v>
      </c>
      <c r="H1190" s="47">
        <v>43398</v>
      </c>
      <c r="I1190" s="47">
        <v>43447</v>
      </c>
      <c r="J1190" s="46">
        <v>2012927</v>
      </c>
      <c r="K1190" s="46">
        <v>0</v>
      </c>
      <c r="L1190" s="46">
        <v>0</v>
      </c>
      <c r="M1190" s="46">
        <f t="shared" si="341"/>
        <v>2012927</v>
      </c>
      <c r="N1190" s="46">
        <v>5889520</v>
      </c>
      <c r="O1190" s="48">
        <f t="shared" si="342"/>
        <v>0.65821883617001054</v>
      </c>
      <c r="P1190" s="46">
        <v>0</v>
      </c>
      <c r="Q1190" s="46">
        <v>2012927</v>
      </c>
      <c r="R1190" s="49">
        <f t="shared" si="343"/>
        <v>1</v>
      </c>
      <c r="S1190" s="50">
        <f t="shared" si="344"/>
        <v>0.01</v>
      </c>
      <c r="T1190" s="49">
        <f t="shared" si="345"/>
        <v>20129.27</v>
      </c>
      <c r="U1190" s="51">
        <f t="shared" si="346"/>
        <v>0</v>
      </c>
      <c r="V1190" s="52">
        <f>IF(0&lt;0.8,0,IF(0&lt;1,Sheet3!L561,1))*IF(G1190&lt;3,0.12 - O1190,0.01) *U1190</f>
        <v>0</v>
      </c>
      <c r="W1190" s="52">
        <f t="shared" si="347"/>
        <v>0</v>
      </c>
      <c r="X1190" s="53">
        <f t="shared" si="348"/>
        <v>0</v>
      </c>
      <c r="Y1190" s="53">
        <f t="shared" si="349"/>
        <v>0</v>
      </c>
      <c r="Z1190" s="54">
        <f t="shared" si="354"/>
        <v>0</v>
      </c>
      <c r="AA1190" s="54">
        <f t="shared" si="350"/>
        <v>0</v>
      </c>
      <c r="AB1190" s="55">
        <f t="shared" si="353"/>
        <v>0</v>
      </c>
      <c r="AC1190" s="55">
        <f t="shared" si="351"/>
        <v>0</v>
      </c>
      <c r="AD1190" s="56">
        <f t="shared" si="352"/>
        <v>20129.27</v>
      </c>
    </row>
    <row r="1191" spans="3:30">
      <c r="C1191" s="43" t="s">
        <v>2169</v>
      </c>
      <c r="D1191" s="44" t="s">
        <v>2170</v>
      </c>
      <c r="E1191" s="44"/>
      <c r="F1191" s="45">
        <v>42359.587395833332</v>
      </c>
      <c r="G1191" s="46">
        <v>33</v>
      </c>
      <c r="H1191" s="47">
        <v>43378</v>
      </c>
      <c r="I1191" s="47">
        <v>43390</v>
      </c>
      <c r="J1191" s="46">
        <v>352150</v>
      </c>
      <c r="K1191" s="46">
        <v>0</v>
      </c>
      <c r="L1191" s="46">
        <v>0</v>
      </c>
      <c r="M1191" s="46">
        <f t="shared" si="341"/>
        <v>352150</v>
      </c>
      <c r="N1191" s="46">
        <v>352150</v>
      </c>
      <c r="O1191" s="48">
        <f t="shared" si="342"/>
        <v>0</v>
      </c>
      <c r="P1191" s="46">
        <v>0</v>
      </c>
      <c r="Q1191" s="46">
        <v>352150</v>
      </c>
      <c r="R1191" s="49">
        <f t="shared" si="343"/>
        <v>1</v>
      </c>
      <c r="S1191" s="50">
        <f t="shared" si="344"/>
        <v>0.01</v>
      </c>
      <c r="T1191" s="49">
        <f t="shared" si="345"/>
        <v>3521.5</v>
      </c>
      <c r="U1191" s="51">
        <f t="shared" si="346"/>
        <v>0</v>
      </c>
      <c r="V1191" s="52">
        <f>IF(0&lt;0.8,0,IF(0&lt;1,Sheet3!L561,1))*IF(G1191&lt;3,0.12 - O1191,0.01) *U1191</f>
        <v>0</v>
      </c>
      <c r="W1191" s="52">
        <f t="shared" si="347"/>
        <v>0</v>
      </c>
      <c r="X1191" s="53">
        <f t="shared" si="348"/>
        <v>0</v>
      </c>
      <c r="Y1191" s="53">
        <f t="shared" si="349"/>
        <v>0</v>
      </c>
      <c r="Z1191" s="54">
        <f t="shared" si="354"/>
        <v>0</v>
      </c>
      <c r="AA1191" s="54">
        <f t="shared" si="350"/>
        <v>0</v>
      </c>
      <c r="AB1191" s="55">
        <f t="shared" si="353"/>
        <v>0</v>
      </c>
      <c r="AC1191" s="55">
        <f t="shared" si="351"/>
        <v>0</v>
      </c>
      <c r="AD1191" s="56">
        <f t="shared" si="352"/>
        <v>3521.5</v>
      </c>
    </row>
    <row r="1192" spans="3:30">
      <c r="C1192" s="43" t="s">
        <v>2171</v>
      </c>
      <c r="D1192" s="44" t="s">
        <v>2172</v>
      </c>
      <c r="E1192" s="44"/>
      <c r="F1192" s="45">
        <v>42359.643634259257</v>
      </c>
      <c r="G1192" s="46">
        <v>33</v>
      </c>
      <c r="H1192" s="47">
        <v>43381</v>
      </c>
      <c r="I1192" s="47">
        <v>43420</v>
      </c>
      <c r="J1192" s="46">
        <v>4481694</v>
      </c>
      <c r="K1192" s="46">
        <v>0</v>
      </c>
      <c r="L1192" s="46">
        <v>0</v>
      </c>
      <c r="M1192" s="46">
        <f t="shared" si="341"/>
        <v>4481694</v>
      </c>
      <c r="N1192" s="46">
        <v>4481694</v>
      </c>
      <c r="O1192" s="48">
        <f t="shared" si="342"/>
        <v>0</v>
      </c>
      <c r="P1192" s="46">
        <v>0</v>
      </c>
      <c r="Q1192" s="46">
        <v>4481694</v>
      </c>
      <c r="R1192" s="49">
        <f t="shared" si="343"/>
        <v>1</v>
      </c>
      <c r="S1192" s="50">
        <f t="shared" si="344"/>
        <v>0.01</v>
      </c>
      <c r="T1192" s="49">
        <f t="shared" si="345"/>
        <v>44816.94</v>
      </c>
      <c r="U1192" s="51">
        <f t="shared" si="346"/>
        <v>0</v>
      </c>
      <c r="V1192" s="52">
        <f>IF(0&lt;0.8,0,IF(0&lt;1,Sheet3!L561,1))*IF(G1192&lt;3,0.12 - O1192,0.01) *U1192</f>
        <v>0</v>
      </c>
      <c r="W1192" s="52">
        <f t="shared" si="347"/>
        <v>0</v>
      </c>
      <c r="X1192" s="53">
        <f t="shared" si="348"/>
        <v>0</v>
      </c>
      <c r="Y1192" s="53">
        <f t="shared" si="349"/>
        <v>0</v>
      </c>
      <c r="Z1192" s="54">
        <f t="shared" si="354"/>
        <v>0</v>
      </c>
      <c r="AA1192" s="54">
        <f t="shared" si="350"/>
        <v>0</v>
      </c>
      <c r="AB1192" s="55">
        <f t="shared" si="353"/>
        <v>0</v>
      </c>
      <c r="AC1192" s="55">
        <f t="shared" si="351"/>
        <v>0</v>
      </c>
      <c r="AD1192" s="56">
        <f t="shared" si="352"/>
        <v>44816.94</v>
      </c>
    </row>
    <row r="1193" spans="3:30">
      <c r="C1193" s="43" t="s">
        <v>2173</v>
      </c>
      <c r="D1193" s="44" t="s">
        <v>2174</v>
      </c>
      <c r="E1193" s="44"/>
      <c r="F1193" s="45">
        <v>42363.570717592593</v>
      </c>
      <c r="G1193" s="46">
        <v>33</v>
      </c>
      <c r="H1193" s="47" t="s">
        <v>24</v>
      </c>
      <c r="I1193" s="47" t="s">
        <v>24</v>
      </c>
      <c r="J1193" s="46">
        <v>24956</v>
      </c>
      <c r="K1193" s="46">
        <v>0</v>
      </c>
      <c r="L1193" s="46">
        <v>0</v>
      </c>
      <c r="M1193" s="46">
        <f t="shared" si="341"/>
        <v>24956</v>
      </c>
      <c r="N1193" s="46" t="s">
        <v>24</v>
      </c>
      <c r="O1193" s="48">
        <f t="shared" si="342"/>
        <v>0</v>
      </c>
      <c r="P1193" s="46">
        <v>0</v>
      </c>
      <c r="Q1193" s="46">
        <v>0</v>
      </c>
      <c r="R1193" s="49">
        <f t="shared" si="343"/>
        <v>1</v>
      </c>
      <c r="S1193" s="50">
        <f t="shared" si="344"/>
        <v>0.01</v>
      </c>
      <c r="T1193" s="49">
        <f t="shared" si="345"/>
        <v>249.56</v>
      </c>
      <c r="U1193" s="51">
        <f t="shared" si="346"/>
        <v>0</v>
      </c>
      <c r="V1193" s="52">
        <f>IF(0&lt;0.8,0,IF(0&lt;1,Sheet3!L561,1))*IF(G1193&lt;3,0.12 - O1193,0.01) *U1193</f>
        <v>0</v>
      </c>
      <c r="W1193" s="52">
        <f t="shared" si="347"/>
        <v>0</v>
      </c>
      <c r="X1193" s="53">
        <f t="shared" si="348"/>
        <v>0</v>
      </c>
      <c r="Y1193" s="53">
        <f t="shared" si="349"/>
        <v>0</v>
      </c>
      <c r="Z1193" s="54">
        <f>IF(R1193=1,0,"")</f>
        <v>0</v>
      </c>
      <c r="AA1193" s="54">
        <f t="shared" si="350"/>
        <v>0</v>
      </c>
      <c r="AB1193" s="55">
        <f>IF(R1193=0,"",0)</f>
        <v>0</v>
      </c>
      <c r="AC1193" s="55">
        <f t="shared" si="351"/>
        <v>0</v>
      </c>
      <c r="AD1193" s="56">
        <f t="shared" si="352"/>
        <v>249.56</v>
      </c>
    </row>
    <row r="1194" spans="3:30">
      <c r="C1194" s="43" t="s">
        <v>2175</v>
      </c>
      <c r="D1194" s="44" t="s">
        <v>2176</v>
      </c>
      <c r="E1194" s="44"/>
      <c r="F1194" s="45">
        <v>42363.575821759259</v>
      </c>
      <c r="G1194" s="46">
        <v>33</v>
      </c>
      <c r="H1194" s="47">
        <v>43375</v>
      </c>
      <c r="I1194" s="47">
        <v>43434</v>
      </c>
      <c r="J1194" s="46">
        <v>2330974</v>
      </c>
      <c r="K1194" s="46">
        <v>0</v>
      </c>
      <c r="L1194" s="46">
        <v>0</v>
      </c>
      <c r="M1194" s="46">
        <f t="shared" si="341"/>
        <v>2330974</v>
      </c>
      <c r="N1194" s="46">
        <v>2330974</v>
      </c>
      <c r="O1194" s="48">
        <f t="shared" si="342"/>
        <v>0</v>
      </c>
      <c r="P1194" s="46">
        <v>0</v>
      </c>
      <c r="Q1194" s="46">
        <v>2330974</v>
      </c>
      <c r="R1194" s="49">
        <f t="shared" si="343"/>
        <v>1</v>
      </c>
      <c r="S1194" s="50">
        <f t="shared" si="344"/>
        <v>0.01</v>
      </c>
      <c r="T1194" s="49">
        <f t="shared" si="345"/>
        <v>23309.74</v>
      </c>
      <c r="U1194" s="51">
        <f t="shared" si="346"/>
        <v>0</v>
      </c>
      <c r="V1194" s="52">
        <f>IF(0&lt;0.8,0,IF(0&lt;1,Sheet3!L561,1))*IF(G1194&lt;3,0.12 - O1194,0.01) *U1194</f>
        <v>0</v>
      </c>
      <c r="W1194" s="52">
        <f t="shared" si="347"/>
        <v>0</v>
      </c>
      <c r="X1194" s="53">
        <f t="shared" si="348"/>
        <v>0</v>
      </c>
      <c r="Y1194" s="53">
        <f t="shared" si="349"/>
        <v>0</v>
      </c>
      <c r="Z1194" s="54">
        <f t="shared" ref="Z1194:Z1228" si="355">IF(R1194=1,0,0)</f>
        <v>0</v>
      </c>
      <c r="AA1194" s="54">
        <f t="shared" si="350"/>
        <v>0</v>
      </c>
      <c r="AB1194" s="55">
        <f t="shared" ref="AB1194:AB1228" si="356">IF(R1194=0,0,0)</f>
        <v>0</v>
      </c>
      <c r="AC1194" s="55">
        <f t="shared" si="351"/>
        <v>0</v>
      </c>
      <c r="AD1194" s="56">
        <f t="shared" si="352"/>
        <v>23309.74</v>
      </c>
    </row>
    <row r="1195" spans="3:30">
      <c r="C1195" s="43" t="s">
        <v>2177</v>
      </c>
      <c r="D1195" s="44" t="s">
        <v>2178</v>
      </c>
      <c r="E1195" s="44"/>
      <c r="F1195" s="45">
        <v>42366.472314814811</v>
      </c>
      <c r="G1195" s="46">
        <v>33</v>
      </c>
      <c r="H1195" s="47" t="s">
        <v>24</v>
      </c>
      <c r="I1195" s="47" t="s">
        <v>24</v>
      </c>
      <c r="J1195" s="46">
        <v>105270</v>
      </c>
      <c r="K1195" s="46">
        <v>0</v>
      </c>
      <c r="L1195" s="46">
        <v>0</v>
      </c>
      <c r="M1195" s="46">
        <f t="shared" si="341"/>
        <v>105270</v>
      </c>
      <c r="N1195" s="46">
        <v>105270</v>
      </c>
      <c r="O1195" s="48">
        <f t="shared" si="342"/>
        <v>0</v>
      </c>
      <c r="P1195" s="46">
        <v>0</v>
      </c>
      <c r="Q1195" s="46">
        <v>105270</v>
      </c>
      <c r="R1195" s="49">
        <f t="shared" si="343"/>
        <v>1</v>
      </c>
      <c r="S1195" s="50">
        <f t="shared" si="344"/>
        <v>0.01</v>
      </c>
      <c r="T1195" s="49">
        <f t="shared" si="345"/>
        <v>1052.7</v>
      </c>
      <c r="U1195" s="51">
        <f t="shared" si="346"/>
        <v>0</v>
      </c>
      <c r="V1195" s="52">
        <f>IF(0&lt;0.8,0,IF(0&lt;1,Sheet3!L561,1))*IF(G1195&lt;3,0.12 - O1195,0.01) *U1195</f>
        <v>0</v>
      </c>
      <c r="W1195" s="52">
        <f t="shared" si="347"/>
        <v>0</v>
      </c>
      <c r="X1195" s="53">
        <f t="shared" si="348"/>
        <v>0</v>
      </c>
      <c r="Y1195" s="53">
        <f t="shared" si="349"/>
        <v>0</v>
      </c>
      <c r="Z1195" s="54">
        <f t="shared" si="355"/>
        <v>0</v>
      </c>
      <c r="AA1195" s="54">
        <f t="shared" si="350"/>
        <v>0</v>
      </c>
      <c r="AB1195" s="55">
        <f t="shared" si="356"/>
        <v>0</v>
      </c>
      <c r="AC1195" s="55">
        <f t="shared" si="351"/>
        <v>0</v>
      </c>
      <c r="AD1195" s="56">
        <f t="shared" si="352"/>
        <v>1052.7</v>
      </c>
    </row>
    <row r="1196" spans="3:30">
      <c r="C1196" s="43" t="s">
        <v>2179</v>
      </c>
      <c r="D1196" s="44" t="s">
        <v>2180</v>
      </c>
      <c r="E1196" s="44"/>
      <c r="F1196" s="45">
        <v>42377.678657407407</v>
      </c>
      <c r="G1196" s="46">
        <v>32</v>
      </c>
      <c r="H1196" s="47">
        <v>43378</v>
      </c>
      <c r="I1196" s="47">
        <v>43389</v>
      </c>
      <c r="J1196" s="46">
        <v>517709</v>
      </c>
      <c r="K1196" s="46">
        <v>0</v>
      </c>
      <c r="L1196" s="46">
        <v>0</v>
      </c>
      <c r="M1196" s="46">
        <f t="shared" si="341"/>
        <v>517709</v>
      </c>
      <c r="N1196" s="46">
        <v>517709</v>
      </c>
      <c r="O1196" s="48">
        <f t="shared" si="342"/>
        <v>0</v>
      </c>
      <c r="P1196" s="46">
        <v>0</v>
      </c>
      <c r="Q1196" s="46">
        <v>517709</v>
      </c>
      <c r="R1196" s="49">
        <f t="shared" si="343"/>
        <v>1</v>
      </c>
      <c r="S1196" s="50">
        <f t="shared" si="344"/>
        <v>0.01</v>
      </c>
      <c r="T1196" s="49">
        <f t="shared" si="345"/>
        <v>5177.09</v>
      </c>
      <c r="U1196" s="51">
        <f t="shared" si="346"/>
        <v>0</v>
      </c>
      <c r="V1196" s="52">
        <f>IF(0&lt;0.8,0,IF(0&lt;1,Sheet3!L561,1))*IF(G1196&lt;3,0.12 - O1196,0.01) *U1196</f>
        <v>0</v>
      </c>
      <c r="W1196" s="52">
        <f t="shared" si="347"/>
        <v>0</v>
      </c>
      <c r="X1196" s="53">
        <f t="shared" si="348"/>
        <v>0</v>
      </c>
      <c r="Y1196" s="53">
        <f t="shared" si="349"/>
        <v>0</v>
      </c>
      <c r="Z1196" s="54">
        <f t="shared" si="355"/>
        <v>0</v>
      </c>
      <c r="AA1196" s="54">
        <f t="shared" si="350"/>
        <v>0</v>
      </c>
      <c r="AB1196" s="55">
        <f t="shared" si="356"/>
        <v>0</v>
      </c>
      <c r="AC1196" s="55">
        <f t="shared" si="351"/>
        <v>0</v>
      </c>
      <c r="AD1196" s="56">
        <f t="shared" si="352"/>
        <v>5177.09</v>
      </c>
    </row>
    <row r="1197" spans="3:30">
      <c r="C1197" s="43" t="s">
        <v>2181</v>
      </c>
      <c r="D1197" s="44" t="s">
        <v>2182</v>
      </c>
      <c r="E1197" s="44"/>
      <c r="F1197" s="45">
        <v>42388.436944444446</v>
      </c>
      <c r="G1197" s="46">
        <v>32</v>
      </c>
      <c r="H1197" s="47">
        <v>43404</v>
      </c>
      <c r="I1197" s="47">
        <v>43412</v>
      </c>
      <c r="J1197" s="46">
        <v>25080</v>
      </c>
      <c r="K1197" s="46">
        <v>0</v>
      </c>
      <c r="L1197" s="46">
        <v>0</v>
      </c>
      <c r="M1197" s="46">
        <f t="shared" si="341"/>
        <v>25080</v>
      </c>
      <c r="N1197" s="46">
        <v>45133</v>
      </c>
      <c r="O1197" s="48">
        <f t="shared" si="342"/>
        <v>0.44430904216427003</v>
      </c>
      <c r="P1197" s="46">
        <v>0</v>
      </c>
      <c r="Q1197" s="46">
        <v>25080</v>
      </c>
      <c r="R1197" s="49">
        <f t="shared" si="343"/>
        <v>1</v>
      </c>
      <c r="S1197" s="50">
        <f t="shared" si="344"/>
        <v>0.01</v>
      </c>
      <c r="T1197" s="49">
        <f t="shared" si="345"/>
        <v>250.8</v>
      </c>
      <c r="U1197" s="51">
        <f t="shared" si="346"/>
        <v>0</v>
      </c>
      <c r="V1197" s="52">
        <f>IF(0&lt;0.8,0,IF(0&lt;1,Sheet3!L561,1))*IF(G1197&lt;3,0.12 - O1197,0.01) *U1197</f>
        <v>0</v>
      </c>
      <c r="W1197" s="52">
        <f t="shared" si="347"/>
        <v>0</v>
      </c>
      <c r="X1197" s="53">
        <f t="shared" si="348"/>
        <v>0</v>
      </c>
      <c r="Y1197" s="53">
        <f t="shared" si="349"/>
        <v>0</v>
      </c>
      <c r="Z1197" s="54">
        <f t="shared" si="355"/>
        <v>0</v>
      </c>
      <c r="AA1197" s="54">
        <f t="shared" si="350"/>
        <v>0</v>
      </c>
      <c r="AB1197" s="55">
        <f t="shared" si="356"/>
        <v>0</v>
      </c>
      <c r="AC1197" s="55">
        <f t="shared" si="351"/>
        <v>0</v>
      </c>
      <c r="AD1197" s="56">
        <f t="shared" si="352"/>
        <v>250.8</v>
      </c>
    </row>
    <row r="1198" spans="3:30">
      <c r="C1198" s="43" t="s">
        <v>2183</v>
      </c>
      <c r="D1198" s="44" t="s">
        <v>2184</v>
      </c>
      <c r="E1198" s="44"/>
      <c r="F1198" s="45">
        <v>42394.438217592593</v>
      </c>
      <c r="G1198" s="46">
        <v>32</v>
      </c>
      <c r="H1198" s="47">
        <v>43381</v>
      </c>
      <c r="I1198" s="47">
        <v>43400</v>
      </c>
      <c r="J1198" s="46">
        <v>100850</v>
      </c>
      <c r="K1198" s="46">
        <v>0</v>
      </c>
      <c r="L1198" s="46">
        <v>0</v>
      </c>
      <c r="M1198" s="46">
        <f t="shared" si="341"/>
        <v>100850</v>
      </c>
      <c r="N1198" s="46">
        <v>100850</v>
      </c>
      <c r="O1198" s="48">
        <f t="shared" si="342"/>
        <v>0</v>
      </c>
      <c r="P1198" s="46">
        <v>0</v>
      </c>
      <c r="Q1198" s="46">
        <v>100850</v>
      </c>
      <c r="R1198" s="49">
        <f t="shared" si="343"/>
        <v>1</v>
      </c>
      <c r="S1198" s="50">
        <f t="shared" si="344"/>
        <v>0.01</v>
      </c>
      <c r="T1198" s="49">
        <f t="shared" si="345"/>
        <v>1008.5</v>
      </c>
      <c r="U1198" s="51">
        <f t="shared" si="346"/>
        <v>0</v>
      </c>
      <c r="V1198" s="52">
        <f>IF(0&lt;0.8,0,IF(0&lt;1,Sheet3!L561,1))*IF(G1198&lt;3,0.12 - O1198,0.01) *U1198</f>
        <v>0</v>
      </c>
      <c r="W1198" s="52">
        <f t="shared" si="347"/>
        <v>0</v>
      </c>
      <c r="X1198" s="53">
        <f t="shared" si="348"/>
        <v>0</v>
      </c>
      <c r="Y1198" s="53">
        <f t="shared" si="349"/>
        <v>0</v>
      </c>
      <c r="Z1198" s="54">
        <f t="shared" si="355"/>
        <v>0</v>
      </c>
      <c r="AA1198" s="54">
        <f t="shared" si="350"/>
        <v>0</v>
      </c>
      <c r="AB1198" s="55">
        <f t="shared" si="356"/>
        <v>0</v>
      </c>
      <c r="AC1198" s="55">
        <f t="shared" si="351"/>
        <v>0</v>
      </c>
      <c r="AD1198" s="56">
        <f t="shared" si="352"/>
        <v>1008.5</v>
      </c>
    </row>
    <row r="1199" spans="3:30">
      <c r="C1199" s="43" t="s">
        <v>2185</v>
      </c>
      <c r="D1199" s="44" t="s">
        <v>2186</v>
      </c>
      <c r="E1199" s="44"/>
      <c r="F1199" s="45">
        <v>42394.43954861111</v>
      </c>
      <c r="G1199" s="46">
        <v>32</v>
      </c>
      <c r="H1199" s="47">
        <v>43375</v>
      </c>
      <c r="I1199" s="47">
        <v>43405</v>
      </c>
      <c r="J1199" s="46">
        <v>562749</v>
      </c>
      <c r="K1199" s="46">
        <v>0</v>
      </c>
      <c r="L1199" s="46">
        <v>0</v>
      </c>
      <c r="M1199" s="46">
        <f t="shared" si="341"/>
        <v>562749</v>
      </c>
      <c r="N1199" s="46">
        <v>562749</v>
      </c>
      <c r="O1199" s="48">
        <f t="shared" si="342"/>
        <v>0</v>
      </c>
      <c r="P1199" s="46">
        <v>0</v>
      </c>
      <c r="Q1199" s="46">
        <v>562749</v>
      </c>
      <c r="R1199" s="49">
        <f t="shared" si="343"/>
        <v>1</v>
      </c>
      <c r="S1199" s="50">
        <f t="shared" si="344"/>
        <v>0.01</v>
      </c>
      <c r="T1199" s="49">
        <f t="shared" si="345"/>
        <v>5627.49</v>
      </c>
      <c r="U1199" s="51">
        <f t="shared" si="346"/>
        <v>0</v>
      </c>
      <c r="V1199" s="52">
        <f>IF(0&lt;0.8,0,IF(0&lt;1,Sheet3!L561,1))*IF(G1199&lt;3,0.12 - O1199,0.01) *U1199</f>
        <v>0</v>
      </c>
      <c r="W1199" s="52">
        <f t="shared" si="347"/>
        <v>0</v>
      </c>
      <c r="X1199" s="53">
        <f t="shared" si="348"/>
        <v>0</v>
      </c>
      <c r="Y1199" s="53">
        <f t="shared" si="349"/>
        <v>0</v>
      </c>
      <c r="Z1199" s="54">
        <f t="shared" si="355"/>
        <v>0</v>
      </c>
      <c r="AA1199" s="54">
        <f t="shared" si="350"/>
        <v>0</v>
      </c>
      <c r="AB1199" s="55">
        <f t="shared" si="356"/>
        <v>0</v>
      </c>
      <c r="AC1199" s="55">
        <f t="shared" si="351"/>
        <v>0</v>
      </c>
      <c r="AD1199" s="56">
        <f t="shared" si="352"/>
        <v>5627.49</v>
      </c>
    </row>
    <row r="1200" spans="3:30">
      <c r="C1200" s="43" t="s">
        <v>2187</v>
      </c>
      <c r="D1200" s="44" t="s">
        <v>2188</v>
      </c>
      <c r="E1200" s="44"/>
      <c r="F1200" s="45">
        <v>42395.650023148148</v>
      </c>
      <c r="G1200" s="46">
        <v>32</v>
      </c>
      <c r="H1200" s="47">
        <v>43381</v>
      </c>
      <c r="I1200" s="47">
        <v>43420</v>
      </c>
      <c r="J1200" s="46">
        <v>28284</v>
      </c>
      <c r="K1200" s="46">
        <v>0</v>
      </c>
      <c r="L1200" s="46">
        <v>0</v>
      </c>
      <c r="M1200" s="46">
        <f t="shared" si="341"/>
        <v>28284</v>
      </c>
      <c r="N1200" s="46">
        <v>28284</v>
      </c>
      <c r="O1200" s="48">
        <f t="shared" si="342"/>
        <v>0</v>
      </c>
      <c r="P1200" s="46">
        <v>0</v>
      </c>
      <c r="Q1200" s="46">
        <v>28284</v>
      </c>
      <c r="R1200" s="49">
        <f t="shared" si="343"/>
        <v>1</v>
      </c>
      <c r="S1200" s="50">
        <f t="shared" si="344"/>
        <v>0.01</v>
      </c>
      <c r="T1200" s="49">
        <f t="shared" si="345"/>
        <v>282.84000000000003</v>
      </c>
      <c r="U1200" s="51">
        <f t="shared" si="346"/>
        <v>0</v>
      </c>
      <c r="V1200" s="52">
        <f>IF(0&lt;0.8,0,IF(0&lt;1,Sheet3!L561,1))*IF(G1200&lt;3,0.12 - O1200,0.01) *U1200</f>
        <v>0</v>
      </c>
      <c r="W1200" s="52">
        <f t="shared" si="347"/>
        <v>0</v>
      </c>
      <c r="X1200" s="53">
        <f t="shared" si="348"/>
        <v>0</v>
      </c>
      <c r="Y1200" s="53">
        <f t="shared" si="349"/>
        <v>0</v>
      </c>
      <c r="Z1200" s="54">
        <f t="shared" si="355"/>
        <v>0</v>
      </c>
      <c r="AA1200" s="54">
        <f t="shared" si="350"/>
        <v>0</v>
      </c>
      <c r="AB1200" s="55">
        <f t="shared" si="356"/>
        <v>0</v>
      </c>
      <c r="AC1200" s="55">
        <f t="shared" si="351"/>
        <v>0</v>
      </c>
      <c r="AD1200" s="56">
        <f t="shared" si="352"/>
        <v>282.84000000000003</v>
      </c>
    </row>
    <row r="1201" spans="3:30">
      <c r="C1201" s="43" t="s">
        <v>2189</v>
      </c>
      <c r="D1201" s="44" t="s">
        <v>2190</v>
      </c>
      <c r="E1201" s="44"/>
      <c r="F1201" s="45">
        <v>42396.66851851852</v>
      </c>
      <c r="G1201" s="46">
        <v>32</v>
      </c>
      <c r="H1201" s="47">
        <v>43385</v>
      </c>
      <c r="I1201" s="47">
        <v>43392</v>
      </c>
      <c r="J1201" s="46">
        <v>1093130</v>
      </c>
      <c r="K1201" s="46">
        <v>0</v>
      </c>
      <c r="L1201" s="46">
        <v>0</v>
      </c>
      <c r="M1201" s="46">
        <f t="shared" si="341"/>
        <v>1093130</v>
      </c>
      <c r="N1201" s="46">
        <v>1093130</v>
      </c>
      <c r="O1201" s="48">
        <f t="shared" si="342"/>
        <v>0</v>
      </c>
      <c r="P1201" s="46">
        <v>0</v>
      </c>
      <c r="Q1201" s="46">
        <v>1093130</v>
      </c>
      <c r="R1201" s="49">
        <f t="shared" si="343"/>
        <v>1</v>
      </c>
      <c r="S1201" s="50">
        <f t="shared" si="344"/>
        <v>0.01</v>
      </c>
      <c r="T1201" s="49">
        <f t="shared" si="345"/>
        <v>10931.300000000001</v>
      </c>
      <c r="U1201" s="51">
        <f t="shared" si="346"/>
        <v>0</v>
      </c>
      <c r="V1201" s="52">
        <f>IF(0&lt;0.8,0,IF(0&lt;1,Sheet3!L561,1))*IF(G1201&lt;3,0.12 - O1201,0.01) *U1201</f>
        <v>0</v>
      </c>
      <c r="W1201" s="52">
        <f t="shared" si="347"/>
        <v>0</v>
      </c>
      <c r="X1201" s="53">
        <f t="shared" si="348"/>
        <v>0</v>
      </c>
      <c r="Y1201" s="53">
        <f t="shared" si="349"/>
        <v>0</v>
      </c>
      <c r="Z1201" s="54">
        <f t="shared" si="355"/>
        <v>0</v>
      </c>
      <c r="AA1201" s="54">
        <f t="shared" si="350"/>
        <v>0</v>
      </c>
      <c r="AB1201" s="55">
        <f t="shared" si="356"/>
        <v>0</v>
      </c>
      <c r="AC1201" s="55">
        <f t="shared" si="351"/>
        <v>0</v>
      </c>
      <c r="AD1201" s="56">
        <f t="shared" si="352"/>
        <v>10931.300000000001</v>
      </c>
    </row>
    <row r="1202" spans="3:30">
      <c r="C1202" s="43" t="s">
        <v>2191</v>
      </c>
      <c r="D1202" s="44" t="s">
        <v>2192</v>
      </c>
      <c r="E1202" s="44"/>
      <c r="F1202" s="45">
        <v>42401.608611111107</v>
      </c>
      <c r="G1202" s="46">
        <v>31</v>
      </c>
      <c r="H1202" s="47">
        <v>43375</v>
      </c>
      <c r="I1202" s="47">
        <v>43405</v>
      </c>
      <c r="J1202" s="46">
        <v>1394065</v>
      </c>
      <c r="K1202" s="46">
        <v>0</v>
      </c>
      <c r="L1202" s="46">
        <v>0</v>
      </c>
      <c r="M1202" s="46">
        <f t="shared" si="341"/>
        <v>1394065</v>
      </c>
      <c r="N1202" s="46">
        <v>1394065</v>
      </c>
      <c r="O1202" s="48">
        <f t="shared" si="342"/>
        <v>0</v>
      </c>
      <c r="P1202" s="46">
        <v>0</v>
      </c>
      <c r="Q1202" s="46">
        <v>1394065</v>
      </c>
      <c r="R1202" s="49">
        <f t="shared" si="343"/>
        <v>1</v>
      </c>
      <c r="S1202" s="50">
        <f t="shared" si="344"/>
        <v>0.01</v>
      </c>
      <c r="T1202" s="49">
        <f t="shared" si="345"/>
        <v>13940.65</v>
      </c>
      <c r="U1202" s="51">
        <f t="shared" si="346"/>
        <v>0</v>
      </c>
      <c r="V1202" s="52">
        <f>IF(0&lt;0.8,0,IF(0&lt;1,Sheet3!L561,1))*IF(G1202&lt;3,0.12 - O1202,0.01) *U1202</f>
        <v>0</v>
      </c>
      <c r="W1202" s="52">
        <f t="shared" si="347"/>
        <v>0</v>
      </c>
      <c r="X1202" s="53">
        <f t="shared" si="348"/>
        <v>0</v>
      </c>
      <c r="Y1202" s="53">
        <f t="shared" si="349"/>
        <v>0</v>
      </c>
      <c r="Z1202" s="54">
        <f t="shared" si="355"/>
        <v>0</v>
      </c>
      <c r="AA1202" s="54">
        <f t="shared" si="350"/>
        <v>0</v>
      </c>
      <c r="AB1202" s="55">
        <f t="shared" si="356"/>
        <v>0</v>
      </c>
      <c r="AC1202" s="55">
        <f t="shared" si="351"/>
        <v>0</v>
      </c>
      <c r="AD1202" s="56">
        <f t="shared" si="352"/>
        <v>13940.65</v>
      </c>
    </row>
    <row r="1203" spans="3:30">
      <c r="C1203" s="43" t="s">
        <v>2193</v>
      </c>
      <c r="D1203" s="44" t="s">
        <v>2194</v>
      </c>
      <c r="E1203" s="44"/>
      <c r="F1203" s="45">
        <v>42416.576736111107</v>
      </c>
      <c r="G1203" s="46">
        <v>31</v>
      </c>
      <c r="H1203" s="47">
        <v>43378</v>
      </c>
      <c r="I1203" s="47">
        <v>43385</v>
      </c>
      <c r="J1203" s="46">
        <v>3778675</v>
      </c>
      <c r="K1203" s="46">
        <v>0</v>
      </c>
      <c r="L1203" s="46">
        <v>0</v>
      </c>
      <c r="M1203" s="46">
        <f t="shared" ref="M1203:M1266" si="357">IFERROR(J1203-K1203-L1203,0)</f>
        <v>3778675</v>
      </c>
      <c r="N1203" s="46">
        <v>3778675</v>
      </c>
      <c r="O1203" s="48">
        <f t="shared" ref="O1203:O1266" si="358">IFERROR(IF(1 - M1203/N1203&lt;0,0,1-M1203/N1203),0)</f>
        <v>0</v>
      </c>
      <c r="P1203" s="46">
        <v>0</v>
      </c>
      <c r="Q1203" s="46">
        <v>3778675</v>
      </c>
      <c r="R1203" s="49">
        <f t="shared" ref="R1203:R1266" si="359">IF(F1203&lt;DATEVALUE("2018-07-01"),1,0)</f>
        <v>1</v>
      </c>
      <c r="S1203" s="50">
        <f t="shared" ref="S1203:S1266" si="360">IF(R1203=1,1%,0)</f>
        <v>0.01</v>
      </c>
      <c r="T1203" s="49">
        <f t="shared" ref="T1203:T1266" si="361">IFERROR(S1203*M1203,0)</f>
        <v>37786.75</v>
      </c>
      <c r="U1203" s="51">
        <f t="shared" ref="U1203:U1266" si="362">IF(O1203&lt;=0.12,1,0)*(1-R1203)*M1203</f>
        <v>0</v>
      </c>
      <c r="V1203" s="52">
        <f>IF(0&lt;0.8,0,IF(0&lt;1,Sheet3!L561,1))*IF(G1203&lt;3,0.12 - O1203,0.01) *U1203</f>
        <v>0</v>
      </c>
      <c r="W1203" s="52">
        <f t="shared" ref="W1203:W1266" si="363">IF(0&gt;1,IF(0&lt;=1.1,1,IF(0&lt;=1.2,2,IF(0&lt;=1.5,3,5))),0) * 1000000</f>
        <v>0</v>
      </c>
      <c r="X1203" s="53">
        <f t="shared" ref="X1203:X1266" si="364">IF(AND(P1203&gt;=150000000,P1203&lt;300000000),5000000,IF(AND(P1203&gt;=300000000,P1203&lt;500000000),10000000,IF(AND(P1203&gt;=300000000,P1203&lt;500000000),15000000,IF(AND(P1203&gt;=500000000,P1203&lt;3000000000),20000000,IF(P1203&gt;=30000000000,35000000,0))))) * (1-R1203)</f>
        <v>0</v>
      </c>
      <c r="Y1203" s="53">
        <f t="shared" ref="Y1203:Y1266" si="365">IFERROR(Q1203 * (1-R1203),0)</f>
        <v>0</v>
      </c>
      <c r="Z1203" s="54">
        <f t="shared" si="355"/>
        <v>0</v>
      </c>
      <c r="AA1203" s="54">
        <f t="shared" ref="AA1203:AA1266" si="366">IFERROR((1-R1203) * Z1203 * 2%,0)</f>
        <v>0</v>
      </c>
      <c r="AB1203" s="55">
        <f t="shared" si="356"/>
        <v>0</v>
      </c>
      <c r="AC1203" s="55">
        <f t="shared" ref="AC1203:AC1266" si="367">IFERROR(AB1203 * (1-R1203) * 2%,0)</f>
        <v>0</v>
      </c>
      <c r="AD1203" s="56">
        <f t="shared" ref="AD1203:AD1266" si="368">T1203+V1203+W1203+X1203+AA1203+AC1203</f>
        <v>37786.75</v>
      </c>
    </row>
    <row r="1204" spans="3:30">
      <c r="C1204" s="43" t="s">
        <v>2195</v>
      </c>
      <c r="D1204" s="44" t="s">
        <v>2196</v>
      </c>
      <c r="E1204" s="44"/>
      <c r="F1204" s="45">
        <v>42422.566354166665</v>
      </c>
      <c r="G1204" s="46">
        <v>31</v>
      </c>
      <c r="H1204" s="47">
        <v>43382</v>
      </c>
      <c r="I1204" s="47">
        <v>43400</v>
      </c>
      <c r="J1204" s="46">
        <v>1433124</v>
      </c>
      <c r="K1204" s="46">
        <v>0</v>
      </c>
      <c r="L1204" s="46">
        <v>0</v>
      </c>
      <c r="M1204" s="46">
        <f t="shared" si="357"/>
        <v>1433124</v>
      </c>
      <c r="N1204" s="46">
        <v>1433124</v>
      </c>
      <c r="O1204" s="48">
        <f t="shared" si="358"/>
        <v>0</v>
      </c>
      <c r="P1204" s="46">
        <v>0</v>
      </c>
      <c r="Q1204" s="46">
        <v>1433124</v>
      </c>
      <c r="R1204" s="49">
        <f t="shared" si="359"/>
        <v>1</v>
      </c>
      <c r="S1204" s="50">
        <f t="shared" si="360"/>
        <v>0.01</v>
      </c>
      <c r="T1204" s="49">
        <f t="shared" si="361"/>
        <v>14331.24</v>
      </c>
      <c r="U1204" s="51">
        <f t="shared" si="362"/>
        <v>0</v>
      </c>
      <c r="V1204" s="52">
        <f>IF(0&lt;0.8,0,IF(0&lt;1,Sheet3!L561,1))*IF(G1204&lt;3,0.12 - O1204,0.01) *U1204</f>
        <v>0</v>
      </c>
      <c r="W1204" s="52">
        <f t="shared" si="363"/>
        <v>0</v>
      </c>
      <c r="X1204" s="53">
        <f t="shared" si="364"/>
        <v>0</v>
      </c>
      <c r="Y1204" s="53">
        <f t="shared" si="365"/>
        <v>0</v>
      </c>
      <c r="Z1204" s="54">
        <f t="shared" si="355"/>
        <v>0</v>
      </c>
      <c r="AA1204" s="54">
        <f t="shared" si="366"/>
        <v>0</v>
      </c>
      <c r="AB1204" s="55">
        <f t="shared" si="356"/>
        <v>0</v>
      </c>
      <c r="AC1204" s="55">
        <f t="shared" si="367"/>
        <v>0</v>
      </c>
      <c r="AD1204" s="56">
        <f t="shared" si="368"/>
        <v>14331.24</v>
      </c>
    </row>
    <row r="1205" spans="3:30">
      <c r="C1205" s="43" t="s">
        <v>2197</v>
      </c>
      <c r="D1205" s="44" t="s">
        <v>2198</v>
      </c>
      <c r="E1205" s="44"/>
      <c r="F1205" s="45">
        <v>42430.392337962963</v>
      </c>
      <c r="G1205" s="46">
        <v>30</v>
      </c>
      <c r="H1205" s="47">
        <v>43381</v>
      </c>
      <c r="I1205" s="47">
        <v>43417</v>
      </c>
      <c r="J1205" s="46">
        <v>171699</v>
      </c>
      <c r="K1205" s="46">
        <v>0</v>
      </c>
      <c r="L1205" s="46">
        <v>0</v>
      </c>
      <c r="M1205" s="46">
        <f t="shared" si="357"/>
        <v>171699</v>
      </c>
      <c r="N1205" s="46">
        <v>171699</v>
      </c>
      <c r="O1205" s="48">
        <f t="shared" si="358"/>
        <v>0</v>
      </c>
      <c r="P1205" s="46">
        <v>0</v>
      </c>
      <c r="Q1205" s="46">
        <v>171699</v>
      </c>
      <c r="R1205" s="49">
        <f t="shared" si="359"/>
        <v>1</v>
      </c>
      <c r="S1205" s="50">
        <f t="shared" si="360"/>
        <v>0.01</v>
      </c>
      <c r="T1205" s="49">
        <f t="shared" si="361"/>
        <v>1716.99</v>
      </c>
      <c r="U1205" s="51">
        <f t="shared" si="362"/>
        <v>0</v>
      </c>
      <c r="V1205" s="52">
        <f>IF(0&lt;0.8,0,IF(0&lt;1,Sheet3!L561,1))*IF(G1205&lt;3,0.12 - O1205,0.01) *U1205</f>
        <v>0</v>
      </c>
      <c r="W1205" s="52">
        <f t="shared" si="363"/>
        <v>0</v>
      </c>
      <c r="X1205" s="53">
        <f t="shared" si="364"/>
        <v>0</v>
      </c>
      <c r="Y1205" s="53">
        <f t="shared" si="365"/>
        <v>0</v>
      </c>
      <c r="Z1205" s="54">
        <f t="shared" si="355"/>
        <v>0</v>
      </c>
      <c r="AA1205" s="54">
        <f t="shared" si="366"/>
        <v>0</v>
      </c>
      <c r="AB1205" s="55">
        <f t="shared" si="356"/>
        <v>0</v>
      </c>
      <c r="AC1205" s="55">
        <f t="shared" si="367"/>
        <v>0</v>
      </c>
      <c r="AD1205" s="56">
        <f t="shared" si="368"/>
        <v>1716.99</v>
      </c>
    </row>
    <row r="1206" spans="3:30">
      <c r="C1206" s="43" t="s">
        <v>2199</v>
      </c>
      <c r="D1206" s="44" t="s">
        <v>2200</v>
      </c>
      <c r="E1206" s="44"/>
      <c r="F1206" s="45">
        <v>42430.390289351853</v>
      </c>
      <c r="G1206" s="46">
        <v>30</v>
      </c>
      <c r="H1206" s="47">
        <v>43377</v>
      </c>
      <c r="I1206" s="47">
        <v>43385</v>
      </c>
      <c r="J1206" s="46">
        <v>1336239</v>
      </c>
      <c r="K1206" s="46">
        <v>0</v>
      </c>
      <c r="L1206" s="46">
        <v>0</v>
      </c>
      <c r="M1206" s="46">
        <f t="shared" si="357"/>
        <v>1336239</v>
      </c>
      <c r="N1206" s="46">
        <v>1336239</v>
      </c>
      <c r="O1206" s="48">
        <f t="shared" si="358"/>
        <v>0</v>
      </c>
      <c r="P1206" s="46">
        <v>0</v>
      </c>
      <c r="Q1206" s="46">
        <v>1336239</v>
      </c>
      <c r="R1206" s="49">
        <f t="shared" si="359"/>
        <v>1</v>
      </c>
      <c r="S1206" s="50">
        <f t="shared" si="360"/>
        <v>0.01</v>
      </c>
      <c r="T1206" s="49">
        <f t="shared" si="361"/>
        <v>13362.39</v>
      </c>
      <c r="U1206" s="51">
        <f t="shared" si="362"/>
        <v>0</v>
      </c>
      <c r="V1206" s="52">
        <f>IF(0&lt;0.8,0,IF(0&lt;1,Sheet3!L561,1))*IF(G1206&lt;3,0.12 - O1206,0.01) *U1206</f>
        <v>0</v>
      </c>
      <c r="W1206" s="52">
        <f t="shared" si="363"/>
        <v>0</v>
      </c>
      <c r="X1206" s="53">
        <f t="shared" si="364"/>
        <v>0</v>
      </c>
      <c r="Y1206" s="53">
        <f t="shared" si="365"/>
        <v>0</v>
      </c>
      <c r="Z1206" s="54">
        <f t="shared" si="355"/>
        <v>0</v>
      </c>
      <c r="AA1206" s="54">
        <f t="shared" si="366"/>
        <v>0</v>
      </c>
      <c r="AB1206" s="55">
        <f t="shared" si="356"/>
        <v>0</v>
      </c>
      <c r="AC1206" s="55">
        <f t="shared" si="367"/>
        <v>0</v>
      </c>
      <c r="AD1206" s="56">
        <f t="shared" si="368"/>
        <v>13362.39</v>
      </c>
    </row>
    <row r="1207" spans="3:30">
      <c r="C1207" s="43" t="s">
        <v>2201</v>
      </c>
      <c r="D1207" s="44" t="s">
        <v>2202</v>
      </c>
      <c r="E1207" s="44"/>
      <c r="F1207" s="45">
        <v>42439.554386574069</v>
      </c>
      <c r="G1207" s="46">
        <v>30</v>
      </c>
      <c r="H1207" s="47">
        <v>43385</v>
      </c>
      <c r="I1207" s="47">
        <v>43397</v>
      </c>
      <c r="J1207" s="46">
        <v>1303029</v>
      </c>
      <c r="K1207" s="46">
        <v>0</v>
      </c>
      <c r="L1207" s="46">
        <v>0</v>
      </c>
      <c r="M1207" s="46">
        <f t="shared" si="357"/>
        <v>1303029</v>
      </c>
      <c r="N1207" s="46">
        <v>1303029</v>
      </c>
      <c r="O1207" s="48">
        <f t="shared" si="358"/>
        <v>0</v>
      </c>
      <c r="P1207" s="46">
        <v>0</v>
      </c>
      <c r="Q1207" s="46">
        <v>1303029</v>
      </c>
      <c r="R1207" s="49">
        <f t="shared" si="359"/>
        <v>1</v>
      </c>
      <c r="S1207" s="50">
        <f t="shared" si="360"/>
        <v>0.01</v>
      </c>
      <c r="T1207" s="49">
        <f t="shared" si="361"/>
        <v>13030.29</v>
      </c>
      <c r="U1207" s="51">
        <f t="shared" si="362"/>
        <v>0</v>
      </c>
      <c r="V1207" s="52">
        <f>IF(0&lt;0.8,0,IF(0&lt;1,Sheet3!L561,1))*IF(G1207&lt;3,0.12 - O1207,0.01) *U1207</f>
        <v>0</v>
      </c>
      <c r="W1207" s="52">
        <f t="shared" si="363"/>
        <v>0</v>
      </c>
      <c r="X1207" s="53">
        <f t="shared" si="364"/>
        <v>0</v>
      </c>
      <c r="Y1207" s="53">
        <f t="shared" si="365"/>
        <v>0</v>
      </c>
      <c r="Z1207" s="54">
        <f t="shared" si="355"/>
        <v>0</v>
      </c>
      <c r="AA1207" s="54">
        <f t="shared" si="366"/>
        <v>0</v>
      </c>
      <c r="AB1207" s="55">
        <f t="shared" si="356"/>
        <v>0</v>
      </c>
      <c r="AC1207" s="55">
        <f t="shared" si="367"/>
        <v>0</v>
      </c>
      <c r="AD1207" s="56">
        <f t="shared" si="368"/>
        <v>13030.29</v>
      </c>
    </row>
    <row r="1208" spans="3:30">
      <c r="C1208" s="43" t="s">
        <v>2203</v>
      </c>
      <c r="D1208" s="44" t="s">
        <v>2143</v>
      </c>
      <c r="E1208" s="44"/>
      <c r="F1208" s="45">
        <v>42441.432835648149</v>
      </c>
      <c r="G1208" s="46">
        <v>30</v>
      </c>
      <c r="H1208" s="47">
        <v>43404</v>
      </c>
      <c r="I1208" s="47">
        <v>43412</v>
      </c>
      <c r="J1208" s="46">
        <v>13585</v>
      </c>
      <c r="K1208" s="46">
        <v>0</v>
      </c>
      <c r="L1208" s="46">
        <v>0</v>
      </c>
      <c r="M1208" s="46">
        <f t="shared" si="357"/>
        <v>13585</v>
      </c>
      <c r="N1208" s="46">
        <v>19699</v>
      </c>
      <c r="O1208" s="48">
        <f t="shared" si="358"/>
        <v>0.310371084826641</v>
      </c>
      <c r="P1208" s="46">
        <v>0</v>
      </c>
      <c r="Q1208" s="46">
        <v>13585</v>
      </c>
      <c r="R1208" s="49">
        <f t="shared" si="359"/>
        <v>1</v>
      </c>
      <c r="S1208" s="50">
        <f t="shared" si="360"/>
        <v>0.01</v>
      </c>
      <c r="T1208" s="49">
        <f t="shared" si="361"/>
        <v>135.85</v>
      </c>
      <c r="U1208" s="51">
        <f t="shared" si="362"/>
        <v>0</v>
      </c>
      <c r="V1208" s="52">
        <f>IF(0&lt;0.8,0,IF(0&lt;1,Sheet3!L561,1))*IF(G1208&lt;3,0.12 - O1208,0.01) *U1208</f>
        <v>0</v>
      </c>
      <c r="W1208" s="52">
        <f t="shared" si="363"/>
        <v>0</v>
      </c>
      <c r="X1208" s="53">
        <f t="shared" si="364"/>
        <v>0</v>
      </c>
      <c r="Y1208" s="53">
        <f t="shared" si="365"/>
        <v>0</v>
      </c>
      <c r="Z1208" s="54">
        <f t="shared" si="355"/>
        <v>0</v>
      </c>
      <c r="AA1208" s="54">
        <f t="shared" si="366"/>
        <v>0</v>
      </c>
      <c r="AB1208" s="55">
        <f t="shared" si="356"/>
        <v>0</v>
      </c>
      <c r="AC1208" s="55">
        <f t="shared" si="367"/>
        <v>0</v>
      </c>
      <c r="AD1208" s="56">
        <f t="shared" si="368"/>
        <v>135.85</v>
      </c>
    </row>
    <row r="1209" spans="3:30">
      <c r="C1209" s="43" t="s">
        <v>2204</v>
      </c>
      <c r="D1209" s="44" t="s">
        <v>2205</v>
      </c>
      <c r="E1209" s="44"/>
      <c r="F1209" s="45">
        <v>42445.432974537034</v>
      </c>
      <c r="G1209" s="46">
        <v>30</v>
      </c>
      <c r="H1209" s="47">
        <v>43372</v>
      </c>
      <c r="I1209" s="47">
        <v>43381</v>
      </c>
      <c r="J1209" s="46">
        <v>3865857</v>
      </c>
      <c r="K1209" s="46">
        <v>0</v>
      </c>
      <c r="L1209" s="46">
        <v>0</v>
      </c>
      <c r="M1209" s="46">
        <f t="shared" si="357"/>
        <v>3865857</v>
      </c>
      <c r="N1209" s="46">
        <v>3805088</v>
      </c>
      <c r="O1209" s="48">
        <f t="shared" si="358"/>
        <v>0</v>
      </c>
      <c r="P1209" s="46">
        <v>0</v>
      </c>
      <c r="Q1209" s="46">
        <v>3865857</v>
      </c>
      <c r="R1209" s="49">
        <f t="shared" si="359"/>
        <v>1</v>
      </c>
      <c r="S1209" s="50">
        <f t="shared" si="360"/>
        <v>0.01</v>
      </c>
      <c r="T1209" s="49">
        <f t="shared" si="361"/>
        <v>38658.57</v>
      </c>
      <c r="U1209" s="51">
        <f t="shared" si="362"/>
        <v>0</v>
      </c>
      <c r="V1209" s="52">
        <f>IF(0&lt;0.8,0,IF(0&lt;1,Sheet3!L561,1))*IF(G1209&lt;3,0.12 - O1209,0.01) *U1209</f>
        <v>0</v>
      </c>
      <c r="W1209" s="52">
        <f t="shared" si="363"/>
        <v>0</v>
      </c>
      <c r="X1209" s="53">
        <f t="shared" si="364"/>
        <v>0</v>
      </c>
      <c r="Y1209" s="53">
        <f t="shared" si="365"/>
        <v>0</v>
      </c>
      <c r="Z1209" s="54">
        <f t="shared" si="355"/>
        <v>0</v>
      </c>
      <c r="AA1209" s="54">
        <f t="shared" si="366"/>
        <v>0</v>
      </c>
      <c r="AB1209" s="55">
        <f t="shared" si="356"/>
        <v>0</v>
      </c>
      <c r="AC1209" s="55">
        <f t="shared" si="367"/>
        <v>0</v>
      </c>
      <c r="AD1209" s="56">
        <f t="shared" si="368"/>
        <v>38658.57</v>
      </c>
    </row>
    <row r="1210" spans="3:30">
      <c r="C1210" s="43" t="s">
        <v>2206</v>
      </c>
      <c r="D1210" s="44" t="s">
        <v>2207</v>
      </c>
      <c r="E1210" s="44"/>
      <c r="F1210" s="45">
        <v>42445.435995370368</v>
      </c>
      <c r="G1210" s="46">
        <v>30</v>
      </c>
      <c r="H1210" s="47">
        <v>43410</v>
      </c>
      <c r="I1210" s="47">
        <v>43434</v>
      </c>
      <c r="J1210" s="46">
        <v>316392</v>
      </c>
      <c r="K1210" s="46">
        <v>0</v>
      </c>
      <c r="L1210" s="46">
        <v>0</v>
      </c>
      <c r="M1210" s="46">
        <f t="shared" si="357"/>
        <v>316392</v>
      </c>
      <c r="N1210" s="46">
        <v>316392</v>
      </c>
      <c r="O1210" s="48">
        <f t="shared" si="358"/>
        <v>0</v>
      </c>
      <c r="P1210" s="46">
        <v>0</v>
      </c>
      <c r="Q1210" s="46">
        <v>316392</v>
      </c>
      <c r="R1210" s="49">
        <f t="shared" si="359"/>
        <v>1</v>
      </c>
      <c r="S1210" s="50">
        <f t="shared" si="360"/>
        <v>0.01</v>
      </c>
      <c r="T1210" s="49">
        <f t="shared" si="361"/>
        <v>3163.92</v>
      </c>
      <c r="U1210" s="51">
        <f t="shared" si="362"/>
        <v>0</v>
      </c>
      <c r="V1210" s="52">
        <f>IF(0&lt;0.8,0,IF(0&lt;1,Sheet3!L561,1))*IF(G1210&lt;3,0.12 - O1210,0.01) *U1210</f>
        <v>0</v>
      </c>
      <c r="W1210" s="52">
        <f t="shared" si="363"/>
        <v>0</v>
      </c>
      <c r="X1210" s="53">
        <f t="shared" si="364"/>
        <v>0</v>
      </c>
      <c r="Y1210" s="53">
        <f t="shared" si="365"/>
        <v>0</v>
      </c>
      <c r="Z1210" s="54">
        <f t="shared" si="355"/>
        <v>0</v>
      </c>
      <c r="AA1210" s="54">
        <f t="shared" si="366"/>
        <v>0</v>
      </c>
      <c r="AB1210" s="55">
        <f t="shared" si="356"/>
        <v>0</v>
      </c>
      <c r="AC1210" s="55">
        <f t="shared" si="367"/>
        <v>0</v>
      </c>
      <c r="AD1210" s="56">
        <f t="shared" si="368"/>
        <v>3163.92</v>
      </c>
    </row>
    <row r="1211" spans="3:30">
      <c r="C1211" s="43" t="s">
        <v>2208</v>
      </c>
      <c r="D1211" s="44" t="s">
        <v>2209</v>
      </c>
      <c r="E1211" s="44"/>
      <c r="F1211" s="45">
        <v>42446.576631944445</v>
      </c>
      <c r="G1211" s="46">
        <v>30</v>
      </c>
      <c r="H1211" s="47">
        <v>43381</v>
      </c>
      <c r="I1211" s="47">
        <v>43414</v>
      </c>
      <c r="J1211" s="46">
        <v>334848</v>
      </c>
      <c r="K1211" s="46">
        <v>0</v>
      </c>
      <c r="L1211" s="46">
        <v>0</v>
      </c>
      <c r="M1211" s="46">
        <f t="shared" si="357"/>
        <v>334848</v>
      </c>
      <c r="N1211" s="46">
        <v>334848</v>
      </c>
      <c r="O1211" s="48">
        <f t="shared" si="358"/>
        <v>0</v>
      </c>
      <c r="P1211" s="46">
        <v>0</v>
      </c>
      <c r="Q1211" s="46">
        <v>334848</v>
      </c>
      <c r="R1211" s="49">
        <f t="shared" si="359"/>
        <v>1</v>
      </c>
      <c r="S1211" s="50">
        <f t="shared" si="360"/>
        <v>0.01</v>
      </c>
      <c r="T1211" s="49">
        <f t="shared" si="361"/>
        <v>3348.48</v>
      </c>
      <c r="U1211" s="51">
        <f t="shared" si="362"/>
        <v>0</v>
      </c>
      <c r="V1211" s="52">
        <f>IF(0&lt;0.8,0,IF(0&lt;1,Sheet3!L561,1))*IF(G1211&lt;3,0.12 - O1211,0.01) *U1211</f>
        <v>0</v>
      </c>
      <c r="W1211" s="52">
        <f t="shared" si="363"/>
        <v>0</v>
      </c>
      <c r="X1211" s="53">
        <f t="shared" si="364"/>
        <v>0</v>
      </c>
      <c r="Y1211" s="53">
        <f t="shared" si="365"/>
        <v>0</v>
      </c>
      <c r="Z1211" s="54">
        <f t="shared" si="355"/>
        <v>0</v>
      </c>
      <c r="AA1211" s="54">
        <f t="shared" si="366"/>
        <v>0</v>
      </c>
      <c r="AB1211" s="55">
        <f t="shared" si="356"/>
        <v>0</v>
      </c>
      <c r="AC1211" s="55">
        <f t="shared" si="367"/>
        <v>0</v>
      </c>
      <c r="AD1211" s="56">
        <f t="shared" si="368"/>
        <v>3348.48</v>
      </c>
    </row>
    <row r="1212" spans="3:30">
      <c r="C1212" s="43" t="s">
        <v>2210</v>
      </c>
      <c r="D1212" s="44" t="s">
        <v>2211</v>
      </c>
      <c r="E1212" s="44"/>
      <c r="F1212" s="45">
        <v>42452.455555555556</v>
      </c>
      <c r="G1212" s="46">
        <v>30</v>
      </c>
      <c r="H1212" s="47">
        <v>43375</v>
      </c>
      <c r="I1212" s="47">
        <v>43396</v>
      </c>
      <c r="J1212" s="46">
        <v>98162</v>
      </c>
      <c r="K1212" s="46">
        <v>0</v>
      </c>
      <c r="L1212" s="46">
        <v>0</v>
      </c>
      <c r="M1212" s="46">
        <f t="shared" si="357"/>
        <v>98162</v>
      </c>
      <c r="N1212" s="46">
        <v>98162</v>
      </c>
      <c r="O1212" s="48">
        <f t="shared" si="358"/>
        <v>0</v>
      </c>
      <c r="P1212" s="46">
        <v>0</v>
      </c>
      <c r="Q1212" s="46">
        <v>98162</v>
      </c>
      <c r="R1212" s="49">
        <f t="shared" si="359"/>
        <v>1</v>
      </c>
      <c r="S1212" s="50">
        <f t="shared" si="360"/>
        <v>0.01</v>
      </c>
      <c r="T1212" s="49">
        <f t="shared" si="361"/>
        <v>981.62</v>
      </c>
      <c r="U1212" s="51">
        <f t="shared" si="362"/>
        <v>0</v>
      </c>
      <c r="V1212" s="52">
        <f>IF(0&lt;0.8,0,IF(0&lt;1,Sheet3!L561,1))*IF(G1212&lt;3,0.12 - O1212,0.01) *U1212</f>
        <v>0</v>
      </c>
      <c r="W1212" s="52">
        <f t="shared" si="363"/>
        <v>0</v>
      </c>
      <c r="X1212" s="53">
        <f t="shared" si="364"/>
        <v>0</v>
      </c>
      <c r="Y1212" s="53">
        <f t="shared" si="365"/>
        <v>0</v>
      </c>
      <c r="Z1212" s="54">
        <f t="shared" si="355"/>
        <v>0</v>
      </c>
      <c r="AA1212" s="54">
        <f t="shared" si="366"/>
        <v>0</v>
      </c>
      <c r="AB1212" s="55">
        <f t="shared" si="356"/>
        <v>0</v>
      </c>
      <c r="AC1212" s="55">
        <f t="shared" si="367"/>
        <v>0</v>
      </c>
      <c r="AD1212" s="56">
        <f t="shared" si="368"/>
        <v>981.62</v>
      </c>
    </row>
    <row r="1213" spans="3:30">
      <c r="C1213" s="43" t="s">
        <v>2212</v>
      </c>
      <c r="D1213" s="44" t="s">
        <v>2213</v>
      </c>
      <c r="E1213" s="44"/>
      <c r="F1213" s="45">
        <v>42452.457835648143</v>
      </c>
      <c r="G1213" s="46">
        <v>30</v>
      </c>
      <c r="H1213" s="47" t="s">
        <v>24</v>
      </c>
      <c r="I1213" s="47" t="s">
        <v>24</v>
      </c>
      <c r="J1213" s="46">
        <v>9095240</v>
      </c>
      <c r="K1213" s="46">
        <v>393730</v>
      </c>
      <c r="L1213" s="46">
        <v>0</v>
      </c>
      <c r="M1213" s="46">
        <f t="shared" si="357"/>
        <v>8701510</v>
      </c>
      <c r="N1213" s="46">
        <v>11774933</v>
      </c>
      <c r="O1213" s="48">
        <f t="shared" si="358"/>
        <v>0.26101405417763313</v>
      </c>
      <c r="P1213" s="46">
        <v>0</v>
      </c>
      <c r="Q1213" s="46">
        <v>9116030</v>
      </c>
      <c r="R1213" s="49">
        <f t="shared" si="359"/>
        <v>1</v>
      </c>
      <c r="S1213" s="50">
        <f t="shared" si="360"/>
        <v>0.01</v>
      </c>
      <c r="T1213" s="49">
        <f t="shared" si="361"/>
        <v>87015.1</v>
      </c>
      <c r="U1213" s="51">
        <f t="shared" si="362"/>
        <v>0</v>
      </c>
      <c r="V1213" s="52">
        <f>IF(0&lt;0.8,0,IF(0&lt;1,Sheet3!L561,1))*IF(G1213&lt;3,0.12 - O1213,0.01) *U1213</f>
        <v>0</v>
      </c>
      <c r="W1213" s="52">
        <f t="shared" si="363"/>
        <v>0</v>
      </c>
      <c r="X1213" s="53">
        <f t="shared" si="364"/>
        <v>0</v>
      </c>
      <c r="Y1213" s="53">
        <f t="shared" si="365"/>
        <v>0</v>
      </c>
      <c r="Z1213" s="54">
        <f t="shared" si="355"/>
        <v>0</v>
      </c>
      <c r="AA1213" s="54">
        <f t="shared" si="366"/>
        <v>0</v>
      </c>
      <c r="AB1213" s="55">
        <f t="shared" si="356"/>
        <v>0</v>
      </c>
      <c r="AC1213" s="55">
        <f t="shared" si="367"/>
        <v>0</v>
      </c>
      <c r="AD1213" s="56">
        <f t="shared" si="368"/>
        <v>87015.1</v>
      </c>
    </row>
    <row r="1214" spans="3:30">
      <c r="C1214" s="43" t="s">
        <v>2214</v>
      </c>
      <c r="D1214" s="44" t="s">
        <v>2215</v>
      </c>
      <c r="E1214" s="44"/>
      <c r="F1214" s="45">
        <v>42452.633946759255</v>
      </c>
      <c r="G1214" s="46">
        <v>30</v>
      </c>
      <c r="H1214" s="47">
        <v>43375</v>
      </c>
      <c r="I1214" s="47">
        <v>43431</v>
      </c>
      <c r="J1214" s="46">
        <v>425965</v>
      </c>
      <c r="K1214" s="46">
        <v>0</v>
      </c>
      <c r="L1214" s="46">
        <v>0</v>
      </c>
      <c r="M1214" s="46">
        <f t="shared" si="357"/>
        <v>425965</v>
      </c>
      <c r="N1214" s="46">
        <v>464978</v>
      </c>
      <c r="O1214" s="48">
        <f t="shared" si="358"/>
        <v>8.3902894330484479E-2</v>
      </c>
      <c r="P1214" s="46">
        <v>0</v>
      </c>
      <c r="Q1214" s="46">
        <v>425965</v>
      </c>
      <c r="R1214" s="49">
        <f t="shared" si="359"/>
        <v>1</v>
      </c>
      <c r="S1214" s="50">
        <f t="shared" si="360"/>
        <v>0.01</v>
      </c>
      <c r="T1214" s="49">
        <f t="shared" si="361"/>
        <v>4259.6499999999996</v>
      </c>
      <c r="U1214" s="51">
        <f t="shared" si="362"/>
        <v>0</v>
      </c>
      <c r="V1214" s="52">
        <f>IF(0&lt;0.8,0,IF(0&lt;1,Sheet3!L561,1))*IF(G1214&lt;3,0.12 - O1214,0.01) *U1214</f>
        <v>0</v>
      </c>
      <c r="W1214" s="52">
        <f t="shared" si="363"/>
        <v>0</v>
      </c>
      <c r="X1214" s="53">
        <f t="shared" si="364"/>
        <v>0</v>
      </c>
      <c r="Y1214" s="53">
        <f t="shared" si="365"/>
        <v>0</v>
      </c>
      <c r="Z1214" s="54">
        <f t="shared" si="355"/>
        <v>0</v>
      </c>
      <c r="AA1214" s="54">
        <f t="shared" si="366"/>
        <v>0</v>
      </c>
      <c r="AB1214" s="55">
        <f t="shared" si="356"/>
        <v>0</v>
      </c>
      <c r="AC1214" s="55">
        <f t="shared" si="367"/>
        <v>0</v>
      </c>
      <c r="AD1214" s="56">
        <f t="shared" si="368"/>
        <v>4259.6499999999996</v>
      </c>
    </row>
    <row r="1215" spans="3:30">
      <c r="C1215" s="43" t="s">
        <v>2216</v>
      </c>
      <c r="D1215" s="44" t="s">
        <v>2217</v>
      </c>
      <c r="E1215" s="44"/>
      <c r="F1215" s="45">
        <v>42453.639456018514</v>
      </c>
      <c r="G1215" s="46">
        <v>30</v>
      </c>
      <c r="H1215" s="47">
        <v>43378</v>
      </c>
      <c r="I1215" s="47">
        <v>43453</v>
      </c>
      <c r="J1215" s="46">
        <v>3877915</v>
      </c>
      <c r="K1215" s="46">
        <v>0</v>
      </c>
      <c r="L1215" s="46">
        <v>0</v>
      </c>
      <c r="M1215" s="46">
        <f t="shared" si="357"/>
        <v>3877915</v>
      </c>
      <c r="N1215" s="46">
        <v>3877915</v>
      </c>
      <c r="O1215" s="48">
        <f t="shared" si="358"/>
        <v>0</v>
      </c>
      <c r="P1215" s="46">
        <v>0</v>
      </c>
      <c r="Q1215" s="46">
        <v>3877915</v>
      </c>
      <c r="R1215" s="49">
        <f t="shared" si="359"/>
        <v>1</v>
      </c>
      <c r="S1215" s="50">
        <f t="shared" si="360"/>
        <v>0.01</v>
      </c>
      <c r="T1215" s="49">
        <f t="shared" si="361"/>
        <v>38779.15</v>
      </c>
      <c r="U1215" s="51">
        <f t="shared" si="362"/>
        <v>0</v>
      </c>
      <c r="V1215" s="52">
        <f>IF(0&lt;0.8,0,IF(0&lt;1,Sheet3!L561,1))*IF(G1215&lt;3,0.12 - O1215,0.01) *U1215</f>
        <v>0</v>
      </c>
      <c r="W1215" s="52">
        <f t="shared" si="363"/>
        <v>0</v>
      </c>
      <c r="X1215" s="53">
        <f t="shared" si="364"/>
        <v>0</v>
      </c>
      <c r="Y1215" s="53">
        <f t="shared" si="365"/>
        <v>0</v>
      </c>
      <c r="Z1215" s="54">
        <f t="shared" si="355"/>
        <v>0</v>
      </c>
      <c r="AA1215" s="54">
        <f t="shared" si="366"/>
        <v>0</v>
      </c>
      <c r="AB1215" s="55">
        <f t="shared" si="356"/>
        <v>0</v>
      </c>
      <c r="AC1215" s="55">
        <f t="shared" si="367"/>
        <v>0</v>
      </c>
      <c r="AD1215" s="56">
        <f t="shared" si="368"/>
        <v>38779.15</v>
      </c>
    </row>
    <row r="1216" spans="3:30">
      <c r="C1216" s="43" t="s">
        <v>2218</v>
      </c>
      <c r="D1216" s="44" t="s">
        <v>2219</v>
      </c>
      <c r="E1216" s="44"/>
      <c r="F1216" s="45">
        <v>42454.462488425925</v>
      </c>
      <c r="G1216" s="46">
        <v>30</v>
      </c>
      <c r="H1216" s="47">
        <v>43378</v>
      </c>
      <c r="I1216" s="47">
        <v>43451</v>
      </c>
      <c r="J1216" s="46">
        <v>6770420</v>
      </c>
      <c r="K1216" s="46">
        <v>0</v>
      </c>
      <c r="L1216" s="46">
        <v>0</v>
      </c>
      <c r="M1216" s="46">
        <f t="shared" si="357"/>
        <v>6770420</v>
      </c>
      <c r="N1216" s="46">
        <v>6770420</v>
      </c>
      <c r="O1216" s="48">
        <f t="shared" si="358"/>
        <v>0</v>
      </c>
      <c r="P1216" s="46">
        <v>0</v>
      </c>
      <c r="Q1216" s="46">
        <v>6770420</v>
      </c>
      <c r="R1216" s="49">
        <f t="shared" si="359"/>
        <v>1</v>
      </c>
      <c r="S1216" s="50">
        <f t="shared" si="360"/>
        <v>0.01</v>
      </c>
      <c r="T1216" s="49">
        <f t="shared" si="361"/>
        <v>67704.2</v>
      </c>
      <c r="U1216" s="51">
        <f t="shared" si="362"/>
        <v>0</v>
      </c>
      <c r="V1216" s="52">
        <f>IF(0&lt;0.8,0,IF(0&lt;1,Sheet3!L561,1))*IF(G1216&lt;3,0.12 - O1216,0.01) *U1216</f>
        <v>0</v>
      </c>
      <c r="W1216" s="52">
        <f t="shared" si="363"/>
        <v>0</v>
      </c>
      <c r="X1216" s="53">
        <f t="shared" si="364"/>
        <v>0</v>
      </c>
      <c r="Y1216" s="53">
        <f t="shared" si="365"/>
        <v>0</v>
      </c>
      <c r="Z1216" s="54">
        <f t="shared" si="355"/>
        <v>0</v>
      </c>
      <c r="AA1216" s="54">
        <f t="shared" si="366"/>
        <v>0</v>
      </c>
      <c r="AB1216" s="55">
        <f t="shared" si="356"/>
        <v>0</v>
      </c>
      <c r="AC1216" s="55">
        <f t="shared" si="367"/>
        <v>0</v>
      </c>
      <c r="AD1216" s="56">
        <f t="shared" si="368"/>
        <v>67704.2</v>
      </c>
    </row>
    <row r="1217" spans="3:30">
      <c r="C1217" s="43" t="s">
        <v>2220</v>
      </c>
      <c r="D1217" s="44" t="s">
        <v>2221</v>
      </c>
      <c r="E1217" s="44"/>
      <c r="F1217" s="45">
        <v>42455.411504629628</v>
      </c>
      <c r="G1217" s="46">
        <v>30</v>
      </c>
      <c r="H1217" s="47">
        <v>43375</v>
      </c>
      <c r="I1217" s="47">
        <v>43414</v>
      </c>
      <c r="J1217" s="46">
        <v>1133846</v>
      </c>
      <c r="K1217" s="46">
        <v>0</v>
      </c>
      <c r="L1217" s="46">
        <v>0</v>
      </c>
      <c r="M1217" s="46">
        <f t="shared" si="357"/>
        <v>1133846</v>
      </c>
      <c r="N1217" s="46">
        <v>1133846</v>
      </c>
      <c r="O1217" s="48">
        <f t="shared" si="358"/>
        <v>0</v>
      </c>
      <c r="P1217" s="46">
        <v>0</v>
      </c>
      <c r="Q1217" s="46">
        <v>1133846</v>
      </c>
      <c r="R1217" s="49">
        <f t="shared" si="359"/>
        <v>1</v>
      </c>
      <c r="S1217" s="50">
        <f t="shared" si="360"/>
        <v>0.01</v>
      </c>
      <c r="T1217" s="49">
        <f t="shared" si="361"/>
        <v>11338.460000000001</v>
      </c>
      <c r="U1217" s="51">
        <f t="shared" si="362"/>
        <v>0</v>
      </c>
      <c r="V1217" s="52">
        <f>IF(0&lt;0.8,0,IF(0&lt;1,Sheet3!L561,1))*IF(G1217&lt;3,0.12 - O1217,0.01) *U1217</f>
        <v>0</v>
      </c>
      <c r="W1217" s="52">
        <f t="shared" si="363"/>
        <v>0</v>
      </c>
      <c r="X1217" s="53">
        <f t="shared" si="364"/>
        <v>0</v>
      </c>
      <c r="Y1217" s="53">
        <f t="shared" si="365"/>
        <v>0</v>
      </c>
      <c r="Z1217" s="54">
        <f t="shared" si="355"/>
        <v>0</v>
      </c>
      <c r="AA1217" s="54">
        <f t="shared" si="366"/>
        <v>0</v>
      </c>
      <c r="AB1217" s="55">
        <f t="shared" si="356"/>
        <v>0</v>
      </c>
      <c r="AC1217" s="55">
        <f t="shared" si="367"/>
        <v>0</v>
      </c>
      <c r="AD1217" s="56">
        <f t="shared" si="368"/>
        <v>11338.460000000001</v>
      </c>
    </row>
    <row r="1218" spans="3:30">
      <c r="C1218" s="43" t="s">
        <v>2222</v>
      </c>
      <c r="D1218" s="44" t="s">
        <v>2223</v>
      </c>
      <c r="E1218" s="44"/>
      <c r="F1218" s="45">
        <v>42459.490289351852</v>
      </c>
      <c r="G1218" s="46">
        <v>30</v>
      </c>
      <c r="H1218" s="47">
        <v>43378</v>
      </c>
      <c r="I1218" s="47">
        <v>43390</v>
      </c>
      <c r="J1218" s="46">
        <v>117128</v>
      </c>
      <c r="K1218" s="46">
        <v>0</v>
      </c>
      <c r="L1218" s="46">
        <v>0</v>
      </c>
      <c r="M1218" s="46">
        <f t="shared" si="357"/>
        <v>117128</v>
      </c>
      <c r="N1218" s="46">
        <v>117128</v>
      </c>
      <c r="O1218" s="48">
        <f t="shared" si="358"/>
        <v>0</v>
      </c>
      <c r="P1218" s="46">
        <v>0</v>
      </c>
      <c r="Q1218" s="46">
        <v>117128</v>
      </c>
      <c r="R1218" s="49">
        <f t="shared" si="359"/>
        <v>1</v>
      </c>
      <c r="S1218" s="50">
        <f t="shared" si="360"/>
        <v>0.01</v>
      </c>
      <c r="T1218" s="49">
        <f t="shared" si="361"/>
        <v>1171.28</v>
      </c>
      <c r="U1218" s="51">
        <f t="shared" si="362"/>
        <v>0</v>
      </c>
      <c r="V1218" s="52">
        <f>IF(0&lt;0.8,0,IF(0&lt;1,Sheet3!L561,1))*IF(G1218&lt;3,0.12 - O1218,0.01) *U1218</f>
        <v>0</v>
      </c>
      <c r="W1218" s="52">
        <f t="shared" si="363"/>
        <v>0</v>
      </c>
      <c r="X1218" s="53">
        <f t="shared" si="364"/>
        <v>0</v>
      </c>
      <c r="Y1218" s="53">
        <f t="shared" si="365"/>
        <v>0</v>
      </c>
      <c r="Z1218" s="54">
        <f t="shared" si="355"/>
        <v>0</v>
      </c>
      <c r="AA1218" s="54">
        <f t="shared" si="366"/>
        <v>0</v>
      </c>
      <c r="AB1218" s="55">
        <f t="shared" si="356"/>
        <v>0</v>
      </c>
      <c r="AC1218" s="55">
        <f t="shared" si="367"/>
        <v>0</v>
      </c>
      <c r="AD1218" s="56">
        <f t="shared" si="368"/>
        <v>1171.28</v>
      </c>
    </row>
    <row r="1219" spans="3:30">
      <c r="C1219" s="43" t="s">
        <v>2224</v>
      </c>
      <c r="D1219" s="44" t="s">
        <v>2225</v>
      </c>
      <c r="E1219" s="44"/>
      <c r="F1219" s="45">
        <v>42460.379710648143</v>
      </c>
      <c r="G1219" s="46">
        <v>30</v>
      </c>
      <c r="H1219" s="47">
        <v>43381</v>
      </c>
      <c r="I1219" s="47">
        <v>43390</v>
      </c>
      <c r="J1219" s="46">
        <v>1003653</v>
      </c>
      <c r="K1219" s="46">
        <v>0</v>
      </c>
      <c r="L1219" s="46">
        <v>0</v>
      </c>
      <c r="M1219" s="46">
        <f t="shared" si="357"/>
        <v>1003653</v>
      </c>
      <c r="N1219" s="46">
        <v>1003653</v>
      </c>
      <c r="O1219" s="48">
        <f t="shared" si="358"/>
        <v>0</v>
      </c>
      <c r="P1219" s="46">
        <v>0</v>
      </c>
      <c r="Q1219" s="46">
        <v>1003653</v>
      </c>
      <c r="R1219" s="49">
        <f t="shared" si="359"/>
        <v>1</v>
      </c>
      <c r="S1219" s="50">
        <f t="shared" si="360"/>
        <v>0.01</v>
      </c>
      <c r="T1219" s="49">
        <f t="shared" si="361"/>
        <v>10036.530000000001</v>
      </c>
      <c r="U1219" s="51">
        <f t="shared" si="362"/>
        <v>0</v>
      </c>
      <c r="V1219" s="52">
        <f>IF(0&lt;0.8,0,IF(0&lt;1,Sheet3!L561,1))*IF(G1219&lt;3,0.12 - O1219,0.01) *U1219</f>
        <v>0</v>
      </c>
      <c r="W1219" s="52">
        <f t="shared" si="363"/>
        <v>0</v>
      </c>
      <c r="X1219" s="53">
        <f t="shared" si="364"/>
        <v>0</v>
      </c>
      <c r="Y1219" s="53">
        <f t="shared" si="365"/>
        <v>0</v>
      </c>
      <c r="Z1219" s="54">
        <f t="shared" si="355"/>
        <v>0</v>
      </c>
      <c r="AA1219" s="54">
        <f t="shared" si="366"/>
        <v>0</v>
      </c>
      <c r="AB1219" s="55">
        <f t="shared" si="356"/>
        <v>0</v>
      </c>
      <c r="AC1219" s="55">
        <f t="shared" si="367"/>
        <v>0</v>
      </c>
      <c r="AD1219" s="56">
        <f t="shared" si="368"/>
        <v>10036.530000000001</v>
      </c>
    </row>
    <row r="1220" spans="3:30">
      <c r="C1220" s="43" t="s">
        <v>2226</v>
      </c>
      <c r="D1220" s="44" t="s">
        <v>2227</v>
      </c>
      <c r="E1220" s="44"/>
      <c r="F1220" s="45">
        <v>42462.601770833331</v>
      </c>
      <c r="G1220" s="46">
        <v>29</v>
      </c>
      <c r="H1220" s="47">
        <v>43375</v>
      </c>
      <c r="I1220" s="47">
        <v>43385</v>
      </c>
      <c r="J1220" s="46">
        <v>1181692</v>
      </c>
      <c r="K1220" s="46">
        <v>0</v>
      </c>
      <c r="L1220" s="46">
        <v>0</v>
      </c>
      <c r="M1220" s="46">
        <f t="shared" si="357"/>
        <v>1181692</v>
      </c>
      <c r="N1220" s="46">
        <v>1181692</v>
      </c>
      <c r="O1220" s="48">
        <f t="shared" si="358"/>
        <v>0</v>
      </c>
      <c r="P1220" s="46">
        <v>0</v>
      </c>
      <c r="Q1220" s="46">
        <v>1181692</v>
      </c>
      <c r="R1220" s="49">
        <f t="shared" si="359"/>
        <v>1</v>
      </c>
      <c r="S1220" s="50">
        <f t="shared" si="360"/>
        <v>0.01</v>
      </c>
      <c r="T1220" s="49">
        <f t="shared" si="361"/>
        <v>11816.92</v>
      </c>
      <c r="U1220" s="51">
        <f t="shared" si="362"/>
        <v>0</v>
      </c>
      <c r="V1220" s="52">
        <f>IF(0&lt;0.8,0,IF(0&lt;1,Sheet3!L561,1))*IF(G1220&lt;3,0.12 - O1220,0.01) *U1220</f>
        <v>0</v>
      </c>
      <c r="W1220" s="52">
        <f t="shared" si="363"/>
        <v>0</v>
      </c>
      <c r="X1220" s="53">
        <f t="shared" si="364"/>
        <v>0</v>
      </c>
      <c r="Y1220" s="53">
        <f t="shared" si="365"/>
        <v>0</v>
      </c>
      <c r="Z1220" s="54">
        <f t="shared" si="355"/>
        <v>0</v>
      </c>
      <c r="AA1220" s="54">
        <f t="shared" si="366"/>
        <v>0</v>
      </c>
      <c r="AB1220" s="55">
        <f t="shared" si="356"/>
        <v>0</v>
      </c>
      <c r="AC1220" s="55">
        <f t="shared" si="367"/>
        <v>0</v>
      </c>
      <c r="AD1220" s="56">
        <f t="shared" si="368"/>
        <v>11816.92</v>
      </c>
    </row>
    <row r="1221" spans="3:30">
      <c r="C1221" s="43" t="s">
        <v>2228</v>
      </c>
      <c r="D1221" s="44" t="s">
        <v>2143</v>
      </c>
      <c r="E1221" s="44"/>
      <c r="F1221" s="45">
        <v>42462.599710648145</v>
      </c>
      <c r="G1221" s="46">
        <v>29</v>
      </c>
      <c r="H1221" s="47">
        <v>43404</v>
      </c>
      <c r="I1221" s="47">
        <v>43412</v>
      </c>
      <c r="J1221" s="46">
        <v>32395</v>
      </c>
      <c r="K1221" s="46">
        <v>0</v>
      </c>
      <c r="L1221" s="46">
        <v>0</v>
      </c>
      <c r="M1221" s="46">
        <f t="shared" si="357"/>
        <v>32395</v>
      </c>
      <c r="N1221" s="46">
        <v>39930</v>
      </c>
      <c r="O1221" s="48">
        <f t="shared" si="358"/>
        <v>0.18870523415977958</v>
      </c>
      <c r="P1221" s="46">
        <v>0</v>
      </c>
      <c r="Q1221" s="46">
        <v>32395</v>
      </c>
      <c r="R1221" s="49">
        <f t="shared" si="359"/>
        <v>1</v>
      </c>
      <c r="S1221" s="50">
        <f t="shared" si="360"/>
        <v>0.01</v>
      </c>
      <c r="T1221" s="49">
        <f t="shared" si="361"/>
        <v>323.95</v>
      </c>
      <c r="U1221" s="51">
        <f t="shared" si="362"/>
        <v>0</v>
      </c>
      <c r="V1221" s="52">
        <f>IF(0&lt;0.8,0,IF(0&lt;1,Sheet3!L561,1))*IF(G1221&lt;3,0.12 - O1221,0.01) *U1221</f>
        <v>0</v>
      </c>
      <c r="W1221" s="52">
        <f t="shared" si="363"/>
        <v>0</v>
      </c>
      <c r="X1221" s="53">
        <f t="shared" si="364"/>
        <v>0</v>
      </c>
      <c r="Y1221" s="53">
        <f t="shared" si="365"/>
        <v>0</v>
      </c>
      <c r="Z1221" s="54">
        <f t="shared" si="355"/>
        <v>0</v>
      </c>
      <c r="AA1221" s="54">
        <f t="shared" si="366"/>
        <v>0</v>
      </c>
      <c r="AB1221" s="55">
        <f t="shared" si="356"/>
        <v>0</v>
      </c>
      <c r="AC1221" s="55">
        <f t="shared" si="367"/>
        <v>0</v>
      </c>
      <c r="AD1221" s="56">
        <f t="shared" si="368"/>
        <v>323.95</v>
      </c>
    </row>
    <row r="1222" spans="3:30">
      <c r="C1222" s="43" t="s">
        <v>2229</v>
      </c>
      <c r="D1222" s="44" t="s">
        <v>2230</v>
      </c>
      <c r="E1222" s="44"/>
      <c r="F1222" s="45">
        <v>42464.492291666662</v>
      </c>
      <c r="G1222" s="46">
        <v>29</v>
      </c>
      <c r="H1222" s="47">
        <v>43375</v>
      </c>
      <c r="I1222" s="47">
        <v>43386</v>
      </c>
      <c r="J1222" s="46">
        <v>1010501</v>
      </c>
      <c r="K1222" s="46">
        <v>0</v>
      </c>
      <c r="L1222" s="46">
        <v>0</v>
      </c>
      <c r="M1222" s="46">
        <f t="shared" si="357"/>
        <v>1010501</v>
      </c>
      <c r="N1222" s="46">
        <v>1010501</v>
      </c>
      <c r="O1222" s="48">
        <f t="shared" si="358"/>
        <v>0</v>
      </c>
      <c r="P1222" s="46">
        <v>0</v>
      </c>
      <c r="Q1222" s="46">
        <v>1010501</v>
      </c>
      <c r="R1222" s="49">
        <f t="shared" si="359"/>
        <v>1</v>
      </c>
      <c r="S1222" s="50">
        <f t="shared" si="360"/>
        <v>0.01</v>
      </c>
      <c r="T1222" s="49">
        <f t="shared" si="361"/>
        <v>10105.01</v>
      </c>
      <c r="U1222" s="51">
        <f t="shared" si="362"/>
        <v>0</v>
      </c>
      <c r="V1222" s="52">
        <f>IF(0&lt;0.8,0,IF(0&lt;1,Sheet3!L561,1))*IF(G1222&lt;3,0.12 - O1222,0.01) *U1222</f>
        <v>0</v>
      </c>
      <c r="W1222" s="52">
        <f t="shared" si="363"/>
        <v>0</v>
      </c>
      <c r="X1222" s="53">
        <f t="shared" si="364"/>
        <v>0</v>
      </c>
      <c r="Y1222" s="53">
        <f t="shared" si="365"/>
        <v>0</v>
      </c>
      <c r="Z1222" s="54">
        <f t="shared" si="355"/>
        <v>0</v>
      </c>
      <c r="AA1222" s="54">
        <f t="shared" si="366"/>
        <v>0</v>
      </c>
      <c r="AB1222" s="55">
        <f t="shared" si="356"/>
        <v>0</v>
      </c>
      <c r="AC1222" s="55">
        <f t="shared" si="367"/>
        <v>0</v>
      </c>
      <c r="AD1222" s="56">
        <f t="shared" si="368"/>
        <v>10105.01</v>
      </c>
    </row>
    <row r="1223" spans="3:30">
      <c r="C1223" s="43" t="s">
        <v>2231</v>
      </c>
      <c r="D1223" s="44" t="s">
        <v>2232</v>
      </c>
      <c r="E1223" s="44"/>
      <c r="F1223" s="45">
        <v>42467.418657407405</v>
      </c>
      <c r="G1223" s="46">
        <v>29</v>
      </c>
      <c r="H1223" s="47">
        <v>43372</v>
      </c>
      <c r="I1223" s="47">
        <v>43395</v>
      </c>
      <c r="J1223" s="46">
        <v>274219</v>
      </c>
      <c r="K1223" s="46">
        <v>0</v>
      </c>
      <c r="L1223" s="46">
        <v>0</v>
      </c>
      <c r="M1223" s="46">
        <f t="shared" si="357"/>
        <v>274219</v>
      </c>
      <c r="N1223" s="46">
        <v>274219</v>
      </c>
      <c r="O1223" s="48">
        <f t="shared" si="358"/>
        <v>0</v>
      </c>
      <c r="P1223" s="46">
        <v>0</v>
      </c>
      <c r="Q1223" s="46">
        <v>274219</v>
      </c>
      <c r="R1223" s="49">
        <f t="shared" si="359"/>
        <v>1</v>
      </c>
      <c r="S1223" s="50">
        <f t="shared" si="360"/>
        <v>0.01</v>
      </c>
      <c r="T1223" s="49">
        <f t="shared" si="361"/>
        <v>2742.19</v>
      </c>
      <c r="U1223" s="51">
        <f t="shared" si="362"/>
        <v>0</v>
      </c>
      <c r="V1223" s="52">
        <f>IF(0&lt;0.8,0,IF(0&lt;1,Sheet3!L561,1))*IF(G1223&lt;3,0.12 - O1223,0.01) *U1223</f>
        <v>0</v>
      </c>
      <c r="W1223" s="52">
        <f t="shared" si="363"/>
        <v>0</v>
      </c>
      <c r="X1223" s="53">
        <f t="shared" si="364"/>
        <v>0</v>
      </c>
      <c r="Y1223" s="53">
        <f t="shared" si="365"/>
        <v>0</v>
      </c>
      <c r="Z1223" s="54">
        <f t="shared" si="355"/>
        <v>0</v>
      </c>
      <c r="AA1223" s="54">
        <f t="shared" si="366"/>
        <v>0</v>
      </c>
      <c r="AB1223" s="55">
        <f t="shared" si="356"/>
        <v>0</v>
      </c>
      <c r="AC1223" s="55">
        <f t="shared" si="367"/>
        <v>0</v>
      </c>
      <c r="AD1223" s="56">
        <f t="shared" si="368"/>
        <v>2742.19</v>
      </c>
    </row>
    <row r="1224" spans="3:30">
      <c r="C1224" s="43" t="s">
        <v>2233</v>
      </c>
      <c r="D1224" s="44" t="s">
        <v>2234</v>
      </c>
      <c r="E1224" s="44"/>
      <c r="F1224" s="45">
        <v>42467.583865740737</v>
      </c>
      <c r="G1224" s="46">
        <v>29</v>
      </c>
      <c r="H1224" s="47">
        <v>43378</v>
      </c>
      <c r="I1224" s="47">
        <v>43390</v>
      </c>
      <c r="J1224" s="46">
        <v>29282</v>
      </c>
      <c r="K1224" s="46">
        <v>0</v>
      </c>
      <c r="L1224" s="46">
        <v>0</v>
      </c>
      <c r="M1224" s="46">
        <f t="shared" si="357"/>
        <v>29282</v>
      </c>
      <c r="N1224" s="46">
        <v>29282</v>
      </c>
      <c r="O1224" s="48">
        <f t="shared" si="358"/>
        <v>0</v>
      </c>
      <c r="P1224" s="46">
        <v>0</v>
      </c>
      <c r="Q1224" s="46">
        <v>29282</v>
      </c>
      <c r="R1224" s="49">
        <f t="shared" si="359"/>
        <v>1</v>
      </c>
      <c r="S1224" s="50">
        <f t="shared" si="360"/>
        <v>0.01</v>
      </c>
      <c r="T1224" s="49">
        <f t="shared" si="361"/>
        <v>292.82</v>
      </c>
      <c r="U1224" s="51">
        <f t="shared" si="362"/>
        <v>0</v>
      </c>
      <c r="V1224" s="52">
        <f>IF(0&lt;0.8,0,IF(0&lt;1,Sheet3!L561,1))*IF(G1224&lt;3,0.12 - O1224,0.01) *U1224</f>
        <v>0</v>
      </c>
      <c r="W1224" s="52">
        <f t="shared" si="363"/>
        <v>0</v>
      </c>
      <c r="X1224" s="53">
        <f t="shared" si="364"/>
        <v>0</v>
      </c>
      <c r="Y1224" s="53">
        <f t="shared" si="365"/>
        <v>0</v>
      </c>
      <c r="Z1224" s="54">
        <f t="shared" si="355"/>
        <v>0</v>
      </c>
      <c r="AA1224" s="54">
        <f t="shared" si="366"/>
        <v>0</v>
      </c>
      <c r="AB1224" s="55">
        <f t="shared" si="356"/>
        <v>0</v>
      </c>
      <c r="AC1224" s="55">
        <f t="shared" si="367"/>
        <v>0</v>
      </c>
      <c r="AD1224" s="56">
        <f t="shared" si="368"/>
        <v>292.82</v>
      </c>
    </row>
    <row r="1225" spans="3:30">
      <c r="C1225" s="43" t="s">
        <v>2235</v>
      </c>
      <c r="D1225" s="44" t="s">
        <v>2236</v>
      </c>
      <c r="E1225" s="44"/>
      <c r="F1225" s="45">
        <v>42469.439907407403</v>
      </c>
      <c r="G1225" s="46">
        <v>29</v>
      </c>
      <c r="H1225" s="47">
        <v>43378</v>
      </c>
      <c r="I1225" s="47">
        <v>43390</v>
      </c>
      <c r="J1225" s="46">
        <v>448093</v>
      </c>
      <c r="K1225" s="46">
        <v>0</v>
      </c>
      <c r="L1225" s="46">
        <v>0</v>
      </c>
      <c r="M1225" s="46">
        <f t="shared" si="357"/>
        <v>448093</v>
      </c>
      <c r="N1225" s="46">
        <v>448093</v>
      </c>
      <c r="O1225" s="48">
        <f t="shared" si="358"/>
        <v>0</v>
      </c>
      <c r="P1225" s="46">
        <v>0</v>
      </c>
      <c r="Q1225" s="46">
        <v>448093</v>
      </c>
      <c r="R1225" s="49">
        <f t="shared" si="359"/>
        <v>1</v>
      </c>
      <c r="S1225" s="50">
        <f t="shared" si="360"/>
        <v>0.01</v>
      </c>
      <c r="T1225" s="49">
        <f t="shared" si="361"/>
        <v>4480.93</v>
      </c>
      <c r="U1225" s="51">
        <f t="shared" si="362"/>
        <v>0</v>
      </c>
      <c r="V1225" s="52">
        <f>IF(0&lt;0.8,0,IF(0&lt;1,Sheet3!L561,1))*IF(G1225&lt;3,0.12 - O1225,0.01) *U1225</f>
        <v>0</v>
      </c>
      <c r="W1225" s="52">
        <f t="shared" si="363"/>
        <v>0</v>
      </c>
      <c r="X1225" s="53">
        <f t="shared" si="364"/>
        <v>0</v>
      </c>
      <c r="Y1225" s="53">
        <f t="shared" si="365"/>
        <v>0</v>
      </c>
      <c r="Z1225" s="54">
        <f t="shared" si="355"/>
        <v>0</v>
      </c>
      <c r="AA1225" s="54">
        <f t="shared" si="366"/>
        <v>0</v>
      </c>
      <c r="AB1225" s="55">
        <f t="shared" si="356"/>
        <v>0</v>
      </c>
      <c r="AC1225" s="55">
        <f t="shared" si="367"/>
        <v>0</v>
      </c>
      <c r="AD1225" s="56">
        <f t="shared" si="368"/>
        <v>4480.93</v>
      </c>
    </row>
    <row r="1226" spans="3:30">
      <c r="C1226" s="43" t="s">
        <v>2237</v>
      </c>
      <c r="D1226" s="44" t="s">
        <v>2238</v>
      </c>
      <c r="E1226" s="44"/>
      <c r="F1226" s="45">
        <v>42475.443935185183</v>
      </c>
      <c r="G1226" s="46">
        <v>29</v>
      </c>
      <c r="H1226" s="47">
        <v>43389</v>
      </c>
      <c r="I1226" s="47">
        <v>43424</v>
      </c>
      <c r="J1226" s="46">
        <v>753390</v>
      </c>
      <c r="K1226" s="46">
        <v>29800</v>
      </c>
      <c r="L1226" s="46">
        <v>0</v>
      </c>
      <c r="M1226" s="46">
        <f t="shared" si="357"/>
        <v>723590</v>
      </c>
      <c r="N1226" s="46">
        <v>960538</v>
      </c>
      <c r="O1226" s="48">
        <f t="shared" si="358"/>
        <v>0.24668258829947387</v>
      </c>
      <c r="P1226" s="46">
        <v>0</v>
      </c>
      <c r="Q1226" s="46">
        <v>753390</v>
      </c>
      <c r="R1226" s="49">
        <f t="shared" si="359"/>
        <v>1</v>
      </c>
      <c r="S1226" s="50">
        <f t="shared" si="360"/>
        <v>0.01</v>
      </c>
      <c r="T1226" s="49">
        <f t="shared" si="361"/>
        <v>7235.9000000000005</v>
      </c>
      <c r="U1226" s="51">
        <f t="shared" si="362"/>
        <v>0</v>
      </c>
      <c r="V1226" s="52">
        <f>IF(0&lt;0.8,0,IF(0&lt;1,Sheet3!L561,1))*IF(G1226&lt;3,0.12 - O1226,0.01) *U1226</f>
        <v>0</v>
      </c>
      <c r="W1226" s="52">
        <f t="shared" si="363"/>
        <v>0</v>
      </c>
      <c r="X1226" s="53">
        <f t="shared" si="364"/>
        <v>0</v>
      </c>
      <c r="Y1226" s="53">
        <f t="shared" si="365"/>
        <v>0</v>
      </c>
      <c r="Z1226" s="54">
        <f t="shared" si="355"/>
        <v>0</v>
      </c>
      <c r="AA1226" s="54">
        <f t="shared" si="366"/>
        <v>0</v>
      </c>
      <c r="AB1226" s="55">
        <f t="shared" si="356"/>
        <v>0</v>
      </c>
      <c r="AC1226" s="55">
        <f t="shared" si="367"/>
        <v>0</v>
      </c>
      <c r="AD1226" s="56">
        <f t="shared" si="368"/>
        <v>7235.9000000000005</v>
      </c>
    </row>
    <row r="1227" spans="3:30">
      <c r="C1227" s="43" t="s">
        <v>2239</v>
      </c>
      <c r="D1227" s="44" t="s">
        <v>2240</v>
      </c>
      <c r="E1227" s="44"/>
      <c r="F1227" s="45">
        <v>42475.442129629628</v>
      </c>
      <c r="G1227" s="46">
        <v>29</v>
      </c>
      <c r="H1227" s="47">
        <v>43372</v>
      </c>
      <c r="I1227" s="47">
        <v>43397</v>
      </c>
      <c r="J1227" s="46">
        <v>23054900</v>
      </c>
      <c r="K1227" s="46">
        <v>0</v>
      </c>
      <c r="L1227" s="46">
        <v>0</v>
      </c>
      <c r="M1227" s="46">
        <f t="shared" si="357"/>
        <v>23054900</v>
      </c>
      <c r="N1227" s="46">
        <v>36415797</v>
      </c>
      <c r="O1227" s="48">
        <f t="shared" si="358"/>
        <v>0.36689838204008007</v>
      </c>
      <c r="P1227" s="46">
        <v>0</v>
      </c>
      <c r="Q1227" s="46">
        <v>23054900</v>
      </c>
      <c r="R1227" s="49">
        <f t="shared" si="359"/>
        <v>1</v>
      </c>
      <c r="S1227" s="50">
        <f t="shared" si="360"/>
        <v>0.01</v>
      </c>
      <c r="T1227" s="49">
        <f t="shared" si="361"/>
        <v>230549</v>
      </c>
      <c r="U1227" s="51">
        <f t="shared" si="362"/>
        <v>0</v>
      </c>
      <c r="V1227" s="52">
        <f>IF(0&lt;0.8,0,IF(0&lt;1,Sheet3!L561,1))*IF(G1227&lt;3,0.12 - O1227,0.01) *U1227</f>
        <v>0</v>
      </c>
      <c r="W1227" s="52">
        <f t="shared" si="363"/>
        <v>0</v>
      </c>
      <c r="X1227" s="53">
        <f t="shared" si="364"/>
        <v>0</v>
      </c>
      <c r="Y1227" s="53">
        <f t="shared" si="365"/>
        <v>0</v>
      </c>
      <c r="Z1227" s="54">
        <f t="shared" si="355"/>
        <v>0</v>
      </c>
      <c r="AA1227" s="54">
        <f t="shared" si="366"/>
        <v>0</v>
      </c>
      <c r="AB1227" s="55">
        <f t="shared" si="356"/>
        <v>0</v>
      </c>
      <c r="AC1227" s="55">
        <f t="shared" si="367"/>
        <v>0</v>
      </c>
      <c r="AD1227" s="56">
        <f t="shared" si="368"/>
        <v>230549</v>
      </c>
    </row>
    <row r="1228" spans="3:30">
      <c r="C1228" s="43" t="s">
        <v>2241</v>
      </c>
      <c r="D1228" s="44" t="s">
        <v>2242</v>
      </c>
      <c r="E1228" s="44"/>
      <c r="F1228" s="45">
        <v>42478.389247685183</v>
      </c>
      <c r="G1228" s="46">
        <v>29</v>
      </c>
      <c r="H1228" s="47">
        <v>43381</v>
      </c>
      <c r="I1228" s="47">
        <v>43391</v>
      </c>
      <c r="J1228" s="46">
        <v>1541443</v>
      </c>
      <c r="K1228" s="46">
        <v>58072</v>
      </c>
      <c r="L1228" s="46">
        <v>0</v>
      </c>
      <c r="M1228" s="46">
        <f t="shared" si="357"/>
        <v>1483371</v>
      </c>
      <c r="N1228" s="46">
        <v>1541443</v>
      </c>
      <c r="O1228" s="48">
        <f t="shared" si="358"/>
        <v>3.7673790078517344E-2</v>
      </c>
      <c r="P1228" s="46">
        <v>0</v>
      </c>
      <c r="Q1228" s="46">
        <v>1541443</v>
      </c>
      <c r="R1228" s="49">
        <f t="shared" si="359"/>
        <v>1</v>
      </c>
      <c r="S1228" s="50">
        <f t="shared" si="360"/>
        <v>0.01</v>
      </c>
      <c r="T1228" s="49">
        <f t="shared" si="361"/>
        <v>14833.710000000001</v>
      </c>
      <c r="U1228" s="51">
        <f t="shared" si="362"/>
        <v>0</v>
      </c>
      <c r="V1228" s="52">
        <f>IF(0&lt;0.8,0,IF(0&lt;1,Sheet3!L561,1))*IF(G1228&lt;3,0.12 - O1228,0.01) *U1228</f>
        <v>0</v>
      </c>
      <c r="W1228" s="52">
        <f t="shared" si="363"/>
        <v>0</v>
      </c>
      <c r="X1228" s="53">
        <f t="shared" si="364"/>
        <v>0</v>
      </c>
      <c r="Y1228" s="53">
        <f t="shared" si="365"/>
        <v>0</v>
      </c>
      <c r="Z1228" s="54">
        <f t="shared" si="355"/>
        <v>0</v>
      </c>
      <c r="AA1228" s="54">
        <f t="shared" si="366"/>
        <v>0</v>
      </c>
      <c r="AB1228" s="55">
        <f t="shared" si="356"/>
        <v>0</v>
      </c>
      <c r="AC1228" s="55">
        <f t="shared" si="367"/>
        <v>0</v>
      </c>
      <c r="AD1228" s="56">
        <f t="shared" si="368"/>
        <v>14833.710000000001</v>
      </c>
    </row>
    <row r="1229" spans="3:30">
      <c r="C1229" s="43" t="s">
        <v>2243</v>
      </c>
      <c r="D1229" s="44" t="s">
        <v>2244</v>
      </c>
      <c r="E1229" s="44"/>
      <c r="F1229" s="45">
        <v>42481.672754629624</v>
      </c>
      <c r="G1229" s="46">
        <v>29</v>
      </c>
      <c r="H1229" s="47" t="s">
        <v>24</v>
      </c>
      <c r="I1229" s="47" t="s">
        <v>24</v>
      </c>
      <c r="J1229" s="46">
        <v>13310</v>
      </c>
      <c r="K1229" s="46">
        <v>0</v>
      </c>
      <c r="L1229" s="46">
        <v>0</v>
      </c>
      <c r="M1229" s="46">
        <f t="shared" si="357"/>
        <v>13310</v>
      </c>
      <c r="N1229" s="46" t="s">
        <v>24</v>
      </c>
      <c r="O1229" s="48">
        <f t="shared" si="358"/>
        <v>0</v>
      </c>
      <c r="P1229" s="46">
        <v>0</v>
      </c>
      <c r="Q1229" s="46">
        <v>0</v>
      </c>
      <c r="R1229" s="49">
        <f t="shared" si="359"/>
        <v>1</v>
      </c>
      <c r="S1229" s="50">
        <f t="shared" si="360"/>
        <v>0.01</v>
      </c>
      <c r="T1229" s="49">
        <f t="shared" si="361"/>
        <v>133.1</v>
      </c>
      <c r="U1229" s="51">
        <f t="shared" si="362"/>
        <v>0</v>
      </c>
      <c r="V1229" s="52">
        <f>IF(0&lt;0.8,0,IF(0&lt;1,Sheet3!L561,1))*IF(G1229&lt;3,0.12 - O1229,0.01) *U1229</f>
        <v>0</v>
      </c>
      <c r="W1229" s="52">
        <f t="shared" si="363"/>
        <v>0</v>
      </c>
      <c r="X1229" s="53">
        <f t="shared" si="364"/>
        <v>0</v>
      </c>
      <c r="Y1229" s="53">
        <f t="shared" si="365"/>
        <v>0</v>
      </c>
      <c r="Z1229" s="54">
        <f>IF(R1229=1,0,"")</f>
        <v>0</v>
      </c>
      <c r="AA1229" s="54">
        <f t="shared" si="366"/>
        <v>0</v>
      </c>
      <c r="AB1229" s="55">
        <f>IF(R1229=0,"",0)</f>
        <v>0</v>
      </c>
      <c r="AC1229" s="55">
        <f t="shared" si="367"/>
        <v>0</v>
      </c>
      <c r="AD1229" s="56">
        <f t="shared" si="368"/>
        <v>133.1</v>
      </c>
    </row>
    <row r="1230" spans="3:30">
      <c r="C1230" s="43" t="s">
        <v>2245</v>
      </c>
      <c r="D1230" s="44" t="s">
        <v>2246</v>
      </c>
      <c r="E1230" s="44"/>
      <c r="F1230" s="45">
        <v>42495.109849537039</v>
      </c>
      <c r="G1230" s="46">
        <v>28</v>
      </c>
      <c r="H1230" s="47">
        <v>43378</v>
      </c>
      <c r="I1230" s="47">
        <v>43405</v>
      </c>
      <c r="J1230" s="46">
        <v>530323</v>
      </c>
      <c r="K1230" s="46">
        <v>0</v>
      </c>
      <c r="L1230" s="46">
        <v>0</v>
      </c>
      <c r="M1230" s="46">
        <f t="shared" si="357"/>
        <v>530323</v>
      </c>
      <c r="N1230" s="46">
        <v>530323</v>
      </c>
      <c r="O1230" s="48">
        <f t="shared" si="358"/>
        <v>0</v>
      </c>
      <c r="P1230" s="46">
        <v>0</v>
      </c>
      <c r="Q1230" s="46">
        <v>530323</v>
      </c>
      <c r="R1230" s="49">
        <f t="shared" si="359"/>
        <v>1</v>
      </c>
      <c r="S1230" s="50">
        <f t="shared" si="360"/>
        <v>0.01</v>
      </c>
      <c r="T1230" s="49">
        <f t="shared" si="361"/>
        <v>5303.2300000000005</v>
      </c>
      <c r="U1230" s="51">
        <f t="shared" si="362"/>
        <v>0</v>
      </c>
      <c r="V1230" s="52">
        <f>IF(0&lt;0.8,0,IF(0&lt;1,Sheet3!L561,1))*IF(G1230&lt;3,0.12 - O1230,0.01) *U1230</f>
        <v>0</v>
      </c>
      <c r="W1230" s="52">
        <f t="shared" si="363"/>
        <v>0</v>
      </c>
      <c r="X1230" s="53">
        <f t="shared" si="364"/>
        <v>0</v>
      </c>
      <c r="Y1230" s="53">
        <f t="shared" si="365"/>
        <v>0</v>
      </c>
      <c r="Z1230" s="54">
        <f t="shared" ref="Z1230:Z1252" si="369">IF(R1230=1,0,0)</f>
        <v>0</v>
      </c>
      <c r="AA1230" s="54">
        <f t="shared" si="366"/>
        <v>0</v>
      </c>
      <c r="AB1230" s="55">
        <f t="shared" ref="AB1230:AB1246" si="370">IF(R1230=0,0,0)</f>
        <v>0</v>
      </c>
      <c r="AC1230" s="55">
        <f t="shared" si="367"/>
        <v>0</v>
      </c>
      <c r="AD1230" s="56">
        <f t="shared" si="368"/>
        <v>5303.2300000000005</v>
      </c>
    </row>
    <row r="1231" spans="3:30">
      <c r="C1231" s="43" t="s">
        <v>2247</v>
      </c>
      <c r="D1231" s="44" t="s">
        <v>2248</v>
      </c>
      <c r="E1231" s="44"/>
      <c r="F1231" s="45">
        <v>42501.412789351853</v>
      </c>
      <c r="G1231" s="46">
        <v>28</v>
      </c>
      <c r="H1231" s="47">
        <v>43377</v>
      </c>
      <c r="I1231" s="47">
        <v>43388</v>
      </c>
      <c r="J1231" s="46">
        <v>144827</v>
      </c>
      <c r="K1231" s="46">
        <v>0</v>
      </c>
      <c r="L1231" s="46">
        <v>0</v>
      </c>
      <c r="M1231" s="46">
        <f t="shared" si="357"/>
        <v>144827</v>
      </c>
      <c r="N1231" s="46">
        <v>144827</v>
      </c>
      <c r="O1231" s="48">
        <f t="shared" si="358"/>
        <v>0</v>
      </c>
      <c r="P1231" s="46">
        <v>0</v>
      </c>
      <c r="Q1231" s="46">
        <v>144827</v>
      </c>
      <c r="R1231" s="49">
        <f t="shared" si="359"/>
        <v>1</v>
      </c>
      <c r="S1231" s="50">
        <f t="shared" si="360"/>
        <v>0.01</v>
      </c>
      <c r="T1231" s="49">
        <f t="shared" si="361"/>
        <v>1448.27</v>
      </c>
      <c r="U1231" s="51">
        <f t="shared" si="362"/>
        <v>0</v>
      </c>
      <c r="V1231" s="52">
        <f>IF(0&lt;0.8,0,IF(0&lt;1,Sheet3!L561,1))*IF(G1231&lt;3,0.12 - O1231,0.01) *U1231</f>
        <v>0</v>
      </c>
      <c r="W1231" s="52">
        <f t="shared" si="363"/>
        <v>0</v>
      </c>
      <c r="X1231" s="53">
        <f t="shared" si="364"/>
        <v>0</v>
      </c>
      <c r="Y1231" s="53">
        <f t="shared" si="365"/>
        <v>0</v>
      </c>
      <c r="Z1231" s="54">
        <f t="shared" si="369"/>
        <v>0</v>
      </c>
      <c r="AA1231" s="54">
        <f t="shared" si="366"/>
        <v>0</v>
      </c>
      <c r="AB1231" s="55">
        <f t="shared" si="370"/>
        <v>0</v>
      </c>
      <c r="AC1231" s="55">
        <f t="shared" si="367"/>
        <v>0</v>
      </c>
      <c r="AD1231" s="56">
        <f t="shared" si="368"/>
        <v>1448.27</v>
      </c>
    </row>
    <row r="1232" spans="3:30">
      <c r="C1232" s="43" t="s">
        <v>2249</v>
      </c>
      <c r="D1232" s="44" t="s">
        <v>2143</v>
      </c>
      <c r="E1232" s="44"/>
      <c r="F1232" s="45">
        <v>42501.414907407408</v>
      </c>
      <c r="G1232" s="46">
        <v>28</v>
      </c>
      <c r="H1232" s="47">
        <v>43404</v>
      </c>
      <c r="I1232" s="47">
        <v>43412</v>
      </c>
      <c r="J1232" s="46">
        <v>42845</v>
      </c>
      <c r="K1232" s="46">
        <v>0</v>
      </c>
      <c r="L1232" s="46">
        <v>0</v>
      </c>
      <c r="M1232" s="46">
        <f t="shared" si="357"/>
        <v>42845</v>
      </c>
      <c r="N1232" s="46">
        <v>53906</v>
      </c>
      <c r="O1232" s="48">
        <f t="shared" si="358"/>
        <v>0.20519051682558531</v>
      </c>
      <c r="P1232" s="46">
        <v>0</v>
      </c>
      <c r="Q1232" s="46">
        <v>42845</v>
      </c>
      <c r="R1232" s="49">
        <f t="shared" si="359"/>
        <v>1</v>
      </c>
      <c r="S1232" s="50">
        <f t="shared" si="360"/>
        <v>0.01</v>
      </c>
      <c r="T1232" s="49">
        <f t="shared" si="361"/>
        <v>428.45</v>
      </c>
      <c r="U1232" s="51">
        <f t="shared" si="362"/>
        <v>0</v>
      </c>
      <c r="V1232" s="52">
        <f>IF(0&lt;0.8,0,IF(0&lt;1,Sheet3!L561,1))*IF(G1232&lt;3,0.12 - O1232,0.01) *U1232</f>
        <v>0</v>
      </c>
      <c r="W1232" s="52">
        <f t="shared" si="363"/>
        <v>0</v>
      </c>
      <c r="X1232" s="53">
        <f t="shared" si="364"/>
        <v>0</v>
      </c>
      <c r="Y1232" s="53">
        <f t="shared" si="365"/>
        <v>0</v>
      </c>
      <c r="Z1232" s="54">
        <f t="shared" si="369"/>
        <v>0</v>
      </c>
      <c r="AA1232" s="54">
        <f t="shared" si="366"/>
        <v>0</v>
      </c>
      <c r="AB1232" s="55">
        <f t="shared" si="370"/>
        <v>0</v>
      </c>
      <c r="AC1232" s="55">
        <f t="shared" si="367"/>
        <v>0</v>
      </c>
      <c r="AD1232" s="56">
        <f t="shared" si="368"/>
        <v>428.45</v>
      </c>
    </row>
    <row r="1233" spans="3:30">
      <c r="C1233" s="43" t="s">
        <v>2250</v>
      </c>
      <c r="D1233" s="44" t="s">
        <v>2251</v>
      </c>
      <c r="E1233" s="44"/>
      <c r="F1233" s="45">
        <v>42501.40824074074</v>
      </c>
      <c r="G1233" s="46">
        <v>28</v>
      </c>
      <c r="H1233" s="47">
        <v>43372</v>
      </c>
      <c r="I1233" s="47">
        <v>43525</v>
      </c>
      <c r="J1233" s="46">
        <v>5495560</v>
      </c>
      <c r="K1233" s="46">
        <v>0</v>
      </c>
      <c r="L1233" s="46">
        <v>0</v>
      </c>
      <c r="M1233" s="46">
        <f t="shared" si="357"/>
        <v>5495560</v>
      </c>
      <c r="N1233" s="46">
        <v>12334740</v>
      </c>
      <c r="O1233" s="48">
        <f t="shared" si="358"/>
        <v>0.55446486914195192</v>
      </c>
      <c r="P1233" s="46">
        <v>0</v>
      </c>
      <c r="Q1233" s="46">
        <v>5495560</v>
      </c>
      <c r="R1233" s="49">
        <f t="shared" si="359"/>
        <v>1</v>
      </c>
      <c r="S1233" s="50">
        <f t="shared" si="360"/>
        <v>0.01</v>
      </c>
      <c r="T1233" s="49">
        <f t="shared" si="361"/>
        <v>54955.6</v>
      </c>
      <c r="U1233" s="51">
        <f t="shared" si="362"/>
        <v>0</v>
      </c>
      <c r="V1233" s="52">
        <f>IF(0&lt;0.8,0,IF(0&lt;1,Sheet3!L561,1))*IF(G1233&lt;3,0.12 - O1233,0.01) *U1233</f>
        <v>0</v>
      </c>
      <c r="W1233" s="52">
        <f t="shared" si="363"/>
        <v>0</v>
      </c>
      <c r="X1233" s="53">
        <f t="shared" si="364"/>
        <v>0</v>
      </c>
      <c r="Y1233" s="53">
        <f t="shared" si="365"/>
        <v>0</v>
      </c>
      <c r="Z1233" s="54">
        <f t="shared" si="369"/>
        <v>0</v>
      </c>
      <c r="AA1233" s="54">
        <f t="shared" si="366"/>
        <v>0</v>
      </c>
      <c r="AB1233" s="55">
        <f t="shared" si="370"/>
        <v>0</v>
      </c>
      <c r="AC1233" s="55">
        <f t="shared" si="367"/>
        <v>0</v>
      </c>
      <c r="AD1233" s="56">
        <f t="shared" si="368"/>
        <v>54955.6</v>
      </c>
    </row>
    <row r="1234" spans="3:30">
      <c r="C1234" s="43" t="s">
        <v>2252</v>
      </c>
      <c r="D1234" s="44" t="s">
        <v>2253</v>
      </c>
      <c r="E1234" s="44"/>
      <c r="F1234" s="45">
        <v>42506.332615740735</v>
      </c>
      <c r="G1234" s="46">
        <v>28</v>
      </c>
      <c r="H1234" s="47">
        <v>43402</v>
      </c>
      <c r="I1234" s="47">
        <v>43453</v>
      </c>
      <c r="J1234" s="46">
        <v>137593126</v>
      </c>
      <c r="K1234" s="46">
        <v>0</v>
      </c>
      <c r="L1234" s="46">
        <v>0</v>
      </c>
      <c r="M1234" s="46">
        <f t="shared" si="357"/>
        <v>137593126</v>
      </c>
      <c r="N1234" s="46">
        <v>193917761</v>
      </c>
      <c r="O1234" s="48">
        <f t="shared" si="358"/>
        <v>0.29045629812114016</v>
      </c>
      <c r="P1234" s="46">
        <v>0</v>
      </c>
      <c r="Q1234" s="46">
        <v>137593126</v>
      </c>
      <c r="R1234" s="49">
        <f t="shared" si="359"/>
        <v>1</v>
      </c>
      <c r="S1234" s="50">
        <f t="shared" si="360"/>
        <v>0.01</v>
      </c>
      <c r="T1234" s="49">
        <f t="shared" si="361"/>
        <v>1375931.26</v>
      </c>
      <c r="U1234" s="51">
        <f t="shared" si="362"/>
        <v>0</v>
      </c>
      <c r="V1234" s="52">
        <f>IF(0&lt;0.8,0,IF(0&lt;1,Sheet3!L561,1))*IF(G1234&lt;3,0.12 - O1234,0.01) *U1234</f>
        <v>0</v>
      </c>
      <c r="W1234" s="52">
        <f t="shared" si="363"/>
        <v>0</v>
      </c>
      <c r="X1234" s="53">
        <f t="shared" si="364"/>
        <v>0</v>
      </c>
      <c r="Y1234" s="53">
        <f t="shared" si="365"/>
        <v>0</v>
      </c>
      <c r="Z1234" s="54">
        <f t="shared" si="369"/>
        <v>0</v>
      </c>
      <c r="AA1234" s="54">
        <f t="shared" si="366"/>
        <v>0</v>
      </c>
      <c r="AB1234" s="55">
        <f t="shared" si="370"/>
        <v>0</v>
      </c>
      <c r="AC1234" s="55">
        <f t="shared" si="367"/>
        <v>0</v>
      </c>
      <c r="AD1234" s="56">
        <f t="shared" si="368"/>
        <v>1375931.26</v>
      </c>
    </row>
    <row r="1235" spans="3:30">
      <c r="C1235" s="43" t="s">
        <v>2254</v>
      </c>
      <c r="D1235" s="44" t="s">
        <v>2255</v>
      </c>
      <c r="E1235" s="44"/>
      <c r="F1235" s="45">
        <v>42507.138888888891</v>
      </c>
      <c r="G1235" s="46">
        <v>28</v>
      </c>
      <c r="H1235" s="47">
        <v>43376</v>
      </c>
      <c r="I1235" s="47">
        <v>43434</v>
      </c>
      <c r="J1235" s="46">
        <v>509827</v>
      </c>
      <c r="K1235" s="46">
        <v>0</v>
      </c>
      <c r="L1235" s="46">
        <v>0</v>
      </c>
      <c r="M1235" s="46">
        <f t="shared" si="357"/>
        <v>509827</v>
      </c>
      <c r="N1235" s="46">
        <v>509827</v>
      </c>
      <c r="O1235" s="48">
        <f t="shared" si="358"/>
        <v>0</v>
      </c>
      <c r="P1235" s="46">
        <v>0</v>
      </c>
      <c r="Q1235" s="46">
        <v>509827</v>
      </c>
      <c r="R1235" s="49">
        <f t="shared" si="359"/>
        <v>1</v>
      </c>
      <c r="S1235" s="50">
        <f t="shared" si="360"/>
        <v>0.01</v>
      </c>
      <c r="T1235" s="49">
        <f t="shared" si="361"/>
        <v>5098.2700000000004</v>
      </c>
      <c r="U1235" s="51">
        <f t="shared" si="362"/>
        <v>0</v>
      </c>
      <c r="V1235" s="52">
        <f>IF(0&lt;0.8,0,IF(0&lt;1,Sheet3!L561,1))*IF(G1235&lt;3,0.12 - O1235,0.01) *U1235</f>
        <v>0</v>
      </c>
      <c r="W1235" s="52">
        <f t="shared" si="363"/>
        <v>0</v>
      </c>
      <c r="X1235" s="53">
        <f t="shared" si="364"/>
        <v>0</v>
      </c>
      <c r="Y1235" s="53">
        <f t="shared" si="365"/>
        <v>0</v>
      </c>
      <c r="Z1235" s="54">
        <f t="shared" si="369"/>
        <v>0</v>
      </c>
      <c r="AA1235" s="54">
        <f t="shared" si="366"/>
        <v>0</v>
      </c>
      <c r="AB1235" s="55">
        <f t="shared" si="370"/>
        <v>0</v>
      </c>
      <c r="AC1235" s="55">
        <f t="shared" si="367"/>
        <v>0</v>
      </c>
      <c r="AD1235" s="56">
        <f t="shared" si="368"/>
        <v>5098.2700000000004</v>
      </c>
    </row>
    <row r="1236" spans="3:30">
      <c r="C1236" s="43" t="s">
        <v>2256</v>
      </c>
      <c r="D1236" s="44" t="s">
        <v>2257</v>
      </c>
      <c r="E1236" s="44"/>
      <c r="F1236" s="45">
        <v>42508.283055555556</v>
      </c>
      <c r="G1236" s="46">
        <v>28</v>
      </c>
      <c r="H1236" s="47">
        <v>43372</v>
      </c>
      <c r="I1236" s="47">
        <v>43427</v>
      </c>
      <c r="J1236" s="46">
        <v>68214</v>
      </c>
      <c r="K1236" s="46">
        <v>0</v>
      </c>
      <c r="L1236" s="46">
        <v>0</v>
      </c>
      <c r="M1236" s="46">
        <f t="shared" si="357"/>
        <v>68214</v>
      </c>
      <c r="N1236" s="46">
        <v>68214</v>
      </c>
      <c r="O1236" s="48">
        <f t="shared" si="358"/>
        <v>0</v>
      </c>
      <c r="P1236" s="46">
        <v>0</v>
      </c>
      <c r="Q1236" s="46">
        <v>68214</v>
      </c>
      <c r="R1236" s="49">
        <f t="shared" si="359"/>
        <v>1</v>
      </c>
      <c r="S1236" s="50">
        <f t="shared" si="360"/>
        <v>0.01</v>
      </c>
      <c r="T1236" s="49">
        <f t="shared" si="361"/>
        <v>682.14</v>
      </c>
      <c r="U1236" s="51">
        <f t="shared" si="362"/>
        <v>0</v>
      </c>
      <c r="V1236" s="52">
        <f>IF(0&lt;0.8,0,IF(0&lt;1,Sheet3!L561,1))*IF(G1236&lt;3,0.12 - O1236,0.01) *U1236</f>
        <v>0</v>
      </c>
      <c r="W1236" s="52">
        <f t="shared" si="363"/>
        <v>0</v>
      </c>
      <c r="X1236" s="53">
        <f t="shared" si="364"/>
        <v>0</v>
      </c>
      <c r="Y1236" s="53">
        <f t="shared" si="365"/>
        <v>0</v>
      </c>
      <c r="Z1236" s="54">
        <f t="shared" si="369"/>
        <v>0</v>
      </c>
      <c r="AA1236" s="54">
        <f t="shared" si="366"/>
        <v>0</v>
      </c>
      <c r="AB1236" s="55">
        <f t="shared" si="370"/>
        <v>0</v>
      </c>
      <c r="AC1236" s="55">
        <f t="shared" si="367"/>
        <v>0</v>
      </c>
      <c r="AD1236" s="56">
        <f t="shared" si="368"/>
        <v>682.14</v>
      </c>
    </row>
    <row r="1237" spans="3:30">
      <c r="C1237" s="43" t="s">
        <v>2258</v>
      </c>
      <c r="D1237" s="44" t="s">
        <v>2259</v>
      </c>
      <c r="E1237" s="44"/>
      <c r="F1237" s="45">
        <v>42516.277962962959</v>
      </c>
      <c r="G1237" s="46">
        <v>28</v>
      </c>
      <c r="H1237" s="47">
        <v>43372</v>
      </c>
      <c r="I1237" s="47">
        <v>43397</v>
      </c>
      <c r="J1237" s="46">
        <v>47937912</v>
      </c>
      <c r="K1237" s="46">
        <v>4272200</v>
      </c>
      <c r="L1237" s="46">
        <v>0</v>
      </c>
      <c r="M1237" s="46">
        <f t="shared" si="357"/>
        <v>43665712</v>
      </c>
      <c r="N1237" s="46">
        <v>74461495</v>
      </c>
      <c r="O1237" s="48">
        <f t="shared" si="358"/>
        <v>0.41357997176930172</v>
      </c>
      <c r="P1237" s="46">
        <v>0</v>
      </c>
      <c r="Q1237" s="46">
        <v>47937912</v>
      </c>
      <c r="R1237" s="49">
        <f t="shared" si="359"/>
        <v>1</v>
      </c>
      <c r="S1237" s="50">
        <f t="shared" si="360"/>
        <v>0.01</v>
      </c>
      <c r="T1237" s="49">
        <f t="shared" si="361"/>
        <v>436657.12</v>
      </c>
      <c r="U1237" s="51">
        <f t="shared" si="362"/>
        <v>0</v>
      </c>
      <c r="V1237" s="52">
        <f>IF(0&lt;0.8,0,IF(0&lt;1,Sheet3!L561,1))*IF(G1237&lt;3,0.12 - O1237,0.01) *U1237</f>
        <v>0</v>
      </c>
      <c r="W1237" s="52">
        <f t="shared" si="363"/>
        <v>0</v>
      </c>
      <c r="X1237" s="53">
        <f t="shared" si="364"/>
        <v>0</v>
      </c>
      <c r="Y1237" s="53">
        <f t="shared" si="365"/>
        <v>0</v>
      </c>
      <c r="Z1237" s="54">
        <f t="shared" si="369"/>
        <v>0</v>
      </c>
      <c r="AA1237" s="54">
        <f t="shared" si="366"/>
        <v>0</v>
      </c>
      <c r="AB1237" s="55">
        <f t="shared" si="370"/>
        <v>0</v>
      </c>
      <c r="AC1237" s="55">
        <f t="shared" si="367"/>
        <v>0</v>
      </c>
      <c r="AD1237" s="56">
        <f t="shared" si="368"/>
        <v>436657.12</v>
      </c>
    </row>
    <row r="1238" spans="3:30">
      <c r="C1238" s="43" t="s">
        <v>2260</v>
      </c>
      <c r="D1238" s="44" t="s">
        <v>2261</v>
      </c>
      <c r="E1238" s="44"/>
      <c r="F1238" s="45">
        <v>42522.349548611106</v>
      </c>
      <c r="G1238" s="46">
        <v>27</v>
      </c>
      <c r="H1238" s="47">
        <v>43378</v>
      </c>
      <c r="I1238" s="47">
        <v>43388</v>
      </c>
      <c r="J1238" s="46">
        <v>1087525</v>
      </c>
      <c r="K1238" s="46">
        <v>0</v>
      </c>
      <c r="L1238" s="46">
        <v>0</v>
      </c>
      <c r="M1238" s="46">
        <f t="shared" si="357"/>
        <v>1087525</v>
      </c>
      <c r="N1238" s="46">
        <v>1087525</v>
      </c>
      <c r="O1238" s="48">
        <f t="shared" si="358"/>
        <v>0</v>
      </c>
      <c r="P1238" s="46">
        <v>0</v>
      </c>
      <c r="Q1238" s="46">
        <v>1087525</v>
      </c>
      <c r="R1238" s="49">
        <f t="shared" si="359"/>
        <v>1</v>
      </c>
      <c r="S1238" s="50">
        <f t="shared" si="360"/>
        <v>0.01</v>
      </c>
      <c r="T1238" s="49">
        <f t="shared" si="361"/>
        <v>10875.25</v>
      </c>
      <c r="U1238" s="51">
        <f t="shared" si="362"/>
        <v>0</v>
      </c>
      <c r="V1238" s="52">
        <f>IF(0&lt;0.8,0,IF(0&lt;1,Sheet3!L561,1))*IF(G1238&lt;3,0.12 - O1238,0.01) *U1238</f>
        <v>0</v>
      </c>
      <c r="W1238" s="52">
        <f t="shared" si="363"/>
        <v>0</v>
      </c>
      <c r="X1238" s="53">
        <f t="shared" si="364"/>
        <v>0</v>
      </c>
      <c r="Y1238" s="53">
        <f t="shared" si="365"/>
        <v>0</v>
      </c>
      <c r="Z1238" s="54">
        <f t="shared" si="369"/>
        <v>0</v>
      </c>
      <c r="AA1238" s="54">
        <f t="shared" si="366"/>
        <v>0</v>
      </c>
      <c r="AB1238" s="55">
        <f t="shared" si="370"/>
        <v>0</v>
      </c>
      <c r="AC1238" s="55">
        <f t="shared" si="367"/>
        <v>0</v>
      </c>
      <c r="AD1238" s="56">
        <f t="shared" si="368"/>
        <v>10875.25</v>
      </c>
    </row>
    <row r="1239" spans="3:30">
      <c r="C1239" s="43" t="s">
        <v>2262</v>
      </c>
      <c r="D1239" s="44" t="s">
        <v>2263</v>
      </c>
      <c r="E1239" s="44"/>
      <c r="F1239" s="45">
        <v>42535.120624999996</v>
      </c>
      <c r="G1239" s="46">
        <v>27</v>
      </c>
      <c r="H1239" s="47">
        <v>43372</v>
      </c>
      <c r="I1239" s="47">
        <v>43388</v>
      </c>
      <c r="J1239" s="46">
        <v>45972803</v>
      </c>
      <c r="K1239" s="46">
        <v>2244835</v>
      </c>
      <c r="L1239" s="46">
        <v>0</v>
      </c>
      <c r="M1239" s="46">
        <f t="shared" si="357"/>
        <v>43727968</v>
      </c>
      <c r="N1239" s="46">
        <v>71889007</v>
      </c>
      <c r="O1239" s="48">
        <f t="shared" si="358"/>
        <v>0.3917294197706751</v>
      </c>
      <c r="P1239" s="46">
        <v>0</v>
      </c>
      <c r="Q1239" s="46">
        <v>45972803</v>
      </c>
      <c r="R1239" s="49">
        <f t="shared" si="359"/>
        <v>1</v>
      </c>
      <c r="S1239" s="50">
        <f t="shared" si="360"/>
        <v>0.01</v>
      </c>
      <c r="T1239" s="49">
        <f t="shared" si="361"/>
        <v>437279.68</v>
      </c>
      <c r="U1239" s="51">
        <f t="shared" si="362"/>
        <v>0</v>
      </c>
      <c r="V1239" s="52">
        <f>IF(0&lt;0.8,0,IF(0&lt;1,Sheet3!L561,1))*IF(G1239&lt;3,0.12 - O1239,0.01) *U1239</f>
        <v>0</v>
      </c>
      <c r="W1239" s="52">
        <f t="shared" si="363"/>
        <v>0</v>
      </c>
      <c r="X1239" s="53">
        <f t="shared" si="364"/>
        <v>0</v>
      </c>
      <c r="Y1239" s="53">
        <f t="shared" si="365"/>
        <v>0</v>
      </c>
      <c r="Z1239" s="54">
        <f t="shared" si="369"/>
        <v>0</v>
      </c>
      <c r="AA1239" s="54">
        <f t="shared" si="366"/>
        <v>0</v>
      </c>
      <c r="AB1239" s="55">
        <f t="shared" si="370"/>
        <v>0</v>
      </c>
      <c r="AC1239" s="55">
        <f t="shared" si="367"/>
        <v>0</v>
      </c>
      <c r="AD1239" s="56">
        <f t="shared" si="368"/>
        <v>437279.68</v>
      </c>
    </row>
    <row r="1240" spans="3:30">
      <c r="C1240" s="43" t="s">
        <v>2264</v>
      </c>
      <c r="D1240" s="44" t="s">
        <v>2265</v>
      </c>
      <c r="E1240" s="44"/>
      <c r="F1240" s="45">
        <v>42525.37096064815</v>
      </c>
      <c r="G1240" s="46">
        <v>27</v>
      </c>
      <c r="H1240" s="47">
        <v>43376</v>
      </c>
      <c r="I1240" s="47">
        <v>43391</v>
      </c>
      <c r="J1240" s="46">
        <v>302966</v>
      </c>
      <c r="K1240" s="46">
        <v>0</v>
      </c>
      <c r="L1240" s="46">
        <v>0</v>
      </c>
      <c r="M1240" s="46">
        <f t="shared" si="357"/>
        <v>302966</v>
      </c>
      <c r="N1240" s="46">
        <v>302966</v>
      </c>
      <c r="O1240" s="48">
        <f t="shared" si="358"/>
        <v>0</v>
      </c>
      <c r="P1240" s="46">
        <v>0</v>
      </c>
      <c r="Q1240" s="46">
        <v>302966</v>
      </c>
      <c r="R1240" s="49">
        <f t="shared" si="359"/>
        <v>1</v>
      </c>
      <c r="S1240" s="50">
        <f t="shared" si="360"/>
        <v>0.01</v>
      </c>
      <c r="T1240" s="49">
        <f t="shared" si="361"/>
        <v>3029.66</v>
      </c>
      <c r="U1240" s="51">
        <f t="shared" si="362"/>
        <v>0</v>
      </c>
      <c r="V1240" s="52">
        <f>IF(0&lt;0.8,0,IF(0&lt;1,Sheet3!L561,1))*IF(G1240&lt;3,0.12 - O1240,0.01) *U1240</f>
        <v>0</v>
      </c>
      <c r="W1240" s="52">
        <f t="shared" si="363"/>
        <v>0</v>
      </c>
      <c r="X1240" s="53">
        <f t="shared" si="364"/>
        <v>0</v>
      </c>
      <c r="Y1240" s="53">
        <f t="shared" si="365"/>
        <v>0</v>
      </c>
      <c r="Z1240" s="54">
        <f t="shared" si="369"/>
        <v>0</v>
      </c>
      <c r="AA1240" s="54">
        <f t="shared" si="366"/>
        <v>0</v>
      </c>
      <c r="AB1240" s="55">
        <f t="shared" si="370"/>
        <v>0</v>
      </c>
      <c r="AC1240" s="55">
        <f t="shared" si="367"/>
        <v>0</v>
      </c>
      <c r="AD1240" s="56">
        <f t="shared" si="368"/>
        <v>3029.66</v>
      </c>
    </row>
    <row r="1241" spans="3:30">
      <c r="C1241" s="43" t="s">
        <v>2266</v>
      </c>
      <c r="D1241" s="44" t="s">
        <v>2267</v>
      </c>
      <c r="E1241" s="44"/>
      <c r="F1241" s="45">
        <v>42525.369803240741</v>
      </c>
      <c r="G1241" s="46">
        <v>27</v>
      </c>
      <c r="H1241" s="47">
        <v>43376</v>
      </c>
      <c r="I1241" s="47">
        <v>43397</v>
      </c>
      <c r="J1241" s="46">
        <v>789646</v>
      </c>
      <c r="K1241" s="46">
        <v>0</v>
      </c>
      <c r="L1241" s="46">
        <v>0</v>
      </c>
      <c r="M1241" s="46">
        <f t="shared" si="357"/>
        <v>789646</v>
      </c>
      <c r="N1241" s="46">
        <v>789646</v>
      </c>
      <c r="O1241" s="48">
        <f t="shared" si="358"/>
        <v>0</v>
      </c>
      <c r="P1241" s="46">
        <v>0</v>
      </c>
      <c r="Q1241" s="46">
        <v>789646</v>
      </c>
      <c r="R1241" s="49">
        <f t="shared" si="359"/>
        <v>1</v>
      </c>
      <c r="S1241" s="50">
        <f t="shared" si="360"/>
        <v>0.01</v>
      </c>
      <c r="T1241" s="49">
        <f t="shared" si="361"/>
        <v>7896.46</v>
      </c>
      <c r="U1241" s="51">
        <f t="shared" si="362"/>
        <v>0</v>
      </c>
      <c r="V1241" s="52">
        <f>IF(0&lt;0.8,0,IF(0&lt;1,Sheet3!L561,1))*IF(G1241&lt;3,0.12 - O1241,0.01) *U1241</f>
        <v>0</v>
      </c>
      <c r="W1241" s="52">
        <f t="shared" si="363"/>
        <v>0</v>
      </c>
      <c r="X1241" s="53">
        <f t="shared" si="364"/>
        <v>0</v>
      </c>
      <c r="Y1241" s="53">
        <f t="shared" si="365"/>
        <v>0</v>
      </c>
      <c r="Z1241" s="54">
        <f t="shared" si="369"/>
        <v>0</v>
      </c>
      <c r="AA1241" s="54">
        <f t="shared" si="366"/>
        <v>0</v>
      </c>
      <c r="AB1241" s="55">
        <f t="shared" si="370"/>
        <v>0</v>
      </c>
      <c r="AC1241" s="55">
        <f t="shared" si="367"/>
        <v>0</v>
      </c>
      <c r="AD1241" s="56">
        <f t="shared" si="368"/>
        <v>7896.46</v>
      </c>
    </row>
    <row r="1242" spans="3:30">
      <c r="C1242" s="43" t="s">
        <v>2268</v>
      </c>
      <c r="D1242" s="44" t="s">
        <v>2269</v>
      </c>
      <c r="E1242" s="44"/>
      <c r="F1242" s="45">
        <v>42530.33458333333</v>
      </c>
      <c r="G1242" s="46">
        <v>27</v>
      </c>
      <c r="H1242" s="47">
        <v>43372</v>
      </c>
      <c r="I1242" s="47">
        <v>43389</v>
      </c>
      <c r="J1242" s="46">
        <v>928989</v>
      </c>
      <c r="K1242" s="46">
        <v>0</v>
      </c>
      <c r="L1242" s="46">
        <v>0</v>
      </c>
      <c r="M1242" s="46">
        <f t="shared" si="357"/>
        <v>928989</v>
      </c>
      <c r="N1242" s="46">
        <v>928989</v>
      </c>
      <c r="O1242" s="48">
        <f t="shared" si="358"/>
        <v>0</v>
      </c>
      <c r="P1242" s="46">
        <v>0</v>
      </c>
      <c r="Q1242" s="46">
        <v>928989</v>
      </c>
      <c r="R1242" s="49">
        <f t="shared" si="359"/>
        <v>1</v>
      </c>
      <c r="S1242" s="50">
        <f t="shared" si="360"/>
        <v>0.01</v>
      </c>
      <c r="T1242" s="49">
        <f t="shared" si="361"/>
        <v>9289.89</v>
      </c>
      <c r="U1242" s="51">
        <f t="shared" si="362"/>
        <v>0</v>
      </c>
      <c r="V1242" s="52">
        <f>IF(0&lt;0.8,0,IF(0&lt;1,Sheet3!L561,1))*IF(G1242&lt;3,0.12 - O1242,0.01) *U1242</f>
        <v>0</v>
      </c>
      <c r="W1242" s="52">
        <f t="shared" si="363"/>
        <v>0</v>
      </c>
      <c r="X1242" s="53">
        <f t="shared" si="364"/>
        <v>0</v>
      </c>
      <c r="Y1242" s="53">
        <f t="shared" si="365"/>
        <v>0</v>
      </c>
      <c r="Z1242" s="54">
        <f t="shared" si="369"/>
        <v>0</v>
      </c>
      <c r="AA1242" s="54">
        <f t="shared" si="366"/>
        <v>0</v>
      </c>
      <c r="AB1242" s="55">
        <f t="shared" si="370"/>
        <v>0</v>
      </c>
      <c r="AC1242" s="55">
        <f t="shared" si="367"/>
        <v>0</v>
      </c>
      <c r="AD1242" s="56">
        <f t="shared" si="368"/>
        <v>9289.89</v>
      </c>
    </row>
    <row r="1243" spans="3:30">
      <c r="C1243" s="43" t="s">
        <v>2270</v>
      </c>
      <c r="D1243" s="44" t="s">
        <v>2271</v>
      </c>
      <c r="E1243" s="44"/>
      <c r="F1243" s="45">
        <v>42536.306550925925</v>
      </c>
      <c r="G1243" s="46">
        <v>27</v>
      </c>
      <c r="H1243" s="47">
        <v>43375</v>
      </c>
      <c r="I1243" s="47">
        <v>43388</v>
      </c>
      <c r="J1243" s="46">
        <v>1120137</v>
      </c>
      <c r="K1243" s="46">
        <v>0</v>
      </c>
      <c r="L1243" s="46">
        <v>0</v>
      </c>
      <c r="M1243" s="46">
        <f t="shared" si="357"/>
        <v>1120137</v>
      </c>
      <c r="N1243" s="46">
        <v>1120137</v>
      </c>
      <c r="O1243" s="48">
        <f t="shared" si="358"/>
        <v>0</v>
      </c>
      <c r="P1243" s="46">
        <v>0</v>
      </c>
      <c r="Q1243" s="46">
        <v>1120137</v>
      </c>
      <c r="R1243" s="49">
        <f t="shared" si="359"/>
        <v>1</v>
      </c>
      <c r="S1243" s="50">
        <f t="shared" si="360"/>
        <v>0.01</v>
      </c>
      <c r="T1243" s="49">
        <f t="shared" si="361"/>
        <v>11201.37</v>
      </c>
      <c r="U1243" s="51">
        <f t="shared" si="362"/>
        <v>0</v>
      </c>
      <c r="V1243" s="52">
        <f>IF(0&lt;0.8,0,IF(0&lt;1,Sheet3!L561,1))*IF(G1243&lt;3,0.12 - O1243,0.01) *U1243</f>
        <v>0</v>
      </c>
      <c r="W1243" s="52">
        <f t="shared" si="363"/>
        <v>0</v>
      </c>
      <c r="X1243" s="53">
        <f t="shared" si="364"/>
        <v>0</v>
      </c>
      <c r="Y1243" s="53">
        <f t="shared" si="365"/>
        <v>0</v>
      </c>
      <c r="Z1243" s="54">
        <f t="shared" si="369"/>
        <v>0</v>
      </c>
      <c r="AA1243" s="54">
        <f t="shared" si="366"/>
        <v>0</v>
      </c>
      <c r="AB1243" s="55">
        <f t="shared" si="370"/>
        <v>0</v>
      </c>
      <c r="AC1243" s="55">
        <f t="shared" si="367"/>
        <v>0</v>
      </c>
      <c r="AD1243" s="56">
        <f t="shared" si="368"/>
        <v>11201.37</v>
      </c>
    </row>
    <row r="1244" spans="3:30">
      <c r="C1244" s="43" t="s">
        <v>2272</v>
      </c>
      <c r="D1244" s="44" t="s">
        <v>2273</v>
      </c>
      <c r="E1244" s="44"/>
      <c r="F1244" s="45">
        <v>42536.308912037035</v>
      </c>
      <c r="G1244" s="46">
        <v>27</v>
      </c>
      <c r="H1244" s="47">
        <v>43378</v>
      </c>
      <c r="I1244" s="47">
        <v>43390</v>
      </c>
      <c r="J1244" s="46">
        <v>582095</v>
      </c>
      <c r="K1244" s="46">
        <v>0</v>
      </c>
      <c r="L1244" s="46">
        <v>0</v>
      </c>
      <c r="M1244" s="46">
        <f t="shared" si="357"/>
        <v>582095</v>
      </c>
      <c r="N1244" s="46">
        <v>582095</v>
      </c>
      <c r="O1244" s="48">
        <f t="shared" si="358"/>
        <v>0</v>
      </c>
      <c r="P1244" s="46">
        <v>0</v>
      </c>
      <c r="Q1244" s="46">
        <v>582095</v>
      </c>
      <c r="R1244" s="49">
        <f t="shared" si="359"/>
        <v>1</v>
      </c>
      <c r="S1244" s="50">
        <f t="shared" si="360"/>
        <v>0.01</v>
      </c>
      <c r="T1244" s="49">
        <f t="shared" si="361"/>
        <v>5820.95</v>
      </c>
      <c r="U1244" s="51">
        <f t="shared" si="362"/>
        <v>0</v>
      </c>
      <c r="V1244" s="52">
        <f>IF(0&lt;0.8,0,IF(0&lt;1,Sheet3!L561,1))*IF(G1244&lt;3,0.12 - O1244,0.01) *U1244</f>
        <v>0</v>
      </c>
      <c r="W1244" s="52">
        <f t="shared" si="363"/>
        <v>0</v>
      </c>
      <c r="X1244" s="53">
        <f t="shared" si="364"/>
        <v>0</v>
      </c>
      <c r="Y1244" s="53">
        <f t="shared" si="365"/>
        <v>0</v>
      </c>
      <c r="Z1244" s="54">
        <f t="shared" si="369"/>
        <v>0</v>
      </c>
      <c r="AA1244" s="54">
        <f t="shared" si="366"/>
        <v>0</v>
      </c>
      <c r="AB1244" s="55">
        <f t="shared" si="370"/>
        <v>0</v>
      </c>
      <c r="AC1244" s="55">
        <f t="shared" si="367"/>
        <v>0</v>
      </c>
      <c r="AD1244" s="56">
        <f t="shared" si="368"/>
        <v>5820.95</v>
      </c>
    </row>
    <row r="1245" spans="3:30">
      <c r="C1245" s="43" t="s">
        <v>2274</v>
      </c>
      <c r="D1245" s="44" t="s">
        <v>2275</v>
      </c>
      <c r="E1245" s="44"/>
      <c r="F1245" s="45">
        <v>42537.394976851851</v>
      </c>
      <c r="G1245" s="46">
        <v>27</v>
      </c>
      <c r="H1245" s="47">
        <v>43376</v>
      </c>
      <c r="I1245" s="47">
        <v>43385</v>
      </c>
      <c r="J1245" s="46">
        <v>442598</v>
      </c>
      <c r="K1245" s="46">
        <v>0</v>
      </c>
      <c r="L1245" s="46">
        <v>0</v>
      </c>
      <c r="M1245" s="46">
        <f t="shared" si="357"/>
        <v>442598</v>
      </c>
      <c r="N1245" s="46">
        <v>442598</v>
      </c>
      <c r="O1245" s="48">
        <f t="shared" si="358"/>
        <v>0</v>
      </c>
      <c r="P1245" s="46">
        <v>0</v>
      </c>
      <c r="Q1245" s="46">
        <v>442598</v>
      </c>
      <c r="R1245" s="49">
        <f t="shared" si="359"/>
        <v>1</v>
      </c>
      <c r="S1245" s="50">
        <f t="shared" si="360"/>
        <v>0.01</v>
      </c>
      <c r="T1245" s="49">
        <f t="shared" si="361"/>
        <v>4425.9800000000005</v>
      </c>
      <c r="U1245" s="51">
        <f t="shared" si="362"/>
        <v>0</v>
      </c>
      <c r="V1245" s="52">
        <f>IF(0&lt;0.8,0,IF(0&lt;1,Sheet3!L561,1))*IF(G1245&lt;3,0.12 - O1245,0.01) *U1245</f>
        <v>0</v>
      </c>
      <c r="W1245" s="52">
        <f t="shared" si="363"/>
        <v>0</v>
      </c>
      <c r="X1245" s="53">
        <f t="shared" si="364"/>
        <v>0</v>
      </c>
      <c r="Y1245" s="53">
        <f t="shared" si="365"/>
        <v>0</v>
      </c>
      <c r="Z1245" s="54">
        <f t="shared" si="369"/>
        <v>0</v>
      </c>
      <c r="AA1245" s="54">
        <f t="shared" si="366"/>
        <v>0</v>
      </c>
      <c r="AB1245" s="55">
        <f t="shared" si="370"/>
        <v>0</v>
      </c>
      <c r="AC1245" s="55">
        <f t="shared" si="367"/>
        <v>0</v>
      </c>
      <c r="AD1245" s="56">
        <f t="shared" si="368"/>
        <v>4425.9800000000005</v>
      </c>
    </row>
    <row r="1246" spans="3:30">
      <c r="C1246" s="43" t="s">
        <v>2276</v>
      </c>
      <c r="D1246" s="44" t="s">
        <v>2277</v>
      </c>
      <c r="E1246" s="44"/>
      <c r="F1246" s="45">
        <v>42538.30976851852</v>
      </c>
      <c r="G1246" s="46">
        <v>27</v>
      </c>
      <c r="H1246" s="47">
        <v>43381</v>
      </c>
      <c r="I1246" s="47">
        <v>43396</v>
      </c>
      <c r="J1246" s="46">
        <v>771159</v>
      </c>
      <c r="K1246" s="46">
        <v>0</v>
      </c>
      <c r="L1246" s="46">
        <v>0</v>
      </c>
      <c r="M1246" s="46">
        <f t="shared" si="357"/>
        <v>771159</v>
      </c>
      <c r="N1246" s="46">
        <v>771159</v>
      </c>
      <c r="O1246" s="48">
        <f t="shared" si="358"/>
        <v>0</v>
      </c>
      <c r="P1246" s="46">
        <v>0</v>
      </c>
      <c r="Q1246" s="46">
        <v>771159</v>
      </c>
      <c r="R1246" s="49">
        <f t="shared" si="359"/>
        <v>1</v>
      </c>
      <c r="S1246" s="50">
        <f t="shared" si="360"/>
        <v>0.01</v>
      </c>
      <c r="T1246" s="49">
        <f t="shared" si="361"/>
        <v>7711.59</v>
      </c>
      <c r="U1246" s="51">
        <f t="shared" si="362"/>
        <v>0</v>
      </c>
      <c r="V1246" s="52">
        <f>IF(0&lt;0.8,0,IF(0&lt;1,Sheet3!L561,1))*IF(G1246&lt;3,0.12 - O1246,0.01) *U1246</f>
        <v>0</v>
      </c>
      <c r="W1246" s="52">
        <f t="shared" si="363"/>
        <v>0</v>
      </c>
      <c r="X1246" s="53">
        <f t="shared" si="364"/>
        <v>0</v>
      </c>
      <c r="Y1246" s="53">
        <f t="shared" si="365"/>
        <v>0</v>
      </c>
      <c r="Z1246" s="54">
        <f t="shared" si="369"/>
        <v>0</v>
      </c>
      <c r="AA1246" s="54">
        <f t="shared" si="366"/>
        <v>0</v>
      </c>
      <c r="AB1246" s="55">
        <f t="shared" si="370"/>
        <v>0</v>
      </c>
      <c r="AC1246" s="55">
        <f t="shared" si="367"/>
        <v>0</v>
      </c>
      <c r="AD1246" s="56">
        <f t="shared" si="368"/>
        <v>7711.59</v>
      </c>
    </row>
    <row r="1247" spans="3:30">
      <c r="C1247" s="43" t="s">
        <v>2278</v>
      </c>
      <c r="D1247" s="44" t="s">
        <v>2279</v>
      </c>
      <c r="E1247" s="44"/>
      <c r="F1247" s="45">
        <v>42542.416296296295</v>
      </c>
      <c r="G1247" s="46">
        <v>27</v>
      </c>
      <c r="H1247" s="47">
        <v>43381</v>
      </c>
      <c r="I1247" s="47">
        <v>43417</v>
      </c>
      <c r="J1247" s="46">
        <v>2018103</v>
      </c>
      <c r="K1247" s="46">
        <v>0</v>
      </c>
      <c r="L1247" s="46">
        <v>0</v>
      </c>
      <c r="M1247" s="46">
        <f t="shared" si="357"/>
        <v>2018103</v>
      </c>
      <c r="N1247" s="46">
        <v>1079318</v>
      </c>
      <c r="O1247" s="48">
        <f t="shared" si="358"/>
        <v>0</v>
      </c>
      <c r="P1247" s="46">
        <v>0</v>
      </c>
      <c r="Q1247" s="46">
        <v>2018103</v>
      </c>
      <c r="R1247" s="49">
        <f t="shared" si="359"/>
        <v>1</v>
      </c>
      <c r="S1247" s="50">
        <f t="shared" si="360"/>
        <v>0.01</v>
      </c>
      <c r="T1247" s="49">
        <f t="shared" si="361"/>
        <v>20181.03</v>
      </c>
      <c r="U1247" s="51">
        <f t="shared" si="362"/>
        <v>0</v>
      </c>
      <c r="V1247" s="52">
        <f>IF(0&lt;0.8,0,IF(0&lt;1,Sheet3!L561,1))*IF(G1247&lt;3,0.12 - O1247,0.01) *U1247</f>
        <v>0</v>
      </c>
      <c r="W1247" s="52">
        <f t="shared" si="363"/>
        <v>0</v>
      </c>
      <c r="X1247" s="53">
        <f t="shared" si="364"/>
        <v>0</v>
      </c>
      <c r="Y1247" s="53">
        <f t="shared" si="365"/>
        <v>0</v>
      </c>
      <c r="Z1247" s="54">
        <f t="shared" si="369"/>
        <v>0</v>
      </c>
      <c r="AA1247" s="54">
        <f t="shared" si="366"/>
        <v>0</v>
      </c>
      <c r="AB1247" s="55">
        <f>IF(R1247=0,938784,0)</f>
        <v>0</v>
      </c>
      <c r="AC1247" s="55">
        <f t="shared" si="367"/>
        <v>0</v>
      </c>
      <c r="AD1247" s="56">
        <f t="shared" si="368"/>
        <v>20181.03</v>
      </c>
    </row>
    <row r="1248" spans="3:30">
      <c r="C1248" s="43" t="s">
        <v>2280</v>
      </c>
      <c r="D1248" s="44" t="s">
        <v>2281</v>
      </c>
      <c r="E1248" s="44"/>
      <c r="F1248" s="45">
        <v>42552.120891203704</v>
      </c>
      <c r="G1248" s="46">
        <v>26</v>
      </c>
      <c r="H1248" s="47">
        <v>43459</v>
      </c>
      <c r="I1248" s="47">
        <v>43486</v>
      </c>
      <c r="J1248" s="46">
        <v>74315317</v>
      </c>
      <c r="K1248" s="46">
        <v>7396228</v>
      </c>
      <c r="L1248" s="46">
        <v>0</v>
      </c>
      <c r="M1248" s="46">
        <f t="shared" si="357"/>
        <v>66919089</v>
      </c>
      <c r="N1248" s="46">
        <v>33444024</v>
      </c>
      <c r="O1248" s="48">
        <f t="shared" si="358"/>
        <v>0</v>
      </c>
      <c r="P1248" s="46">
        <v>0</v>
      </c>
      <c r="Q1248" s="46">
        <v>67108638</v>
      </c>
      <c r="R1248" s="49">
        <f t="shared" si="359"/>
        <v>1</v>
      </c>
      <c r="S1248" s="50">
        <f t="shared" si="360"/>
        <v>0.01</v>
      </c>
      <c r="T1248" s="49">
        <f t="shared" si="361"/>
        <v>669190.89</v>
      </c>
      <c r="U1248" s="51">
        <f t="shared" si="362"/>
        <v>0</v>
      </c>
      <c r="V1248" s="52">
        <f>IF(0&lt;0.8,0,IF(0&lt;1,Sheet3!L561,1))*IF(G1248&lt;3,0.12 - O1248,0.01) *U1248</f>
        <v>0</v>
      </c>
      <c r="W1248" s="52">
        <f t="shared" si="363"/>
        <v>0</v>
      </c>
      <c r="X1248" s="53">
        <f t="shared" si="364"/>
        <v>0</v>
      </c>
      <c r="Y1248" s="53">
        <f t="shared" si="365"/>
        <v>0</v>
      </c>
      <c r="Z1248" s="54">
        <f t="shared" si="369"/>
        <v>0</v>
      </c>
      <c r="AA1248" s="54">
        <f t="shared" si="366"/>
        <v>0</v>
      </c>
      <c r="AB1248" s="55">
        <f>IF(R1248=0,0,0)</f>
        <v>0</v>
      </c>
      <c r="AC1248" s="55">
        <f t="shared" si="367"/>
        <v>0</v>
      </c>
      <c r="AD1248" s="56">
        <f t="shared" si="368"/>
        <v>669190.89</v>
      </c>
    </row>
    <row r="1249" spans="3:30">
      <c r="C1249" s="43" t="s">
        <v>2282</v>
      </c>
      <c r="D1249" s="44" t="s">
        <v>2283</v>
      </c>
      <c r="E1249" s="44"/>
      <c r="F1249" s="45">
        <v>42552.117337962962</v>
      </c>
      <c r="G1249" s="46">
        <v>26</v>
      </c>
      <c r="H1249" s="47">
        <v>43404</v>
      </c>
      <c r="I1249" s="47">
        <v>43417</v>
      </c>
      <c r="J1249" s="46">
        <v>44322</v>
      </c>
      <c r="K1249" s="46">
        <v>0</v>
      </c>
      <c r="L1249" s="46">
        <v>0</v>
      </c>
      <c r="M1249" s="46">
        <f t="shared" si="357"/>
        <v>44322</v>
      </c>
      <c r="N1249" s="46">
        <v>44322</v>
      </c>
      <c r="O1249" s="48">
        <f t="shared" si="358"/>
        <v>0</v>
      </c>
      <c r="P1249" s="46">
        <v>0</v>
      </c>
      <c r="Q1249" s="46">
        <v>44322</v>
      </c>
      <c r="R1249" s="49">
        <f t="shared" si="359"/>
        <v>1</v>
      </c>
      <c r="S1249" s="50">
        <f t="shared" si="360"/>
        <v>0.01</v>
      </c>
      <c r="T1249" s="49">
        <f t="shared" si="361"/>
        <v>443.22</v>
      </c>
      <c r="U1249" s="51">
        <f t="shared" si="362"/>
        <v>0</v>
      </c>
      <c r="V1249" s="52">
        <f>IF(0&lt;0.8,0,IF(0&lt;1,Sheet3!L561,1))*IF(G1249&lt;3,0.12 - O1249,0.01) *U1249</f>
        <v>0</v>
      </c>
      <c r="W1249" s="52">
        <f t="shared" si="363"/>
        <v>0</v>
      </c>
      <c r="X1249" s="53">
        <f t="shared" si="364"/>
        <v>0</v>
      </c>
      <c r="Y1249" s="53">
        <f t="shared" si="365"/>
        <v>0</v>
      </c>
      <c r="Z1249" s="54">
        <f t="shared" si="369"/>
        <v>0</v>
      </c>
      <c r="AA1249" s="54">
        <f t="shared" si="366"/>
        <v>0</v>
      </c>
      <c r="AB1249" s="55">
        <f>IF(R1249=0,0,0)</f>
        <v>0</v>
      </c>
      <c r="AC1249" s="55">
        <f t="shared" si="367"/>
        <v>0</v>
      </c>
      <c r="AD1249" s="56">
        <f t="shared" si="368"/>
        <v>443.22</v>
      </c>
    </row>
    <row r="1250" spans="3:30">
      <c r="C1250" s="43" t="s">
        <v>2284</v>
      </c>
      <c r="D1250" s="44" t="s">
        <v>2285</v>
      </c>
      <c r="E1250" s="44"/>
      <c r="F1250" s="45">
        <v>42558.269953703704</v>
      </c>
      <c r="G1250" s="46">
        <v>26</v>
      </c>
      <c r="H1250" s="47">
        <v>43381</v>
      </c>
      <c r="I1250" s="47">
        <v>43398</v>
      </c>
      <c r="J1250" s="46">
        <v>171034</v>
      </c>
      <c r="K1250" s="46">
        <v>0</v>
      </c>
      <c r="L1250" s="46">
        <v>0</v>
      </c>
      <c r="M1250" s="46">
        <f t="shared" si="357"/>
        <v>171034</v>
      </c>
      <c r="N1250" s="46">
        <v>171034</v>
      </c>
      <c r="O1250" s="48">
        <f t="shared" si="358"/>
        <v>0</v>
      </c>
      <c r="P1250" s="46">
        <v>0</v>
      </c>
      <c r="Q1250" s="46">
        <v>171034</v>
      </c>
      <c r="R1250" s="49">
        <f t="shared" si="359"/>
        <v>1</v>
      </c>
      <c r="S1250" s="50">
        <f t="shared" si="360"/>
        <v>0.01</v>
      </c>
      <c r="T1250" s="49">
        <f t="shared" si="361"/>
        <v>1710.3400000000001</v>
      </c>
      <c r="U1250" s="51">
        <f t="shared" si="362"/>
        <v>0</v>
      </c>
      <c r="V1250" s="52">
        <f>IF(0&lt;0.8,0,IF(0&lt;1,Sheet3!L561,1))*IF(G1250&lt;3,0.12 - O1250,0.01) *U1250</f>
        <v>0</v>
      </c>
      <c r="W1250" s="52">
        <f t="shared" si="363"/>
        <v>0</v>
      </c>
      <c r="X1250" s="53">
        <f t="shared" si="364"/>
        <v>0</v>
      </c>
      <c r="Y1250" s="53">
        <f t="shared" si="365"/>
        <v>0</v>
      </c>
      <c r="Z1250" s="54">
        <f t="shared" si="369"/>
        <v>0</v>
      </c>
      <c r="AA1250" s="54">
        <f t="shared" si="366"/>
        <v>0</v>
      </c>
      <c r="AB1250" s="55">
        <f>IF(R1250=0,0,0)</f>
        <v>0</v>
      </c>
      <c r="AC1250" s="55">
        <f t="shared" si="367"/>
        <v>0</v>
      </c>
      <c r="AD1250" s="56">
        <f t="shared" si="368"/>
        <v>1710.3400000000001</v>
      </c>
    </row>
    <row r="1251" spans="3:30">
      <c r="C1251" s="43" t="s">
        <v>2286</v>
      </c>
      <c r="D1251" s="44" t="s">
        <v>2287</v>
      </c>
      <c r="E1251" s="44"/>
      <c r="F1251" s="45">
        <v>42558.268807870372</v>
      </c>
      <c r="G1251" s="46">
        <v>26</v>
      </c>
      <c r="H1251" s="47">
        <v>43378</v>
      </c>
      <c r="I1251" s="47">
        <v>43411</v>
      </c>
      <c r="J1251" s="46">
        <v>661885</v>
      </c>
      <c r="K1251" s="46">
        <v>0</v>
      </c>
      <c r="L1251" s="46">
        <v>0</v>
      </c>
      <c r="M1251" s="46">
        <f t="shared" si="357"/>
        <v>661885</v>
      </c>
      <c r="N1251" s="46">
        <v>661885</v>
      </c>
      <c r="O1251" s="48">
        <f t="shared" si="358"/>
        <v>0</v>
      </c>
      <c r="P1251" s="46">
        <v>0</v>
      </c>
      <c r="Q1251" s="46">
        <v>661885</v>
      </c>
      <c r="R1251" s="49">
        <f t="shared" si="359"/>
        <v>1</v>
      </c>
      <c r="S1251" s="50">
        <f t="shared" si="360"/>
        <v>0.01</v>
      </c>
      <c r="T1251" s="49">
        <f t="shared" si="361"/>
        <v>6618.85</v>
      </c>
      <c r="U1251" s="51">
        <f t="shared" si="362"/>
        <v>0</v>
      </c>
      <c r="V1251" s="52">
        <f>IF(0&lt;0.8,0,IF(0&lt;1,Sheet3!L561,1))*IF(G1251&lt;3,0.12 - O1251,0.01) *U1251</f>
        <v>0</v>
      </c>
      <c r="W1251" s="52">
        <f t="shared" si="363"/>
        <v>0</v>
      </c>
      <c r="X1251" s="53">
        <f t="shared" si="364"/>
        <v>0</v>
      </c>
      <c r="Y1251" s="53">
        <f t="shared" si="365"/>
        <v>0</v>
      </c>
      <c r="Z1251" s="54">
        <f t="shared" si="369"/>
        <v>0</v>
      </c>
      <c r="AA1251" s="54">
        <f t="shared" si="366"/>
        <v>0</v>
      </c>
      <c r="AB1251" s="55">
        <f>IF(R1251=0,0,0)</f>
        <v>0</v>
      </c>
      <c r="AC1251" s="55">
        <f t="shared" si="367"/>
        <v>0</v>
      </c>
      <c r="AD1251" s="56">
        <f t="shared" si="368"/>
        <v>6618.85</v>
      </c>
    </row>
    <row r="1252" spans="3:30">
      <c r="C1252" s="43" t="s">
        <v>2288</v>
      </c>
      <c r="D1252" s="44" t="s">
        <v>2289</v>
      </c>
      <c r="E1252" s="44"/>
      <c r="F1252" s="45">
        <v>42566.18372685185</v>
      </c>
      <c r="G1252" s="46">
        <v>26</v>
      </c>
      <c r="H1252" s="47">
        <v>43378</v>
      </c>
      <c r="I1252" s="47">
        <v>43419</v>
      </c>
      <c r="J1252" s="46">
        <v>232759</v>
      </c>
      <c r="K1252" s="46">
        <v>0</v>
      </c>
      <c r="L1252" s="46">
        <v>0</v>
      </c>
      <c r="M1252" s="46">
        <f t="shared" si="357"/>
        <v>232759</v>
      </c>
      <c r="N1252" s="46">
        <v>232759</v>
      </c>
      <c r="O1252" s="48">
        <f t="shared" si="358"/>
        <v>0</v>
      </c>
      <c r="P1252" s="46">
        <v>0</v>
      </c>
      <c r="Q1252" s="46">
        <v>232759</v>
      </c>
      <c r="R1252" s="49">
        <f t="shared" si="359"/>
        <v>1</v>
      </c>
      <c r="S1252" s="50">
        <f t="shared" si="360"/>
        <v>0.01</v>
      </c>
      <c r="T1252" s="49">
        <f t="shared" si="361"/>
        <v>2327.59</v>
      </c>
      <c r="U1252" s="51">
        <f t="shared" si="362"/>
        <v>0</v>
      </c>
      <c r="V1252" s="52">
        <f>IF(0&lt;0.8,0,IF(0&lt;1,Sheet3!L561,1))*IF(G1252&lt;3,0.12 - O1252,0.01) *U1252</f>
        <v>0</v>
      </c>
      <c r="W1252" s="52">
        <f t="shared" si="363"/>
        <v>0</v>
      </c>
      <c r="X1252" s="53">
        <f t="shared" si="364"/>
        <v>0</v>
      </c>
      <c r="Y1252" s="53">
        <f t="shared" si="365"/>
        <v>0</v>
      </c>
      <c r="Z1252" s="54">
        <f t="shared" si="369"/>
        <v>0</v>
      </c>
      <c r="AA1252" s="54">
        <f t="shared" si="366"/>
        <v>0</v>
      </c>
      <c r="AB1252" s="55">
        <f>IF(R1252=0,0,0)</f>
        <v>0</v>
      </c>
      <c r="AC1252" s="55">
        <f t="shared" si="367"/>
        <v>0</v>
      </c>
      <c r="AD1252" s="56">
        <f t="shared" si="368"/>
        <v>2327.59</v>
      </c>
    </row>
    <row r="1253" spans="3:30">
      <c r="C1253" s="43" t="s">
        <v>2290</v>
      </c>
      <c r="D1253" s="44" t="s">
        <v>24</v>
      </c>
      <c r="E1253" s="44"/>
      <c r="F1253" s="45" t="s">
        <v>24</v>
      </c>
      <c r="G1253" s="46" t="s">
        <v>24</v>
      </c>
      <c r="H1253" s="47" t="s">
        <v>24</v>
      </c>
      <c r="I1253" s="47" t="s">
        <v>24</v>
      </c>
      <c r="J1253" s="46">
        <v>237644</v>
      </c>
      <c r="K1253" s="46">
        <v>0</v>
      </c>
      <c r="L1253" s="46">
        <v>0</v>
      </c>
      <c r="M1253" s="46">
        <f t="shared" si="357"/>
        <v>237644</v>
      </c>
      <c r="N1253" s="46" t="s">
        <v>24</v>
      </c>
      <c r="O1253" s="48">
        <f t="shared" si="358"/>
        <v>0</v>
      </c>
      <c r="P1253" s="46">
        <v>0</v>
      </c>
      <c r="Q1253" s="46">
        <v>0</v>
      </c>
      <c r="R1253" s="49">
        <f t="shared" si="359"/>
        <v>0</v>
      </c>
      <c r="S1253" s="50">
        <f t="shared" si="360"/>
        <v>0</v>
      </c>
      <c r="T1253" s="49">
        <f t="shared" si="361"/>
        <v>0</v>
      </c>
      <c r="U1253" s="51">
        <f t="shared" si="362"/>
        <v>237644</v>
      </c>
      <c r="V1253" s="52">
        <f>IF(0&lt;0.8,0,IF(0&lt;1,Sheet3!L561,1))*IF(G1253&lt;3,0.12 - O1253,0.01) *U1253</f>
        <v>0</v>
      </c>
      <c r="W1253" s="52">
        <f t="shared" si="363"/>
        <v>0</v>
      </c>
      <c r="X1253" s="53">
        <f t="shared" si="364"/>
        <v>0</v>
      </c>
      <c r="Y1253" s="53">
        <f t="shared" si="365"/>
        <v>0</v>
      </c>
      <c r="Z1253" s="54" t="str">
        <f>IF(R1253=1,0,"")</f>
        <v/>
      </c>
      <c r="AA1253" s="54">
        <f t="shared" si="366"/>
        <v>0</v>
      </c>
      <c r="AB1253" s="55" t="str">
        <f>IF(R1253=0,"",0)</f>
        <v/>
      </c>
      <c r="AC1253" s="55">
        <f t="shared" si="367"/>
        <v>0</v>
      </c>
      <c r="AD1253" s="56">
        <f t="shared" si="368"/>
        <v>0</v>
      </c>
    </row>
    <row r="1254" spans="3:30">
      <c r="C1254" s="43" t="s">
        <v>2291</v>
      </c>
      <c r="D1254" s="44" t="s">
        <v>2292</v>
      </c>
      <c r="E1254" s="44"/>
      <c r="F1254" s="45">
        <v>42567.184212962959</v>
      </c>
      <c r="G1254" s="46">
        <v>26</v>
      </c>
      <c r="H1254" s="47">
        <v>43372</v>
      </c>
      <c r="I1254" s="47">
        <v>43385</v>
      </c>
      <c r="J1254" s="46">
        <v>43923</v>
      </c>
      <c r="K1254" s="46">
        <v>0</v>
      </c>
      <c r="L1254" s="46">
        <v>0</v>
      </c>
      <c r="M1254" s="46">
        <f t="shared" si="357"/>
        <v>43923</v>
      </c>
      <c r="N1254" s="46">
        <v>43923</v>
      </c>
      <c r="O1254" s="48">
        <f t="shared" si="358"/>
        <v>0</v>
      </c>
      <c r="P1254" s="46">
        <v>0</v>
      </c>
      <c r="Q1254" s="46">
        <v>43923</v>
      </c>
      <c r="R1254" s="49">
        <f t="shared" si="359"/>
        <v>1</v>
      </c>
      <c r="S1254" s="50">
        <f t="shared" si="360"/>
        <v>0.01</v>
      </c>
      <c r="T1254" s="49">
        <f t="shared" si="361"/>
        <v>439.23</v>
      </c>
      <c r="U1254" s="51">
        <f t="shared" si="362"/>
        <v>0</v>
      </c>
      <c r="V1254" s="52">
        <f>IF(0&lt;0.8,0,IF(0&lt;1,Sheet3!L561,1))*IF(G1254&lt;3,0.12 - O1254,0.01) *U1254</f>
        <v>0</v>
      </c>
      <c r="W1254" s="52">
        <f t="shared" si="363"/>
        <v>0</v>
      </c>
      <c r="X1254" s="53">
        <f t="shared" si="364"/>
        <v>0</v>
      </c>
      <c r="Y1254" s="53">
        <f t="shared" si="365"/>
        <v>0</v>
      </c>
      <c r="Z1254" s="54">
        <f t="shared" ref="Z1254:Z1280" si="371">IF(R1254=1,0,0)</f>
        <v>0</v>
      </c>
      <c r="AA1254" s="54">
        <f t="shared" si="366"/>
        <v>0</v>
      </c>
      <c r="AB1254" s="55">
        <f>IF(R1254=0,0,0)</f>
        <v>0</v>
      </c>
      <c r="AC1254" s="55">
        <f t="shared" si="367"/>
        <v>0</v>
      </c>
      <c r="AD1254" s="56">
        <f t="shared" si="368"/>
        <v>439.23</v>
      </c>
    </row>
    <row r="1255" spans="3:30">
      <c r="C1255" s="43" t="s">
        <v>2293</v>
      </c>
      <c r="D1255" s="44" t="s">
        <v>2294</v>
      </c>
      <c r="E1255" s="44"/>
      <c r="F1255" s="45">
        <v>42572.396782407406</v>
      </c>
      <c r="G1255" s="46">
        <v>26</v>
      </c>
      <c r="H1255" s="47">
        <v>43381</v>
      </c>
      <c r="I1255" s="47">
        <v>43398</v>
      </c>
      <c r="J1255" s="46">
        <v>446065</v>
      </c>
      <c r="K1255" s="46">
        <v>0</v>
      </c>
      <c r="L1255" s="46">
        <v>0</v>
      </c>
      <c r="M1255" s="46">
        <f t="shared" si="357"/>
        <v>446065</v>
      </c>
      <c r="N1255" s="46">
        <v>446065</v>
      </c>
      <c r="O1255" s="48">
        <f t="shared" si="358"/>
        <v>0</v>
      </c>
      <c r="P1255" s="46">
        <v>0</v>
      </c>
      <c r="Q1255" s="46">
        <v>446065</v>
      </c>
      <c r="R1255" s="49">
        <f t="shared" si="359"/>
        <v>1</v>
      </c>
      <c r="S1255" s="50">
        <f t="shared" si="360"/>
        <v>0.01</v>
      </c>
      <c r="T1255" s="49">
        <f t="shared" si="361"/>
        <v>4460.6500000000005</v>
      </c>
      <c r="U1255" s="51">
        <f t="shared" si="362"/>
        <v>0</v>
      </c>
      <c r="V1255" s="52">
        <f>IF(0&lt;0.8,0,IF(0&lt;1,Sheet3!L561,1))*IF(G1255&lt;3,0.12 - O1255,0.01) *U1255</f>
        <v>0</v>
      </c>
      <c r="W1255" s="52">
        <f t="shared" si="363"/>
        <v>0</v>
      </c>
      <c r="X1255" s="53">
        <f t="shared" si="364"/>
        <v>0</v>
      </c>
      <c r="Y1255" s="53">
        <f t="shared" si="365"/>
        <v>0</v>
      </c>
      <c r="Z1255" s="54">
        <f t="shared" si="371"/>
        <v>0</v>
      </c>
      <c r="AA1255" s="54">
        <f t="shared" si="366"/>
        <v>0</v>
      </c>
      <c r="AB1255" s="55">
        <f>IF(R1255=0,0,0)</f>
        <v>0</v>
      </c>
      <c r="AC1255" s="55">
        <f t="shared" si="367"/>
        <v>0</v>
      </c>
      <c r="AD1255" s="56">
        <f t="shared" si="368"/>
        <v>4460.6500000000005</v>
      </c>
    </row>
    <row r="1256" spans="3:30">
      <c r="C1256" s="43" t="s">
        <v>2295</v>
      </c>
      <c r="D1256" s="44" t="s">
        <v>2296</v>
      </c>
      <c r="E1256" s="44"/>
      <c r="F1256" s="45">
        <v>42572.398738425924</v>
      </c>
      <c r="G1256" s="46">
        <v>26</v>
      </c>
      <c r="H1256" s="47">
        <v>43379</v>
      </c>
      <c r="I1256" s="47">
        <v>43395</v>
      </c>
      <c r="J1256" s="46">
        <v>1147574</v>
      </c>
      <c r="K1256" s="46">
        <v>0</v>
      </c>
      <c r="L1256" s="46">
        <v>0</v>
      </c>
      <c r="M1256" s="46">
        <f t="shared" si="357"/>
        <v>1147574</v>
      </c>
      <c r="N1256" s="46">
        <v>1147574</v>
      </c>
      <c r="O1256" s="48">
        <f t="shared" si="358"/>
        <v>0</v>
      </c>
      <c r="P1256" s="46">
        <v>0</v>
      </c>
      <c r="Q1256" s="46">
        <v>1147574</v>
      </c>
      <c r="R1256" s="49">
        <f t="shared" si="359"/>
        <v>1</v>
      </c>
      <c r="S1256" s="50">
        <f t="shared" si="360"/>
        <v>0.01</v>
      </c>
      <c r="T1256" s="49">
        <f t="shared" si="361"/>
        <v>11475.74</v>
      </c>
      <c r="U1256" s="51">
        <f t="shared" si="362"/>
        <v>0</v>
      </c>
      <c r="V1256" s="52">
        <f>IF(0&lt;0.8,0,IF(0&lt;1,Sheet3!L561,1))*IF(G1256&lt;3,0.12 - O1256,0.01) *U1256</f>
        <v>0</v>
      </c>
      <c r="W1256" s="52">
        <f t="shared" si="363"/>
        <v>0</v>
      </c>
      <c r="X1256" s="53">
        <f t="shared" si="364"/>
        <v>0</v>
      </c>
      <c r="Y1256" s="53">
        <f t="shared" si="365"/>
        <v>0</v>
      </c>
      <c r="Z1256" s="54">
        <f t="shared" si="371"/>
        <v>0</v>
      </c>
      <c r="AA1256" s="54">
        <f t="shared" si="366"/>
        <v>0</v>
      </c>
      <c r="AB1256" s="55">
        <f>IF(R1256=0,0,0)</f>
        <v>0</v>
      </c>
      <c r="AC1256" s="55">
        <f t="shared" si="367"/>
        <v>0</v>
      </c>
      <c r="AD1256" s="56">
        <f t="shared" si="368"/>
        <v>11475.74</v>
      </c>
    </row>
    <row r="1257" spans="3:30">
      <c r="C1257" s="43" t="s">
        <v>2297</v>
      </c>
      <c r="D1257" s="44" t="s">
        <v>2298</v>
      </c>
      <c r="E1257" s="44"/>
      <c r="F1257" s="45">
        <v>42574.13212962963</v>
      </c>
      <c r="G1257" s="46">
        <v>26</v>
      </c>
      <c r="H1257" s="47">
        <v>43404</v>
      </c>
      <c r="I1257" s="47">
        <v>43417</v>
      </c>
      <c r="J1257" s="46">
        <v>3870990</v>
      </c>
      <c r="K1257" s="46">
        <v>351908</v>
      </c>
      <c r="L1257" s="46">
        <v>0</v>
      </c>
      <c r="M1257" s="46">
        <f t="shared" si="357"/>
        <v>3519082</v>
      </c>
      <c r="N1257" s="46">
        <v>2825436</v>
      </c>
      <c r="O1257" s="48">
        <f t="shared" si="358"/>
        <v>0</v>
      </c>
      <c r="P1257" s="46">
        <v>0</v>
      </c>
      <c r="Q1257" s="46">
        <v>3884300</v>
      </c>
      <c r="R1257" s="49">
        <f t="shared" si="359"/>
        <v>1</v>
      </c>
      <c r="S1257" s="50">
        <f t="shared" si="360"/>
        <v>0.01</v>
      </c>
      <c r="T1257" s="49">
        <f t="shared" si="361"/>
        <v>35190.82</v>
      </c>
      <c r="U1257" s="51">
        <f t="shared" si="362"/>
        <v>0</v>
      </c>
      <c r="V1257" s="52">
        <f>IF(0&lt;0.8,0,IF(0&lt;1,Sheet3!L561,1))*IF(G1257&lt;3,0.12 - O1257,0.01) *U1257</f>
        <v>0</v>
      </c>
      <c r="W1257" s="52">
        <f t="shared" si="363"/>
        <v>0</v>
      </c>
      <c r="X1257" s="53">
        <f t="shared" si="364"/>
        <v>0</v>
      </c>
      <c r="Y1257" s="53">
        <f t="shared" si="365"/>
        <v>0</v>
      </c>
      <c r="Z1257" s="54">
        <f t="shared" si="371"/>
        <v>0</v>
      </c>
      <c r="AA1257" s="54">
        <f t="shared" si="366"/>
        <v>0</v>
      </c>
      <c r="AB1257" s="55">
        <f>IF(R1257=0,1045553,0)</f>
        <v>0</v>
      </c>
      <c r="AC1257" s="55">
        <f t="shared" si="367"/>
        <v>0</v>
      </c>
      <c r="AD1257" s="56">
        <f t="shared" si="368"/>
        <v>35190.82</v>
      </c>
    </row>
    <row r="1258" spans="3:30">
      <c r="C1258" s="43" t="s">
        <v>2299</v>
      </c>
      <c r="D1258" s="44" t="s">
        <v>2300</v>
      </c>
      <c r="E1258" s="44"/>
      <c r="F1258" s="45">
        <v>42576.402245370366</v>
      </c>
      <c r="G1258" s="46">
        <v>26</v>
      </c>
      <c r="H1258" s="47">
        <v>43418</v>
      </c>
      <c r="I1258" s="47">
        <v>43434</v>
      </c>
      <c r="J1258" s="46">
        <v>18047830</v>
      </c>
      <c r="K1258" s="46">
        <v>0</v>
      </c>
      <c r="L1258" s="46">
        <v>0</v>
      </c>
      <c r="M1258" s="46">
        <f t="shared" si="357"/>
        <v>18047830</v>
      </c>
      <c r="N1258" s="46">
        <v>23757464</v>
      </c>
      <c r="O1258" s="48">
        <f t="shared" si="358"/>
        <v>0.240330112675326</v>
      </c>
      <c r="P1258" s="46">
        <v>0</v>
      </c>
      <c r="Q1258" s="46">
        <v>18299590</v>
      </c>
      <c r="R1258" s="49">
        <f t="shared" si="359"/>
        <v>1</v>
      </c>
      <c r="S1258" s="50">
        <f t="shared" si="360"/>
        <v>0.01</v>
      </c>
      <c r="T1258" s="49">
        <f t="shared" si="361"/>
        <v>180478.30000000002</v>
      </c>
      <c r="U1258" s="51">
        <f t="shared" si="362"/>
        <v>0</v>
      </c>
      <c r="V1258" s="52">
        <f>IF(0&lt;0.8,0,IF(0&lt;1,Sheet3!L561,1))*IF(G1258&lt;3,0.12 - O1258,0.01) *U1258</f>
        <v>0</v>
      </c>
      <c r="W1258" s="52">
        <f t="shared" si="363"/>
        <v>0</v>
      </c>
      <c r="X1258" s="53">
        <f t="shared" si="364"/>
        <v>0</v>
      </c>
      <c r="Y1258" s="53">
        <f t="shared" si="365"/>
        <v>0</v>
      </c>
      <c r="Z1258" s="54">
        <f t="shared" si="371"/>
        <v>0</v>
      </c>
      <c r="AA1258" s="54">
        <f t="shared" si="366"/>
        <v>0</v>
      </c>
      <c r="AB1258" s="55">
        <f t="shared" ref="AB1258:AB1271" si="372">IF(R1258=0,0,0)</f>
        <v>0</v>
      </c>
      <c r="AC1258" s="55">
        <f t="shared" si="367"/>
        <v>0</v>
      </c>
      <c r="AD1258" s="56">
        <f t="shared" si="368"/>
        <v>180478.30000000002</v>
      </c>
    </row>
    <row r="1259" spans="3:30">
      <c r="C1259" s="43" t="s">
        <v>2301</v>
      </c>
      <c r="D1259" s="44" t="s">
        <v>2302</v>
      </c>
      <c r="E1259" s="44"/>
      <c r="F1259" s="45">
        <v>42576.401284722218</v>
      </c>
      <c r="G1259" s="46">
        <v>26</v>
      </c>
      <c r="H1259" s="47">
        <v>43378</v>
      </c>
      <c r="I1259" s="47">
        <v>43397</v>
      </c>
      <c r="J1259" s="46">
        <v>327027</v>
      </c>
      <c r="K1259" s="46">
        <v>0</v>
      </c>
      <c r="L1259" s="46">
        <v>0</v>
      </c>
      <c r="M1259" s="46">
        <f t="shared" si="357"/>
        <v>327027</v>
      </c>
      <c r="N1259" s="46">
        <v>327027</v>
      </c>
      <c r="O1259" s="48">
        <f t="shared" si="358"/>
        <v>0</v>
      </c>
      <c r="P1259" s="46">
        <v>0</v>
      </c>
      <c r="Q1259" s="46">
        <v>327027</v>
      </c>
      <c r="R1259" s="49">
        <f t="shared" si="359"/>
        <v>1</v>
      </c>
      <c r="S1259" s="50">
        <f t="shared" si="360"/>
        <v>0.01</v>
      </c>
      <c r="T1259" s="49">
        <f t="shared" si="361"/>
        <v>3270.27</v>
      </c>
      <c r="U1259" s="51">
        <f t="shared" si="362"/>
        <v>0</v>
      </c>
      <c r="V1259" s="52">
        <f>IF(0&lt;0.8,0,IF(0&lt;1,Sheet3!L561,1))*IF(G1259&lt;3,0.12 - O1259,0.01) *U1259</f>
        <v>0</v>
      </c>
      <c r="W1259" s="52">
        <f t="shared" si="363"/>
        <v>0</v>
      </c>
      <c r="X1259" s="53">
        <f t="shared" si="364"/>
        <v>0</v>
      </c>
      <c r="Y1259" s="53">
        <f t="shared" si="365"/>
        <v>0</v>
      </c>
      <c r="Z1259" s="54">
        <f t="shared" si="371"/>
        <v>0</v>
      </c>
      <c r="AA1259" s="54">
        <f t="shared" si="366"/>
        <v>0</v>
      </c>
      <c r="AB1259" s="55">
        <f t="shared" si="372"/>
        <v>0</v>
      </c>
      <c r="AC1259" s="55">
        <f t="shared" si="367"/>
        <v>0</v>
      </c>
      <c r="AD1259" s="56">
        <f t="shared" si="368"/>
        <v>3270.27</v>
      </c>
    </row>
    <row r="1260" spans="3:30">
      <c r="C1260" s="43" t="s">
        <v>2303</v>
      </c>
      <c r="D1260" s="44" t="s">
        <v>2304</v>
      </c>
      <c r="E1260" s="44"/>
      <c r="F1260" s="45">
        <v>42578.30501157407</v>
      </c>
      <c r="G1260" s="46">
        <v>26</v>
      </c>
      <c r="H1260" s="47">
        <v>43375</v>
      </c>
      <c r="I1260" s="47">
        <v>43389</v>
      </c>
      <c r="J1260" s="46">
        <v>672721</v>
      </c>
      <c r="K1260" s="46">
        <v>0</v>
      </c>
      <c r="L1260" s="46">
        <v>0</v>
      </c>
      <c r="M1260" s="46">
        <f t="shared" si="357"/>
        <v>672721</v>
      </c>
      <c r="N1260" s="46">
        <v>672721</v>
      </c>
      <c r="O1260" s="48">
        <f t="shared" si="358"/>
        <v>0</v>
      </c>
      <c r="P1260" s="46">
        <v>0</v>
      </c>
      <c r="Q1260" s="46">
        <v>672721</v>
      </c>
      <c r="R1260" s="49">
        <f t="shared" si="359"/>
        <v>1</v>
      </c>
      <c r="S1260" s="50">
        <f t="shared" si="360"/>
        <v>0.01</v>
      </c>
      <c r="T1260" s="49">
        <f t="shared" si="361"/>
        <v>6727.21</v>
      </c>
      <c r="U1260" s="51">
        <f t="shared" si="362"/>
        <v>0</v>
      </c>
      <c r="V1260" s="52">
        <f>IF(0&lt;0.8,0,IF(0&lt;1,Sheet3!L561,1))*IF(G1260&lt;3,0.12 - O1260,0.01) *U1260</f>
        <v>0</v>
      </c>
      <c r="W1260" s="52">
        <f t="shared" si="363"/>
        <v>0</v>
      </c>
      <c r="X1260" s="53">
        <f t="shared" si="364"/>
        <v>0</v>
      </c>
      <c r="Y1260" s="53">
        <f t="shared" si="365"/>
        <v>0</v>
      </c>
      <c r="Z1260" s="54">
        <f t="shared" si="371"/>
        <v>0</v>
      </c>
      <c r="AA1260" s="54">
        <f t="shared" si="366"/>
        <v>0</v>
      </c>
      <c r="AB1260" s="55">
        <f t="shared" si="372"/>
        <v>0</v>
      </c>
      <c r="AC1260" s="55">
        <f t="shared" si="367"/>
        <v>0</v>
      </c>
      <c r="AD1260" s="56">
        <f t="shared" si="368"/>
        <v>6727.21</v>
      </c>
    </row>
    <row r="1261" spans="3:30">
      <c r="C1261" s="43" t="s">
        <v>2305</v>
      </c>
      <c r="D1261" s="44" t="s">
        <v>2143</v>
      </c>
      <c r="E1261" s="44"/>
      <c r="F1261" s="45">
        <v>42583.161689814813</v>
      </c>
      <c r="G1261" s="46">
        <v>25</v>
      </c>
      <c r="H1261" s="47">
        <v>43404</v>
      </c>
      <c r="I1261" s="47">
        <v>43412</v>
      </c>
      <c r="J1261" s="46">
        <v>205453</v>
      </c>
      <c r="K1261" s="46">
        <v>0</v>
      </c>
      <c r="L1261" s="46">
        <v>0</v>
      </c>
      <c r="M1261" s="46">
        <f t="shared" si="357"/>
        <v>205453</v>
      </c>
      <c r="N1261" s="46">
        <v>235425</v>
      </c>
      <c r="O1261" s="48">
        <f t="shared" si="358"/>
        <v>0.12731018371031111</v>
      </c>
      <c r="P1261" s="46">
        <v>0</v>
      </c>
      <c r="Q1261" s="46">
        <v>205453</v>
      </c>
      <c r="R1261" s="49">
        <f t="shared" si="359"/>
        <v>1</v>
      </c>
      <c r="S1261" s="50">
        <f t="shared" si="360"/>
        <v>0.01</v>
      </c>
      <c r="T1261" s="49">
        <f t="shared" si="361"/>
        <v>2054.5300000000002</v>
      </c>
      <c r="U1261" s="51">
        <f t="shared" si="362"/>
        <v>0</v>
      </c>
      <c r="V1261" s="52">
        <f>IF(0&lt;0.8,0,IF(0&lt;1,Sheet3!L561,1))*IF(G1261&lt;3,0.12 - O1261,0.01) *U1261</f>
        <v>0</v>
      </c>
      <c r="W1261" s="52">
        <f t="shared" si="363"/>
        <v>0</v>
      </c>
      <c r="X1261" s="53">
        <f t="shared" si="364"/>
        <v>0</v>
      </c>
      <c r="Y1261" s="53">
        <f t="shared" si="365"/>
        <v>0</v>
      </c>
      <c r="Z1261" s="54">
        <f t="shared" si="371"/>
        <v>0</v>
      </c>
      <c r="AA1261" s="54">
        <f t="shared" si="366"/>
        <v>0</v>
      </c>
      <c r="AB1261" s="55">
        <f t="shared" si="372"/>
        <v>0</v>
      </c>
      <c r="AC1261" s="55">
        <f t="shared" si="367"/>
        <v>0</v>
      </c>
      <c r="AD1261" s="56">
        <f t="shared" si="368"/>
        <v>2054.5300000000002</v>
      </c>
    </row>
    <row r="1262" spans="3:30">
      <c r="C1262" s="43" t="s">
        <v>2306</v>
      </c>
      <c r="D1262" s="44" t="s">
        <v>2307</v>
      </c>
      <c r="E1262" s="44"/>
      <c r="F1262" s="45">
        <v>42585.163043981476</v>
      </c>
      <c r="G1262" s="46">
        <v>25</v>
      </c>
      <c r="H1262" s="47">
        <v>43376</v>
      </c>
      <c r="I1262" s="47">
        <v>43420</v>
      </c>
      <c r="J1262" s="46">
        <v>690875</v>
      </c>
      <c r="K1262" s="46">
        <v>0</v>
      </c>
      <c r="L1262" s="46">
        <v>0</v>
      </c>
      <c r="M1262" s="46">
        <f t="shared" si="357"/>
        <v>690875</v>
      </c>
      <c r="N1262" s="46">
        <v>690875</v>
      </c>
      <c r="O1262" s="48">
        <f t="shared" si="358"/>
        <v>0</v>
      </c>
      <c r="P1262" s="46">
        <v>0</v>
      </c>
      <c r="Q1262" s="46">
        <v>690875</v>
      </c>
      <c r="R1262" s="49">
        <f t="shared" si="359"/>
        <v>1</v>
      </c>
      <c r="S1262" s="50">
        <f t="shared" si="360"/>
        <v>0.01</v>
      </c>
      <c r="T1262" s="49">
        <f t="shared" si="361"/>
        <v>6908.75</v>
      </c>
      <c r="U1262" s="51">
        <f t="shared" si="362"/>
        <v>0</v>
      </c>
      <c r="V1262" s="52">
        <f>IF(0&lt;0.8,0,IF(0&lt;1,Sheet3!L561,1))*IF(G1262&lt;3,0.12 - O1262,0.01) *U1262</f>
        <v>0</v>
      </c>
      <c r="W1262" s="52">
        <f t="shared" si="363"/>
        <v>0</v>
      </c>
      <c r="X1262" s="53">
        <f t="shared" si="364"/>
        <v>0</v>
      </c>
      <c r="Y1262" s="53">
        <f t="shared" si="365"/>
        <v>0</v>
      </c>
      <c r="Z1262" s="54">
        <f t="shared" si="371"/>
        <v>0</v>
      </c>
      <c r="AA1262" s="54">
        <f t="shared" si="366"/>
        <v>0</v>
      </c>
      <c r="AB1262" s="55">
        <f t="shared" si="372"/>
        <v>0</v>
      </c>
      <c r="AC1262" s="55">
        <f t="shared" si="367"/>
        <v>0</v>
      </c>
      <c r="AD1262" s="56">
        <f t="shared" si="368"/>
        <v>6908.75</v>
      </c>
    </row>
    <row r="1263" spans="3:30">
      <c r="C1263" s="43" t="s">
        <v>2308</v>
      </c>
      <c r="D1263" s="44" t="s">
        <v>2309</v>
      </c>
      <c r="E1263" s="44"/>
      <c r="F1263" s="45">
        <v>42585.162164351852</v>
      </c>
      <c r="G1263" s="46">
        <v>25</v>
      </c>
      <c r="H1263" s="47">
        <v>43377</v>
      </c>
      <c r="I1263" s="47">
        <v>43399</v>
      </c>
      <c r="J1263" s="46">
        <v>1409841</v>
      </c>
      <c r="K1263" s="46">
        <v>0</v>
      </c>
      <c r="L1263" s="46">
        <v>0</v>
      </c>
      <c r="M1263" s="46">
        <f t="shared" si="357"/>
        <v>1409841</v>
      </c>
      <c r="N1263" s="46">
        <v>1409841</v>
      </c>
      <c r="O1263" s="48">
        <f t="shared" si="358"/>
        <v>0</v>
      </c>
      <c r="P1263" s="46">
        <v>0</v>
      </c>
      <c r="Q1263" s="46">
        <v>1409841</v>
      </c>
      <c r="R1263" s="49">
        <f t="shared" si="359"/>
        <v>1</v>
      </c>
      <c r="S1263" s="50">
        <f t="shared" si="360"/>
        <v>0.01</v>
      </c>
      <c r="T1263" s="49">
        <f t="shared" si="361"/>
        <v>14098.41</v>
      </c>
      <c r="U1263" s="51">
        <f t="shared" si="362"/>
        <v>0</v>
      </c>
      <c r="V1263" s="52">
        <f>IF(0&lt;0.8,0,IF(0&lt;1,Sheet3!L561,1))*IF(G1263&lt;3,0.12 - O1263,0.01) *U1263</f>
        <v>0</v>
      </c>
      <c r="W1263" s="52">
        <f t="shared" si="363"/>
        <v>0</v>
      </c>
      <c r="X1263" s="53">
        <f t="shared" si="364"/>
        <v>0</v>
      </c>
      <c r="Y1263" s="53">
        <f t="shared" si="365"/>
        <v>0</v>
      </c>
      <c r="Z1263" s="54">
        <f t="shared" si="371"/>
        <v>0</v>
      </c>
      <c r="AA1263" s="54">
        <f t="shared" si="366"/>
        <v>0</v>
      </c>
      <c r="AB1263" s="55">
        <f t="shared" si="372"/>
        <v>0</v>
      </c>
      <c r="AC1263" s="55">
        <f t="shared" si="367"/>
        <v>0</v>
      </c>
      <c r="AD1263" s="56">
        <f t="shared" si="368"/>
        <v>14098.41</v>
      </c>
    </row>
    <row r="1264" spans="3:30">
      <c r="C1264" s="43" t="s">
        <v>2310</v>
      </c>
      <c r="D1264" s="44" t="s">
        <v>2263</v>
      </c>
      <c r="E1264" s="44"/>
      <c r="F1264" s="45">
        <v>42586.173587962963</v>
      </c>
      <c r="G1264" s="46">
        <v>25</v>
      </c>
      <c r="H1264" s="47">
        <v>43377</v>
      </c>
      <c r="I1264" s="47">
        <v>43388</v>
      </c>
      <c r="J1264" s="46">
        <v>4126938</v>
      </c>
      <c r="K1264" s="46">
        <v>375175</v>
      </c>
      <c r="L1264" s="46">
        <v>0</v>
      </c>
      <c r="M1264" s="46">
        <f t="shared" si="357"/>
        <v>3751763</v>
      </c>
      <c r="N1264" s="46">
        <v>4603745</v>
      </c>
      <c r="O1264" s="48">
        <f t="shared" si="358"/>
        <v>0.18506281299246596</v>
      </c>
      <c r="P1264" s="46">
        <v>0</v>
      </c>
      <c r="Q1264" s="46">
        <v>4126938</v>
      </c>
      <c r="R1264" s="49">
        <f t="shared" si="359"/>
        <v>1</v>
      </c>
      <c r="S1264" s="50">
        <f t="shared" si="360"/>
        <v>0.01</v>
      </c>
      <c r="T1264" s="49">
        <f t="shared" si="361"/>
        <v>37517.629999999997</v>
      </c>
      <c r="U1264" s="51">
        <f t="shared" si="362"/>
        <v>0</v>
      </c>
      <c r="V1264" s="52">
        <f>IF(0&lt;0.8,0,IF(0&lt;1,Sheet3!L561,1))*IF(G1264&lt;3,0.12 - O1264,0.01) *U1264</f>
        <v>0</v>
      </c>
      <c r="W1264" s="52">
        <f t="shared" si="363"/>
        <v>0</v>
      </c>
      <c r="X1264" s="53">
        <f t="shared" si="364"/>
        <v>0</v>
      </c>
      <c r="Y1264" s="53">
        <f t="shared" si="365"/>
        <v>0</v>
      </c>
      <c r="Z1264" s="54">
        <f t="shared" si="371"/>
        <v>0</v>
      </c>
      <c r="AA1264" s="54">
        <f t="shared" si="366"/>
        <v>0</v>
      </c>
      <c r="AB1264" s="55">
        <f t="shared" si="372"/>
        <v>0</v>
      </c>
      <c r="AC1264" s="55">
        <f t="shared" si="367"/>
        <v>0</v>
      </c>
      <c r="AD1264" s="56">
        <f t="shared" si="368"/>
        <v>37517.629999999997</v>
      </c>
    </row>
    <row r="1265" spans="3:30">
      <c r="C1265" s="43" t="s">
        <v>2311</v>
      </c>
      <c r="D1265" s="44" t="s">
        <v>2312</v>
      </c>
      <c r="E1265" s="44"/>
      <c r="F1265" s="45">
        <v>42591.27884259259</v>
      </c>
      <c r="G1265" s="46">
        <v>25</v>
      </c>
      <c r="H1265" s="47">
        <v>43376</v>
      </c>
      <c r="I1265" s="47">
        <v>43404</v>
      </c>
      <c r="J1265" s="46">
        <v>302810</v>
      </c>
      <c r="K1265" s="46">
        <v>0</v>
      </c>
      <c r="L1265" s="46">
        <v>0</v>
      </c>
      <c r="M1265" s="46">
        <f t="shared" si="357"/>
        <v>302810</v>
      </c>
      <c r="N1265" s="46">
        <v>302810</v>
      </c>
      <c r="O1265" s="48">
        <f t="shared" si="358"/>
        <v>0</v>
      </c>
      <c r="P1265" s="46">
        <v>0</v>
      </c>
      <c r="Q1265" s="46">
        <v>302810</v>
      </c>
      <c r="R1265" s="49">
        <f t="shared" si="359"/>
        <v>1</v>
      </c>
      <c r="S1265" s="50">
        <f t="shared" si="360"/>
        <v>0.01</v>
      </c>
      <c r="T1265" s="49">
        <f t="shared" si="361"/>
        <v>3028.1</v>
      </c>
      <c r="U1265" s="51">
        <f t="shared" si="362"/>
        <v>0</v>
      </c>
      <c r="V1265" s="52">
        <f>IF(0&lt;0.8,0,IF(0&lt;1,Sheet3!L561,1))*IF(G1265&lt;3,0.12 - O1265,0.01) *U1265</f>
        <v>0</v>
      </c>
      <c r="W1265" s="52">
        <f t="shared" si="363"/>
        <v>0</v>
      </c>
      <c r="X1265" s="53">
        <f t="shared" si="364"/>
        <v>0</v>
      </c>
      <c r="Y1265" s="53">
        <f t="shared" si="365"/>
        <v>0</v>
      </c>
      <c r="Z1265" s="54">
        <f t="shared" si="371"/>
        <v>0</v>
      </c>
      <c r="AA1265" s="54">
        <f t="shared" si="366"/>
        <v>0</v>
      </c>
      <c r="AB1265" s="55">
        <f t="shared" si="372"/>
        <v>0</v>
      </c>
      <c r="AC1265" s="55">
        <f t="shared" si="367"/>
        <v>0</v>
      </c>
      <c r="AD1265" s="56">
        <f t="shared" si="368"/>
        <v>3028.1</v>
      </c>
    </row>
    <row r="1266" spans="3:30">
      <c r="C1266" s="43" t="s">
        <v>2313</v>
      </c>
      <c r="D1266" s="44" t="s">
        <v>2314</v>
      </c>
      <c r="E1266" s="44"/>
      <c r="F1266" s="45">
        <v>42594.335752314815</v>
      </c>
      <c r="G1266" s="46">
        <v>25</v>
      </c>
      <c r="H1266" s="47">
        <v>43378</v>
      </c>
      <c r="I1266" s="47">
        <v>43416</v>
      </c>
      <c r="J1266" s="46">
        <v>445488</v>
      </c>
      <c r="K1266" s="46">
        <v>0</v>
      </c>
      <c r="L1266" s="46">
        <v>0</v>
      </c>
      <c r="M1266" s="46">
        <f t="shared" si="357"/>
        <v>445488</v>
      </c>
      <c r="N1266" s="46">
        <v>445488</v>
      </c>
      <c r="O1266" s="48">
        <f t="shared" si="358"/>
        <v>0</v>
      </c>
      <c r="P1266" s="46">
        <v>0</v>
      </c>
      <c r="Q1266" s="46">
        <v>445488</v>
      </c>
      <c r="R1266" s="49">
        <f t="shared" si="359"/>
        <v>1</v>
      </c>
      <c r="S1266" s="50">
        <f t="shared" si="360"/>
        <v>0.01</v>
      </c>
      <c r="T1266" s="49">
        <f t="shared" si="361"/>
        <v>4454.88</v>
      </c>
      <c r="U1266" s="51">
        <f t="shared" si="362"/>
        <v>0</v>
      </c>
      <c r="V1266" s="52">
        <f>IF(0&lt;0.8,0,IF(0&lt;1,Sheet3!L561,1))*IF(G1266&lt;3,0.12 - O1266,0.01) *U1266</f>
        <v>0</v>
      </c>
      <c r="W1266" s="52">
        <f t="shared" si="363"/>
        <v>0</v>
      </c>
      <c r="X1266" s="53">
        <f t="shared" si="364"/>
        <v>0</v>
      </c>
      <c r="Y1266" s="53">
        <f t="shared" si="365"/>
        <v>0</v>
      </c>
      <c r="Z1266" s="54">
        <f t="shared" si="371"/>
        <v>0</v>
      </c>
      <c r="AA1266" s="54">
        <f t="shared" si="366"/>
        <v>0</v>
      </c>
      <c r="AB1266" s="55">
        <f t="shared" si="372"/>
        <v>0</v>
      </c>
      <c r="AC1266" s="55">
        <f t="shared" si="367"/>
        <v>0</v>
      </c>
      <c r="AD1266" s="56">
        <f t="shared" si="368"/>
        <v>4454.88</v>
      </c>
    </row>
    <row r="1267" spans="3:30">
      <c r="C1267" s="43" t="s">
        <v>2315</v>
      </c>
      <c r="D1267" s="44" t="s">
        <v>2316</v>
      </c>
      <c r="E1267" s="44"/>
      <c r="F1267" s="45">
        <v>42599.305231481478</v>
      </c>
      <c r="G1267" s="46">
        <v>25</v>
      </c>
      <c r="H1267" s="47">
        <v>43375</v>
      </c>
      <c r="I1267" s="47">
        <v>43393</v>
      </c>
      <c r="J1267" s="46">
        <v>293188</v>
      </c>
      <c r="K1267" s="46">
        <v>0</v>
      </c>
      <c r="L1267" s="46">
        <v>0</v>
      </c>
      <c r="M1267" s="46">
        <f t="shared" ref="M1267:M1330" si="373">IFERROR(J1267-K1267-L1267,0)</f>
        <v>293188</v>
      </c>
      <c r="N1267" s="46">
        <v>293188</v>
      </c>
      <c r="O1267" s="48">
        <f t="shared" ref="O1267:O1330" si="374">IFERROR(IF(1 - M1267/N1267&lt;0,0,1-M1267/N1267),0)</f>
        <v>0</v>
      </c>
      <c r="P1267" s="46">
        <v>0</v>
      </c>
      <c r="Q1267" s="46">
        <v>293188</v>
      </c>
      <c r="R1267" s="49">
        <f t="shared" ref="R1267:R1330" si="375">IF(F1267&lt;DATEVALUE("2018-07-01"),1,0)</f>
        <v>1</v>
      </c>
      <c r="S1267" s="50">
        <f t="shared" ref="S1267:S1330" si="376">IF(R1267=1,1%,0)</f>
        <v>0.01</v>
      </c>
      <c r="T1267" s="49">
        <f t="shared" ref="T1267:T1330" si="377">IFERROR(S1267*M1267,0)</f>
        <v>2931.88</v>
      </c>
      <c r="U1267" s="51">
        <f t="shared" ref="U1267:U1330" si="378">IF(O1267&lt;=0.12,1,0)*(1-R1267)*M1267</f>
        <v>0</v>
      </c>
      <c r="V1267" s="52">
        <f>IF(0&lt;0.8,0,IF(0&lt;1,Sheet3!L561,1))*IF(G1267&lt;3,0.12 - O1267,0.01) *U1267</f>
        <v>0</v>
      </c>
      <c r="W1267" s="52">
        <f t="shared" ref="W1267:W1330" si="379">IF(0&gt;1,IF(0&lt;=1.1,1,IF(0&lt;=1.2,2,IF(0&lt;=1.5,3,5))),0) * 1000000</f>
        <v>0</v>
      </c>
      <c r="X1267" s="53">
        <f t="shared" ref="X1267:X1330" si="380">IF(AND(P1267&gt;=150000000,P1267&lt;300000000),5000000,IF(AND(P1267&gt;=300000000,P1267&lt;500000000),10000000,IF(AND(P1267&gt;=300000000,P1267&lt;500000000),15000000,IF(AND(P1267&gt;=500000000,P1267&lt;3000000000),20000000,IF(P1267&gt;=30000000000,35000000,0))))) * (1-R1267)</f>
        <v>0</v>
      </c>
      <c r="Y1267" s="53">
        <f t="shared" ref="Y1267:Y1330" si="381">IFERROR(Q1267 * (1-R1267),0)</f>
        <v>0</v>
      </c>
      <c r="Z1267" s="54">
        <f t="shared" si="371"/>
        <v>0</v>
      </c>
      <c r="AA1267" s="54">
        <f t="shared" ref="AA1267:AA1330" si="382">IFERROR((1-R1267) * Z1267 * 2%,0)</f>
        <v>0</v>
      </c>
      <c r="AB1267" s="55">
        <f t="shared" si="372"/>
        <v>0</v>
      </c>
      <c r="AC1267" s="55">
        <f t="shared" ref="AC1267:AC1330" si="383">IFERROR(AB1267 * (1-R1267) * 2%,0)</f>
        <v>0</v>
      </c>
      <c r="AD1267" s="56">
        <f t="shared" ref="AD1267:AD1330" si="384">T1267+V1267+W1267+X1267+AA1267+AC1267</f>
        <v>2931.88</v>
      </c>
    </row>
    <row r="1268" spans="3:30">
      <c r="C1268" s="43" t="s">
        <v>2317</v>
      </c>
      <c r="D1268" s="44" t="s">
        <v>2318</v>
      </c>
      <c r="E1268" s="44"/>
      <c r="F1268" s="45">
        <v>42599.366678240738</v>
      </c>
      <c r="G1268" s="46">
        <v>25</v>
      </c>
      <c r="H1268" s="47">
        <v>43378</v>
      </c>
      <c r="I1268" s="47">
        <v>43390</v>
      </c>
      <c r="J1268" s="46">
        <v>435903</v>
      </c>
      <c r="K1268" s="46">
        <v>0</v>
      </c>
      <c r="L1268" s="46">
        <v>0</v>
      </c>
      <c r="M1268" s="46">
        <f t="shared" si="373"/>
        <v>435903</v>
      </c>
      <c r="N1268" s="46">
        <v>435903</v>
      </c>
      <c r="O1268" s="48">
        <f t="shared" si="374"/>
        <v>0</v>
      </c>
      <c r="P1268" s="46">
        <v>0</v>
      </c>
      <c r="Q1268" s="46">
        <v>435903</v>
      </c>
      <c r="R1268" s="49">
        <f t="shared" si="375"/>
        <v>1</v>
      </c>
      <c r="S1268" s="50">
        <f t="shared" si="376"/>
        <v>0.01</v>
      </c>
      <c r="T1268" s="49">
        <f t="shared" si="377"/>
        <v>4359.03</v>
      </c>
      <c r="U1268" s="51">
        <f t="shared" si="378"/>
        <v>0</v>
      </c>
      <c r="V1268" s="52">
        <f>IF(0&lt;0.8,0,IF(0&lt;1,Sheet3!L561,1))*IF(G1268&lt;3,0.12 - O1268,0.01) *U1268</f>
        <v>0</v>
      </c>
      <c r="W1268" s="52">
        <f t="shared" si="379"/>
        <v>0</v>
      </c>
      <c r="X1268" s="53">
        <f t="shared" si="380"/>
        <v>0</v>
      </c>
      <c r="Y1268" s="53">
        <f t="shared" si="381"/>
        <v>0</v>
      </c>
      <c r="Z1268" s="54">
        <f t="shared" si="371"/>
        <v>0</v>
      </c>
      <c r="AA1268" s="54">
        <f t="shared" si="382"/>
        <v>0</v>
      </c>
      <c r="AB1268" s="55">
        <f t="shared" si="372"/>
        <v>0</v>
      </c>
      <c r="AC1268" s="55">
        <f t="shared" si="383"/>
        <v>0</v>
      </c>
      <c r="AD1268" s="56">
        <f t="shared" si="384"/>
        <v>4359.03</v>
      </c>
    </row>
    <row r="1269" spans="3:30">
      <c r="C1269" s="43" t="s">
        <v>2319</v>
      </c>
      <c r="D1269" s="44" t="s">
        <v>2320</v>
      </c>
      <c r="E1269" s="44"/>
      <c r="F1269" s="45">
        <v>42601.284409722219</v>
      </c>
      <c r="G1269" s="46">
        <v>25</v>
      </c>
      <c r="H1269" s="47">
        <v>43377</v>
      </c>
      <c r="I1269" s="47">
        <v>43388</v>
      </c>
      <c r="J1269" s="46">
        <v>897602</v>
      </c>
      <c r="K1269" s="46">
        <v>0</v>
      </c>
      <c r="L1269" s="46">
        <v>0</v>
      </c>
      <c r="M1269" s="46">
        <f t="shared" si="373"/>
        <v>897602</v>
      </c>
      <c r="N1269" s="46">
        <v>897602</v>
      </c>
      <c r="O1269" s="48">
        <f t="shared" si="374"/>
        <v>0</v>
      </c>
      <c r="P1269" s="46">
        <v>0</v>
      </c>
      <c r="Q1269" s="46">
        <v>897602</v>
      </c>
      <c r="R1269" s="49">
        <f t="shared" si="375"/>
        <v>1</v>
      </c>
      <c r="S1269" s="50">
        <f t="shared" si="376"/>
        <v>0.01</v>
      </c>
      <c r="T1269" s="49">
        <f t="shared" si="377"/>
        <v>8976.02</v>
      </c>
      <c r="U1269" s="51">
        <f t="shared" si="378"/>
        <v>0</v>
      </c>
      <c r="V1269" s="52">
        <f>IF(0&lt;0.8,0,IF(0&lt;1,Sheet3!L561,1))*IF(G1269&lt;3,0.12 - O1269,0.01) *U1269</f>
        <v>0</v>
      </c>
      <c r="W1269" s="52">
        <f t="shared" si="379"/>
        <v>0</v>
      </c>
      <c r="X1269" s="53">
        <f t="shared" si="380"/>
        <v>0</v>
      </c>
      <c r="Y1269" s="53">
        <f t="shared" si="381"/>
        <v>0</v>
      </c>
      <c r="Z1269" s="54">
        <f t="shared" si="371"/>
        <v>0</v>
      </c>
      <c r="AA1269" s="54">
        <f t="shared" si="382"/>
        <v>0</v>
      </c>
      <c r="AB1269" s="55">
        <f t="shared" si="372"/>
        <v>0</v>
      </c>
      <c r="AC1269" s="55">
        <f t="shared" si="383"/>
        <v>0</v>
      </c>
      <c r="AD1269" s="56">
        <f t="shared" si="384"/>
        <v>8976.02</v>
      </c>
    </row>
    <row r="1270" spans="3:30">
      <c r="C1270" s="43" t="s">
        <v>2321</v>
      </c>
      <c r="D1270" s="44" t="s">
        <v>2322</v>
      </c>
      <c r="E1270" s="44"/>
      <c r="F1270" s="45">
        <v>42601.28601851852</v>
      </c>
      <c r="G1270" s="46">
        <v>25</v>
      </c>
      <c r="H1270" s="47">
        <v>43378</v>
      </c>
      <c r="I1270" s="47">
        <v>43393</v>
      </c>
      <c r="J1270" s="46">
        <v>542322</v>
      </c>
      <c r="K1270" s="46">
        <v>0</v>
      </c>
      <c r="L1270" s="46">
        <v>0</v>
      </c>
      <c r="M1270" s="46">
        <f t="shared" si="373"/>
        <v>542322</v>
      </c>
      <c r="N1270" s="46">
        <v>542322</v>
      </c>
      <c r="O1270" s="48">
        <f t="shared" si="374"/>
        <v>0</v>
      </c>
      <c r="P1270" s="46">
        <v>0</v>
      </c>
      <c r="Q1270" s="46">
        <v>542322</v>
      </c>
      <c r="R1270" s="49">
        <f t="shared" si="375"/>
        <v>1</v>
      </c>
      <c r="S1270" s="50">
        <f t="shared" si="376"/>
        <v>0.01</v>
      </c>
      <c r="T1270" s="49">
        <f t="shared" si="377"/>
        <v>5423.22</v>
      </c>
      <c r="U1270" s="51">
        <f t="shared" si="378"/>
        <v>0</v>
      </c>
      <c r="V1270" s="52">
        <f>IF(0&lt;0.8,0,IF(0&lt;1,Sheet3!L561,1))*IF(G1270&lt;3,0.12 - O1270,0.01) *U1270</f>
        <v>0</v>
      </c>
      <c r="W1270" s="52">
        <f t="shared" si="379"/>
        <v>0</v>
      </c>
      <c r="X1270" s="53">
        <f t="shared" si="380"/>
        <v>0</v>
      </c>
      <c r="Y1270" s="53">
        <f t="shared" si="381"/>
        <v>0</v>
      </c>
      <c r="Z1270" s="54">
        <f t="shared" si="371"/>
        <v>0</v>
      </c>
      <c r="AA1270" s="54">
        <f t="shared" si="382"/>
        <v>0</v>
      </c>
      <c r="AB1270" s="55">
        <f t="shared" si="372"/>
        <v>0</v>
      </c>
      <c r="AC1270" s="55">
        <f t="shared" si="383"/>
        <v>0</v>
      </c>
      <c r="AD1270" s="56">
        <f t="shared" si="384"/>
        <v>5423.22</v>
      </c>
    </row>
    <row r="1271" spans="3:30">
      <c r="C1271" s="43" t="s">
        <v>2323</v>
      </c>
      <c r="D1271" s="44" t="s">
        <v>2324</v>
      </c>
      <c r="E1271" s="44"/>
      <c r="F1271" s="45">
        <v>42601.287164351852</v>
      </c>
      <c r="G1271" s="46">
        <v>25</v>
      </c>
      <c r="H1271" s="47">
        <v>43377</v>
      </c>
      <c r="I1271" s="47">
        <v>43385</v>
      </c>
      <c r="J1271" s="46">
        <v>1379555</v>
      </c>
      <c r="K1271" s="46">
        <v>0</v>
      </c>
      <c r="L1271" s="46">
        <v>0</v>
      </c>
      <c r="M1271" s="46">
        <f t="shared" si="373"/>
        <v>1379555</v>
      </c>
      <c r="N1271" s="46">
        <v>1379555</v>
      </c>
      <c r="O1271" s="48">
        <f t="shared" si="374"/>
        <v>0</v>
      </c>
      <c r="P1271" s="46">
        <v>0</v>
      </c>
      <c r="Q1271" s="46">
        <v>1379555</v>
      </c>
      <c r="R1271" s="49">
        <f t="shared" si="375"/>
        <v>1</v>
      </c>
      <c r="S1271" s="50">
        <f t="shared" si="376"/>
        <v>0.01</v>
      </c>
      <c r="T1271" s="49">
        <f t="shared" si="377"/>
        <v>13795.550000000001</v>
      </c>
      <c r="U1271" s="51">
        <f t="shared" si="378"/>
        <v>0</v>
      </c>
      <c r="V1271" s="52">
        <f>IF(0&lt;0.8,0,IF(0&lt;1,Sheet3!L561,1))*IF(G1271&lt;3,0.12 - O1271,0.01) *U1271</f>
        <v>0</v>
      </c>
      <c r="W1271" s="52">
        <f t="shared" si="379"/>
        <v>0</v>
      </c>
      <c r="X1271" s="53">
        <f t="shared" si="380"/>
        <v>0</v>
      </c>
      <c r="Y1271" s="53">
        <f t="shared" si="381"/>
        <v>0</v>
      </c>
      <c r="Z1271" s="54">
        <f t="shared" si="371"/>
        <v>0</v>
      </c>
      <c r="AA1271" s="54">
        <f t="shared" si="382"/>
        <v>0</v>
      </c>
      <c r="AB1271" s="55">
        <f t="shared" si="372"/>
        <v>0</v>
      </c>
      <c r="AC1271" s="55">
        <f t="shared" si="383"/>
        <v>0</v>
      </c>
      <c r="AD1271" s="56">
        <f t="shared" si="384"/>
        <v>13795.550000000001</v>
      </c>
    </row>
    <row r="1272" spans="3:30">
      <c r="C1272" s="43" t="s">
        <v>2325</v>
      </c>
      <c r="D1272" s="44" t="s">
        <v>1131</v>
      </c>
      <c r="E1272" s="44"/>
      <c r="F1272" s="45">
        <v>42601.291307870371</v>
      </c>
      <c r="G1272" s="46">
        <v>25</v>
      </c>
      <c r="H1272" s="47">
        <v>43398</v>
      </c>
      <c r="I1272" s="47">
        <v>43413</v>
      </c>
      <c r="J1272" s="46">
        <v>26773354</v>
      </c>
      <c r="K1272" s="46">
        <v>4245954</v>
      </c>
      <c r="L1272" s="46">
        <v>0</v>
      </c>
      <c r="M1272" s="46">
        <f t="shared" si="373"/>
        <v>22527400</v>
      </c>
      <c r="N1272" s="46">
        <v>34623559</v>
      </c>
      <c r="O1272" s="48">
        <f t="shared" si="374"/>
        <v>0.34936209186351985</v>
      </c>
      <c r="P1272" s="46">
        <v>0</v>
      </c>
      <c r="Q1272" s="46">
        <v>23328957</v>
      </c>
      <c r="R1272" s="49">
        <f t="shared" si="375"/>
        <v>1</v>
      </c>
      <c r="S1272" s="50">
        <f t="shared" si="376"/>
        <v>0.01</v>
      </c>
      <c r="T1272" s="49">
        <f t="shared" si="377"/>
        <v>225274</v>
      </c>
      <c r="U1272" s="51">
        <f t="shared" si="378"/>
        <v>0</v>
      </c>
      <c r="V1272" s="52">
        <f>IF(0&lt;0.8,0,IF(0&lt;1,Sheet3!L561,1))*IF(G1272&lt;3,0.12 - O1272,0.01) *U1272</f>
        <v>0</v>
      </c>
      <c r="W1272" s="52">
        <f t="shared" si="379"/>
        <v>0</v>
      </c>
      <c r="X1272" s="53">
        <f t="shared" si="380"/>
        <v>0</v>
      </c>
      <c r="Y1272" s="53">
        <f t="shared" si="381"/>
        <v>0</v>
      </c>
      <c r="Z1272" s="54">
        <f t="shared" si="371"/>
        <v>0</v>
      </c>
      <c r="AA1272" s="54">
        <f t="shared" si="382"/>
        <v>0</v>
      </c>
      <c r="AB1272" s="55">
        <f>IF(R1272=0,1593954,0)</f>
        <v>0</v>
      </c>
      <c r="AC1272" s="55">
        <f t="shared" si="383"/>
        <v>0</v>
      </c>
      <c r="AD1272" s="56">
        <f t="shared" si="384"/>
        <v>225274</v>
      </c>
    </row>
    <row r="1273" spans="3:30">
      <c r="C1273" s="43" t="s">
        <v>2326</v>
      </c>
      <c r="D1273" s="44" t="s">
        <v>1131</v>
      </c>
      <c r="E1273" s="44"/>
      <c r="F1273" s="45">
        <v>42601.292627314811</v>
      </c>
      <c r="G1273" s="46">
        <v>25</v>
      </c>
      <c r="H1273" s="47">
        <v>43453</v>
      </c>
      <c r="I1273" s="47">
        <v>43463</v>
      </c>
      <c r="J1273" s="46">
        <v>26809144</v>
      </c>
      <c r="K1273" s="46">
        <v>0</v>
      </c>
      <c r="L1273" s="46">
        <v>0</v>
      </c>
      <c r="M1273" s="46">
        <f t="shared" si="373"/>
        <v>26809144</v>
      </c>
      <c r="N1273" s="46">
        <v>32376084</v>
      </c>
      <c r="O1273" s="48">
        <f t="shared" si="374"/>
        <v>0.17194605746636926</v>
      </c>
      <c r="P1273" s="46">
        <v>0</v>
      </c>
      <c r="Q1273" s="46">
        <v>40776003</v>
      </c>
      <c r="R1273" s="49">
        <f t="shared" si="375"/>
        <v>1</v>
      </c>
      <c r="S1273" s="50">
        <f t="shared" si="376"/>
        <v>0.01</v>
      </c>
      <c r="T1273" s="49">
        <f t="shared" si="377"/>
        <v>268091.44</v>
      </c>
      <c r="U1273" s="51">
        <f t="shared" si="378"/>
        <v>0</v>
      </c>
      <c r="V1273" s="52">
        <f>IF(0&lt;0.8,0,IF(0&lt;1,Sheet3!L561,1))*IF(G1273&lt;3,0.12 - O1273,0.01) *U1273</f>
        <v>0</v>
      </c>
      <c r="W1273" s="52">
        <f t="shared" si="379"/>
        <v>0</v>
      </c>
      <c r="X1273" s="53">
        <f t="shared" si="380"/>
        <v>0</v>
      </c>
      <c r="Y1273" s="53">
        <f t="shared" si="381"/>
        <v>0</v>
      </c>
      <c r="Z1273" s="54">
        <f t="shared" si="371"/>
        <v>0</v>
      </c>
      <c r="AA1273" s="54">
        <f t="shared" si="382"/>
        <v>0</v>
      </c>
      <c r="AB1273" s="55">
        <f t="shared" ref="AB1273:AB1280" si="385">IF(R1273=0,0,0)</f>
        <v>0</v>
      </c>
      <c r="AC1273" s="55">
        <f t="shared" si="383"/>
        <v>0</v>
      </c>
      <c r="AD1273" s="56">
        <f t="shared" si="384"/>
        <v>268091.44</v>
      </c>
    </row>
    <row r="1274" spans="3:30">
      <c r="C1274" s="43" t="s">
        <v>2327</v>
      </c>
      <c r="D1274" s="44" t="s">
        <v>2328</v>
      </c>
      <c r="E1274" s="44"/>
      <c r="F1274" s="45">
        <v>42605.410983796297</v>
      </c>
      <c r="G1274" s="46">
        <v>25</v>
      </c>
      <c r="H1274" s="47">
        <v>43376</v>
      </c>
      <c r="I1274" s="47">
        <v>43385</v>
      </c>
      <c r="J1274" s="46">
        <v>747259</v>
      </c>
      <c r="K1274" s="46">
        <v>0</v>
      </c>
      <c r="L1274" s="46">
        <v>0</v>
      </c>
      <c r="M1274" s="46">
        <f t="shared" si="373"/>
        <v>747259</v>
      </c>
      <c r="N1274" s="46">
        <v>747259</v>
      </c>
      <c r="O1274" s="48">
        <f t="shared" si="374"/>
        <v>0</v>
      </c>
      <c r="P1274" s="46">
        <v>0</v>
      </c>
      <c r="Q1274" s="46">
        <v>747259</v>
      </c>
      <c r="R1274" s="49">
        <f t="shared" si="375"/>
        <v>1</v>
      </c>
      <c r="S1274" s="50">
        <f t="shared" si="376"/>
        <v>0.01</v>
      </c>
      <c r="T1274" s="49">
        <f t="shared" si="377"/>
        <v>7472.59</v>
      </c>
      <c r="U1274" s="51">
        <f t="shared" si="378"/>
        <v>0</v>
      </c>
      <c r="V1274" s="52">
        <f>IF(0&lt;0.8,0,IF(0&lt;1,Sheet3!L561,1))*IF(G1274&lt;3,0.12 - O1274,0.01) *U1274</f>
        <v>0</v>
      </c>
      <c r="W1274" s="52">
        <f t="shared" si="379"/>
        <v>0</v>
      </c>
      <c r="X1274" s="53">
        <f t="shared" si="380"/>
        <v>0</v>
      </c>
      <c r="Y1274" s="53">
        <f t="shared" si="381"/>
        <v>0</v>
      </c>
      <c r="Z1274" s="54">
        <f t="shared" si="371"/>
        <v>0</v>
      </c>
      <c r="AA1274" s="54">
        <f t="shared" si="382"/>
        <v>0</v>
      </c>
      <c r="AB1274" s="55">
        <f t="shared" si="385"/>
        <v>0</v>
      </c>
      <c r="AC1274" s="55">
        <f t="shared" si="383"/>
        <v>0</v>
      </c>
      <c r="AD1274" s="56">
        <f t="shared" si="384"/>
        <v>7472.59</v>
      </c>
    </row>
    <row r="1275" spans="3:30">
      <c r="C1275" s="43" t="s">
        <v>2329</v>
      </c>
      <c r="D1275" s="44" t="s">
        <v>2330</v>
      </c>
      <c r="E1275" s="44"/>
      <c r="F1275" s="45">
        <v>42605.305833333332</v>
      </c>
      <c r="G1275" s="46">
        <v>25</v>
      </c>
      <c r="H1275" s="47">
        <v>43375</v>
      </c>
      <c r="I1275" s="47">
        <v>43413</v>
      </c>
      <c r="J1275" s="46">
        <v>1079152</v>
      </c>
      <c r="K1275" s="46">
        <v>0</v>
      </c>
      <c r="L1275" s="46">
        <v>0</v>
      </c>
      <c r="M1275" s="46">
        <f t="shared" si="373"/>
        <v>1079152</v>
      </c>
      <c r="N1275" s="46">
        <v>1079152</v>
      </c>
      <c r="O1275" s="48">
        <f t="shared" si="374"/>
        <v>0</v>
      </c>
      <c r="P1275" s="46">
        <v>0</v>
      </c>
      <c r="Q1275" s="46">
        <v>1079152</v>
      </c>
      <c r="R1275" s="49">
        <f t="shared" si="375"/>
        <v>1</v>
      </c>
      <c r="S1275" s="50">
        <f t="shared" si="376"/>
        <v>0.01</v>
      </c>
      <c r="T1275" s="49">
        <f t="shared" si="377"/>
        <v>10791.52</v>
      </c>
      <c r="U1275" s="51">
        <f t="shared" si="378"/>
        <v>0</v>
      </c>
      <c r="V1275" s="52">
        <f>IF(0&lt;0.8,0,IF(0&lt;1,Sheet3!L561,1))*IF(G1275&lt;3,0.12 - O1275,0.01) *U1275</f>
        <v>0</v>
      </c>
      <c r="W1275" s="52">
        <f t="shared" si="379"/>
        <v>0</v>
      </c>
      <c r="X1275" s="53">
        <f t="shared" si="380"/>
        <v>0</v>
      </c>
      <c r="Y1275" s="53">
        <f t="shared" si="381"/>
        <v>0</v>
      </c>
      <c r="Z1275" s="54">
        <f t="shared" si="371"/>
        <v>0</v>
      </c>
      <c r="AA1275" s="54">
        <f t="shared" si="382"/>
        <v>0</v>
      </c>
      <c r="AB1275" s="55">
        <f t="shared" si="385"/>
        <v>0</v>
      </c>
      <c r="AC1275" s="55">
        <f t="shared" si="383"/>
        <v>0</v>
      </c>
      <c r="AD1275" s="56">
        <f t="shared" si="384"/>
        <v>10791.52</v>
      </c>
    </row>
    <row r="1276" spans="3:30">
      <c r="C1276" s="43" t="s">
        <v>2331</v>
      </c>
      <c r="D1276" s="44" t="s">
        <v>2332</v>
      </c>
      <c r="E1276" s="44"/>
      <c r="F1276" s="45">
        <v>42608.316793981481</v>
      </c>
      <c r="G1276" s="46">
        <v>25</v>
      </c>
      <c r="H1276" s="47">
        <v>43372</v>
      </c>
      <c r="I1276" s="47">
        <v>43404</v>
      </c>
      <c r="J1276" s="46">
        <v>15554349</v>
      </c>
      <c r="K1276" s="46">
        <v>0</v>
      </c>
      <c r="L1276" s="46">
        <v>0</v>
      </c>
      <c r="M1276" s="46">
        <f t="shared" si="373"/>
        <v>15554349</v>
      </c>
      <c r="N1276" s="46">
        <v>30795048</v>
      </c>
      <c r="O1276" s="48">
        <f t="shared" si="374"/>
        <v>0.49490746044623801</v>
      </c>
      <c r="P1276" s="46">
        <v>0</v>
      </c>
      <c r="Q1276" s="46">
        <v>15554349</v>
      </c>
      <c r="R1276" s="49">
        <f t="shared" si="375"/>
        <v>1</v>
      </c>
      <c r="S1276" s="50">
        <f t="shared" si="376"/>
        <v>0.01</v>
      </c>
      <c r="T1276" s="49">
        <f t="shared" si="377"/>
        <v>155543.49</v>
      </c>
      <c r="U1276" s="51">
        <f t="shared" si="378"/>
        <v>0</v>
      </c>
      <c r="V1276" s="52">
        <f>IF(0&lt;0.8,0,IF(0&lt;1,Sheet3!L561,1))*IF(G1276&lt;3,0.12 - O1276,0.01) *U1276</f>
        <v>0</v>
      </c>
      <c r="W1276" s="52">
        <f t="shared" si="379"/>
        <v>0</v>
      </c>
      <c r="X1276" s="53">
        <f t="shared" si="380"/>
        <v>0</v>
      </c>
      <c r="Y1276" s="53">
        <f t="shared" si="381"/>
        <v>0</v>
      </c>
      <c r="Z1276" s="54">
        <f t="shared" si="371"/>
        <v>0</v>
      </c>
      <c r="AA1276" s="54">
        <f t="shared" si="382"/>
        <v>0</v>
      </c>
      <c r="AB1276" s="55">
        <f t="shared" si="385"/>
        <v>0</v>
      </c>
      <c r="AC1276" s="55">
        <f t="shared" si="383"/>
        <v>0</v>
      </c>
      <c r="AD1276" s="56">
        <f t="shared" si="384"/>
        <v>155543.49</v>
      </c>
    </row>
    <row r="1277" spans="3:30">
      <c r="C1277" s="43" t="s">
        <v>2333</v>
      </c>
      <c r="D1277" s="44" t="s">
        <v>2334</v>
      </c>
      <c r="E1277" s="44"/>
      <c r="F1277" s="45">
        <v>42609.300983796296</v>
      </c>
      <c r="G1277" s="46">
        <v>25</v>
      </c>
      <c r="H1277" s="47">
        <v>43388</v>
      </c>
      <c r="I1277" s="47">
        <v>43390</v>
      </c>
      <c r="J1277" s="46">
        <v>261009</v>
      </c>
      <c r="K1277" s="46">
        <v>0</v>
      </c>
      <c r="L1277" s="46">
        <v>0</v>
      </c>
      <c r="M1277" s="46">
        <f t="shared" si="373"/>
        <v>261009</v>
      </c>
      <c r="N1277" s="46">
        <v>261009</v>
      </c>
      <c r="O1277" s="48">
        <f t="shared" si="374"/>
        <v>0</v>
      </c>
      <c r="P1277" s="46">
        <v>0</v>
      </c>
      <c r="Q1277" s="46">
        <v>261009</v>
      </c>
      <c r="R1277" s="49">
        <f t="shared" si="375"/>
        <v>1</v>
      </c>
      <c r="S1277" s="50">
        <f t="shared" si="376"/>
        <v>0.01</v>
      </c>
      <c r="T1277" s="49">
        <f t="shared" si="377"/>
        <v>2610.09</v>
      </c>
      <c r="U1277" s="51">
        <f t="shared" si="378"/>
        <v>0</v>
      </c>
      <c r="V1277" s="52">
        <f>IF(0&lt;0.8,0,IF(0&lt;1,Sheet3!L561,1))*IF(G1277&lt;3,0.12 - O1277,0.01) *U1277</f>
        <v>0</v>
      </c>
      <c r="W1277" s="52">
        <f t="shared" si="379"/>
        <v>0</v>
      </c>
      <c r="X1277" s="53">
        <f t="shared" si="380"/>
        <v>0</v>
      </c>
      <c r="Y1277" s="53">
        <f t="shared" si="381"/>
        <v>0</v>
      </c>
      <c r="Z1277" s="54">
        <f t="shared" si="371"/>
        <v>0</v>
      </c>
      <c r="AA1277" s="54">
        <f t="shared" si="382"/>
        <v>0</v>
      </c>
      <c r="AB1277" s="55">
        <f t="shared" si="385"/>
        <v>0</v>
      </c>
      <c r="AC1277" s="55">
        <f t="shared" si="383"/>
        <v>0</v>
      </c>
      <c r="AD1277" s="56">
        <f t="shared" si="384"/>
        <v>2610.09</v>
      </c>
    </row>
    <row r="1278" spans="3:30">
      <c r="C1278" s="43" t="s">
        <v>2335</v>
      </c>
      <c r="D1278" s="44" t="s">
        <v>2336</v>
      </c>
      <c r="E1278" s="44"/>
      <c r="F1278" s="45">
        <v>42613.106990740736</v>
      </c>
      <c r="G1278" s="46">
        <v>25</v>
      </c>
      <c r="H1278" s="47">
        <v>43377</v>
      </c>
      <c r="I1278" s="47">
        <v>43425</v>
      </c>
      <c r="J1278" s="46">
        <v>51510</v>
      </c>
      <c r="K1278" s="46">
        <v>0</v>
      </c>
      <c r="L1278" s="46">
        <v>0</v>
      </c>
      <c r="M1278" s="46">
        <f t="shared" si="373"/>
        <v>51510</v>
      </c>
      <c r="N1278" s="46">
        <v>51510</v>
      </c>
      <c r="O1278" s="48">
        <f t="shared" si="374"/>
        <v>0</v>
      </c>
      <c r="P1278" s="46">
        <v>0</v>
      </c>
      <c r="Q1278" s="46">
        <v>51510</v>
      </c>
      <c r="R1278" s="49">
        <f t="shared" si="375"/>
        <v>1</v>
      </c>
      <c r="S1278" s="50">
        <f t="shared" si="376"/>
        <v>0.01</v>
      </c>
      <c r="T1278" s="49">
        <f t="shared" si="377"/>
        <v>515.1</v>
      </c>
      <c r="U1278" s="51">
        <f t="shared" si="378"/>
        <v>0</v>
      </c>
      <c r="V1278" s="52">
        <f>IF(0&lt;0.8,0,IF(0&lt;1,Sheet3!L561,1))*IF(G1278&lt;3,0.12 - O1278,0.01) *U1278</f>
        <v>0</v>
      </c>
      <c r="W1278" s="52">
        <f t="shared" si="379"/>
        <v>0</v>
      </c>
      <c r="X1278" s="53">
        <f t="shared" si="380"/>
        <v>0</v>
      </c>
      <c r="Y1278" s="53">
        <f t="shared" si="381"/>
        <v>0</v>
      </c>
      <c r="Z1278" s="54">
        <f t="shared" si="371"/>
        <v>0</v>
      </c>
      <c r="AA1278" s="54">
        <f t="shared" si="382"/>
        <v>0</v>
      </c>
      <c r="AB1278" s="55">
        <f t="shared" si="385"/>
        <v>0</v>
      </c>
      <c r="AC1278" s="55">
        <f t="shared" si="383"/>
        <v>0</v>
      </c>
      <c r="AD1278" s="56">
        <f t="shared" si="384"/>
        <v>515.1</v>
      </c>
    </row>
    <row r="1279" spans="3:30">
      <c r="C1279" s="43" t="s">
        <v>2337</v>
      </c>
      <c r="D1279" s="44" t="s">
        <v>2338</v>
      </c>
      <c r="E1279" s="44"/>
      <c r="F1279" s="45">
        <v>42620.168611111112</v>
      </c>
      <c r="G1279" s="46">
        <v>24</v>
      </c>
      <c r="H1279" s="47">
        <v>43377</v>
      </c>
      <c r="I1279" s="47">
        <v>43417</v>
      </c>
      <c r="J1279" s="46">
        <v>3137295</v>
      </c>
      <c r="K1279" s="46">
        <v>0</v>
      </c>
      <c r="L1279" s="46">
        <v>0</v>
      </c>
      <c r="M1279" s="46">
        <f t="shared" si="373"/>
        <v>3137295</v>
      </c>
      <c r="N1279" s="46">
        <v>3137295</v>
      </c>
      <c r="O1279" s="48">
        <f t="shared" si="374"/>
        <v>0</v>
      </c>
      <c r="P1279" s="46">
        <v>0</v>
      </c>
      <c r="Q1279" s="46">
        <v>3137295</v>
      </c>
      <c r="R1279" s="49">
        <f t="shared" si="375"/>
        <v>1</v>
      </c>
      <c r="S1279" s="50">
        <f t="shared" si="376"/>
        <v>0.01</v>
      </c>
      <c r="T1279" s="49">
        <f t="shared" si="377"/>
        <v>31372.95</v>
      </c>
      <c r="U1279" s="51">
        <f t="shared" si="378"/>
        <v>0</v>
      </c>
      <c r="V1279" s="52">
        <f>IF(0&lt;0.8,0,IF(0&lt;1,Sheet3!L561,1))*IF(G1279&lt;3,0.12 - O1279,0.01) *U1279</f>
        <v>0</v>
      </c>
      <c r="W1279" s="52">
        <f t="shared" si="379"/>
        <v>0</v>
      </c>
      <c r="X1279" s="53">
        <f t="shared" si="380"/>
        <v>0</v>
      </c>
      <c r="Y1279" s="53">
        <f t="shared" si="381"/>
        <v>0</v>
      </c>
      <c r="Z1279" s="54">
        <f t="shared" si="371"/>
        <v>0</v>
      </c>
      <c r="AA1279" s="54">
        <f t="shared" si="382"/>
        <v>0</v>
      </c>
      <c r="AB1279" s="55">
        <f t="shared" si="385"/>
        <v>0</v>
      </c>
      <c r="AC1279" s="55">
        <f t="shared" si="383"/>
        <v>0</v>
      </c>
      <c r="AD1279" s="56">
        <f t="shared" si="384"/>
        <v>31372.95</v>
      </c>
    </row>
    <row r="1280" spans="3:30">
      <c r="C1280" s="43" t="s">
        <v>2339</v>
      </c>
      <c r="D1280" s="44" t="s">
        <v>2143</v>
      </c>
      <c r="E1280" s="44"/>
      <c r="F1280" s="45">
        <v>42620.170949074076</v>
      </c>
      <c r="G1280" s="46">
        <v>24</v>
      </c>
      <c r="H1280" s="47">
        <v>43404</v>
      </c>
      <c r="I1280" s="47">
        <v>43412</v>
      </c>
      <c r="J1280" s="46">
        <v>147455</v>
      </c>
      <c r="K1280" s="46">
        <v>0</v>
      </c>
      <c r="L1280" s="46">
        <v>0</v>
      </c>
      <c r="M1280" s="46">
        <f t="shared" si="373"/>
        <v>147455</v>
      </c>
      <c r="N1280" s="46">
        <v>173453</v>
      </c>
      <c r="O1280" s="48">
        <f t="shared" si="374"/>
        <v>0.14988498325194721</v>
      </c>
      <c r="P1280" s="46">
        <v>0</v>
      </c>
      <c r="Q1280" s="46">
        <v>147455</v>
      </c>
      <c r="R1280" s="49">
        <f t="shared" si="375"/>
        <v>1</v>
      </c>
      <c r="S1280" s="50">
        <f t="shared" si="376"/>
        <v>0.01</v>
      </c>
      <c r="T1280" s="49">
        <f t="shared" si="377"/>
        <v>1474.55</v>
      </c>
      <c r="U1280" s="51">
        <f t="shared" si="378"/>
        <v>0</v>
      </c>
      <c r="V1280" s="52">
        <f>IF(0&lt;0.8,0,IF(0&lt;1,Sheet3!L561,1))*IF(G1280&lt;3,0.12 - O1280,0.01) *U1280</f>
        <v>0</v>
      </c>
      <c r="W1280" s="52">
        <f t="shared" si="379"/>
        <v>0</v>
      </c>
      <c r="X1280" s="53">
        <f t="shared" si="380"/>
        <v>0</v>
      </c>
      <c r="Y1280" s="53">
        <f t="shared" si="381"/>
        <v>0</v>
      </c>
      <c r="Z1280" s="54">
        <f t="shared" si="371"/>
        <v>0</v>
      </c>
      <c r="AA1280" s="54">
        <f t="shared" si="382"/>
        <v>0</v>
      </c>
      <c r="AB1280" s="55">
        <f t="shared" si="385"/>
        <v>0</v>
      </c>
      <c r="AC1280" s="55">
        <f t="shared" si="383"/>
        <v>0</v>
      </c>
      <c r="AD1280" s="56">
        <f t="shared" si="384"/>
        <v>1474.55</v>
      </c>
    </row>
    <row r="1281" spans="3:30">
      <c r="C1281" s="43" t="s">
        <v>2340</v>
      </c>
      <c r="D1281" s="44" t="s">
        <v>24</v>
      </c>
      <c r="E1281" s="44"/>
      <c r="F1281" s="45" t="s">
        <v>24</v>
      </c>
      <c r="G1281" s="46" t="s">
        <v>24</v>
      </c>
      <c r="H1281" s="47" t="s">
        <v>24</v>
      </c>
      <c r="I1281" s="47" t="s">
        <v>24</v>
      </c>
      <c r="J1281" s="46">
        <v>273647</v>
      </c>
      <c r="K1281" s="46">
        <v>0</v>
      </c>
      <c r="L1281" s="46">
        <v>0</v>
      </c>
      <c r="M1281" s="46">
        <f t="shared" si="373"/>
        <v>273647</v>
      </c>
      <c r="N1281" s="46" t="s">
        <v>24</v>
      </c>
      <c r="O1281" s="48">
        <f t="shared" si="374"/>
        <v>0</v>
      </c>
      <c r="P1281" s="46">
        <v>0</v>
      </c>
      <c r="Q1281" s="46">
        <v>0</v>
      </c>
      <c r="R1281" s="49">
        <f t="shared" si="375"/>
        <v>0</v>
      </c>
      <c r="S1281" s="50">
        <f t="shared" si="376"/>
        <v>0</v>
      </c>
      <c r="T1281" s="49">
        <f t="shared" si="377"/>
        <v>0</v>
      </c>
      <c r="U1281" s="51">
        <f t="shared" si="378"/>
        <v>273647</v>
      </c>
      <c r="V1281" s="52">
        <f>IF(0&lt;0.8,0,IF(0&lt;1,Sheet3!L561,1))*IF(G1281&lt;3,0.12 - O1281,0.01) *U1281</f>
        <v>0</v>
      </c>
      <c r="W1281" s="52">
        <f t="shared" si="379"/>
        <v>0</v>
      </c>
      <c r="X1281" s="53">
        <f t="shared" si="380"/>
        <v>0</v>
      </c>
      <c r="Y1281" s="53">
        <f t="shared" si="381"/>
        <v>0</v>
      </c>
      <c r="Z1281" s="54" t="str">
        <f>IF(R1281=1,0,"")</f>
        <v/>
      </c>
      <c r="AA1281" s="54">
        <f t="shared" si="382"/>
        <v>0</v>
      </c>
      <c r="AB1281" s="55" t="str">
        <f>IF(R1281=0,"",0)</f>
        <v/>
      </c>
      <c r="AC1281" s="55">
        <f t="shared" si="383"/>
        <v>0</v>
      </c>
      <c r="AD1281" s="56">
        <f t="shared" si="384"/>
        <v>0</v>
      </c>
    </row>
    <row r="1282" spans="3:30">
      <c r="C1282" s="43" t="s">
        <v>2341</v>
      </c>
      <c r="D1282" s="44" t="s">
        <v>24</v>
      </c>
      <c r="E1282" s="44"/>
      <c r="F1282" s="45" t="s">
        <v>24</v>
      </c>
      <c r="G1282" s="46" t="s">
        <v>24</v>
      </c>
      <c r="H1282" s="47" t="s">
        <v>24</v>
      </c>
      <c r="I1282" s="47" t="s">
        <v>24</v>
      </c>
      <c r="J1282" s="46">
        <v>19128835</v>
      </c>
      <c r="K1282" s="46">
        <v>0</v>
      </c>
      <c r="L1282" s="46">
        <v>0</v>
      </c>
      <c r="M1282" s="46">
        <f t="shared" si="373"/>
        <v>19128835</v>
      </c>
      <c r="N1282" s="46" t="s">
        <v>24</v>
      </c>
      <c r="O1282" s="48">
        <f t="shared" si="374"/>
        <v>0</v>
      </c>
      <c r="P1282" s="46">
        <v>0</v>
      </c>
      <c r="Q1282" s="46">
        <v>0</v>
      </c>
      <c r="R1282" s="49">
        <f t="shared" si="375"/>
        <v>0</v>
      </c>
      <c r="S1282" s="50">
        <f t="shared" si="376"/>
        <v>0</v>
      </c>
      <c r="T1282" s="49">
        <f t="shared" si="377"/>
        <v>0</v>
      </c>
      <c r="U1282" s="51">
        <f t="shared" si="378"/>
        <v>19128835</v>
      </c>
      <c r="V1282" s="52">
        <f>IF(0&lt;0.8,0,IF(0&lt;1,Sheet3!L561,1))*IF(G1282&lt;3,0.12 - O1282,0.01) *U1282</f>
        <v>0</v>
      </c>
      <c r="W1282" s="52">
        <f t="shared" si="379"/>
        <v>0</v>
      </c>
      <c r="X1282" s="53">
        <f t="shared" si="380"/>
        <v>0</v>
      </c>
      <c r="Y1282" s="53">
        <f t="shared" si="381"/>
        <v>0</v>
      </c>
      <c r="Z1282" s="54" t="str">
        <f>IF(R1282=1,0,"")</f>
        <v/>
      </c>
      <c r="AA1282" s="54">
        <f t="shared" si="382"/>
        <v>0</v>
      </c>
      <c r="AB1282" s="55" t="str">
        <f>IF(R1282=0,"",0)</f>
        <v/>
      </c>
      <c r="AC1282" s="55">
        <f t="shared" si="383"/>
        <v>0</v>
      </c>
      <c r="AD1282" s="56">
        <f t="shared" si="384"/>
        <v>0</v>
      </c>
    </row>
    <row r="1283" spans="3:30">
      <c r="C1283" s="43" t="s">
        <v>2342</v>
      </c>
      <c r="D1283" s="44" t="s">
        <v>2343</v>
      </c>
      <c r="E1283" s="44"/>
      <c r="F1283" s="45">
        <v>42640.351400462961</v>
      </c>
      <c r="G1283" s="46">
        <v>24</v>
      </c>
      <c r="H1283" s="47">
        <v>43397</v>
      </c>
      <c r="I1283" s="47">
        <v>43419</v>
      </c>
      <c r="J1283" s="46">
        <v>310640</v>
      </c>
      <c r="K1283" s="46">
        <v>0</v>
      </c>
      <c r="L1283" s="46">
        <v>0</v>
      </c>
      <c r="M1283" s="46">
        <f t="shared" si="373"/>
        <v>310640</v>
      </c>
      <c r="N1283" s="46">
        <v>425041</v>
      </c>
      <c r="O1283" s="48">
        <f t="shared" si="374"/>
        <v>0.26915285819485646</v>
      </c>
      <c r="P1283" s="46">
        <v>0</v>
      </c>
      <c r="Q1283" s="46">
        <v>310640</v>
      </c>
      <c r="R1283" s="49">
        <f t="shared" si="375"/>
        <v>1</v>
      </c>
      <c r="S1283" s="50">
        <f t="shared" si="376"/>
        <v>0.01</v>
      </c>
      <c r="T1283" s="49">
        <f t="shared" si="377"/>
        <v>3106.4</v>
      </c>
      <c r="U1283" s="51">
        <f t="shared" si="378"/>
        <v>0</v>
      </c>
      <c r="V1283" s="52">
        <f>IF(0&lt;0.8,0,IF(0&lt;1,Sheet3!L561,1))*IF(G1283&lt;3,0.12 - O1283,0.01) *U1283</f>
        <v>0</v>
      </c>
      <c r="W1283" s="52">
        <f t="shared" si="379"/>
        <v>0</v>
      </c>
      <c r="X1283" s="53">
        <f t="shared" si="380"/>
        <v>0</v>
      </c>
      <c r="Y1283" s="53">
        <f t="shared" si="381"/>
        <v>0</v>
      </c>
      <c r="Z1283" s="54">
        <f t="shared" ref="Z1283:Z1335" si="386">IF(R1283=1,0,0)</f>
        <v>0</v>
      </c>
      <c r="AA1283" s="54">
        <f t="shared" si="382"/>
        <v>0</v>
      </c>
      <c r="AB1283" s="55">
        <f t="shared" ref="AB1283:AB1316" si="387">IF(R1283=0,0,0)</f>
        <v>0</v>
      </c>
      <c r="AC1283" s="55">
        <f t="shared" si="383"/>
        <v>0</v>
      </c>
      <c r="AD1283" s="56">
        <f t="shared" si="384"/>
        <v>3106.4</v>
      </c>
    </row>
    <row r="1284" spans="3:30">
      <c r="C1284" s="43" t="s">
        <v>2344</v>
      </c>
      <c r="D1284" s="44" t="s">
        <v>2345</v>
      </c>
      <c r="E1284" s="44"/>
      <c r="F1284" s="45">
        <v>42650.076631944445</v>
      </c>
      <c r="G1284" s="46">
        <v>23</v>
      </c>
      <c r="H1284" s="47">
        <v>43377</v>
      </c>
      <c r="I1284" s="47">
        <v>43385</v>
      </c>
      <c r="J1284" s="46">
        <v>1167034</v>
      </c>
      <c r="K1284" s="46">
        <v>0</v>
      </c>
      <c r="L1284" s="46">
        <v>0</v>
      </c>
      <c r="M1284" s="46">
        <f t="shared" si="373"/>
        <v>1167034</v>
      </c>
      <c r="N1284" s="46">
        <v>1167034</v>
      </c>
      <c r="O1284" s="48">
        <f t="shared" si="374"/>
        <v>0</v>
      </c>
      <c r="P1284" s="46">
        <v>0</v>
      </c>
      <c r="Q1284" s="46">
        <v>1167034</v>
      </c>
      <c r="R1284" s="49">
        <f t="shared" si="375"/>
        <v>1</v>
      </c>
      <c r="S1284" s="50">
        <f t="shared" si="376"/>
        <v>0.01</v>
      </c>
      <c r="T1284" s="49">
        <f t="shared" si="377"/>
        <v>11670.34</v>
      </c>
      <c r="U1284" s="51">
        <f t="shared" si="378"/>
        <v>0</v>
      </c>
      <c r="V1284" s="52">
        <f>IF(0&lt;0.8,0,IF(0&lt;1,Sheet3!L561,1))*IF(G1284&lt;3,0.12 - O1284,0.01) *U1284</f>
        <v>0</v>
      </c>
      <c r="W1284" s="52">
        <f t="shared" si="379"/>
        <v>0</v>
      </c>
      <c r="X1284" s="53">
        <f t="shared" si="380"/>
        <v>0</v>
      </c>
      <c r="Y1284" s="53">
        <f t="shared" si="381"/>
        <v>0</v>
      </c>
      <c r="Z1284" s="54">
        <f t="shared" si="386"/>
        <v>0</v>
      </c>
      <c r="AA1284" s="54">
        <f t="shared" si="382"/>
        <v>0</v>
      </c>
      <c r="AB1284" s="55">
        <f t="shared" si="387"/>
        <v>0</v>
      </c>
      <c r="AC1284" s="55">
        <f t="shared" si="383"/>
        <v>0</v>
      </c>
      <c r="AD1284" s="56">
        <f t="shared" si="384"/>
        <v>11670.34</v>
      </c>
    </row>
    <row r="1285" spans="3:30">
      <c r="C1285" s="43" t="s">
        <v>2346</v>
      </c>
      <c r="D1285" s="44" t="s">
        <v>2347</v>
      </c>
      <c r="E1285" s="44"/>
      <c r="F1285" s="45">
        <v>42647.356469907405</v>
      </c>
      <c r="G1285" s="46">
        <v>23</v>
      </c>
      <c r="H1285" s="47">
        <v>43382</v>
      </c>
      <c r="I1285" s="47">
        <v>43397</v>
      </c>
      <c r="J1285" s="46">
        <v>324586</v>
      </c>
      <c r="K1285" s="46">
        <v>0</v>
      </c>
      <c r="L1285" s="46">
        <v>0</v>
      </c>
      <c r="M1285" s="46">
        <f t="shared" si="373"/>
        <v>324586</v>
      </c>
      <c r="N1285" s="46">
        <v>324586</v>
      </c>
      <c r="O1285" s="48">
        <f t="shared" si="374"/>
        <v>0</v>
      </c>
      <c r="P1285" s="46">
        <v>0</v>
      </c>
      <c r="Q1285" s="46">
        <v>324586</v>
      </c>
      <c r="R1285" s="49">
        <f t="shared" si="375"/>
        <v>1</v>
      </c>
      <c r="S1285" s="50">
        <f t="shared" si="376"/>
        <v>0.01</v>
      </c>
      <c r="T1285" s="49">
        <f t="shared" si="377"/>
        <v>3245.86</v>
      </c>
      <c r="U1285" s="51">
        <f t="shared" si="378"/>
        <v>0</v>
      </c>
      <c r="V1285" s="52">
        <f>IF(0&lt;0.8,0,IF(0&lt;1,Sheet3!L561,1))*IF(G1285&lt;3,0.12 - O1285,0.01) *U1285</f>
        <v>0</v>
      </c>
      <c r="W1285" s="52">
        <f t="shared" si="379"/>
        <v>0</v>
      </c>
      <c r="X1285" s="53">
        <f t="shared" si="380"/>
        <v>0</v>
      </c>
      <c r="Y1285" s="53">
        <f t="shared" si="381"/>
        <v>0</v>
      </c>
      <c r="Z1285" s="54">
        <f t="shared" si="386"/>
        <v>0</v>
      </c>
      <c r="AA1285" s="54">
        <f t="shared" si="382"/>
        <v>0</v>
      </c>
      <c r="AB1285" s="55">
        <f t="shared" si="387"/>
        <v>0</v>
      </c>
      <c r="AC1285" s="55">
        <f t="shared" si="383"/>
        <v>0</v>
      </c>
      <c r="AD1285" s="56">
        <f t="shared" si="384"/>
        <v>3245.86</v>
      </c>
    </row>
    <row r="1286" spans="3:30">
      <c r="C1286" s="43" t="s">
        <v>2348</v>
      </c>
      <c r="D1286" s="44" t="s">
        <v>2349</v>
      </c>
      <c r="E1286" s="44"/>
      <c r="F1286" s="45">
        <v>42651.293043981481</v>
      </c>
      <c r="G1286" s="46">
        <v>23</v>
      </c>
      <c r="H1286" s="47">
        <v>43372</v>
      </c>
      <c r="I1286" s="47">
        <v>43397</v>
      </c>
      <c r="J1286" s="46">
        <v>438671</v>
      </c>
      <c r="K1286" s="46">
        <v>0</v>
      </c>
      <c r="L1286" s="46">
        <v>0</v>
      </c>
      <c r="M1286" s="46">
        <f t="shared" si="373"/>
        <v>438671</v>
      </c>
      <c r="N1286" s="46">
        <v>438671</v>
      </c>
      <c r="O1286" s="48">
        <f t="shared" si="374"/>
        <v>0</v>
      </c>
      <c r="P1286" s="46">
        <v>0</v>
      </c>
      <c r="Q1286" s="46">
        <v>438671</v>
      </c>
      <c r="R1286" s="49">
        <f t="shared" si="375"/>
        <v>1</v>
      </c>
      <c r="S1286" s="50">
        <f t="shared" si="376"/>
        <v>0.01</v>
      </c>
      <c r="T1286" s="49">
        <f t="shared" si="377"/>
        <v>4386.71</v>
      </c>
      <c r="U1286" s="51">
        <f t="shared" si="378"/>
        <v>0</v>
      </c>
      <c r="V1286" s="52">
        <f>IF(0&lt;0.8,0,IF(0&lt;1,Sheet3!L561,1))*IF(G1286&lt;3,0.12 - O1286,0.01) *U1286</f>
        <v>0</v>
      </c>
      <c r="W1286" s="52">
        <f t="shared" si="379"/>
        <v>0</v>
      </c>
      <c r="X1286" s="53">
        <f t="shared" si="380"/>
        <v>0</v>
      </c>
      <c r="Y1286" s="53">
        <f t="shared" si="381"/>
        <v>0</v>
      </c>
      <c r="Z1286" s="54">
        <f t="shared" si="386"/>
        <v>0</v>
      </c>
      <c r="AA1286" s="54">
        <f t="shared" si="382"/>
        <v>0</v>
      </c>
      <c r="AB1286" s="55">
        <f t="shared" si="387"/>
        <v>0</v>
      </c>
      <c r="AC1286" s="55">
        <f t="shared" si="383"/>
        <v>0</v>
      </c>
      <c r="AD1286" s="56">
        <f t="shared" si="384"/>
        <v>4386.71</v>
      </c>
    </row>
    <row r="1287" spans="3:30">
      <c r="C1287" s="43" t="s">
        <v>2350</v>
      </c>
      <c r="D1287" s="44" t="s">
        <v>2351</v>
      </c>
      <c r="E1287" s="44"/>
      <c r="F1287" s="45">
        <v>42651.294594907406</v>
      </c>
      <c r="G1287" s="46">
        <v>23</v>
      </c>
      <c r="H1287" s="47">
        <v>43409</v>
      </c>
      <c r="I1287" s="47">
        <v>43424</v>
      </c>
      <c r="J1287" s="46">
        <v>13310</v>
      </c>
      <c r="K1287" s="46">
        <v>0</v>
      </c>
      <c r="L1287" s="46">
        <v>0</v>
      </c>
      <c r="M1287" s="46">
        <f t="shared" si="373"/>
        <v>13310</v>
      </c>
      <c r="N1287" s="46">
        <v>13310</v>
      </c>
      <c r="O1287" s="48">
        <f t="shared" si="374"/>
        <v>0</v>
      </c>
      <c r="P1287" s="46">
        <v>0</v>
      </c>
      <c r="Q1287" s="46">
        <v>13310</v>
      </c>
      <c r="R1287" s="49">
        <f t="shared" si="375"/>
        <v>1</v>
      </c>
      <c r="S1287" s="50">
        <f t="shared" si="376"/>
        <v>0.01</v>
      </c>
      <c r="T1287" s="49">
        <f t="shared" si="377"/>
        <v>133.1</v>
      </c>
      <c r="U1287" s="51">
        <f t="shared" si="378"/>
        <v>0</v>
      </c>
      <c r="V1287" s="52">
        <f>IF(0&lt;0.8,0,IF(0&lt;1,Sheet3!L561,1))*IF(G1287&lt;3,0.12 - O1287,0.01) *U1287</f>
        <v>0</v>
      </c>
      <c r="W1287" s="52">
        <f t="shared" si="379"/>
        <v>0</v>
      </c>
      <c r="X1287" s="53">
        <f t="shared" si="380"/>
        <v>0</v>
      </c>
      <c r="Y1287" s="53">
        <f t="shared" si="381"/>
        <v>0</v>
      </c>
      <c r="Z1287" s="54">
        <f t="shared" si="386"/>
        <v>0</v>
      </c>
      <c r="AA1287" s="54">
        <f t="shared" si="382"/>
        <v>0</v>
      </c>
      <c r="AB1287" s="55">
        <f t="shared" si="387"/>
        <v>0</v>
      </c>
      <c r="AC1287" s="55">
        <f t="shared" si="383"/>
        <v>0</v>
      </c>
      <c r="AD1287" s="56">
        <f t="shared" si="384"/>
        <v>133.1</v>
      </c>
    </row>
    <row r="1288" spans="3:30">
      <c r="C1288" s="43" t="s">
        <v>2352</v>
      </c>
      <c r="D1288" s="44" t="s">
        <v>2353</v>
      </c>
      <c r="E1288" s="44"/>
      <c r="F1288" s="45">
        <v>42651.295868055553</v>
      </c>
      <c r="G1288" s="46">
        <v>23</v>
      </c>
      <c r="H1288" s="47">
        <v>43382</v>
      </c>
      <c r="I1288" s="47">
        <v>43397</v>
      </c>
      <c r="J1288" s="46">
        <v>129407</v>
      </c>
      <c r="K1288" s="46">
        <v>0</v>
      </c>
      <c r="L1288" s="46">
        <v>0</v>
      </c>
      <c r="M1288" s="46">
        <f t="shared" si="373"/>
        <v>129407</v>
      </c>
      <c r="N1288" s="46">
        <v>129407</v>
      </c>
      <c r="O1288" s="48">
        <f t="shared" si="374"/>
        <v>0</v>
      </c>
      <c r="P1288" s="46">
        <v>0</v>
      </c>
      <c r="Q1288" s="46">
        <v>129407</v>
      </c>
      <c r="R1288" s="49">
        <f t="shared" si="375"/>
        <v>1</v>
      </c>
      <c r="S1288" s="50">
        <f t="shared" si="376"/>
        <v>0.01</v>
      </c>
      <c r="T1288" s="49">
        <f t="shared" si="377"/>
        <v>1294.07</v>
      </c>
      <c r="U1288" s="51">
        <f t="shared" si="378"/>
        <v>0</v>
      </c>
      <c r="V1288" s="52">
        <f>IF(0&lt;0.8,0,IF(0&lt;1,Sheet3!L561,1))*IF(G1288&lt;3,0.12 - O1288,0.01) *U1288</f>
        <v>0</v>
      </c>
      <c r="W1288" s="52">
        <f t="shared" si="379"/>
        <v>0</v>
      </c>
      <c r="X1288" s="53">
        <f t="shared" si="380"/>
        <v>0</v>
      </c>
      <c r="Y1288" s="53">
        <f t="shared" si="381"/>
        <v>0</v>
      </c>
      <c r="Z1288" s="54">
        <f t="shared" si="386"/>
        <v>0</v>
      </c>
      <c r="AA1288" s="54">
        <f t="shared" si="382"/>
        <v>0</v>
      </c>
      <c r="AB1288" s="55">
        <f t="shared" si="387"/>
        <v>0</v>
      </c>
      <c r="AC1288" s="55">
        <f t="shared" si="383"/>
        <v>0</v>
      </c>
      <c r="AD1288" s="56">
        <f t="shared" si="384"/>
        <v>1294.07</v>
      </c>
    </row>
    <row r="1289" spans="3:30">
      <c r="C1289" s="43" t="s">
        <v>2354</v>
      </c>
      <c r="D1289" s="44" t="s">
        <v>2355</v>
      </c>
      <c r="E1289" s="44"/>
      <c r="F1289" s="45">
        <v>42655.27103009259</v>
      </c>
      <c r="G1289" s="46">
        <v>23</v>
      </c>
      <c r="H1289" s="47">
        <v>43377</v>
      </c>
      <c r="I1289" s="47">
        <v>43385</v>
      </c>
      <c r="J1289" s="46">
        <v>2315934</v>
      </c>
      <c r="K1289" s="46">
        <v>0</v>
      </c>
      <c r="L1289" s="46">
        <v>0</v>
      </c>
      <c r="M1289" s="46">
        <f t="shared" si="373"/>
        <v>2315934</v>
      </c>
      <c r="N1289" s="46">
        <v>2315934</v>
      </c>
      <c r="O1289" s="48">
        <f t="shared" si="374"/>
        <v>0</v>
      </c>
      <c r="P1289" s="46">
        <v>0</v>
      </c>
      <c r="Q1289" s="46">
        <v>2315934</v>
      </c>
      <c r="R1289" s="49">
        <f t="shared" si="375"/>
        <v>1</v>
      </c>
      <c r="S1289" s="50">
        <f t="shared" si="376"/>
        <v>0.01</v>
      </c>
      <c r="T1289" s="49">
        <f t="shared" si="377"/>
        <v>23159.34</v>
      </c>
      <c r="U1289" s="51">
        <f t="shared" si="378"/>
        <v>0</v>
      </c>
      <c r="V1289" s="52">
        <f>IF(0&lt;0.8,0,IF(0&lt;1,Sheet3!L561,1))*IF(G1289&lt;3,0.12 - O1289,0.01) *U1289</f>
        <v>0</v>
      </c>
      <c r="W1289" s="52">
        <f t="shared" si="379"/>
        <v>0</v>
      </c>
      <c r="X1289" s="53">
        <f t="shared" si="380"/>
        <v>0</v>
      </c>
      <c r="Y1289" s="53">
        <f t="shared" si="381"/>
        <v>0</v>
      </c>
      <c r="Z1289" s="54">
        <f t="shared" si="386"/>
        <v>0</v>
      </c>
      <c r="AA1289" s="54">
        <f t="shared" si="382"/>
        <v>0</v>
      </c>
      <c r="AB1289" s="55">
        <f t="shared" si="387"/>
        <v>0</v>
      </c>
      <c r="AC1289" s="55">
        <f t="shared" si="383"/>
        <v>0</v>
      </c>
      <c r="AD1289" s="56">
        <f t="shared" si="384"/>
        <v>23159.34</v>
      </c>
    </row>
    <row r="1290" spans="3:30">
      <c r="C1290" s="43" t="s">
        <v>2356</v>
      </c>
      <c r="D1290" s="44" t="s">
        <v>2357</v>
      </c>
      <c r="E1290" s="44"/>
      <c r="F1290" s="45">
        <v>42655.269930555551</v>
      </c>
      <c r="G1290" s="46">
        <v>23</v>
      </c>
      <c r="H1290" s="47">
        <v>43378</v>
      </c>
      <c r="I1290" s="47">
        <v>43397</v>
      </c>
      <c r="J1290" s="46">
        <v>205776</v>
      </c>
      <c r="K1290" s="46">
        <v>0</v>
      </c>
      <c r="L1290" s="46">
        <v>0</v>
      </c>
      <c r="M1290" s="46">
        <f t="shared" si="373"/>
        <v>205776</v>
      </c>
      <c r="N1290" s="46">
        <v>205776</v>
      </c>
      <c r="O1290" s="48">
        <f t="shared" si="374"/>
        <v>0</v>
      </c>
      <c r="P1290" s="46">
        <v>0</v>
      </c>
      <c r="Q1290" s="46">
        <v>205776</v>
      </c>
      <c r="R1290" s="49">
        <f t="shared" si="375"/>
        <v>1</v>
      </c>
      <c r="S1290" s="50">
        <f t="shared" si="376"/>
        <v>0.01</v>
      </c>
      <c r="T1290" s="49">
        <f t="shared" si="377"/>
        <v>2057.7600000000002</v>
      </c>
      <c r="U1290" s="51">
        <f t="shared" si="378"/>
        <v>0</v>
      </c>
      <c r="V1290" s="52">
        <f>IF(0&lt;0.8,0,IF(0&lt;1,Sheet3!L561,1))*IF(G1290&lt;3,0.12 - O1290,0.01) *U1290</f>
        <v>0</v>
      </c>
      <c r="W1290" s="52">
        <f t="shared" si="379"/>
        <v>0</v>
      </c>
      <c r="X1290" s="53">
        <f t="shared" si="380"/>
        <v>0</v>
      </c>
      <c r="Y1290" s="53">
        <f t="shared" si="381"/>
        <v>0</v>
      </c>
      <c r="Z1290" s="54">
        <f t="shared" si="386"/>
        <v>0</v>
      </c>
      <c r="AA1290" s="54">
        <f t="shared" si="382"/>
        <v>0</v>
      </c>
      <c r="AB1290" s="55">
        <f t="shared" si="387"/>
        <v>0</v>
      </c>
      <c r="AC1290" s="55">
        <f t="shared" si="383"/>
        <v>0</v>
      </c>
      <c r="AD1290" s="56">
        <f t="shared" si="384"/>
        <v>2057.7600000000002</v>
      </c>
    </row>
    <row r="1291" spans="3:30">
      <c r="C1291" s="43" t="s">
        <v>2358</v>
      </c>
      <c r="D1291" s="44" t="s">
        <v>2359</v>
      </c>
      <c r="E1291" s="44"/>
      <c r="F1291" s="45">
        <v>42658.089525462958</v>
      </c>
      <c r="G1291" s="46">
        <v>23</v>
      </c>
      <c r="H1291" s="47">
        <v>43372</v>
      </c>
      <c r="I1291" s="47">
        <v>43389</v>
      </c>
      <c r="J1291" s="46">
        <v>1226595</v>
      </c>
      <c r="K1291" s="46">
        <v>0</v>
      </c>
      <c r="L1291" s="46">
        <v>0</v>
      </c>
      <c r="M1291" s="46">
        <f t="shared" si="373"/>
        <v>1226595</v>
      </c>
      <c r="N1291" s="46">
        <v>1226595</v>
      </c>
      <c r="O1291" s="48">
        <f t="shared" si="374"/>
        <v>0</v>
      </c>
      <c r="P1291" s="46">
        <v>0</v>
      </c>
      <c r="Q1291" s="46">
        <v>1226595</v>
      </c>
      <c r="R1291" s="49">
        <f t="shared" si="375"/>
        <v>1</v>
      </c>
      <c r="S1291" s="50">
        <f t="shared" si="376"/>
        <v>0.01</v>
      </c>
      <c r="T1291" s="49">
        <f t="shared" si="377"/>
        <v>12265.95</v>
      </c>
      <c r="U1291" s="51">
        <f t="shared" si="378"/>
        <v>0</v>
      </c>
      <c r="V1291" s="52">
        <f>IF(0&lt;0.8,0,IF(0&lt;1,Sheet3!L561,1))*IF(G1291&lt;3,0.12 - O1291,0.01) *U1291</f>
        <v>0</v>
      </c>
      <c r="W1291" s="52">
        <f t="shared" si="379"/>
        <v>0</v>
      </c>
      <c r="X1291" s="53">
        <f t="shared" si="380"/>
        <v>0</v>
      </c>
      <c r="Y1291" s="53">
        <f t="shared" si="381"/>
        <v>0</v>
      </c>
      <c r="Z1291" s="54">
        <f t="shared" si="386"/>
        <v>0</v>
      </c>
      <c r="AA1291" s="54">
        <f t="shared" si="382"/>
        <v>0</v>
      </c>
      <c r="AB1291" s="55">
        <f t="shared" si="387"/>
        <v>0</v>
      </c>
      <c r="AC1291" s="55">
        <f t="shared" si="383"/>
        <v>0</v>
      </c>
      <c r="AD1291" s="56">
        <f t="shared" si="384"/>
        <v>12265.95</v>
      </c>
    </row>
    <row r="1292" spans="3:30">
      <c r="C1292" s="43" t="s">
        <v>2360</v>
      </c>
      <c r="D1292" s="44" t="s">
        <v>2361</v>
      </c>
      <c r="E1292" s="44"/>
      <c r="F1292" s="45">
        <v>42658.097592592589</v>
      </c>
      <c r="G1292" s="46">
        <v>23</v>
      </c>
      <c r="H1292" s="47">
        <v>43404</v>
      </c>
      <c r="I1292" s="47">
        <v>43412</v>
      </c>
      <c r="J1292" s="46">
        <v>82561960</v>
      </c>
      <c r="K1292" s="46">
        <v>14544504</v>
      </c>
      <c r="L1292" s="46">
        <v>0</v>
      </c>
      <c r="M1292" s="46">
        <f t="shared" si="373"/>
        <v>68017456</v>
      </c>
      <c r="N1292" s="46">
        <v>116336488</v>
      </c>
      <c r="O1292" s="48">
        <f t="shared" si="374"/>
        <v>0.41533858233712539</v>
      </c>
      <c r="P1292" s="46">
        <v>0</v>
      </c>
      <c r="Q1292" s="46">
        <v>68226077</v>
      </c>
      <c r="R1292" s="49">
        <f t="shared" si="375"/>
        <v>1</v>
      </c>
      <c r="S1292" s="50">
        <f t="shared" si="376"/>
        <v>0.01</v>
      </c>
      <c r="T1292" s="49">
        <f t="shared" si="377"/>
        <v>680174.56</v>
      </c>
      <c r="U1292" s="51">
        <f t="shared" si="378"/>
        <v>0</v>
      </c>
      <c r="V1292" s="52">
        <f>IF(0&lt;0.8,0,IF(0&lt;1,Sheet3!L561,1))*IF(G1292&lt;3,0.12 - O1292,0.01) *U1292</f>
        <v>0</v>
      </c>
      <c r="W1292" s="52">
        <f t="shared" si="379"/>
        <v>0</v>
      </c>
      <c r="X1292" s="53">
        <f t="shared" si="380"/>
        <v>0</v>
      </c>
      <c r="Y1292" s="53">
        <f t="shared" si="381"/>
        <v>0</v>
      </c>
      <c r="Z1292" s="54">
        <f t="shared" si="386"/>
        <v>0</v>
      </c>
      <c r="AA1292" s="54">
        <f t="shared" si="382"/>
        <v>0</v>
      </c>
      <c r="AB1292" s="55">
        <f t="shared" si="387"/>
        <v>0</v>
      </c>
      <c r="AC1292" s="55">
        <f t="shared" si="383"/>
        <v>0</v>
      </c>
      <c r="AD1292" s="56">
        <f t="shared" si="384"/>
        <v>680174.56</v>
      </c>
    </row>
    <row r="1293" spans="3:30">
      <c r="C1293" s="43" t="s">
        <v>2362</v>
      </c>
      <c r="D1293" s="44" t="s">
        <v>2363</v>
      </c>
      <c r="E1293" s="44"/>
      <c r="F1293" s="45">
        <v>42664.39675925926</v>
      </c>
      <c r="G1293" s="46">
        <v>23</v>
      </c>
      <c r="H1293" s="47">
        <v>43377</v>
      </c>
      <c r="I1293" s="47">
        <v>43398</v>
      </c>
      <c r="J1293" s="46">
        <v>778341</v>
      </c>
      <c r="K1293" s="46">
        <v>0</v>
      </c>
      <c r="L1293" s="46">
        <v>0</v>
      </c>
      <c r="M1293" s="46">
        <f t="shared" si="373"/>
        <v>778341</v>
      </c>
      <c r="N1293" s="46">
        <v>778341</v>
      </c>
      <c r="O1293" s="48">
        <f t="shared" si="374"/>
        <v>0</v>
      </c>
      <c r="P1293" s="46">
        <v>0</v>
      </c>
      <c r="Q1293" s="46">
        <v>778341</v>
      </c>
      <c r="R1293" s="49">
        <f t="shared" si="375"/>
        <v>1</v>
      </c>
      <c r="S1293" s="50">
        <f t="shared" si="376"/>
        <v>0.01</v>
      </c>
      <c r="T1293" s="49">
        <f t="shared" si="377"/>
        <v>7783.41</v>
      </c>
      <c r="U1293" s="51">
        <f t="shared" si="378"/>
        <v>0</v>
      </c>
      <c r="V1293" s="52">
        <f>IF(0&lt;0.8,0,IF(0&lt;1,Sheet3!L561,1))*IF(G1293&lt;3,0.12 - O1293,0.01) *U1293</f>
        <v>0</v>
      </c>
      <c r="W1293" s="52">
        <f t="shared" si="379"/>
        <v>0</v>
      </c>
      <c r="X1293" s="53">
        <f t="shared" si="380"/>
        <v>0</v>
      </c>
      <c r="Y1293" s="53">
        <f t="shared" si="381"/>
        <v>0</v>
      </c>
      <c r="Z1293" s="54">
        <f t="shared" si="386"/>
        <v>0</v>
      </c>
      <c r="AA1293" s="54">
        <f t="shared" si="382"/>
        <v>0</v>
      </c>
      <c r="AB1293" s="55">
        <f t="shared" si="387"/>
        <v>0</v>
      </c>
      <c r="AC1293" s="55">
        <f t="shared" si="383"/>
        <v>0</v>
      </c>
      <c r="AD1293" s="56">
        <f t="shared" si="384"/>
        <v>7783.41</v>
      </c>
    </row>
    <row r="1294" spans="3:30">
      <c r="C1294" s="43" t="s">
        <v>2364</v>
      </c>
      <c r="D1294" s="44" t="s">
        <v>2365</v>
      </c>
      <c r="E1294" s="44"/>
      <c r="F1294" s="45">
        <v>42665.271909722222</v>
      </c>
      <c r="G1294" s="46">
        <v>23</v>
      </c>
      <c r="H1294" s="47">
        <v>43404</v>
      </c>
      <c r="I1294" s="47">
        <v>43412</v>
      </c>
      <c r="J1294" s="46">
        <v>4423290</v>
      </c>
      <c r="K1294" s="46">
        <v>0</v>
      </c>
      <c r="L1294" s="46">
        <v>0</v>
      </c>
      <c r="M1294" s="46">
        <f t="shared" si="373"/>
        <v>4423290</v>
      </c>
      <c r="N1294" s="46">
        <v>5334745</v>
      </c>
      <c r="O1294" s="48">
        <f t="shared" si="374"/>
        <v>0.17085258995509622</v>
      </c>
      <c r="P1294" s="46">
        <v>0</v>
      </c>
      <c r="Q1294" s="46">
        <v>4423290</v>
      </c>
      <c r="R1294" s="49">
        <f t="shared" si="375"/>
        <v>1</v>
      </c>
      <c r="S1294" s="50">
        <f t="shared" si="376"/>
        <v>0.01</v>
      </c>
      <c r="T1294" s="49">
        <f t="shared" si="377"/>
        <v>44232.9</v>
      </c>
      <c r="U1294" s="51">
        <f t="shared" si="378"/>
        <v>0</v>
      </c>
      <c r="V1294" s="52">
        <f>IF(0&lt;0.8,0,IF(0&lt;1,Sheet3!L561,1))*IF(G1294&lt;3,0.12 - O1294,0.01) *U1294</f>
        <v>0</v>
      </c>
      <c r="W1294" s="52">
        <f t="shared" si="379"/>
        <v>0</v>
      </c>
      <c r="X1294" s="53">
        <f t="shared" si="380"/>
        <v>0</v>
      </c>
      <c r="Y1294" s="53">
        <f t="shared" si="381"/>
        <v>0</v>
      </c>
      <c r="Z1294" s="54">
        <f t="shared" si="386"/>
        <v>0</v>
      </c>
      <c r="AA1294" s="54">
        <f t="shared" si="382"/>
        <v>0</v>
      </c>
      <c r="AB1294" s="55">
        <f t="shared" si="387"/>
        <v>0</v>
      </c>
      <c r="AC1294" s="55">
        <f t="shared" si="383"/>
        <v>0</v>
      </c>
      <c r="AD1294" s="56">
        <f t="shared" si="384"/>
        <v>44232.9</v>
      </c>
    </row>
    <row r="1295" spans="3:30">
      <c r="C1295" s="43" t="s">
        <v>2366</v>
      </c>
      <c r="D1295" s="44" t="s">
        <v>2367</v>
      </c>
      <c r="E1295" s="44"/>
      <c r="F1295" s="45">
        <v>42670.150590277779</v>
      </c>
      <c r="G1295" s="46">
        <v>23</v>
      </c>
      <c r="H1295" s="47">
        <v>43382</v>
      </c>
      <c r="I1295" s="47">
        <v>43398</v>
      </c>
      <c r="J1295" s="46">
        <v>1520864</v>
      </c>
      <c r="K1295" s="46">
        <v>0</v>
      </c>
      <c r="L1295" s="46">
        <v>0</v>
      </c>
      <c r="M1295" s="46">
        <f t="shared" si="373"/>
        <v>1520864</v>
      </c>
      <c r="N1295" s="46">
        <v>1520864</v>
      </c>
      <c r="O1295" s="48">
        <f t="shared" si="374"/>
        <v>0</v>
      </c>
      <c r="P1295" s="46">
        <v>0</v>
      </c>
      <c r="Q1295" s="46">
        <v>1520864</v>
      </c>
      <c r="R1295" s="49">
        <f t="shared" si="375"/>
        <v>1</v>
      </c>
      <c r="S1295" s="50">
        <f t="shared" si="376"/>
        <v>0.01</v>
      </c>
      <c r="T1295" s="49">
        <f t="shared" si="377"/>
        <v>15208.64</v>
      </c>
      <c r="U1295" s="51">
        <f t="shared" si="378"/>
        <v>0</v>
      </c>
      <c r="V1295" s="52">
        <f>IF(0&lt;0.8,0,IF(0&lt;1,Sheet3!L561,1))*IF(G1295&lt;3,0.12 - O1295,0.01) *U1295</f>
        <v>0</v>
      </c>
      <c r="W1295" s="52">
        <f t="shared" si="379"/>
        <v>0</v>
      </c>
      <c r="X1295" s="53">
        <f t="shared" si="380"/>
        <v>0</v>
      </c>
      <c r="Y1295" s="53">
        <f t="shared" si="381"/>
        <v>0</v>
      </c>
      <c r="Z1295" s="54">
        <f t="shared" si="386"/>
        <v>0</v>
      </c>
      <c r="AA1295" s="54">
        <f t="shared" si="382"/>
        <v>0</v>
      </c>
      <c r="AB1295" s="55">
        <f t="shared" si="387"/>
        <v>0</v>
      </c>
      <c r="AC1295" s="55">
        <f t="shared" si="383"/>
        <v>0</v>
      </c>
      <c r="AD1295" s="56">
        <f t="shared" si="384"/>
        <v>15208.64</v>
      </c>
    </row>
    <row r="1296" spans="3:30">
      <c r="C1296" s="43" t="s">
        <v>2368</v>
      </c>
      <c r="D1296" s="44" t="s">
        <v>2369</v>
      </c>
      <c r="E1296" s="44"/>
      <c r="F1296" s="45">
        <v>42672.054097222222</v>
      </c>
      <c r="G1296" s="46">
        <v>23</v>
      </c>
      <c r="H1296" s="47">
        <v>43378</v>
      </c>
      <c r="I1296" s="47">
        <v>43398</v>
      </c>
      <c r="J1296" s="46">
        <v>235261</v>
      </c>
      <c r="K1296" s="46">
        <v>0</v>
      </c>
      <c r="L1296" s="46">
        <v>0</v>
      </c>
      <c r="M1296" s="46">
        <f t="shared" si="373"/>
        <v>235261</v>
      </c>
      <c r="N1296" s="46">
        <v>235261</v>
      </c>
      <c r="O1296" s="48">
        <f t="shared" si="374"/>
        <v>0</v>
      </c>
      <c r="P1296" s="46">
        <v>0</v>
      </c>
      <c r="Q1296" s="46">
        <v>235261</v>
      </c>
      <c r="R1296" s="49">
        <f t="shared" si="375"/>
        <v>1</v>
      </c>
      <c r="S1296" s="50">
        <f t="shared" si="376"/>
        <v>0.01</v>
      </c>
      <c r="T1296" s="49">
        <f t="shared" si="377"/>
        <v>2352.61</v>
      </c>
      <c r="U1296" s="51">
        <f t="shared" si="378"/>
        <v>0</v>
      </c>
      <c r="V1296" s="52">
        <f>IF(0&lt;0.8,0,IF(0&lt;1,Sheet3!L561,1))*IF(G1296&lt;3,0.12 - O1296,0.01) *U1296</f>
        <v>0</v>
      </c>
      <c r="W1296" s="52">
        <f t="shared" si="379"/>
        <v>0</v>
      </c>
      <c r="X1296" s="53">
        <f t="shared" si="380"/>
        <v>0</v>
      </c>
      <c r="Y1296" s="53">
        <f t="shared" si="381"/>
        <v>0</v>
      </c>
      <c r="Z1296" s="54">
        <f t="shared" si="386"/>
        <v>0</v>
      </c>
      <c r="AA1296" s="54">
        <f t="shared" si="382"/>
        <v>0</v>
      </c>
      <c r="AB1296" s="55">
        <f t="shared" si="387"/>
        <v>0</v>
      </c>
      <c r="AC1296" s="55">
        <f t="shared" si="383"/>
        <v>0</v>
      </c>
      <c r="AD1296" s="56">
        <f t="shared" si="384"/>
        <v>2352.61</v>
      </c>
    </row>
    <row r="1297" spans="3:30">
      <c r="C1297" s="43" t="s">
        <v>2370</v>
      </c>
      <c r="D1297" s="44" t="s">
        <v>2371</v>
      </c>
      <c r="E1297" s="44"/>
      <c r="F1297" s="45">
        <v>42674.272245370368</v>
      </c>
      <c r="G1297" s="46">
        <v>23</v>
      </c>
      <c r="H1297" s="47">
        <v>43369</v>
      </c>
      <c r="I1297" s="47">
        <v>43369</v>
      </c>
      <c r="J1297" s="46">
        <v>27610</v>
      </c>
      <c r="K1297" s="46">
        <v>0</v>
      </c>
      <c r="L1297" s="46">
        <v>0</v>
      </c>
      <c r="M1297" s="46">
        <f t="shared" si="373"/>
        <v>27610</v>
      </c>
      <c r="N1297" s="46">
        <v>40622</v>
      </c>
      <c r="O1297" s="48">
        <f t="shared" si="374"/>
        <v>0.32031903894441438</v>
      </c>
      <c r="P1297" s="46">
        <v>0</v>
      </c>
      <c r="Q1297" s="46">
        <v>27610</v>
      </c>
      <c r="R1297" s="49">
        <f t="shared" si="375"/>
        <v>1</v>
      </c>
      <c r="S1297" s="50">
        <f t="shared" si="376"/>
        <v>0.01</v>
      </c>
      <c r="T1297" s="49">
        <f t="shared" si="377"/>
        <v>276.10000000000002</v>
      </c>
      <c r="U1297" s="51">
        <f t="shared" si="378"/>
        <v>0</v>
      </c>
      <c r="V1297" s="52">
        <f>IF(0&lt;0.8,0,IF(0&lt;1,Sheet3!L561,1))*IF(G1297&lt;3,0.12 - O1297,0.01) *U1297</f>
        <v>0</v>
      </c>
      <c r="W1297" s="52">
        <f t="shared" si="379"/>
        <v>0</v>
      </c>
      <c r="X1297" s="53">
        <f t="shared" si="380"/>
        <v>0</v>
      </c>
      <c r="Y1297" s="53">
        <f t="shared" si="381"/>
        <v>0</v>
      </c>
      <c r="Z1297" s="54">
        <f t="shared" si="386"/>
        <v>0</v>
      </c>
      <c r="AA1297" s="54">
        <f t="shared" si="382"/>
        <v>0</v>
      </c>
      <c r="AB1297" s="55">
        <f t="shared" si="387"/>
        <v>0</v>
      </c>
      <c r="AC1297" s="55">
        <f t="shared" si="383"/>
        <v>0</v>
      </c>
      <c r="AD1297" s="56">
        <f t="shared" si="384"/>
        <v>276.10000000000002</v>
      </c>
    </row>
    <row r="1298" spans="3:30">
      <c r="C1298" s="43" t="s">
        <v>2372</v>
      </c>
      <c r="D1298" s="44" t="s">
        <v>2373</v>
      </c>
      <c r="E1298" s="44"/>
      <c r="F1298" s="45">
        <v>42681.082013888888</v>
      </c>
      <c r="G1298" s="46">
        <v>22</v>
      </c>
      <c r="H1298" s="47">
        <v>43372</v>
      </c>
      <c r="I1298" s="47">
        <v>43398</v>
      </c>
      <c r="J1298" s="46">
        <v>140282</v>
      </c>
      <c r="K1298" s="46">
        <v>0</v>
      </c>
      <c r="L1298" s="46">
        <v>0</v>
      </c>
      <c r="M1298" s="46">
        <f t="shared" si="373"/>
        <v>140282</v>
      </c>
      <c r="N1298" s="46">
        <v>140282</v>
      </c>
      <c r="O1298" s="48">
        <f t="shared" si="374"/>
        <v>0</v>
      </c>
      <c r="P1298" s="46">
        <v>0</v>
      </c>
      <c r="Q1298" s="46">
        <v>140282</v>
      </c>
      <c r="R1298" s="49">
        <f t="shared" si="375"/>
        <v>1</v>
      </c>
      <c r="S1298" s="50">
        <f t="shared" si="376"/>
        <v>0.01</v>
      </c>
      <c r="T1298" s="49">
        <f t="shared" si="377"/>
        <v>1402.82</v>
      </c>
      <c r="U1298" s="51">
        <f t="shared" si="378"/>
        <v>0</v>
      </c>
      <c r="V1298" s="52">
        <f>IF(0&lt;0.8,0,IF(0&lt;1,Sheet3!L561,1))*IF(G1298&lt;3,0.12 - O1298,0.01) *U1298</f>
        <v>0</v>
      </c>
      <c r="W1298" s="52">
        <f t="shared" si="379"/>
        <v>0</v>
      </c>
      <c r="X1298" s="53">
        <f t="shared" si="380"/>
        <v>0</v>
      </c>
      <c r="Y1298" s="53">
        <f t="shared" si="381"/>
        <v>0</v>
      </c>
      <c r="Z1298" s="54">
        <f t="shared" si="386"/>
        <v>0</v>
      </c>
      <c r="AA1298" s="54">
        <f t="shared" si="382"/>
        <v>0</v>
      </c>
      <c r="AB1298" s="55">
        <f t="shared" si="387"/>
        <v>0</v>
      </c>
      <c r="AC1298" s="55">
        <f t="shared" si="383"/>
        <v>0</v>
      </c>
      <c r="AD1298" s="56">
        <f t="shared" si="384"/>
        <v>1402.82</v>
      </c>
    </row>
    <row r="1299" spans="3:30">
      <c r="C1299" s="43" t="s">
        <v>2374</v>
      </c>
      <c r="D1299" s="44" t="s">
        <v>2375</v>
      </c>
      <c r="E1299" s="44"/>
      <c r="F1299" s="45">
        <v>42681.075914351852</v>
      </c>
      <c r="G1299" s="46">
        <v>22</v>
      </c>
      <c r="H1299" s="47">
        <v>43378</v>
      </c>
      <c r="I1299" s="47">
        <v>43400</v>
      </c>
      <c r="J1299" s="46">
        <v>210066</v>
      </c>
      <c r="K1299" s="46">
        <v>0</v>
      </c>
      <c r="L1299" s="46">
        <v>0</v>
      </c>
      <c r="M1299" s="46">
        <f t="shared" si="373"/>
        <v>210066</v>
      </c>
      <c r="N1299" s="46">
        <v>210066</v>
      </c>
      <c r="O1299" s="48">
        <f t="shared" si="374"/>
        <v>0</v>
      </c>
      <c r="P1299" s="46">
        <v>0</v>
      </c>
      <c r="Q1299" s="46">
        <v>210066</v>
      </c>
      <c r="R1299" s="49">
        <f t="shared" si="375"/>
        <v>1</v>
      </c>
      <c r="S1299" s="50">
        <f t="shared" si="376"/>
        <v>0.01</v>
      </c>
      <c r="T1299" s="49">
        <f t="shared" si="377"/>
        <v>2100.66</v>
      </c>
      <c r="U1299" s="51">
        <f t="shared" si="378"/>
        <v>0</v>
      </c>
      <c r="V1299" s="52">
        <f>IF(0&lt;0.8,0,IF(0&lt;1,Sheet3!L561,1))*IF(G1299&lt;3,0.12 - O1299,0.01) *U1299</f>
        <v>0</v>
      </c>
      <c r="W1299" s="52">
        <f t="shared" si="379"/>
        <v>0</v>
      </c>
      <c r="X1299" s="53">
        <f t="shared" si="380"/>
        <v>0</v>
      </c>
      <c r="Y1299" s="53">
        <f t="shared" si="381"/>
        <v>0</v>
      </c>
      <c r="Z1299" s="54">
        <f t="shared" si="386"/>
        <v>0</v>
      </c>
      <c r="AA1299" s="54">
        <f t="shared" si="382"/>
        <v>0</v>
      </c>
      <c r="AB1299" s="55">
        <f t="shared" si="387"/>
        <v>0</v>
      </c>
      <c r="AC1299" s="55">
        <f t="shared" si="383"/>
        <v>0</v>
      </c>
      <c r="AD1299" s="56">
        <f t="shared" si="384"/>
        <v>2100.66</v>
      </c>
    </row>
    <row r="1300" spans="3:30">
      <c r="C1300" s="43" t="s">
        <v>2376</v>
      </c>
      <c r="D1300" s="44" t="s">
        <v>2377</v>
      </c>
      <c r="E1300" s="44"/>
      <c r="F1300" s="45">
        <v>42681.074571759258</v>
      </c>
      <c r="G1300" s="46">
        <v>22</v>
      </c>
      <c r="H1300" s="47">
        <v>43376</v>
      </c>
      <c r="I1300" s="47">
        <v>43391</v>
      </c>
      <c r="J1300" s="46">
        <v>115864</v>
      </c>
      <c r="K1300" s="46">
        <v>0</v>
      </c>
      <c r="L1300" s="46">
        <v>0</v>
      </c>
      <c r="M1300" s="46">
        <f t="shared" si="373"/>
        <v>115864</v>
      </c>
      <c r="N1300" s="46">
        <v>115864</v>
      </c>
      <c r="O1300" s="48">
        <f t="shared" si="374"/>
        <v>0</v>
      </c>
      <c r="P1300" s="46">
        <v>0</v>
      </c>
      <c r="Q1300" s="46">
        <v>115864</v>
      </c>
      <c r="R1300" s="49">
        <f t="shared" si="375"/>
        <v>1</v>
      </c>
      <c r="S1300" s="50">
        <f t="shared" si="376"/>
        <v>0.01</v>
      </c>
      <c r="T1300" s="49">
        <f t="shared" si="377"/>
        <v>1158.6400000000001</v>
      </c>
      <c r="U1300" s="51">
        <f t="shared" si="378"/>
        <v>0</v>
      </c>
      <c r="V1300" s="52">
        <f>IF(0&lt;0.8,0,IF(0&lt;1,Sheet3!L561,1))*IF(G1300&lt;3,0.12 - O1300,0.01) *U1300</f>
        <v>0</v>
      </c>
      <c r="W1300" s="52">
        <f t="shared" si="379"/>
        <v>0</v>
      </c>
      <c r="X1300" s="53">
        <f t="shared" si="380"/>
        <v>0</v>
      </c>
      <c r="Y1300" s="53">
        <f t="shared" si="381"/>
        <v>0</v>
      </c>
      <c r="Z1300" s="54">
        <f t="shared" si="386"/>
        <v>0</v>
      </c>
      <c r="AA1300" s="54">
        <f t="shared" si="382"/>
        <v>0</v>
      </c>
      <c r="AB1300" s="55">
        <f t="shared" si="387"/>
        <v>0</v>
      </c>
      <c r="AC1300" s="55">
        <f t="shared" si="383"/>
        <v>0</v>
      </c>
      <c r="AD1300" s="56">
        <f t="shared" si="384"/>
        <v>1158.6400000000001</v>
      </c>
    </row>
    <row r="1301" spans="3:30">
      <c r="C1301" s="43" t="s">
        <v>2378</v>
      </c>
      <c r="D1301" s="44" t="s">
        <v>2379</v>
      </c>
      <c r="E1301" s="44"/>
      <c r="F1301" s="45">
        <v>42682.336631944439</v>
      </c>
      <c r="G1301" s="46">
        <v>22</v>
      </c>
      <c r="H1301" s="47">
        <v>43376</v>
      </c>
      <c r="I1301" s="47">
        <v>43384</v>
      </c>
      <c r="J1301" s="46">
        <v>6452500</v>
      </c>
      <c r="K1301" s="46">
        <v>0</v>
      </c>
      <c r="L1301" s="46">
        <v>0</v>
      </c>
      <c r="M1301" s="46">
        <f t="shared" si="373"/>
        <v>6452500</v>
      </c>
      <c r="N1301" s="46">
        <v>13281928</v>
      </c>
      <c r="O1301" s="48">
        <f t="shared" si="374"/>
        <v>0.51418950622228943</v>
      </c>
      <c r="P1301" s="46">
        <v>0</v>
      </c>
      <c r="Q1301" s="46">
        <v>6452500</v>
      </c>
      <c r="R1301" s="49">
        <f t="shared" si="375"/>
        <v>1</v>
      </c>
      <c r="S1301" s="50">
        <f t="shared" si="376"/>
        <v>0.01</v>
      </c>
      <c r="T1301" s="49">
        <f t="shared" si="377"/>
        <v>64525</v>
      </c>
      <c r="U1301" s="51">
        <f t="shared" si="378"/>
        <v>0</v>
      </c>
      <c r="V1301" s="52">
        <f>IF(0&lt;0.8,0,IF(0&lt;1,Sheet3!L561,1))*IF(G1301&lt;3,0.12 - O1301,0.01) *U1301</f>
        <v>0</v>
      </c>
      <c r="W1301" s="52">
        <f t="shared" si="379"/>
        <v>0</v>
      </c>
      <c r="X1301" s="53">
        <f t="shared" si="380"/>
        <v>0</v>
      </c>
      <c r="Y1301" s="53">
        <f t="shared" si="381"/>
        <v>0</v>
      </c>
      <c r="Z1301" s="54">
        <f t="shared" si="386"/>
        <v>0</v>
      </c>
      <c r="AA1301" s="54">
        <f t="shared" si="382"/>
        <v>0</v>
      </c>
      <c r="AB1301" s="55">
        <f t="shared" si="387"/>
        <v>0</v>
      </c>
      <c r="AC1301" s="55">
        <f t="shared" si="383"/>
        <v>0</v>
      </c>
      <c r="AD1301" s="56">
        <f t="shared" si="384"/>
        <v>64525</v>
      </c>
    </row>
    <row r="1302" spans="3:30">
      <c r="C1302" s="43" t="s">
        <v>2380</v>
      </c>
      <c r="D1302" s="44" t="s">
        <v>2381</v>
      </c>
      <c r="E1302" s="44"/>
      <c r="F1302" s="45">
        <v>42682.33556712963</v>
      </c>
      <c r="G1302" s="46">
        <v>22</v>
      </c>
      <c r="H1302" s="47" t="s">
        <v>24</v>
      </c>
      <c r="I1302" s="47" t="s">
        <v>24</v>
      </c>
      <c r="J1302" s="46">
        <v>14142</v>
      </c>
      <c r="K1302" s="46">
        <v>0</v>
      </c>
      <c r="L1302" s="46">
        <v>0</v>
      </c>
      <c r="M1302" s="46">
        <f t="shared" si="373"/>
        <v>14142</v>
      </c>
      <c r="N1302" s="46">
        <v>14142</v>
      </c>
      <c r="O1302" s="48">
        <f t="shared" si="374"/>
        <v>0</v>
      </c>
      <c r="P1302" s="46">
        <v>0</v>
      </c>
      <c r="Q1302" s="46">
        <v>14142</v>
      </c>
      <c r="R1302" s="49">
        <f t="shared" si="375"/>
        <v>1</v>
      </c>
      <c r="S1302" s="50">
        <f t="shared" si="376"/>
        <v>0.01</v>
      </c>
      <c r="T1302" s="49">
        <f t="shared" si="377"/>
        <v>141.42000000000002</v>
      </c>
      <c r="U1302" s="51">
        <f t="shared" si="378"/>
        <v>0</v>
      </c>
      <c r="V1302" s="52">
        <f>IF(0&lt;0.8,0,IF(0&lt;1,Sheet3!L561,1))*IF(G1302&lt;3,0.12 - O1302,0.01) *U1302</f>
        <v>0</v>
      </c>
      <c r="W1302" s="52">
        <f t="shared" si="379"/>
        <v>0</v>
      </c>
      <c r="X1302" s="53">
        <f t="shared" si="380"/>
        <v>0</v>
      </c>
      <c r="Y1302" s="53">
        <f t="shared" si="381"/>
        <v>0</v>
      </c>
      <c r="Z1302" s="54">
        <f t="shared" si="386"/>
        <v>0</v>
      </c>
      <c r="AA1302" s="54">
        <f t="shared" si="382"/>
        <v>0</v>
      </c>
      <c r="AB1302" s="55">
        <f t="shared" si="387"/>
        <v>0</v>
      </c>
      <c r="AC1302" s="55">
        <f t="shared" si="383"/>
        <v>0</v>
      </c>
      <c r="AD1302" s="56">
        <f t="shared" si="384"/>
        <v>141.42000000000002</v>
      </c>
    </row>
    <row r="1303" spans="3:30">
      <c r="C1303" s="43" t="s">
        <v>2382</v>
      </c>
      <c r="D1303" s="44" t="s">
        <v>2383</v>
      </c>
      <c r="E1303" s="44"/>
      <c r="F1303" s="45">
        <v>42682.333622685182</v>
      </c>
      <c r="G1303" s="46">
        <v>22</v>
      </c>
      <c r="H1303" s="47">
        <v>43378</v>
      </c>
      <c r="I1303" s="47">
        <v>43428</v>
      </c>
      <c r="J1303" s="46">
        <v>940791</v>
      </c>
      <c r="K1303" s="46">
        <v>0</v>
      </c>
      <c r="L1303" s="46">
        <v>0</v>
      </c>
      <c r="M1303" s="46">
        <f t="shared" si="373"/>
        <v>940791</v>
      </c>
      <c r="N1303" s="46">
        <v>940791</v>
      </c>
      <c r="O1303" s="48">
        <f t="shared" si="374"/>
        <v>0</v>
      </c>
      <c r="P1303" s="46">
        <v>0</v>
      </c>
      <c r="Q1303" s="46">
        <v>940791</v>
      </c>
      <c r="R1303" s="49">
        <f t="shared" si="375"/>
        <v>1</v>
      </c>
      <c r="S1303" s="50">
        <f t="shared" si="376"/>
        <v>0.01</v>
      </c>
      <c r="T1303" s="49">
        <f t="shared" si="377"/>
        <v>9407.91</v>
      </c>
      <c r="U1303" s="51">
        <f t="shared" si="378"/>
        <v>0</v>
      </c>
      <c r="V1303" s="52">
        <f>IF(0&lt;0.8,0,IF(0&lt;1,Sheet3!L561,1))*IF(G1303&lt;3,0.12 - O1303,0.01) *U1303</f>
        <v>0</v>
      </c>
      <c r="W1303" s="52">
        <f t="shared" si="379"/>
        <v>0</v>
      </c>
      <c r="X1303" s="53">
        <f t="shared" si="380"/>
        <v>0</v>
      </c>
      <c r="Y1303" s="53">
        <f t="shared" si="381"/>
        <v>0</v>
      </c>
      <c r="Z1303" s="54">
        <f t="shared" si="386"/>
        <v>0</v>
      </c>
      <c r="AA1303" s="54">
        <f t="shared" si="382"/>
        <v>0</v>
      </c>
      <c r="AB1303" s="55">
        <f t="shared" si="387"/>
        <v>0</v>
      </c>
      <c r="AC1303" s="55">
        <f t="shared" si="383"/>
        <v>0</v>
      </c>
      <c r="AD1303" s="56">
        <f t="shared" si="384"/>
        <v>9407.91</v>
      </c>
    </row>
    <row r="1304" spans="3:30">
      <c r="C1304" s="43" t="s">
        <v>2384</v>
      </c>
      <c r="D1304" s="44" t="s">
        <v>2385</v>
      </c>
      <c r="E1304" s="44"/>
      <c r="F1304" s="45">
        <v>42686.095625000002</v>
      </c>
      <c r="G1304" s="46">
        <v>22</v>
      </c>
      <c r="H1304" s="47">
        <v>43388</v>
      </c>
      <c r="I1304" s="47">
        <v>43410</v>
      </c>
      <c r="J1304" s="46">
        <v>9680</v>
      </c>
      <c r="K1304" s="46">
        <v>0</v>
      </c>
      <c r="L1304" s="46">
        <v>0</v>
      </c>
      <c r="M1304" s="46">
        <f t="shared" si="373"/>
        <v>9680</v>
      </c>
      <c r="N1304" s="46">
        <v>14641</v>
      </c>
      <c r="O1304" s="48">
        <f t="shared" si="374"/>
        <v>0.33884297520661155</v>
      </c>
      <c r="P1304" s="46">
        <v>0</v>
      </c>
      <c r="Q1304" s="46">
        <v>9680</v>
      </c>
      <c r="R1304" s="49">
        <f t="shared" si="375"/>
        <v>1</v>
      </c>
      <c r="S1304" s="50">
        <f t="shared" si="376"/>
        <v>0.01</v>
      </c>
      <c r="T1304" s="49">
        <f t="shared" si="377"/>
        <v>96.8</v>
      </c>
      <c r="U1304" s="51">
        <f t="shared" si="378"/>
        <v>0</v>
      </c>
      <c r="V1304" s="52">
        <f>IF(0&lt;0.8,0,IF(0&lt;1,Sheet3!L561,1))*IF(G1304&lt;3,0.12 - O1304,0.01) *U1304</f>
        <v>0</v>
      </c>
      <c r="W1304" s="52">
        <f t="shared" si="379"/>
        <v>0</v>
      </c>
      <c r="X1304" s="53">
        <f t="shared" si="380"/>
        <v>0</v>
      </c>
      <c r="Y1304" s="53">
        <f t="shared" si="381"/>
        <v>0</v>
      </c>
      <c r="Z1304" s="54">
        <f t="shared" si="386"/>
        <v>0</v>
      </c>
      <c r="AA1304" s="54">
        <f t="shared" si="382"/>
        <v>0</v>
      </c>
      <c r="AB1304" s="55">
        <f t="shared" si="387"/>
        <v>0</v>
      </c>
      <c r="AC1304" s="55">
        <f t="shared" si="383"/>
        <v>0</v>
      </c>
      <c r="AD1304" s="56">
        <f t="shared" si="384"/>
        <v>96.8</v>
      </c>
    </row>
    <row r="1305" spans="3:30">
      <c r="C1305" s="43" t="s">
        <v>2386</v>
      </c>
      <c r="D1305" s="44" t="s">
        <v>2385</v>
      </c>
      <c r="E1305" s="44"/>
      <c r="F1305" s="45">
        <v>42686.090439814812</v>
      </c>
      <c r="G1305" s="46">
        <v>22</v>
      </c>
      <c r="H1305" s="47">
        <v>43388</v>
      </c>
      <c r="I1305" s="47">
        <v>43410</v>
      </c>
      <c r="J1305" s="46">
        <v>60500</v>
      </c>
      <c r="K1305" s="46">
        <v>0</v>
      </c>
      <c r="L1305" s="46">
        <v>0</v>
      </c>
      <c r="M1305" s="46">
        <f t="shared" si="373"/>
        <v>60500</v>
      </c>
      <c r="N1305" s="46">
        <v>60500</v>
      </c>
      <c r="O1305" s="48">
        <f t="shared" si="374"/>
        <v>0</v>
      </c>
      <c r="P1305" s="46">
        <v>0</v>
      </c>
      <c r="Q1305" s="46">
        <v>60500</v>
      </c>
      <c r="R1305" s="49">
        <f t="shared" si="375"/>
        <v>1</v>
      </c>
      <c r="S1305" s="50">
        <f t="shared" si="376"/>
        <v>0.01</v>
      </c>
      <c r="T1305" s="49">
        <f t="shared" si="377"/>
        <v>605</v>
      </c>
      <c r="U1305" s="51">
        <f t="shared" si="378"/>
        <v>0</v>
      </c>
      <c r="V1305" s="52">
        <f>IF(0&lt;0.8,0,IF(0&lt;1,Sheet3!L561,1))*IF(G1305&lt;3,0.12 - O1305,0.01) *U1305</f>
        <v>0</v>
      </c>
      <c r="W1305" s="52">
        <f t="shared" si="379"/>
        <v>0</v>
      </c>
      <c r="X1305" s="53">
        <f t="shared" si="380"/>
        <v>0</v>
      </c>
      <c r="Y1305" s="53">
        <f t="shared" si="381"/>
        <v>0</v>
      </c>
      <c r="Z1305" s="54">
        <f t="shared" si="386"/>
        <v>0</v>
      </c>
      <c r="AA1305" s="54">
        <f t="shared" si="382"/>
        <v>0</v>
      </c>
      <c r="AB1305" s="55">
        <f t="shared" si="387"/>
        <v>0</v>
      </c>
      <c r="AC1305" s="55">
        <f t="shared" si="383"/>
        <v>0</v>
      </c>
      <c r="AD1305" s="56">
        <f t="shared" si="384"/>
        <v>605</v>
      </c>
    </row>
    <row r="1306" spans="3:30">
      <c r="C1306" s="43" t="s">
        <v>2387</v>
      </c>
      <c r="D1306" s="44" t="s">
        <v>2385</v>
      </c>
      <c r="E1306" s="44"/>
      <c r="F1306" s="45">
        <v>42686.089803240742</v>
      </c>
      <c r="G1306" s="46">
        <v>22</v>
      </c>
      <c r="H1306" s="47">
        <v>43388</v>
      </c>
      <c r="I1306" s="47">
        <v>43410</v>
      </c>
      <c r="J1306" s="46">
        <v>29040</v>
      </c>
      <c r="K1306" s="46">
        <v>0</v>
      </c>
      <c r="L1306" s="46">
        <v>0</v>
      </c>
      <c r="M1306" s="46">
        <f t="shared" si="373"/>
        <v>29040</v>
      </c>
      <c r="N1306" s="46">
        <v>39930</v>
      </c>
      <c r="O1306" s="48">
        <f t="shared" si="374"/>
        <v>0.27272727272727271</v>
      </c>
      <c r="P1306" s="46">
        <v>0</v>
      </c>
      <c r="Q1306" s="46">
        <v>29040</v>
      </c>
      <c r="R1306" s="49">
        <f t="shared" si="375"/>
        <v>1</v>
      </c>
      <c r="S1306" s="50">
        <f t="shared" si="376"/>
        <v>0.01</v>
      </c>
      <c r="T1306" s="49">
        <f t="shared" si="377"/>
        <v>290.40000000000003</v>
      </c>
      <c r="U1306" s="51">
        <f t="shared" si="378"/>
        <v>0</v>
      </c>
      <c r="V1306" s="52">
        <f>IF(0&lt;0.8,0,IF(0&lt;1,Sheet3!L561,1))*IF(G1306&lt;3,0.12 - O1306,0.01) *U1306</f>
        <v>0</v>
      </c>
      <c r="W1306" s="52">
        <f t="shared" si="379"/>
        <v>0</v>
      </c>
      <c r="X1306" s="53">
        <f t="shared" si="380"/>
        <v>0</v>
      </c>
      <c r="Y1306" s="53">
        <f t="shared" si="381"/>
        <v>0</v>
      </c>
      <c r="Z1306" s="54">
        <f t="shared" si="386"/>
        <v>0</v>
      </c>
      <c r="AA1306" s="54">
        <f t="shared" si="382"/>
        <v>0</v>
      </c>
      <c r="AB1306" s="55">
        <f t="shared" si="387"/>
        <v>0</v>
      </c>
      <c r="AC1306" s="55">
        <f t="shared" si="383"/>
        <v>0</v>
      </c>
      <c r="AD1306" s="56">
        <f t="shared" si="384"/>
        <v>290.40000000000003</v>
      </c>
    </row>
    <row r="1307" spans="3:30">
      <c r="C1307" s="43" t="s">
        <v>2388</v>
      </c>
      <c r="D1307" s="44" t="s">
        <v>2385</v>
      </c>
      <c r="E1307" s="44"/>
      <c r="F1307" s="45">
        <v>42686.087002314816</v>
      </c>
      <c r="G1307" s="46">
        <v>22</v>
      </c>
      <c r="H1307" s="47">
        <v>43388</v>
      </c>
      <c r="I1307" s="47">
        <v>43410</v>
      </c>
      <c r="J1307" s="46">
        <v>34364</v>
      </c>
      <c r="K1307" s="46">
        <v>0</v>
      </c>
      <c r="L1307" s="46">
        <v>0</v>
      </c>
      <c r="M1307" s="46">
        <f t="shared" si="373"/>
        <v>34364</v>
      </c>
      <c r="N1307" s="46">
        <v>44322</v>
      </c>
      <c r="O1307" s="48">
        <f t="shared" si="374"/>
        <v>0.22467397680610079</v>
      </c>
      <c r="P1307" s="46">
        <v>0</v>
      </c>
      <c r="Q1307" s="46">
        <v>34364</v>
      </c>
      <c r="R1307" s="49">
        <f t="shared" si="375"/>
        <v>1</v>
      </c>
      <c r="S1307" s="50">
        <f t="shared" si="376"/>
        <v>0.01</v>
      </c>
      <c r="T1307" s="49">
        <f t="shared" si="377"/>
        <v>343.64</v>
      </c>
      <c r="U1307" s="51">
        <f t="shared" si="378"/>
        <v>0</v>
      </c>
      <c r="V1307" s="52">
        <f>IF(0&lt;0.8,0,IF(0&lt;1,Sheet3!L561,1))*IF(G1307&lt;3,0.12 - O1307,0.01) *U1307</f>
        <v>0</v>
      </c>
      <c r="W1307" s="52">
        <f t="shared" si="379"/>
        <v>0</v>
      </c>
      <c r="X1307" s="53">
        <f t="shared" si="380"/>
        <v>0</v>
      </c>
      <c r="Y1307" s="53">
        <f t="shared" si="381"/>
        <v>0</v>
      </c>
      <c r="Z1307" s="54">
        <f t="shared" si="386"/>
        <v>0</v>
      </c>
      <c r="AA1307" s="54">
        <f t="shared" si="382"/>
        <v>0</v>
      </c>
      <c r="AB1307" s="55">
        <f t="shared" si="387"/>
        <v>0</v>
      </c>
      <c r="AC1307" s="55">
        <f t="shared" si="383"/>
        <v>0</v>
      </c>
      <c r="AD1307" s="56">
        <f t="shared" si="384"/>
        <v>343.64</v>
      </c>
    </row>
    <row r="1308" spans="3:30">
      <c r="C1308" s="43" t="s">
        <v>2389</v>
      </c>
      <c r="D1308" s="44" t="s">
        <v>2385</v>
      </c>
      <c r="E1308" s="44"/>
      <c r="F1308" s="45">
        <v>42686.096261574072</v>
      </c>
      <c r="G1308" s="46">
        <v>22</v>
      </c>
      <c r="H1308" s="47">
        <v>43388</v>
      </c>
      <c r="I1308" s="47">
        <v>43410</v>
      </c>
      <c r="J1308" s="46">
        <v>9680</v>
      </c>
      <c r="K1308" s="46">
        <v>0</v>
      </c>
      <c r="L1308" s="46">
        <v>0</v>
      </c>
      <c r="M1308" s="46">
        <f t="shared" si="373"/>
        <v>9680</v>
      </c>
      <c r="N1308" s="46">
        <v>14641</v>
      </c>
      <c r="O1308" s="48">
        <f t="shared" si="374"/>
        <v>0.33884297520661155</v>
      </c>
      <c r="P1308" s="46">
        <v>0</v>
      </c>
      <c r="Q1308" s="46">
        <v>9680</v>
      </c>
      <c r="R1308" s="49">
        <f t="shared" si="375"/>
        <v>1</v>
      </c>
      <c r="S1308" s="50">
        <f t="shared" si="376"/>
        <v>0.01</v>
      </c>
      <c r="T1308" s="49">
        <f t="shared" si="377"/>
        <v>96.8</v>
      </c>
      <c r="U1308" s="51">
        <f t="shared" si="378"/>
        <v>0</v>
      </c>
      <c r="V1308" s="52">
        <f>IF(0&lt;0.8,0,IF(0&lt;1,Sheet3!L561,1))*IF(G1308&lt;3,0.12 - O1308,0.01) *U1308</f>
        <v>0</v>
      </c>
      <c r="W1308" s="52">
        <f t="shared" si="379"/>
        <v>0</v>
      </c>
      <c r="X1308" s="53">
        <f t="shared" si="380"/>
        <v>0</v>
      </c>
      <c r="Y1308" s="53">
        <f t="shared" si="381"/>
        <v>0</v>
      </c>
      <c r="Z1308" s="54">
        <f t="shared" si="386"/>
        <v>0</v>
      </c>
      <c r="AA1308" s="54">
        <f t="shared" si="382"/>
        <v>0</v>
      </c>
      <c r="AB1308" s="55">
        <f t="shared" si="387"/>
        <v>0</v>
      </c>
      <c r="AC1308" s="55">
        <f t="shared" si="383"/>
        <v>0</v>
      </c>
      <c r="AD1308" s="56">
        <f t="shared" si="384"/>
        <v>96.8</v>
      </c>
    </row>
    <row r="1309" spans="3:30">
      <c r="C1309" s="43" t="s">
        <v>2390</v>
      </c>
      <c r="D1309" s="44" t="s">
        <v>2391</v>
      </c>
      <c r="E1309" s="44"/>
      <c r="F1309" s="45">
        <v>42689.167268518519</v>
      </c>
      <c r="G1309" s="46">
        <v>22</v>
      </c>
      <c r="H1309" s="47">
        <v>43377</v>
      </c>
      <c r="I1309" s="47">
        <v>43385</v>
      </c>
      <c r="J1309" s="46">
        <v>369050</v>
      </c>
      <c r="K1309" s="46">
        <v>0</v>
      </c>
      <c r="L1309" s="46">
        <v>0</v>
      </c>
      <c r="M1309" s="46">
        <f t="shared" si="373"/>
        <v>369050</v>
      </c>
      <c r="N1309" s="46">
        <v>369050</v>
      </c>
      <c r="O1309" s="48">
        <f t="shared" si="374"/>
        <v>0</v>
      </c>
      <c r="P1309" s="46">
        <v>0</v>
      </c>
      <c r="Q1309" s="46">
        <v>369050</v>
      </c>
      <c r="R1309" s="49">
        <f t="shared" si="375"/>
        <v>1</v>
      </c>
      <c r="S1309" s="50">
        <f t="shared" si="376"/>
        <v>0.01</v>
      </c>
      <c r="T1309" s="49">
        <f t="shared" si="377"/>
        <v>3690.5</v>
      </c>
      <c r="U1309" s="51">
        <f t="shared" si="378"/>
        <v>0</v>
      </c>
      <c r="V1309" s="52">
        <f>IF(0&lt;0.8,0,IF(0&lt;1,Sheet3!L561,1))*IF(G1309&lt;3,0.12 - O1309,0.01) *U1309</f>
        <v>0</v>
      </c>
      <c r="W1309" s="52">
        <f t="shared" si="379"/>
        <v>0</v>
      </c>
      <c r="X1309" s="53">
        <f t="shared" si="380"/>
        <v>0</v>
      </c>
      <c r="Y1309" s="53">
        <f t="shared" si="381"/>
        <v>0</v>
      </c>
      <c r="Z1309" s="54">
        <f t="shared" si="386"/>
        <v>0</v>
      </c>
      <c r="AA1309" s="54">
        <f t="shared" si="382"/>
        <v>0</v>
      </c>
      <c r="AB1309" s="55">
        <f t="shared" si="387"/>
        <v>0</v>
      </c>
      <c r="AC1309" s="55">
        <f t="shared" si="383"/>
        <v>0</v>
      </c>
      <c r="AD1309" s="56">
        <f t="shared" si="384"/>
        <v>3690.5</v>
      </c>
    </row>
    <row r="1310" spans="3:30">
      <c r="C1310" s="43" t="s">
        <v>2392</v>
      </c>
      <c r="D1310" s="44" t="s">
        <v>2393</v>
      </c>
      <c r="E1310" s="44"/>
      <c r="F1310" s="45">
        <v>42692.344155092593</v>
      </c>
      <c r="G1310" s="46">
        <v>22</v>
      </c>
      <c r="H1310" s="47">
        <v>43372</v>
      </c>
      <c r="I1310" s="47">
        <v>43448</v>
      </c>
      <c r="J1310" s="46">
        <v>2085854</v>
      </c>
      <c r="K1310" s="46">
        <v>0</v>
      </c>
      <c r="L1310" s="46">
        <v>0</v>
      </c>
      <c r="M1310" s="46">
        <f t="shared" si="373"/>
        <v>2085854</v>
      </c>
      <c r="N1310" s="46">
        <v>2085854</v>
      </c>
      <c r="O1310" s="48">
        <f t="shared" si="374"/>
        <v>0</v>
      </c>
      <c r="P1310" s="46">
        <v>0</v>
      </c>
      <c r="Q1310" s="46">
        <v>2085854</v>
      </c>
      <c r="R1310" s="49">
        <f t="shared" si="375"/>
        <v>1</v>
      </c>
      <c r="S1310" s="50">
        <f t="shared" si="376"/>
        <v>0.01</v>
      </c>
      <c r="T1310" s="49">
        <f t="shared" si="377"/>
        <v>20858.54</v>
      </c>
      <c r="U1310" s="51">
        <f t="shared" si="378"/>
        <v>0</v>
      </c>
      <c r="V1310" s="52">
        <f>IF(0&lt;0.8,0,IF(0&lt;1,Sheet3!L561,1))*IF(G1310&lt;3,0.12 - O1310,0.01) *U1310</f>
        <v>0</v>
      </c>
      <c r="W1310" s="52">
        <f t="shared" si="379"/>
        <v>0</v>
      </c>
      <c r="X1310" s="53">
        <f t="shared" si="380"/>
        <v>0</v>
      </c>
      <c r="Y1310" s="53">
        <f t="shared" si="381"/>
        <v>0</v>
      </c>
      <c r="Z1310" s="54">
        <f t="shared" si="386"/>
        <v>0</v>
      </c>
      <c r="AA1310" s="54">
        <f t="shared" si="382"/>
        <v>0</v>
      </c>
      <c r="AB1310" s="55">
        <f t="shared" si="387"/>
        <v>0</v>
      </c>
      <c r="AC1310" s="55">
        <f t="shared" si="383"/>
        <v>0</v>
      </c>
      <c r="AD1310" s="56">
        <f t="shared" si="384"/>
        <v>20858.54</v>
      </c>
    </row>
    <row r="1311" spans="3:30">
      <c r="C1311" s="43" t="s">
        <v>2394</v>
      </c>
      <c r="D1311" s="44" t="s">
        <v>2395</v>
      </c>
      <c r="E1311" s="44"/>
      <c r="F1311" s="45">
        <v>42692.34306712963</v>
      </c>
      <c r="G1311" s="46">
        <v>22</v>
      </c>
      <c r="H1311" s="47" t="s">
        <v>24</v>
      </c>
      <c r="I1311" s="47" t="s">
        <v>24</v>
      </c>
      <c r="J1311" s="46">
        <v>67316</v>
      </c>
      <c r="K1311" s="46">
        <v>0</v>
      </c>
      <c r="L1311" s="46">
        <v>0</v>
      </c>
      <c r="M1311" s="46">
        <f t="shared" si="373"/>
        <v>67316</v>
      </c>
      <c r="N1311" s="46">
        <v>67316</v>
      </c>
      <c r="O1311" s="48">
        <f t="shared" si="374"/>
        <v>0</v>
      </c>
      <c r="P1311" s="46">
        <v>0</v>
      </c>
      <c r="Q1311" s="46">
        <v>67316</v>
      </c>
      <c r="R1311" s="49">
        <f t="shared" si="375"/>
        <v>1</v>
      </c>
      <c r="S1311" s="50">
        <f t="shared" si="376"/>
        <v>0.01</v>
      </c>
      <c r="T1311" s="49">
        <f t="shared" si="377"/>
        <v>673.16</v>
      </c>
      <c r="U1311" s="51">
        <f t="shared" si="378"/>
        <v>0</v>
      </c>
      <c r="V1311" s="52">
        <f>IF(0&lt;0.8,0,IF(0&lt;1,Sheet3!L561,1))*IF(G1311&lt;3,0.12 - O1311,0.01) *U1311</f>
        <v>0</v>
      </c>
      <c r="W1311" s="52">
        <f t="shared" si="379"/>
        <v>0</v>
      </c>
      <c r="X1311" s="53">
        <f t="shared" si="380"/>
        <v>0</v>
      </c>
      <c r="Y1311" s="53">
        <f t="shared" si="381"/>
        <v>0</v>
      </c>
      <c r="Z1311" s="54">
        <f t="shared" si="386"/>
        <v>0</v>
      </c>
      <c r="AA1311" s="54">
        <f t="shared" si="382"/>
        <v>0</v>
      </c>
      <c r="AB1311" s="55">
        <f t="shared" si="387"/>
        <v>0</v>
      </c>
      <c r="AC1311" s="55">
        <f t="shared" si="383"/>
        <v>0</v>
      </c>
      <c r="AD1311" s="56">
        <f t="shared" si="384"/>
        <v>673.16</v>
      </c>
    </row>
    <row r="1312" spans="3:30">
      <c r="C1312" s="43" t="s">
        <v>2396</v>
      </c>
      <c r="D1312" s="44" t="s">
        <v>2397</v>
      </c>
      <c r="E1312" s="44"/>
      <c r="F1312" s="45">
        <v>42706.105868055551</v>
      </c>
      <c r="G1312" s="46">
        <v>21</v>
      </c>
      <c r="H1312" s="47">
        <v>43372</v>
      </c>
      <c r="I1312" s="47">
        <v>43453</v>
      </c>
      <c r="J1312" s="46">
        <v>2314962</v>
      </c>
      <c r="K1312" s="46">
        <v>0</v>
      </c>
      <c r="L1312" s="46">
        <v>0</v>
      </c>
      <c r="M1312" s="46">
        <f t="shared" si="373"/>
        <v>2314962</v>
      </c>
      <c r="N1312" s="46">
        <v>2314962</v>
      </c>
      <c r="O1312" s="48">
        <f t="shared" si="374"/>
        <v>0</v>
      </c>
      <c r="P1312" s="46">
        <v>0</v>
      </c>
      <c r="Q1312" s="46">
        <v>2314962</v>
      </c>
      <c r="R1312" s="49">
        <f t="shared" si="375"/>
        <v>1</v>
      </c>
      <c r="S1312" s="50">
        <f t="shared" si="376"/>
        <v>0.01</v>
      </c>
      <c r="T1312" s="49">
        <f t="shared" si="377"/>
        <v>23149.62</v>
      </c>
      <c r="U1312" s="51">
        <f t="shared" si="378"/>
        <v>0</v>
      </c>
      <c r="V1312" s="52">
        <f>IF(0&lt;0.8,0,IF(0&lt;1,Sheet3!L561,1))*IF(G1312&lt;3,0.12 - O1312,0.01) *U1312</f>
        <v>0</v>
      </c>
      <c r="W1312" s="52">
        <f t="shared" si="379"/>
        <v>0</v>
      </c>
      <c r="X1312" s="53">
        <f t="shared" si="380"/>
        <v>0</v>
      </c>
      <c r="Y1312" s="53">
        <f t="shared" si="381"/>
        <v>0</v>
      </c>
      <c r="Z1312" s="54">
        <f t="shared" si="386"/>
        <v>0</v>
      </c>
      <c r="AA1312" s="54">
        <f t="shared" si="382"/>
        <v>0</v>
      </c>
      <c r="AB1312" s="55">
        <f t="shared" si="387"/>
        <v>0</v>
      </c>
      <c r="AC1312" s="55">
        <f t="shared" si="383"/>
        <v>0</v>
      </c>
      <c r="AD1312" s="56">
        <f t="shared" si="384"/>
        <v>23149.62</v>
      </c>
    </row>
    <row r="1313" spans="3:30">
      <c r="C1313" s="43" t="s">
        <v>2398</v>
      </c>
      <c r="D1313" s="44" t="s">
        <v>2399</v>
      </c>
      <c r="E1313" s="44"/>
      <c r="F1313" s="45">
        <v>42710.323958333334</v>
      </c>
      <c r="G1313" s="46">
        <v>21</v>
      </c>
      <c r="H1313" s="47">
        <v>43404</v>
      </c>
      <c r="I1313" s="47">
        <v>43412</v>
      </c>
      <c r="J1313" s="46">
        <v>100320</v>
      </c>
      <c r="K1313" s="46">
        <v>0</v>
      </c>
      <c r="L1313" s="46">
        <v>0</v>
      </c>
      <c r="M1313" s="46">
        <f t="shared" si="373"/>
        <v>100320</v>
      </c>
      <c r="N1313" s="46">
        <v>162140</v>
      </c>
      <c r="O1313" s="48">
        <f t="shared" si="374"/>
        <v>0.38127544097693356</v>
      </c>
      <c r="P1313" s="46">
        <v>0</v>
      </c>
      <c r="Q1313" s="46">
        <v>100320</v>
      </c>
      <c r="R1313" s="49">
        <f t="shared" si="375"/>
        <v>1</v>
      </c>
      <c r="S1313" s="50">
        <f t="shared" si="376"/>
        <v>0.01</v>
      </c>
      <c r="T1313" s="49">
        <f t="shared" si="377"/>
        <v>1003.2</v>
      </c>
      <c r="U1313" s="51">
        <f t="shared" si="378"/>
        <v>0</v>
      </c>
      <c r="V1313" s="52">
        <f>IF(0&lt;0.8,0,IF(0&lt;1,Sheet3!L561,1))*IF(G1313&lt;3,0.12 - O1313,0.01) *U1313</f>
        <v>0</v>
      </c>
      <c r="W1313" s="52">
        <f t="shared" si="379"/>
        <v>0</v>
      </c>
      <c r="X1313" s="53">
        <f t="shared" si="380"/>
        <v>0</v>
      </c>
      <c r="Y1313" s="53">
        <f t="shared" si="381"/>
        <v>0</v>
      </c>
      <c r="Z1313" s="54">
        <f t="shared" si="386"/>
        <v>0</v>
      </c>
      <c r="AA1313" s="54">
        <f t="shared" si="382"/>
        <v>0</v>
      </c>
      <c r="AB1313" s="55">
        <f t="shared" si="387"/>
        <v>0</v>
      </c>
      <c r="AC1313" s="55">
        <f t="shared" si="383"/>
        <v>0</v>
      </c>
      <c r="AD1313" s="56">
        <f t="shared" si="384"/>
        <v>1003.2</v>
      </c>
    </row>
    <row r="1314" spans="3:30">
      <c r="C1314" s="43" t="s">
        <v>2400</v>
      </c>
      <c r="D1314" s="44" t="s">
        <v>2399</v>
      </c>
      <c r="E1314" s="44"/>
      <c r="F1314" s="45">
        <v>42710.32508101852</v>
      </c>
      <c r="G1314" s="46">
        <v>21</v>
      </c>
      <c r="H1314" s="47">
        <v>43404</v>
      </c>
      <c r="I1314" s="47">
        <v>43412</v>
      </c>
      <c r="J1314" s="46">
        <v>140030</v>
      </c>
      <c r="K1314" s="46">
        <v>0</v>
      </c>
      <c r="L1314" s="46">
        <v>0</v>
      </c>
      <c r="M1314" s="46">
        <f t="shared" si="373"/>
        <v>140030</v>
      </c>
      <c r="N1314" s="46">
        <v>199590</v>
      </c>
      <c r="O1314" s="48">
        <f t="shared" si="374"/>
        <v>0.29841174407535442</v>
      </c>
      <c r="P1314" s="46">
        <v>0</v>
      </c>
      <c r="Q1314" s="46">
        <v>140030</v>
      </c>
      <c r="R1314" s="49">
        <f t="shared" si="375"/>
        <v>1</v>
      </c>
      <c r="S1314" s="50">
        <f t="shared" si="376"/>
        <v>0.01</v>
      </c>
      <c r="T1314" s="49">
        <f t="shared" si="377"/>
        <v>1400.3</v>
      </c>
      <c r="U1314" s="51">
        <f t="shared" si="378"/>
        <v>0</v>
      </c>
      <c r="V1314" s="52">
        <f>IF(0&lt;0.8,0,IF(0&lt;1,Sheet3!L561,1))*IF(G1314&lt;3,0.12 - O1314,0.01) *U1314</f>
        <v>0</v>
      </c>
      <c r="W1314" s="52">
        <f t="shared" si="379"/>
        <v>0</v>
      </c>
      <c r="X1314" s="53">
        <f t="shared" si="380"/>
        <v>0</v>
      </c>
      <c r="Y1314" s="53">
        <f t="shared" si="381"/>
        <v>0</v>
      </c>
      <c r="Z1314" s="54">
        <f t="shared" si="386"/>
        <v>0</v>
      </c>
      <c r="AA1314" s="54">
        <f t="shared" si="382"/>
        <v>0</v>
      </c>
      <c r="AB1314" s="55">
        <f t="shared" si="387"/>
        <v>0</v>
      </c>
      <c r="AC1314" s="55">
        <f t="shared" si="383"/>
        <v>0</v>
      </c>
      <c r="AD1314" s="56">
        <f t="shared" si="384"/>
        <v>1400.3</v>
      </c>
    </row>
    <row r="1315" spans="3:30">
      <c r="C1315" s="43" t="s">
        <v>2401</v>
      </c>
      <c r="D1315" s="44" t="s">
        <v>2402</v>
      </c>
      <c r="E1315" s="44"/>
      <c r="F1315" s="45">
        <v>42713.102986111109</v>
      </c>
      <c r="G1315" s="46">
        <v>21</v>
      </c>
      <c r="H1315" s="47">
        <v>43377</v>
      </c>
      <c r="I1315" s="47">
        <v>43398</v>
      </c>
      <c r="J1315" s="46">
        <v>1653954</v>
      </c>
      <c r="K1315" s="46">
        <v>0</v>
      </c>
      <c r="L1315" s="46">
        <v>0</v>
      </c>
      <c r="M1315" s="46">
        <f t="shared" si="373"/>
        <v>1653954</v>
      </c>
      <c r="N1315" s="46">
        <v>1653954</v>
      </c>
      <c r="O1315" s="48">
        <f t="shared" si="374"/>
        <v>0</v>
      </c>
      <c r="P1315" s="46">
        <v>0</v>
      </c>
      <c r="Q1315" s="46">
        <v>1653954</v>
      </c>
      <c r="R1315" s="49">
        <f t="shared" si="375"/>
        <v>1</v>
      </c>
      <c r="S1315" s="50">
        <f t="shared" si="376"/>
        <v>0.01</v>
      </c>
      <c r="T1315" s="49">
        <f t="shared" si="377"/>
        <v>16539.54</v>
      </c>
      <c r="U1315" s="51">
        <f t="shared" si="378"/>
        <v>0</v>
      </c>
      <c r="V1315" s="52">
        <f>IF(0&lt;0.8,0,IF(0&lt;1,Sheet3!L561,1))*IF(G1315&lt;3,0.12 - O1315,0.01) *U1315</f>
        <v>0</v>
      </c>
      <c r="W1315" s="52">
        <f t="shared" si="379"/>
        <v>0</v>
      </c>
      <c r="X1315" s="53">
        <f t="shared" si="380"/>
        <v>0</v>
      </c>
      <c r="Y1315" s="53">
        <f t="shared" si="381"/>
        <v>0</v>
      </c>
      <c r="Z1315" s="54">
        <f t="shared" si="386"/>
        <v>0</v>
      </c>
      <c r="AA1315" s="54">
        <f t="shared" si="382"/>
        <v>0</v>
      </c>
      <c r="AB1315" s="55">
        <f t="shared" si="387"/>
        <v>0</v>
      </c>
      <c r="AC1315" s="55">
        <f t="shared" si="383"/>
        <v>0</v>
      </c>
      <c r="AD1315" s="56">
        <f t="shared" si="384"/>
        <v>16539.54</v>
      </c>
    </row>
    <row r="1316" spans="3:30">
      <c r="C1316" s="43" t="s">
        <v>2403</v>
      </c>
      <c r="D1316" s="44" t="s">
        <v>2404</v>
      </c>
      <c r="E1316" s="44"/>
      <c r="F1316" s="45">
        <v>42720.375335648147</v>
      </c>
      <c r="G1316" s="46">
        <v>21</v>
      </c>
      <c r="H1316" s="47">
        <v>43376</v>
      </c>
      <c r="I1316" s="47">
        <v>43397</v>
      </c>
      <c r="J1316" s="46">
        <v>1766544</v>
      </c>
      <c r="K1316" s="46">
        <v>0</v>
      </c>
      <c r="L1316" s="46">
        <v>0</v>
      </c>
      <c r="M1316" s="46">
        <f t="shared" si="373"/>
        <v>1766544</v>
      </c>
      <c r="N1316" s="46">
        <v>1766544</v>
      </c>
      <c r="O1316" s="48">
        <f t="shared" si="374"/>
        <v>0</v>
      </c>
      <c r="P1316" s="46">
        <v>0</v>
      </c>
      <c r="Q1316" s="46">
        <v>1766544</v>
      </c>
      <c r="R1316" s="49">
        <f t="shared" si="375"/>
        <v>1</v>
      </c>
      <c r="S1316" s="50">
        <f t="shared" si="376"/>
        <v>0.01</v>
      </c>
      <c r="T1316" s="49">
        <f t="shared" si="377"/>
        <v>17665.439999999999</v>
      </c>
      <c r="U1316" s="51">
        <f t="shared" si="378"/>
        <v>0</v>
      </c>
      <c r="V1316" s="52">
        <f>IF(0&lt;0.8,0,IF(0&lt;1,Sheet3!L561,1))*IF(G1316&lt;3,0.12 - O1316,0.01) *U1316</f>
        <v>0</v>
      </c>
      <c r="W1316" s="52">
        <f t="shared" si="379"/>
        <v>0</v>
      </c>
      <c r="X1316" s="53">
        <f t="shared" si="380"/>
        <v>0</v>
      </c>
      <c r="Y1316" s="53">
        <f t="shared" si="381"/>
        <v>0</v>
      </c>
      <c r="Z1316" s="54">
        <f t="shared" si="386"/>
        <v>0</v>
      </c>
      <c r="AA1316" s="54">
        <f t="shared" si="382"/>
        <v>0</v>
      </c>
      <c r="AB1316" s="55">
        <f t="shared" si="387"/>
        <v>0</v>
      </c>
      <c r="AC1316" s="55">
        <f t="shared" si="383"/>
        <v>0</v>
      </c>
      <c r="AD1316" s="56">
        <f t="shared" si="384"/>
        <v>17665.439999999999</v>
      </c>
    </row>
    <row r="1317" spans="3:30">
      <c r="C1317" s="43" t="s">
        <v>2405</v>
      </c>
      <c r="D1317" s="44" t="s">
        <v>2406</v>
      </c>
      <c r="E1317" s="44"/>
      <c r="F1317" s="45">
        <v>42747.140555555554</v>
      </c>
      <c r="G1317" s="46">
        <v>20</v>
      </c>
      <c r="H1317" s="47">
        <v>43377</v>
      </c>
      <c r="I1317" s="47">
        <v>43391</v>
      </c>
      <c r="J1317" s="46">
        <v>905506</v>
      </c>
      <c r="K1317" s="46">
        <v>0</v>
      </c>
      <c r="L1317" s="46">
        <v>0</v>
      </c>
      <c r="M1317" s="46">
        <f t="shared" si="373"/>
        <v>905506</v>
      </c>
      <c r="N1317" s="46">
        <v>69045</v>
      </c>
      <c r="O1317" s="48">
        <f t="shared" si="374"/>
        <v>0</v>
      </c>
      <c r="P1317" s="46">
        <v>0</v>
      </c>
      <c r="Q1317" s="46">
        <v>905506</v>
      </c>
      <c r="R1317" s="49">
        <f t="shared" si="375"/>
        <v>1</v>
      </c>
      <c r="S1317" s="50">
        <f t="shared" si="376"/>
        <v>0.01</v>
      </c>
      <c r="T1317" s="49">
        <f t="shared" si="377"/>
        <v>9055.06</v>
      </c>
      <c r="U1317" s="51">
        <f t="shared" si="378"/>
        <v>0</v>
      </c>
      <c r="V1317" s="52">
        <f>IF(0&lt;0.8,0,IF(0&lt;1,Sheet3!L561,1))*IF(G1317&lt;3,0.12 - O1317,0.01) *U1317</f>
        <v>0</v>
      </c>
      <c r="W1317" s="52">
        <f t="shared" si="379"/>
        <v>0</v>
      </c>
      <c r="X1317" s="53">
        <f t="shared" si="380"/>
        <v>0</v>
      </c>
      <c r="Y1317" s="53">
        <f t="shared" si="381"/>
        <v>0</v>
      </c>
      <c r="Z1317" s="54">
        <f t="shared" si="386"/>
        <v>0</v>
      </c>
      <c r="AA1317" s="54">
        <f t="shared" si="382"/>
        <v>0</v>
      </c>
      <c r="AB1317" s="55">
        <f>IF(R1317=0,836460,0)</f>
        <v>0</v>
      </c>
      <c r="AC1317" s="55">
        <f t="shared" si="383"/>
        <v>0</v>
      </c>
      <c r="AD1317" s="56">
        <f t="shared" si="384"/>
        <v>9055.06</v>
      </c>
    </row>
    <row r="1318" spans="3:30">
      <c r="C1318" s="43" t="s">
        <v>2407</v>
      </c>
      <c r="D1318" s="44" t="s">
        <v>2408</v>
      </c>
      <c r="E1318" s="44"/>
      <c r="F1318" s="45">
        <v>42747.137083333335</v>
      </c>
      <c r="G1318" s="46">
        <v>20</v>
      </c>
      <c r="H1318" s="47">
        <v>43378</v>
      </c>
      <c r="I1318" s="47">
        <v>43388</v>
      </c>
      <c r="J1318" s="46">
        <v>1147307</v>
      </c>
      <c r="K1318" s="46">
        <v>0</v>
      </c>
      <c r="L1318" s="46">
        <v>0</v>
      </c>
      <c r="M1318" s="46">
        <f t="shared" si="373"/>
        <v>1147307</v>
      </c>
      <c r="N1318" s="46">
        <v>1199378</v>
      </c>
      <c r="O1318" s="48">
        <f t="shared" si="374"/>
        <v>4.3415003443451505E-2</v>
      </c>
      <c r="P1318" s="46">
        <v>0</v>
      </c>
      <c r="Q1318" s="46">
        <v>1147307</v>
      </c>
      <c r="R1318" s="49">
        <f t="shared" si="375"/>
        <v>1</v>
      </c>
      <c r="S1318" s="50">
        <f t="shared" si="376"/>
        <v>0.01</v>
      </c>
      <c r="T1318" s="49">
        <f t="shared" si="377"/>
        <v>11473.07</v>
      </c>
      <c r="U1318" s="51">
        <f t="shared" si="378"/>
        <v>0</v>
      </c>
      <c r="V1318" s="52">
        <f>IF(0&lt;0.8,0,IF(0&lt;1,Sheet3!L561,1))*IF(G1318&lt;3,0.12 - O1318,0.01) *U1318</f>
        <v>0</v>
      </c>
      <c r="W1318" s="52">
        <f t="shared" si="379"/>
        <v>0</v>
      </c>
      <c r="X1318" s="53">
        <f t="shared" si="380"/>
        <v>0</v>
      </c>
      <c r="Y1318" s="53">
        <f t="shared" si="381"/>
        <v>0</v>
      </c>
      <c r="Z1318" s="54">
        <f t="shared" si="386"/>
        <v>0</v>
      </c>
      <c r="AA1318" s="54">
        <f t="shared" si="382"/>
        <v>0</v>
      </c>
      <c r="AB1318" s="55">
        <f t="shared" ref="AB1318:AB1335" si="388">IF(R1318=0,0,0)</f>
        <v>0</v>
      </c>
      <c r="AC1318" s="55">
        <f t="shared" si="383"/>
        <v>0</v>
      </c>
      <c r="AD1318" s="56">
        <f t="shared" si="384"/>
        <v>11473.07</v>
      </c>
    </row>
    <row r="1319" spans="3:30">
      <c r="C1319" s="43" t="s">
        <v>2409</v>
      </c>
      <c r="D1319" s="44" t="s">
        <v>2399</v>
      </c>
      <c r="E1319" s="44"/>
      <c r="F1319" s="45">
        <v>42775.095324074071</v>
      </c>
      <c r="G1319" s="46">
        <v>19</v>
      </c>
      <c r="H1319" s="47">
        <v>43404</v>
      </c>
      <c r="I1319" s="47">
        <v>43412</v>
      </c>
      <c r="J1319" s="46">
        <v>75240</v>
      </c>
      <c r="K1319" s="46">
        <v>0</v>
      </c>
      <c r="L1319" s="46">
        <v>0</v>
      </c>
      <c r="M1319" s="46">
        <f t="shared" si="373"/>
        <v>75240</v>
      </c>
      <c r="N1319" s="46">
        <v>117007</v>
      </c>
      <c r="O1319" s="48">
        <f t="shared" si="374"/>
        <v>0.35696154930901569</v>
      </c>
      <c r="P1319" s="46">
        <v>0</v>
      </c>
      <c r="Q1319" s="46">
        <v>75240</v>
      </c>
      <c r="R1319" s="49">
        <f t="shared" si="375"/>
        <v>1</v>
      </c>
      <c r="S1319" s="50">
        <f t="shared" si="376"/>
        <v>0.01</v>
      </c>
      <c r="T1319" s="49">
        <f t="shared" si="377"/>
        <v>752.4</v>
      </c>
      <c r="U1319" s="51">
        <f t="shared" si="378"/>
        <v>0</v>
      </c>
      <c r="V1319" s="52">
        <f>IF(0&lt;0.8,0,IF(0&lt;1,Sheet3!L561,1))*IF(G1319&lt;3,0.12 - O1319,0.01) *U1319</f>
        <v>0</v>
      </c>
      <c r="W1319" s="52">
        <f t="shared" si="379"/>
        <v>0</v>
      </c>
      <c r="X1319" s="53">
        <f t="shared" si="380"/>
        <v>0</v>
      </c>
      <c r="Y1319" s="53">
        <f t="shared" si="381"/>
        <v>0</v>
      </c>
      <c r="Z1319" s="54">
        <f t="shared" si="386"/>
        <v>0</v>
      </c>
      <c r="AA1319" s="54">
        <f t="shared" si="382"/>
        <v>0</v>
      </c>
      <c r="AB1319" s="55">
        <f t="shared" si="388"/>
        <v>0</v>
      </c>
      <c r="AC1319" s="55">
        <f t="shared" si="383"/>
        <v>0</v>
      </c>
      <c r="AD1319" s="56">
        <f t="shared" si="384"/>
        <v>752.4</v>
      </c>
    </row>
    <row r="1320" spans="3:30">
      <c r="C1320" s="43" t="s">
        <v>2410</v>
      </c>
      <c r="D1320" s="44" t="s">
        <v>2411</v>
      </c>
      <c r="E1320" s="44"/>
      <c r="F1320" s="45">
        <v>42775.35659722222</v>
      </c>
      <c r="G1320" s="46">
        <v>19</v>
      </c>
      <c r="H1320" s="47">
        <v>43382</v>
      </c>
      <c r="I1320" s="47">
        <v>43390</v>
      </c>
      <c r="J1320" s="46">
        <v>746727</v>
      </c>
      <c r="K1320" s="46">
        <v>0</v>
      </c>
      <c r="L1320" s="46">
        <v>0</v>
      </c>
      <c r="M1320" s="46">
        <f t="shared" si="373"/>
        <v>746727</v>
      </c>
      <c r="N1320" s="46">
        <v>746727</v>
      </c>
      <c r="O1320" s="48">
        <f t="shared" si="374"/>
        <v>0</v>
      </c>
      <c r="P1320" s="46">
        <v>0</v>
      </c>
      <c r="Q1320" s="46">
        <v>746727</v>
      </c>
      <c r="R1320" s="49">
        <f t="shared" si="375"/>
        <v>1</v>
      </c>
      <c r="S1320" s="50">
        <f t="shared" si="376"/>
        <v>0.01</v>
      </c>
      <c r="T1320" s="49">
        <f t="shared" si="377"/>
        <v>7467.27</v>
      </c>
      <c r="U1320" s="51">
        <f t="shared" si="378"/>
        <v>0</v>
      </c>
      <c r="V1320" s="52">
        <f>IF(0&lt;0.8,0,IF(0&lt;1,Sheet3!L561,1))*IF(G1320&lt;3,0.12 - O1320,0.01) *U1320</f>
        <v>0</v>
      </c>
      <c r="W1320" s="52">
        <f t="shared" si="379"/>
        <v>0</v>
      </c>
      <c r="X1320" s="53">
        <f t="shared" si="380"/>
        <v>0</v>
      </c>
      <c r="Y1320" s="53">
        <f t="shared" si="381"/>
        <v>0</v>
      </c>
      <c r="Z1320" s="54">
        <f t="shared" si="386"/>
        <v>0</v>
      </c>
      <c r="AA1320" s="54">
        <f t="shared" si="382"/>
        <v>0</v>
      </c>
      <c r="AB1320" s="55">
        <f t="shared" si="388"/>
        <v>0</v>
      </c>
      <c r="AC1320" s="55">
        <f t="shared" si="383"/>
        <v>0</v>
      </c>
      <c r="AD1320" s="56">
        <f t="shared" si="384"/>
        <v>7467.27</v>
      </c>
    </row>
    <row r="1321" spans="3:30">
      <c r="C1321" s="43" t="s">
        <v>2412</v>
      </c>
      <c r="D1321" s="44" t="s">
        <v>2413</v>
      </c>
      <c r="E1321" s="44"/>
      <c r="F1321" s="45">
        <v>42777.128460648149</v>
      </c>
      <c r="G1321" s="46">
        <v>19</v>
      </c>
      <c r="H1321" s="47">
        <v>43385</v>
      </c>
      <c r="I1321" s="47">
        <v>43423</v>
      </c>
      <c r="J1321" s="46">
        <v>8664852</v>
      </c>
      <c r="K1321" s="46">
        <v>0</v>
      </c>
      <c r="L1321" s="46">
        <v>0</v>
      </c>
      <c r="M1321" s="46">
        <f t="shared" si="373"/>
        <v>8664852</v>
      </c>
      <c r="N1321" s="46">
        <v>8534178</v>
      </c>
      <c r="O1321" s="48">
        <f t="shared" si="374"/>
        <v>0</v>
      </c>
      <c r="P1321" s="46">
        <v>0</v>
      </c>
      <c r="Q1321" s="46">
        <v>8664852</v>
      </c>
      <c r="R1321" s="49">
        <f t="shared" si="375"/>
        <v>1</v>
      </c>
      <c r="S1321" s="50">
        <f t="shared" si="376"/>
        <v>0.01</v>
      </c>
      <c r="T1321" s="49">
        <f t="shared" si="377"/>
        <v>86648.52</v>
      </c>
      <c r="U1321" s="51">
        <f t="shared" si="378"/>
        <v>0</v>
      </c>
      <c r="V1321" s="52">
        <f>IF(0&lt;0.8,0,IF(0&lt;1,Sheet3!L561,1))*IF(G1321&lt;3,0.12 - O1321,0.01) *U1321</f>
        <v>0</v>
      </c>
      <c r="W1321" s="52">
        <f t="shared" si="379"/>
        <v>0</v>
      </c>
      <c r="X1321" s="53">
        <f t="shared" si="380"/>
        <v>0</v>
      </c>
      <c r="Y1321" s="53">
        <f t="shared" si="381"/>
        <v>0</v>
      </c>
      <c r="Z1321" s="54">
        <f t="shared" si="386"/>
        <v>0</v>
      </c>
      <c r="AA1321" s="54">
        <f t="shared" si="382"/>
        <v>0</v>
      </c>
      <c r="AB1321" s="55">
        <f t="shared" si="388"/>
        <v>0</v>
      </c>
      <c r="AC1321" s="55">
        <f t="shared" si="383"/>
        <v>0</v>
      </c>
      <c r="AD1321" s="56">
        <f t="shared" si="384"/>
        <v>86648.52</v>
      </c>
    </row>
    <row r="1322" spans="3:30">
      <c r="C1322" s="43" t="s">
        <v>2414</v>
      </c>
      <c r="D1322" s="44" t="s">
        <v>2415</v>
      </c>
      <c r="E1322" s="44"/>
      <c r="F1322" s="45">
        <v>42788.290393518517</v>
      </c>
      <c r="G1322" s="46">
        <v>19</v>
      </c>
      <c r="H1322" s="47">
        <v>43376</v>
      </c>
      <c r="I1322" s="47">
        <v>43419</v>
      </c>
      <c r="J1322" s="46">
        <v>2499474</v>
      </c>
      <c r="K1322" s="46">
        <v>0</v>
      </c>
      <c r="L1322" s="46">
        <v>0</v>
      </c>
      <c r="M1322" s="46">
        <f t="shared" si="373"/>
        <v>2499474</v>
      </c>
      <c r="N1322" s="46">
        <v>2499474</v>
      </c>
      <c r="O1322" s="48">
        <f t="shared" si="374"/>
        <v>0</v>
      </c>
      <c r="P1322" s="46">
        <v>0</v>
      </c>
      <c r="Q1322" s="46">
        <v>2499474</v>
      </c>
      <c r="R1322" s="49">
        <f t="shared" si="375"/>
        <v>1</v>
      </c>
      <c r="S1322" s="50">
        <f t="shared" si="376"/>
        <v>0.01</v>
      </c>
      <c r="T1322" s="49">
        <f t="shared" si="377"/>
        <v>24994.74</v>
      </c>
      <c r="U1322" s="51">
        <f t="shared" si="378"/>
        <v>0</v>
      </c>
      <c r="V1322" s="52">
        <f>IF(0&lt;0.8,0,IF(0&lt;1,Sheet3!L561,1))*IF(G1322&lt;3,0.12 - O1322,0.01) *U1322</f>
        <v>0</v>
      </c>
      <c r="W1322" s="52">
        <f t="shared" si="379"/>
        <v>0</v>
      </c>
      <c r="X1322" s="53">
        <f t="shared" si="380"/>
        <v>0</v>
      </c>
      <c r="Y1322" s="53">
        <f t="shared" si="381"/>
        <v>0</v>
      </c>
      <c r="Z1322" s="54">
        <f t="shared" si="386"/>
        <v>0</v>
      </c>
      <c r="AA1322" s="54">
        <f t="shared" si="382"/>
        <v>0</v>
      </c>
      <c r="AB1322" s="55">
        <f t="shared" si="388"/>
        <v>0</v>
      </c>
      <c r="AC1322" s="55">
        <f t="shared" si="383"/>
        <v>0</v>
      </c>
      <c r="AD1322" s="56">
        <f t="shared" si="384"/>
        <v>24994.74</v>
      </c>
    </row>
    <row r="1323" spans="3:30">
      <c r="C1323" s="43" t="s">
        <v>2416</v>
      </c>
      <c r="D1323" s="44" t="s">
        <v>2417</v>
      </c>
      <c r="E1323" s="44"/>
      <c r="F1323" s="45">
        <v>42788.289641203701</v>
      </c>
      <c r="G1323" s="46">
        <v>19</v>
      </c>
      <c r="H1323" s="47">
        <v>43419</v>
      </c>
      <c r="I1323" s="47">
        <v>43424</v>
      </c>
      <c r="J1323" s="46">
        <v>102221</v>
      </c>
      <c r="K1323" s="46">
        <v>0</v>
      </c>
      <c r="L1323" s="46">
        <v>0</v>
      </c>
      <c r="M1323" s="46">
        <f t="shared" si="373"/>
        <v>102221</v>
      </c>
      <c r="N1323" s="46">
        <v>102221</v>
      </c>
      <c r="O1323" s="48">
        <f t="shared" si="374"/>
        <v>0</v>
      </c>
      <c r="P1323" s="46">
        <v>0</v>
      </c>
      <c r="Q1323" s="46">
        <v>102221</v>
      </c>
      <c r="R1323" s="49">
        <f t="shared" si="375"/>
        <v>1</v>
      </c>
      <c r="S1323" s="50">
        <f t="shared" si="376"/>
        <v>0.01</v>
      </c>
      <c r="T1323" s="49">
        <f t="shared" si="377"/>
        <v>1022.21</v>
      </c>
      <c r="U1323" s="51">
        <f t="shared" si="378"/>
        <v>0</v>
      </c>
      <c r="V1323" s="52">
        <f>IF(0&lt;0.8,0,IF(0&lt;1,Sheet3!L561,1))*IF(G1323&lt;3,0.12 - O1323,0.01) *U1323</f>
        <v>0</v>
      </c>
      <c r="W1323" s="52">
        <f t="shared" si="379"/>
        <v>0</v>
      </c>
      <c r="X1323" s="53">
        <f t="shared" si="380"/>
        <v>0</v>
      </c>
      <c r="Y1323" s="53">
        <f t="shared" si="381"/>
        <v>0</v>
      </c>
      <c r="Z1323" s="54">
        <f t="shared" si="386"/>
        <v>0</v>
      </c>
      <c r="AA1323" s="54">
        <f t="shared" si="382"/>
        <v>0</v>
      </c>
      <c r="AB1323" s="55">
        <f t="shared" si="388"/>
        <v>0</v>
      </c>
      <c r="AC1323" s="55">
        <f t="shared" si="383"/>
        <v>0</v>
      </c>
      <c r="AD1323" s="56">
        <f t="shared" si="384"/>
        <v>1022.21</v>
      </c>
    </row>
    <row r="1324" spans="3:30">
      <c r="C1324" s="43" t="s">
        <v>2418</v>
      </c>
      <c r="D1324" s="44" t="s">
        <v>2419</v>
      </c>
      <c r="E1324" s="44"/>
      <c r="F1324" s="45">
        <v>42788.287789351853</v>
      </c>
      <c r="G1324" s="46">
        <v>19</v>
      </c>
      <c r="H1324" s="47">
        <v>43377</v>
      </c>
      <c r="I1324" s="47">
        <v>43385</v>
      </c>
      <c r="J1324" s="46">
        <v>196746</v>
      </c>
      <c r="K1324" s="46">
        <v>0</v>
      </c>
      <c r="L1324" s="46">
        <v>0</v>
      </c>
      <c r="M1324" s="46">
        <f t="shared" si="373"/>
        <v>196746</v>
      </c>
      <c r="N1324" s="46">
        <v>196746</v>
      </c>
      <c r="O1324" s="48">
        <f t="shared" si="374"/>
        <v>0</v>
      </c>
      <c r="P1324" s="46">
        <v>0</v>
      </c>
      <c r="Q1324" s="46">
        <v>196746</v>
      </c>
      <c r="R1324" s="49">
        <f t="shared" si="375"/>
        <v>1</v>
      </c>
      <c r="S1324" s="50">
        <f t="shared" si="376"/>
        <v>0.01</v>
      </c>
      <c r="T1324" s="49">
        <f t="shared" si="377"/>
        <v>1967.46</v>
      </c>
      <c r="U1324" s="51">
        <f t="shared" si="378"/>
        <v>0</v>
      </c>
      <c r="V1324" s="52">
        <f>IF(0&lt;0.8,0,IF(0&lt;1,Sheet3!L561,1))*IF(G1324&lt;3,0.12 - O1324,0.01) *U1324</f>
        <v>0</v>
      </c>
      <c r="W1324" s="52">
        <f t="shared" si="379"/>
        <v>0</v>
      </c>
      <c r="X1324" s="53">
        <f t="shared" si="380"/>
        <v>0</v>
      </c>
      <c r="Y1324" s="53">
        <f t="shared" si="381"/>
        <v>0</v>
      </c>
      <c r="Z1324" s="54">
        <f t="shared" si="386"/>
        <v>0</v>
      </c>
      <c r="AA1324" s="54">
        <f t="shared" si="382"/>
        <v>0</v>
      </c>
      <c r="AB1324" s="55">
        <f t="shared" si="388"/>
        <v>0</v>
      </c>
      <c r="AC1324" s="55">
        <f t="shared" si="383"/>
        <v>0</v>
      </c>
      <c r="AD1324" s="56">
        <f t="shared" si="384"/>
        <v>1967.46</v>
      </c>
    </row>
    <row r="1325" spans="3:30">
      <c r="C1325" s="43" t="s">
        <v>2420</v>
      </c>
      <c r="D1325" s="44" t="s">
        <v>2399</v>
      </c>
      <c r="E1325" s="44"/>
      <c r="F1325" s="45">
        <v>42791.360289351847</v>
      </c>
      <c r="G1325" s="46">
        <v>19</v>
      </c>
      <c r="H1325" s="47">
        <v>43404</v>
      </c>
      <c r="I1325" s="47">
        <v>43412</v>
      </c>
      <c r="J1325" s="46">
        <v>68970</v>
      </c>
      <c r="K1325" s="46">
        <v>0</v>
      </c>
      <c r="L1325" s="46">
        <v>0</v>
      </c>
      <c r="M1325" s="46">
        <f t="shared" si="373"/>
        <v>68970</v>
      </c>
      <c r="N1325" s="46">
        <v>79860</v>
      </c>
      <c r="O1325" s="48">
        <f t="shared" si="374"/>
        <v>0.13636363636363635</v>
      </c>
      <c r="P1325" s="46">
        <v>0</v>
      </c>
      <c r="Q1325" s="46">
        <v>68970</v>
      </c>
      <c r="R1325" s="49">
        <f t="shared" si="375"/>
        <v>1</v>
      </c>
      <c r="S1325" s="50">
        <f t="shared" si="376"/>
        <v>0.01</v>
      </c>
      <c r="T1325" s="49">
        <f t="shared" si="377"/>
        <v>689.7</v>
      </c>
      <c r="U1325" s="51">
        <f t="shared" si="378"/>
        <v>0</v>
      </c>
      <c r="V1325" s="52">
        <f>IF(0&lt;0.8,0,IF(0&lt;1,Sheet3!L561,1))*IF(G1325&lt;3,0.12 - O1325,0.01) *U1325</f>
        <v>0</v>
      </c>
      <c r="W1325" s="52">
        <f t="shared" si="379"/>
        <v>0</v>
      </c>
      <c r="X1325" s="53">
        <f t="shared" si="380"/>
        <v>0</v>
      </c>
      <c r="Y1325" s="53">
        <f t="shared" si="381"/>
        <v>0</v>
      </c>
      <c r="Z1325" s="54">
        <f t="shared" si="386"/>
        <v>0</v>
      </c>
      <c r="AA1325" s="54">
        <f t="shared" si="382"/>
        <v>0</v>
      </c>
      <c r="AB1325" s="55">
        <f t="shared" si="388"/>
        <v>0</v>
      </c>
      <c r="AC1325" s="55">
        <f t="shared" si="383"/>
        <v>0</v>
      </c>
      <c r="AD1325" s="56">
        <f t="shared" si="384"/>
        <v>689.7</v>
      </c>
    </row>
    <row r="1326" spans="3:30">
      <c r="C1326" s="43" t="s">
        <v>2421</v>
      </c>
      <c r="D1326" s="44" t="s">
        <v>2399</v>
      </c>
      <c r="E1326" s="44"/>
      <c r="F1326" s="45">
        <v>42791.358761574069</v>
      </c>
      <c r="G1326" s="46">
        <v>19</v>
      </c>
      <c r="H1326" s="47">
        <v>43404</v>
      </c>
      <c r="I1326" s="47">
        <v>43412</v>
      </c>
      <c r="J1326" s="46">
        <v>155540</v>
      </c>
      <c r="K1326" s="46">
        <v>0</v>
      </c>
      <c r="L1326" s="46">
        <v>0</v>
      </c>
      <c r="M1326" s="46">
        <f t="shared" si="373"/>
        <v>155540</v>
      </c>
      <c r="N1326" s="46">
        <v>197917</v>
      </c>
      <c r="O1326" s="48">
        <f t="shared" si="374"/>
        <v>0.21411500780630266</v>
      </c>
      <c r="P1326" s="46">
        <v>0</v>
      </c>
      <c r="Q1326" s="46">
        <v>155540</v>
      </c>
      <c r="R1326" s="49">
        <f t="shared" si="375"/>
        <v>1</v>
      </c>
      <c r="S1326" s="50">
        <f t="shared" si="376"/>
        <v>0.01</v>
      </c>
      <c r="T1326" s="49">
        <f t="shared" si="377"/>
        <v>1555.4</v>
      </c>
      <c r="U1326" s="51">
        <f t="shared" si="378"/>
        <v>0</v>
      </c>
      <c r="V1326" s="52">
        <f>IF(0&lt;0.8,0,IF(0&lt;1,Sheet3!L561,1))*IF(G1326&lt;3,0.12 - O1326,0.01) *U1326</f>
        <v>0</v>
      </c>
      <c r="W1326" s="52">
        <f t="shared" si="379"/>
        <v>0</v>
      </c>
      <c r="X1326" s="53">
        <f t="shared" si="380"/>
        <v>0</v>
      </c>
      <c r="Y1326" s="53">
        <f t="shared" si="381"/>
        <v>0</v>
      </c>
      <c r="Z1326" s="54">
        <f t="shared" si="386"/>
        <v>0</v>
      </c>
      <c r="AA1326" s="54">
        <f t="shared" si="382"/>
        <v>0</v>
      </c>
      <c r="AB1326" s="55">
        <f t="shared" si="388"/>
        <v>0</v>
      </c>
      <c r="AC1326" s="55">
        <f t="shared" si="383"/>
        <v>0</v>
      </c>
      <c r="AD1326" s="56">
        <f t="shared" si="384"/>
        <v>1555.4</v>
      </c>
    </row>
    <row r="1327" spans="3:30">
      <c r="C1327" s="43" t="s">
        <v>2422</v>
      </c>
      <c r="D1327" s="44" t="s">
        <v>2423</v>
      </c>
      <c r="E1327" s="44"/>
      <c r="F1327" s="45">
        <v>42794.338240740741</v>
      </c>
      <c r="G1327" s="46">
        <v>19</v>
      </c>
      <c r="H1327" s="47">
        <v>43375</v>
      </c>
      <c r="I1327" s="47">
        <v>43427</v>
      </c>
      <c r="J1327" s="46">
        <v>615188</v>
      </c>
      <c r="K1327" s="46">
        <v>0</v>
      </c>
      <c r="L1327" s="46">
        <v>0</v>
      </c>
      <c r="M1327" s="46">
        <f t="shared" si="373"/>
        <v>615188</v>
      </c>
      <c r="N1327" s="46">
        <v>615188</v>
      </c>
      <c r="O1327" s="48">
        <f t="shared" si="374"/>
        <v>0</v>
      </c>
      <c r="P1327" s="46">
        <v>0</v>
      </c>
      <c r="Q1327" s="46">
        <v>615188</v>
      </c>
      <c r="R1327" s="49">
        <f t="shared" si="375"/>
        <v>1</v>
      </c>
      <c r="S1327" s="50">
        <f t="shared" si="376"/>
        <v>0.01</v>
      </c>
      <c r="T1327" s="49">
        <f t="shared" si="377"/>
        <v>6151.88</v>
      </c>
      <c r="U1327" s="51">
        <f t="shared" si="378"/>
        <v>0</v>
      </c>
      <c r="V1327" s="52">
        <f>IF(0&lt;0.8,0,IF(0&lt;1,Sheet3!L561,1))*IF(G1327&lt;3,0.12 - O1327,0.01) *U1327</f>
        <v>0</v>
      </c>
      <c r="W1327" s="52">
        <f t="shared" si="379"/>
        <v>0</v>
      </c>
      <c r="X1327" s="53">
        <f t="shared" si="380"/>
        <v>0</v>
      </c>
      <c r="Y1327" s="53">
        <f t="shared" si="381"/>
        <v>0</v>
      </c>
      <c r="Z1327" s="54">
        <f t="shared" si="386"/>
        <v>0</v>
      </c>
      <c r="AA1327" s="54">
        <f t="shared" si="382"/>
        <v>0</v>
      </c>
      <c r="AB1327" s="55">
        <f t="shared" si="388"/>
        <v>0</v>
      </c>
      <c r="AC1327" s="55">
        <f t="shared" si="383"/>
        <v>0</v>
      </c>
      <c r="AD1327" s="56">
        <f t="shared" si="384"/>
        <v>6151.88</v>
      </c>
    </row>
    <row r="1328" spans="3:30">
      <c r="C1328" s="43" t="s">
        <v>2424</v>
      </c>
      <c r="D1328" s="44" t="s">
        <v>2425</v>
      </c>
      <c r="E1328" s="44"/>
      <c r="F1328" s="45">
        <v>42794.335185185184</v>
      </c>
      <c r="G1328" s="46">
        <v>19</v>
      </c>
      <c r="H1328" s="47">
        <v>43382</v>
      </c>
      <c r="I1328" s="47">
        <v>43398</v>
      </c>
      <c r="J1328" s="46">
        <v>1214356</v>
      </c>
      <c r="K1328" s="46">
        <v>0</v>
      </c>
      <c r="L1328" s="46">
        <v>0</v>
      </c>
      <c r="M1328" s="46">
        <f t="shared" si="373"/>
        <v>1214356</v>
      </c>
      <c r="N1328" s="46">
        <v>1214356</v>
      </c>
      <c r="O1328" s="48">
        <f t="shared" si="374"/>
        <v>0</v>
      </c>
      <c r="P1328" s="46">
        <v>0</v>
      </c>
      <c r="Q1328" s="46">
        <v>1214356</v>
      </c>
      <c r="R1328" s="49">
        <f t="shared" si="375"/>
        <v>1</v>
      </c>
      <c r="S1328" s="50">
        <f t="shared" si="376"/>
        <v>0.01</v>
      </c>
      <c r="T1328" s="49">
        <f t="shared" si="377"/>
        <v>12143.56</v>
      </c>
      <c r="U1328" s="51">
        <f t="shared" si="378"/>
        <v>0</v>
      </c>
      <c r="V1328" s="52">
        <f>IF(0&lt;0.8,0,IF(0&lt;1,Sheet3!L561,1))*IF(G1328&lt;3,0.12 - O1328,0.01) *U1328</f>
        <v>0</v>
      </c>
      <c r="W1328" s="52">
        <f t="shared" si="379"/>
        <v>0</v>
      </c>
      <c r="X1328" s="53">
        <f t="shared" si="380"/>
        <v>0</v>
      </c>
      <c r="Y1328" s="53">
        <f t="shared" si="381"/>
        <v>0</v>
      </c>
      <c r="Z1328" s="54">
        <f t="shared" si="386"/>
        <v>0</v>
      </c>
      <c r="AA1328" s="54">
        <f t="shared" si="382"/>
        <v>0</v>
      </c>
      <c r="AB1328" s="55">
        <f t="shared" si="388"/>
        <v>0</v>
      </c>
      <c r="AC1328" s="55">
        <f t="shared" si="383"/>
        <v>0</v>
      </c>
      <c r="AD1328" s="56">
        <f t="shared" si="384"/>
        <v>12143.56</v>
      </c>
    </row>
    <row r="1329" spans="3:30">
      <c r="C1329" s="43" t="s">
        <v>2426</v>
      </c>
      <c r="D1329" s="44" t="s">
        <v>2427</v>
      </c>
      <c r="E1329" s="44"/>
      <c r="F1329" s="45">
        <v>42794.336875000001</v>
      </c>
      <c r="G1329" s="46">
        <v>19</v>
      </c>
      <c r="H1329" s="47">
        <v>43378</v>
      </c>
      <c r="I1329" s="47">
        <v>43396</v>
      </c>
      <c r="J1329" s="46">
        <v>233167</v>
      </c>
      <c r="K1329" s="46">
        <v>0</v>
      </c>
      <c r="L1329" s="46">
        <v>0</v>
      </c>
      <c r="M1329" s="46">
        <f t="shared" si="373"/>
        <v>233167</v>
      </c>
      <c r="N1329" s="46">
        <v>233167</v>
      </c>
      <c r="O1329" s="48">
        <f t="shared" si="374"/>
        <v>0</v>
      </c>
      <c r="P1329" s="46">
        <v>0</v>
      </c>
      <c r="Q1329" s="46">
        <v>233167</v>
      </c>
      <c r="R1329" s="49">
        <f t="shared" si="375"/>
        <v>1</v>
      </c>
      <c r="S1329" s="50">
        <f t="shared" si="376"/>
        <v>0.01</v>
      </c>
      <c r="T1329" s="49">
        <f t="shared" si="377"/>
        <v>2331.67</v>
      </c>
      <c r="U1329" s="51">
        <f t="shared" si="378"/>
        <v>0</v>
      </c>
      <c r="V1329" s="52">
        <f>IF(0&lt;0.8,0,IF(0&lt;1,Sheet3!L561,1))*IF(G1329&lt;3,0.12 - O1329,0.01) *U1329</f>
        <v>0</v>
      </c>
      <c r="W1329" s="52">
        <f t="shared" si="379"/>
        <v>0</v>
      </c>
      <c r="X1329" s="53">
        <f t="shared" si="380"/>
        <v>0</v>
      </c>
      <c r="Y1329" s="53">
        <f t="shared" si="381"/>
        <v>0</v>
      </c>
      <c r="Z1329" s="54">
        <f t="shared" si="386"/>
        <v>0</v>
      </c>
      <c r="AA1329" s="54">
        <f t="shared" si="382"/>
        <v>0</v>
      </c>
      <c r="AB1329" s="55">
        <f t="shared" si="388"/>
        <v>0</v>
      </c>
      <c r="AC1329" s="55">
        <f t="shared" si="383"/>
        <v>0</v>
      </c>
      <c r="AD1329" s="56">
        <f t="shared" si="384"/>
        <v>2331.67</v>
      </c>
    </row>
    <row r="1330" spans="3:30">
      <c r="C1330" s="43" t="s">
        <v>2428</v>
      </c>
      <c r="D1330" s="44" t="s">
        <v>2429</v>
      </c>
      <c r="E1330" s="44"/>
      <c r="F1330" s="45">
        <v>42794.339849537035</v>
      </c>
      <c r="G1330" s="46">
        <v>19</v>
      </c>
      <c r="H1330" s="47">
        <v>43448</v>
      </c>
      <c r="I1330" s="47">
        <v>43497</v>
      </c>
      <c r="J1330" s="46">
        <v>4626955</v>
      </c>
      <c r="K1330" s="46">
        <v>0</v>
      </c>
      <c r="L1330" s="46">
        <v>0</v>
      </c>
      <c r="M1330" s="46">
        <f t="shared" si="373"/>
        <v>4626955</v>
      </c>
      <c r="N1330" s="46">
        <v>5326535</v>
      </c>
      <c r="O1330" s="48">
        <f t="shared" si="374"/>
        <v>0.13133866575550524</v>
      </c>
      <c r="P1330" s="46">
        <v>0</v>
      </c>
      <c r="Q1330" s="46">
        <v>4626955</v>
      </c>
      <c r="R1330" s="49">
        <f t="shared" si="375"/>
        <v>1</v>
      </c>
      <c r="S1330" s="50">
        <f t="shared" si="376"/>
        <v>0.01</v>
      </c>
      <c r="T1330" s="49">
        <f t="shared" si="377"/>
        <v>46269.55</v>
      </c>
      <c r="U1330" s="51">
        <f t="shared" si="378"/>
        <v>0</v>
      </c>
      <c r="V1330" s="52">
        <f>IF(0&lt;0.8,0,IF(0&lt;1,Sheet3!L561,1))*IF(G1330&lt;3,0.12 - O1330,0.01) *U1330</f>
        <v>0</v>
      </c>
      <c r="W1330" s="52">
        <f t="shared" si="379"/>
        <v>0</v>
      </c>
      <c r="X1330" s="53">
        <f t="shared" si="380"/>
        <v>0</v>
      </c>
      <c r="Y1330" s="53">
        <f t="shared" si="381"/>
        <v>0</v>
      </c>
      <c r="Z1330" s="54">
        <f t="shared" si="386"/>
        <v>0</v>
      </c>
      <c r="AA1330" s="54">
        <f t="shared" si="382"/>
        <v>0</v>
      </c>
      <c r="AB1330" s="55">
        <f t="shared" si="388"/>
        <v>0</v>
      </c>
      <c r="AC1330" s="55">
        <f t="shared" si="383"/>
        <v>0</v>
      </c>
      <c r="AD1330" s="56">
        <f t="shared" si="384"/>
        <v>46269.55</v>
      </c>
    </row>
    <row r="1331" spans="3:30">
      <c r="C1331" s="43" t="s">
        <v>2430</v>
      </c>
      <c r="D1331" s="44" t="s">
        <v>2431</v>
      </c>
      <c r="E1331" s="44"/>
      <c r="F1331" s="45">
        <v>42796.109560185185</v>
      </c>
      <c r="G1331" s="46">
        <v>18</v>
      </c>
      <c r="H1331" s="47">
        <v>43378</v>
      </c>
      <c r="I1331" s="47">
        <v>43389</v>
      </c>
      <c r="J1331" s="46">
        <v>186340</v>
      </c>
      <c r="K1331" s="46">
        <v>0</v>
      </c>
      <c r="L1331" s="46">
        <v>0</v>
      </c>
      <c r="M1331" s="46">
        <f t="shared" ref="M1331:M1394" si="389">IFERROR(J1331-K1331-L1331,0)</f>
        <v>186340</v>
      </c>
      <c r="N1331" s="46">
        <v>186340</v>
      </c>
      <c r="O1331" s="48">
        <f t="shared" ref="O1331:O1394" si="390">IFERROR(IF(1 - M1331/N1331&lt;0,0,1-M1331/N1331),0)</f>
        <v>0</v>
      </c>
      <c r="P1331" s="46">
        <v>0</v>
      </c>
      <c r="Q1331" s="46">
        <v>186340</v>
      </c>
      <c r="R1331" s="49">
        <f t="shared" ref="R1331:R1394" si="391">IF(F1331&lt;DATEVALUE("2018-07-01"),1,0)</f>
        <v>1</v>
      </c>
      <c r="S1331" s="50">
        <f t="shared" ref="S1331:S1394" si="392">IF(R1331=1,1%,0)</f>
        <v>0.01</v>
      </c>
      <c r="T1331" s="49">
        <f t="shared" ref="T1331:T1394" si="393">IFERROR(S1331*M1331,0)</f>
        <v>1863.4</v>
      </c>
      <c r="U1331" s="51">
        <f t="shared" ref="U1331:U1394" si="394">IF(O1331&lt;=0.12,1,0)*(1-R1331)*M1331</f>
        <v>0</v>
      </c>
      <c r="V1331" s="52">
        <f>IF(0&lt;0.8,0,IF(0&lt;1,Sheet3!L561,1))*IF(G1331&lt;3,0.12 - O1331,0.01) *U1331</f>
        <v>0</v>
      </c>
      <c r="W1331" s="52">
        <f t="shared" ref="W1331:W1394" si="395">IF(0&gt;1,IF(0&lt;=1.1,1,IF(0&lt;=1.2,2,IF(0&lt;=1.5,3,5))),0) * 1000000</f>
        <v>0</v>
      </c>
      <c r="X1331" s="53">
        <f t="shared" ref="X1331:X1394" si="396">IF(AND(P1331&gt;=150000000,P1331&lt;300000000),5000000,IF(AND(P1331&gt;=300000000,P1331&lt;500000000),10000000,IF(AND(P1331&gt;=300000000,P1331&lt;500000000),15000000,IF(AND(P1331&gt;=500000000,P1331&lt;3000000000),20000000,IF(P1331&gt;=30000000000,35000000,0))))) * (1-R1331)</f>
        <v>0</v>
      </c>
      <c r="Y1331" s="53">
        <f t="shared" ref="Y1331:Y1394" si="397">IFERROR(Q1331 * (1-R1331),0)</f>
        <v>0</v>
      </c>
      <c r="Z1331" s="54">
        <f t="shared" si="386"/>
        <v>0</v>
      </c>
      <c r="AA1331" s="54">
        <f t="shared" ref="AA1331:AA1394" si="398">IFERROR((1-R1331) * Z1331 * 2%,0)</f>
        <v>0</v>
      </c>
      <c r="AB1331" s="55">
        <f t="shared" si="388"/>
        <v>0</v>
      </c>
      <c r="AC1331" s="55">
        <f t="shared" ref="AC1331:AC1394" si="399">IFERROR(AB1331 * (1-R1331) * 2%,0)</f>
        <v>0</v>
      </c>
      <c r="AD1331" s="56">
        <f t="shared" ref="AD1331:AD1394" si="400">T1331+V1331+W1331+X1331+AA1331+AC1331</f>
        <v>1863.4</v>
      </c>
    </row>
    <row r="1332" spans="3:30">
      <c r="C1332" s="43" t="s">
        <v>2432</v>
      </c>
      <c r="D1332" s="44" t="s">
        <v>2433</v>
      </c>
      <c r="E1332" s="44"/>
      <c r="F1332" s="45">
        <v>42810.277233796296</v>
      </c>
      <c r="G1332" s="46">
        <v>18</v>
      </c>
      <c r="H1332" s="47">
        <v>43434</v>
      </c>
      <c r="I1332" s="47">
        <v>43458</v>
      </c>
      <c r="J1332" s="46">
        <v>3230100</v>
      </c>
      <c r="K1332" s="46">
        <v>146820</v>
      </c>
      <c r="L1332" s="46">
        <v>0</v>
      </c>
      <c r="M1332" s="46">
        <f t="shared" si="389"/>
        <v>3083280</v>
      </c>
      <c r="N1332" s="46">
        <v>3430100</v>
      </c>
      <c r="O1332" s="48">
        <f t="shared" si="390"/>
        <v>0.10111075478849019</v>
      </c>
      <c r="P1332" s="46">
        <v>0</v>
      </c>
      <c r="Q1332" s="46">
        <v>4420005</v>
      </c>
      <c r="R1332" s="49">
        <f t="shared" si="391"/>
        <v>1</v>
      </c>
      <c r="S1332" s="50">
        <f t="shared" si="392"/>
        <v>0.01</v>
      </c>
      <c r="T1332" s="49">
        <f t="shared" si="393"/>
        <v>30832.799999999999</v>
      </c>
      <c r="U1332" s="51">
        <f t="shared" si="394"/>
        <v>0</v>
      </c>
      <c r="V1332" s="52">
        <f>IF(0&lt;0.8,0,IF(0&lt;1,Sheet3!L561,1))*IF(G1332&lt;3,0.12 - O1332,0.01) *U1332</f>
        <v>0</v>
      </c>
      <c r="W1332" s="52">
        <f t="shared" si="395"/>
        <v>0</v>
      </c>
      <c r="X1332" s="53">
        <f t="shared" si="396"/>
        <v>0</v>
      </c>
      <c r="Y1332" s="53">
        <f t="shared" si="397"/>
        <v>0</v>
      </c>
      <c r="Z1332" s="54">
        <f t="shared" si="386"/>
        <v>0</v>
      </c>
      <c r="AA1332" s="54">
        <f t="shared" si="398"/>
        <v>0</v>
      </c>
      <c r="AB1332" s="55">
        <f t="shared" si="388"/>
        <v>0</v>
      </c>
      <c r="AC1332" s="55">
        <f t="shared" si="399"/>
        <v>0</v>
      </c>
      <c r="AD1332" s="56">
        <f t="shared" si="400"/>
        <v>30832.799999999999</v>
      </c>
    </row>
    <row r="1333" spans="3:30">
      <c r="C1333" s="43" t="s">
        <v>2434</v>
      </c>
      <c r="D1333" s="44" t="s">
        <v>2435</v>
      </c>
      <c r="E1333" s="44"/>
      <c r="F1333" s="45">
        <v>42815.388368055552</v>
      </c>
      <c r="G1333" s="46">
        <v>18</v>
      </c>
      <c r="H1333" s="47">
        <v>43372</v>
      </c>
      <c r="I1333" s="47">
        <v>43381</v>
      </c>
      <c r="J1333" s="46">
        <v>132602</v>
      </c>
      <c r="K1333" s="46">
        <v>0</v>
      </c>
      <c r="L1333" s="46">
        <v>0</v>
      </c>
      <c r="M1333" s="46">
        <f t="shared" si="389"/>
        <v>132602</v>
      </c>
      <c r="N1333" s="46">
        <v>132602</v>
      </c>
      <c r="O1333" s="48">
        <f t="shared" si="390"/>
        <v>0</v>
      </c>
      <c r="P1333" s="46">
        <v>0</v>
      </c>
      <c r="Q1333" s="46">
        <v>132602</v>
      </c>
      <c r="R1333" s="49">
        <f t="shared" si="391"/>
        <v>1</v>
      </c>
      <c r="S1333" s="50">
        <f t="shared" si="392"/>
        <v>0.01</v>
      </c>
      <c r="T1333" s="49">
        <f t="shared" si="393"/>
        <v>1326.02</v>
      </c>
      <c r="U1333" s="51">
        <f t="shared" si="394"/>
        <v>0</v>
      </c>
      <c r="V1333" s="52">
        <f>IF(0&lt;0.8,0,IF(0&lt;1,Sheet3!L561,1))*IF(G1333&lt;3,0.12 - O1333,0.01) *U1333</f>
        <v>0</v>
      </c>
      <c r="W1333" s="52">
        <f t="shared" si="395"/>
        <v>0</v>
      </c>
      <c r="X1333" s="53">
        <f t="shared" si="396"/>
        <v>0</v>
      </c>
      <c r="Y1333" s="53">
        <f t="shared" si="397"/>
        <v>0</v>
      </c>
      <c r="Z1333" s="54">
        <f t="shared" si="386"/>
        <v>0</v>
      </c>
      <c r="AA1333" s="54">
        <f t="shared" si="398"/>
        <v>0</v>
      </c>
      <c r="AB1333" s="55">
        <f t="shared" si="388"/>
        <v>0</v>
      </c>
      <c r="AC1333" s="55">
        <f t="shared" si="399"/>
        <v>0</v>
      </c>
      <c r="AD1333" s="56">
        <f t="shared" si="400"/>
        <v>1326.02</v>
      </c>
    </row>
    <row r="1334" spans="3:30">
      <c r="C1334" s="43" t="s">
        <v>2436</v>
      </c>
      <c r="D1334" s="44" t="s">
        <v>2437</v>
      </c>
      <c r="E1334" s="44"/>
      <c r="F1334" s="45">
        <v>42817.076909722222</v>
      </c>
      <c r="G1334" s="46">
        <v>18</v>
      </c>
      <c r="H1334" s="47">
        <v>43420</v>
      </c>
      <c r="I1334" s="47">
        <v>43430</v>
      </c>
      <c r="J1334" s="46">
        <v>492382</v>
      </c>
      <c r="K1334" s="46">
        <v>0</v>
      </c>
      <c r="L1334" s="46">
        <v>0</v>
      </c>
      <c r="M1334" s="46">
        <f t="shared" si="389"/>
        <v>492382</v>
      </c>
      <c r="N1334" s="46">
        <v>963906</v>
      </c>
      <c r="O1334" s="48">
        <f t="shared" si="390"/>
        <v>0.48918048025429861</v>
      </c>
      <c r="P1334" s="46">
        <v>0</v>
      </c>
      <c r="Q1334" s="46">
        <v>492382</v>
      </c>
      <c r="R1334" s="49">
        <f t="shared" si="391"/>
        <v>1</v>
      </c>
      <c r="S1334" s="50">
        <f t="shared" si="392"/>
        <v>0.01</v>
      </c>
      <c r="T1334" s="49">
        <f t="shared" si="393"/>
        <v>4923.82</v>
      </c>
      <c r="U1334" s="51">
        <f t="shared" si="394"/>
        <v>0</v>
      </c>
      <c r="V1334" s="52">
        <f>IF(0&lt;0.8,0,IF(0&lt;1,Sheet3!L561,1))*IF(G1334&lt;3,0.12 - O1334,0.01) *U1334</f>
        <v>0</v>
      </c>
      <c r="W1334" s="52">
        <f t="shared" si="395"/>
        <v>0</v>
      </c>
      <c r="X1334" s="53">
        <f t="shared" si="396"/>
        <v>0</v>
      </c>
      <c r="Y1334" s="53">
        <f t="shared" si="397"/>
        <v>0</v>
      </c>
      <c r="Z1334" s="54">
        <f t="shared" si="386"/>
        <v>0</v>
      </c>
      <c r="AA1334" s="54">
        <f t="shared" si="398"/>
        <v>0</v>
      </c>
      <c r="AB1334" s="55">
        <f t="shared" si="388"/>
        <v>0</v>
      </c>
      <c r="AC1334" s="55">
        <f t="shared" si="399"/>
        <v>0</v>
      </c>
      <c r="AD1334" s="56">
        <f t="shared" si="400"/>
        <v>4923.82</v>
      </c>
    </row>
    <row r="1335" spans="3:30">
      <c r="C1335" s="43" t="s">
        <v>2438</v>
      </c>
      <c r="D1335" s="44" t="s">
        <v>2439</v>
      </c>
      <c r="E1335" s="44"/>
      <c r="F1335" s="45">
        <v>42818.103275462963</v>
      </c>
      <c r="G1335" s="46">
        <v>18</v>
      </c>
      <c r="H1335" s="47">
        <v>43404</v>
      </c>
      <c r="I1335" s="47">
        <v>43430</v>
      </c>
      <c r="J1335" s="46">
        <v>2392500</v>
      </c>
      <c r="K1335" s="46">
        <v>0</v>
      </c>
      <c r="L1335" s="46">
        <v>0</v>
      </c>
      <c r="M1335" s="46">
        <f t="shared" si="389"/>
        <v>2392500</v>
      </c>
      <c r="N1335" s="46">
        <v>3436823</v>
      </c>
      <c r="O1335" s="48">
        <f t="shared" si="390"/>
        <v>0.30386289896221019</v>
      </c>
      <c r="P1335" s="46">
        <v>0</v>
      </c>
      <c r="Q1335" s="46">
        <v>3112500</v>
      </c>
      <c r="R1335" s="49">
        <f t="shared" si="391"/>
        <v>1</v>
      </c>
      <c r="S1335" s="50">
        <f t="shared" si="392"/>
        <v>0.01</v>
      </c>
      <c r="T1335" s="49">
        <f t="shared" si="393"/>
        <v>23925</v>
      </c>
      <c r="U1335" s="51">
        <f t="shared" si="394"/>
        <v>0</v>
      </c>
      <c r="V1335" s="52">
        <f>IF(0&lt;0.8,0,IF(0&lt;1,Sheet3!L561,1))*IF(G1335&lt;3,0.12 - O1335,0.01) *U1335</f>
        <v>0</v>
      </c>
      <c r="W1335" s="52">
        <f t="shared" si="395"/>
        <v>0</v>
      </c>
      <c r="X1335" s="53">
        <f t="shared" si="396"/>
        <v>0</v>
      </c>
      <c r="Y1335" s="53">
        <f t="shared" si="397"/>
        <v>0</v>
      </c>
      <c r="Z1335" s="54">
        <f t="shared" si="386"/>
        <v>0</v>
      </c>
      <c r="AA1335" s="54">
        <f t="shared" si="398"/>
        <v>0</v>
      </c>
      <c r="AB1335" s="55">
        <f t="shared" si="388"/>
        <v>0</v>
      </c>
      <c r="AC1335" s="55">
        <f t="shared" si="399"/>
        <v>0</v>
      </c>
      <c r="AD1335" s="56">
        <f t="shared" si="400"/>
        <v>23925</v>
      </c>
    </row>
    <row r="1336" spans="3:30">
      <c r="C1336" s="43" t="s">
        <v>2440</v>
      </c>
      <c r="D1336" s="44" t="s">
        <v>24</v>
      </c>
      <c r="E1336" s="44"/>
      <c r="F1336" s="45" t="s">
        <v>24</v>
      </c>
      <c r="G1336" s="46" t="s">
        <v>24</v>
      </c>
      <c r="H1336" s="47" t="s">
        <v>24</v>
      </c>
      <c r="I1336" s="47" t="s">
        <v>24</v>
      </c>
      <c r="J1336" s="46">
        <v>227964</v>
      </c>
      <c r="K1336" s="46">
        <v>0</v>
      </c>
      <c r="L1336" s="46">
        <v>0</v>
      </c>
      <c r="M1336" s="46">
        <f t="shared" si="389"/>
        <v>227964</v>
      </c>
      <c r="N1336" s="46" t="s">
        <v>24</v>
      </c>
      <c r="O1336" s="48">
        <f t="shared" si="390"/>
        <v>0</v>
      </c>
      <c r="P1336" s="46">
        <v>0</v>
      </c>
      <c r="Q1336" s="46">
        <v>0</v>
      </c>
      <c r="R1336" s="49">
        <f t="shared" si="391"/>
        <v>0</v>
      </c>
      <c r="S1336" s="50">
        <f t="shared" si="392"/>
        <v>0</v>
      </c>
      <c r="T1336" s="49">
        <f t="shared" si="393"/>
        <v>0</v>
      </c>
      <c r="U1336" s="51">
        <f t="shared" si="394"/>
        <v>227964</v>
      </c>
      <c r="V1336" s="52">
        <f>IF(0&lt;0.8,0,IF(0&lt;1,Sheet3!L561,1))*IF(G1336&lt;3,0.12 - O1336,0.01) *U1336</f>
        <v>0</v>
      </c>
      <c r="W1336" s="52">
        <f t="shared" si="395"/>
        <v>0</v>
      </c>
      <c r="X1336" s="53">
        <f t="shared" si="396"/>
        <v>0</v>
      </c>
      <c r="Y1336" s="53">
        <f t="shared" si="397"/>
        <v>0</v>
      </c>
      <c r="Z1336" s="54" t="str">
        <f>IF(R1336=1,0,"")</f>
        <v/>
      </c>
      <c r="AA1336" s="54">
        <f t="shared" si="398"/>
        <v>0</v>
      </c>
      <c r="AB1336" s="55" t="str">
        <f>IF(R1336=0,"",0)</f>
        <v/>
      </c>
      <c r="AC1336" s="55">
        <f t="shared" si="399"/>
        <v>0</v>
      </c>
      <c r="AD1336" s="56">
        <f t="shared" si="400"/>
        <v>0</v>
      </c>
    </row>
    <row r="1337" spans="3:30">
      <c r="C1337" s="43" t="s">
        <v>2441</v>
      </c>
      <c r="D1337" s="44" t="s">
        <v>24</v>
      </c>
      <c r="E1337" s="44"/>
      <c r="F1337" s="45" t="s">
        <v>24</v>
      </c>
      <c r="G1337" s="46" t="s">
        <v>24</v>
      </c>
      <c r="H1337" s="47" t="s">
        <v>24</v>
      </c>
      <c r="I1337" s="47" t="s">
        <v>24</v>
      </c>
      <c r="J1337" s="46">
        <v>1617649</v>
      </c>
      <c r="K1337" s="46">
        <v>0</v>
      </c>
      <c r="L1337" s="46">
        <v>0</v>
      </c>
      <c r="M1337" s="46">
        <f t="shared" si="389"/>
        <v>1617649</v>
      </c>
      <c r="N1337" s="46" t="s">
        <v>24</v>
      </c>
      <c r="O1337" s="48">
        <f t="shared" si="390"/>
        <v>0</v>
      </c>
      <c r="P1337" s="46">
        <v>0</v>
      </c>
      <c r="Q1337" s="46">
        <v>0</v>
      </c>
      <c r="R1337" s="49">
        <f t="shared" si="391"/>
        <v>0</v>
      </c>
      <c r="S1337" s="50">
        <f t="shared" si="392"/>
        <v>0</v>
      </c>
      <c r="T1337" s="49">
        <f t="shared" si="393"/>
        <v>0</v>
      </c>
      <c r="U1337" s="51">
        <f t="shared" si="394"/>
        <v>1617649</v>
      </c>
      <c r="V1337" s="52">
        <f>IF(0&lt;0.8,0,IF(0&lt;1,Sheet3!L561,1))*IF(G1337&lt;3,0.12 - O1337,0.01) *U1337</f>
        <v>0</v>
      </c>
      <c r="W1337" s="52">
        <f t="shared" si="395"/>
        <v>0</v>
      </c>
      <c r="X1337" s="53">
        <f t="shared" si="396"/>
        <v>0</v>
      </c>
      <c r="Y1337" s="53">
        <f t="shared" si="397"/>
        <v>0</v>
      </c>
      <c r="Z1337" s="54" t="str">
        <f>IF(R1337=1,0,"")</f>
        <v/>
      </c>
      <c r="AA1337" s="54">
        <f t="shared" si="398"/>
        <v>0</v>
      </c>
      <c r="AB1337" s="55" t="str">
        <f>IF(R1337=0,"",0)</f>
        <v/>
      </c>
      <c r="AC1337" s="55">
        <f t="shared" si="399"/>
        <v>0</v>
      </c>
      <c r="AD1337" s="56">
        <f t="shared" si="400"/>
        <v>0</v>
      </c>
    </row>
    <row r="1338" spans="3:30">
      <c r="C1338" s="43" t="s">
        <v>2442</v>
      </c>
      <c r="D1338" s="44" t="s">
        <v>24</v>
      </c>
      <c r="E1338" s="44"/>
      <c r="F1338" s="45" t="s">
        <v>24</v>
      </c>
      <c r="G1338" s="46" t="s">
        <v>24</v>
      </c>
      <c r="H1338" s="47" t="s">
        <v>24</v>
      </c>
      <c r="I1338" s="47" t="s">
        <v>24</v>
      </c>
      <c r="J1338" s="46">
        <v>632709</v>
      </c>
      <c r="K1338" s="46">
        <v>0</v>
      </c>
      <c r="L1338" s="46">
        <v>0</v>
      </c>
      <c r="M1338" s="46">
        <f t="shared" si="389"/>
        <v>632709</v>
      </c>
      <c r="N1338" s="46" t="s">
        <v>24</v>
      </c>
      <c r="O1338" s="48">
        <f t="shared" si="390"/>
        <v>0</v>
      </c>
      <c r="P1338" s="46">
        <v>0</v>
      </c>
      <c r="Q1338" s="46">
        <v>0</v>
      </c>
      <c r="R1338" s="49">
        <f t="shared" si="391"/>
        <v>0</v>
      </c>
      <c r="S1338" s="50">
        <f t="shared" si="392"/>
        <v>0</v>
      </c>
      <c r="T1338" s="49">
        <f t="shared" si="393"/>
        <v>0</v>
      </c>
      <c r="U1338" s="51">
        <f t="shared" si="394"/>
        <v>632709</v>
      </c>
      <c r="V1338" s="52">
        <f>IF(0&lt;0.8,0,IF(0&lt;1,Sheet3!L561,1))*IF(G1338&lt;3,0.12 - O1338,0.01) *U1338</f>
        <v>0</v>
      </c>
      <c r="W1338" s="52">
        <f t="shared" si="395"/>
        <v>0</v>
      </c>
      <c r="X1338" s="53">
        <f t="shared" si="396"/>
        <v>0</v>
      </c>
      <c r="Y1338" s="53">
        <f t="shared" si="397"/>
        <v>0</v>
      </c>
      <c r="Z1338" s="54" t="str">
        <f>IF(R1338=1,0,"")</f>
        <v/>
      </c>
      <c r="AA1338" s="54">
        <f t="shared" si="398"/>
        <v>0</v>
      </c>
      <c r="AB1338" s="55" t="str">
        <f>IF(R1338=0,"",0)</f>
        <v/>
      </c>
      <c r="AC1338" s="55">
        <f t="shared" si="399"/>
        <v>0</v>
      </c>
      <c r="AD1338" s="56">
        <f t="shared" si="400"/>
        <v>0</v>
      </c>
    </row>
    <row r="1339" spans="3:30">
      <c r="C1339" s="43" t="s">
        <v>2443</v>
      </c>
      <c r="D1339" s="44" t="s">
        <v>24</v>
      </c>
      <c r="E1339" s="44"/>
      <c r="F1339" s="45" t="s">
        <v>24</v>
      </c>
      <c r="G1339" s="46" t="s">
        <v>24</v>
      </c>
      <c r="H1339" s="47" t="s">
        <v>24</v>
      </c>
      <c r="I1339" s="47" t="s">
        <v>24</v>
      </c>
      <c r="J1339" s="46">
        <v>217800</v>
      </c>
      <c r="K1339" s="46">
        <v>0</v>
      </c>
      <c r="L1339" s="46">
        <v>0</v>
      </c>
      <c r="M1339" s="46">
        <f t="shared" si="389"/>
        <v>217800</v>
      </c>
      <c r="N1339" s="46" t="s">
        <v>24</v>
      </c>
      <c r="O1339" s="48">
        <f t="shared" si="390"/>
        <v>0</v>
      </c>
      <c r="P1339" s="46">
        <v>0</v>
      </c>
      <c r="Q1339" s="46">
        <v>0</v>
      </c>
      <c r="R1339" s="49">
        <f t="shared" si="391"/>
        <v>0</v>
      </c>
      <c r="S1339" s="50">
        <f t="shared" si="392"/>
        <v>0</v>
      </c>
      <c r="T1339" s="49">
        <f t="shared" si="393"/>
        <v>0</v>
      </c>
      <c r="U1339" s="51">
        <f t="shared" si="394"/>
        <v>217800</v>
      </c>
      <c r="V1339" s="52">
        <f>IF(0&lt;0.8,0,IF(0&lt;1,Sheet3!L561,1))*IF(G1339&lt;3,0.12 - O1339,0.01) *U1339</f>
        <v>0</v>
      </c>
      <c r="W1339" s="52">
        <f t="shared" si="395"/>
        <v>0</v>
      </c>
      <c r="X1339" s="53">
        <f t="shared" si="396"/>
        <v>0</v>
      </c>
      <c r="Y1339" s="53">
        <f t="shared" si="397"/>
        <v>0</v>
      </c>
      <c r="Z1339" s="54" t="str">
        <f>IF(R1339=1,0,"")</f>
        <v/>
      </c>
      <c r="AA1339" s="54">
        <f t="shared" si="398"/>
        <v>0</v>
      </c>
      <c r="AB1339" s="55" t="str">
        <f>IF(R1339=0,"",0)</f>
        <v/>
      </c>
      <c r="AC1339" s="55">
        <f t="shared" si="399"/>
        <v>0</v>
      </c>
      <c r="AD1339" s="56">
        <f t="shared" si="400"/>
        <v>0</v>
      </c>
    </row>
    <row r="1340" spans="3:30">
      <c r="C1340" s="43" t="s">
        <v>2444</v>
      </c>
      <c r="D1340" s="44" t="s">
        <v>2445</v>
      </c>
      <c r="E1340" s="44"/>
      <c r="F1340" s="45">
        <v>42835.115312499998</v>
      </c>
      <c r="G1340" s="46">
        <v>17</v>
      </c>
      <c r="H1340" s="47">
        <v>43382</v>
      </c>
      <c r="I1340" s="47">
        <v>43390</v>
      </c>
      <c r="J1340" s="46">
        <v>696975</v>
      </c>
      <c r="K1340" s="46">
        <v>0</v>
      </c>
      <c r="L1340" s="46">
        <v>0</v>
      </c>
      <c r="M1340" s="46">
        <f t="shared" si="389"/>
        <v>696975</v>
      </c>
      <c r="N1340" s="46">
        <v>696975</v>
      </c>
      <c r="O1340" s="48">
        <f t="shared" si="390"/>
        <v>0</v>
      </c>
      <c r="P1340" s="46">
        <v>0</v>
      </c>
      <c r="Q1340" s="46">
        <v>696975</v>
      </c>
      <c r="R1340" s="49">
        <f t="shared" si="391"/>
        <v>1</v>
      </c>
      <c r="S1340" s="50">
        <f t="shared" si="392"/>
        <v>0.01</v>
      </c>
      <c r="T1340" s="49">
        <f t="shared" si="393"/>
        <v>6969.75</v>
      </c>
      <c r="U1340" s="51">
        <f t="shared" si="394"/>
        <v>0</v>
      </c>
      <c r="V1340" s="52">
        <f>IF(0&lt;0.8,0,IF(0&lt;1,Sheet3!L561,1))*IF(G1340&lt;3,0.12 - O1340,0.01) *U1340</f>
        <v>0</v>
      </c>
      <c r="W1340" s="52">
        <f t="shared" si="395"/>
        <v>0</v>
      </c>
      <c r="X1340" s="53">
        <f t="shared" si="396"/>
        <v>0</v>
      </c>
      <c r="Y1340" s="53">
        <f t="shared" si="397"/>
        <v>0</v>
      </c>
      <c r="Z1340" s="54">
        <f t="shared" ref="Z1340:Z1403" si="401">IF(R1340=1,0,0)</f>
        <v>0</v>
      </c>
      <c r="AA1340" s="54">
        <f t="shared" si="398"/>
        <v>0</v>
      </c>
      <c r="AB1340" s="55">
        <f t="shared" ref="AB1340:AB1353" si="402">IF(R1340=0,0,0)</f>
        <v>0</v>
      </c>
      <c r="AC1340" s="55">
        <f t="shared" si="399"/>
        <v>0</v>
      </c>
      <c r="AD1340" s="56">
        <f t="shared" si="400"/>
        <v>6969.75</v>
      </c>
    </row>
    <row r="1341" spans="3:30">
      <c r="C1341" s="43" t="s">
        <v>2446</v>
      </c>
      <c r="D1341" s="44" t="s">
        <v>2447</v>
      </c>
      <c r="E1341" s="44"/>
      <c r="F1341" s="45">
        <v>42835.117442129631</v>
      </c>
      <c r="G1341" s="46">
        <v>17</v>
      </c>
      <c r="H1341" s="47">
        <v>43382</v>
      </c>
      <c r="I1341" s="47">
        <v>43404</v>
      </c>
      <c r="J1341" s="46">
        <v>40762</v>
      </c>
      <c r="K1341" s="46">
        <v>0</v>
      </c>
      <c r="L1341" s="46">
        <v>0</v>
      </c>
      <c r="M1341" s="46">
        <f t="shared" si="389"/>
        <v>40762</v>
      </c>
      <c r="N1341" s="46">
        <v>40762</v>
      </c>
      <c r="O1341" s="48">
        <f t="shared" si="390"/>
        <v>0</v>
      </c>
      <c r="P1341" s="46">
        <v>0</v>
      </c>
      <c r="Q1341" s="46">
        <v>40762</v>
      </c>
      <c r="R1341" s="49">
        <f t="shared" si="391"/>
        <v>1</v>
      </c>
      <c r="S1341" s="50">
        <f t="shared" si="392"/>
        <v>0.01</v>
      </c>
      <c r="T1341" s="49">
        <f t="shared" si="393"/>
        <v>407.62</v>
      </c>
      <c r="U1341" s="51">
        <f t="shared" si="394"/>
        <v>0</v>
      </c>
      <c r="V1341" s="52">
        <f>IF(0&lt;0.8,0,IF(0&lt;1,Sheet3!L561,1))*IF(G1341&lt;3,0.12 - O1341,0.01) *U1341</f>
        <v>0</v>
      </c>
      <c r="W1341" s="52">
        <f t="shared" si="395"/>
        <v>0</v>
      </c>
      <c r="X1341" s="53">
        <f t="shared" si="396"/>
        <v>0</v>
      </c>
      <c r="Y1341" s="53">
        <f t="shared" si="397"/>
        <v>0</v>
      </c>
      <c r="Z1341" s="54">
        <f t="shared" si="401"/>
        <v>0</v>
      </c>
      <c r="AA1341" s="54">
        <f t="shared" si="398"/>
        <v>0</v>
      </c>
      <c r="AB1341" s="55">
        <f t="shared" si="402"/>
        <v>0</v>
      </c>
      <c r="AC1341" s="55">
        <f t="shared" si="399"/>
        <v>0</v>
      </c>
      <c r="AD1341" s="56">
        <f t="shared" si="400"/>
        <v>407.62</v>
      </c>
    </row>
    <row r="1342" spans="3:30">
      <c r="C1342" s="43" t="s">
        <v>2448</v>
      </c>
      <c r="D1342" s="44" t="s">
        <v>2449</v>
      </c>
      <c r="E1342" s="44"/>
      <c r="F1342" s="45">
        <v>42835.167627314811</v>
      </c>
      <c r="G1342" s="46">
        <v>17</v>
      </c>
      <c r="H1342" s="47" t="s">
        <v>24</v>
      </c>
      <c r="I1342" s="47" t="s">
        <v>24</v>
      </c>
      <c r="J1342" s="46">
        <v>1474210</v>
      </c>
      <c r="K1342" s="46">
        <v>0</v>
      </c>
      <c r="L1342" s="46">
        <v>0</v>
      </c>
      <c r="M1342" s="46">
        <f t="shared" si="389"/>
        <v>1474210</v>
      </c>
      <c r="N1342" s="46">
        <v>1474210</v>
      </c>
      <c r="O1342" s="48">
        <f t="shared" si="390"/>
        <v>0</v>
      </c>
      <c r="P1342" s="46">
        <v>0</v>
      </c>
      <c r="Q1342" s="46">
        <v>1474210</v>
      </c>
      <c r="R1342" s="49">
        <f t="shared" si="391"/>
        <v>1</v>
      </c>
      <c r="S1342" s="50">
        <f t="shared" si="392"/>
        <v>0.01</v>
      </c>
      <c r="T1342" s="49">
        <f t="shared" si="393"/>
        <v>14742.1</v>
      </c>
      <c r="U1342" s="51">
        <f t="shared" si="394"/>
        <v>0</v>
      </c>
      <c r="V1342" s="52">
        <f>IF(0&lt;0.8,0,IF(0&lt;1,Sheet3!L561,1))*IF(G1342&lt;3,0.12 - O1342,0.01) *U1342</f>
        <v>0</v>
      </c>
      <c r="W1342" s="52">
        <f t="shared" si="395"/>
        <v>0</v>
      </c>
      <c r="X1342" s="53">
        <f t="shared" si="396"/>
        <v>0</v>
      </c>
      <c r="Y1342" s="53">
        <f t="shared" si="397"/>
        <v>0</v>
      </c>
      <c r="Z1342" s="54">
        <f t="shared" si="401"/>
        <v>0</v>
      </c>
      <c r="AA1342" s="54">
        <f t="shared" si="398"/>
        <v>0</v>
      </c>
      <c r="AB1342" s="55">
        <f t="shared" si="402"/>
        <v>0</v>
      </c>
      <c r="AC1342" s="55">
        <f t="shared" si="399"/>
        <v>0</v>
      </c>
      <c r="AD1342" s="56">
        <f t="shared" si="400"/>
        <v>14742.1</v>
      </c>
    </row>
    <row r="1343" spans="3:30">
      <c r="C1343" s="43" t="s">
        <v>2450</v>
      </c>
      <c r="D1343" s="44" t="s">
        <v>2451</v>
      </c>
      <c r="E1343" s="44"/>
      <c r="F1343" s="45">
        <v>42835.168958333328</v>
      </c>
      <c r="G1343" s="46">
        <v>17</v>
      </c>
      <c r="H1343" s="47">
        <v>43404</v>
      </c>
      <c r="I1343" s="47">
        <v>43462</v>
      </c>
      <c r="J1343" s="46">
        <v>8286561</v>
      </c>
      <c r="K1343" s="46">
        <v>0</v>
      </c>
      <c r="L1343" s="46">
        <v>0</v>
      </c>
      <c r="M1343" s="46">
        <f t="shared" si="389"/>
        <v>8286561</v>
      </c>
      <c r="N1343" s="46">
        <v>8286561</v>
      </c>
      <c r="O1343" s="48">
        <f t="shared" si="390"/>
        <v>0</v>
      </c>
      <c r="P1343" s="46">
        <v>0</v>
      </c>
      <c r="Q1343" s="46">
        <v>9259401</v>
      </c>
      <c r="R1343" s="49">
        <f t="shared" si="391"/>
        <v>1</v>
      </c>
      <c r="S1343" s="50">
        <f t="shared" si="392"/>
        <v>0.01</v>
      </c>
      <c r="T1343" s="49">
        <f t="shared" si="393"/>
        <v>82865.61</v>
      </c>
      <c r="U1343" s="51">
        <f t="shared" si="394"/>
        <v>0</v>
      </c>
      <c r="V1343" s="52">
        <f>IF(0&lt;0.8,0,IF(0&lt;1,Sheet3!L561,1))*IF(G1343&lt;3,0.12 - O1343,0.01) *U1343</f>
        <v>0</v>
      </c>
      <c r="W1343" s="52">
        <f t="shared" si="395"/>
        <v>0</v>
      </c>
      <c r="X1343" s="53">
        <f t="shared" si="396"/>
        <v>0</v>
      </c>
      <c r="Y1343" s="53">
        <f t="shared" si="397"/>
        <v>0</v>
      </c>
      <c r="Z1343" s="54">
        <f t="shared" si="401"/>
        <v>0</v>
      </c>
      <c r="AA1343" s="54">
        <f t="shared" si="398"/>
        <v>0</v>
      </c>
      <c r="AB1343" s="55">
        <f t="shared" si="402"/>
        <v>0</v>
      </c>
      <c r="AC1343" s="55">
        <f t="shared" si="399"/>
        <v>0</v>
      </c>
      <c r="AD1343" s="56">
        <f t="shared" si="400"/>
        <v>82865.61</v>
      </c>
    </row>
    <row r="1344" spans="3:30">
      <c r="C1344" s="43" t="s">
        <v>2452</v>
      </c>
      <c r="D1344" s="44" t="s">
        <v>2453</v>
      </c>
      <c r="E1344" s="44"/>
      <c r="F1344" s="45">
        <v>42838.351296296292</v>
      </c>
      <c r="G1344" s="46">
        <v>17</v>
      </c>
      <c r="H1344" s="47">
        <v>43378</v>
      </c>
      <c r="I1344" s="47">
        <v>43390</v>
      </c>
      <c r="J1344" s="46">
        <v>869143</v>
      </c>
      <c r="K1344" s="46">
        <v>0</v>
      </c>
      <c r="L1344" s="46">
        <v>0</v>
      </c>
      <c r="M1344" s="46">
        <f t="shared" si="389"/>
        <v>869143</v>
      </c>
      <c r="N1344" s="46">
        <v>869143</v>
      </c>
      <c r="O1344" s="48">
        <f t="shared" si="390"/>
        <v>0</v>
      </c>
      <c r="P1344" s="46">
        <v>0</v>
      </c>
      <c r="Q1344" s="46">
        <v>869143</v>
      </c>
      <c r="R1344" s="49">
        <f t="shared" si="391"/>
        <v>1</v>
      </c>
      <c r="S1344" s="50">
        <f t="shared" si="392"/>
        <v>0.01</v>
      </c>
      <c r="T1344" s="49">
        <f t="shared" si="393"/>
        <v>8691.43</v>
      </c>
      <c r="U1344" s="51">
        <f t="shared" si="394"/>
        <v>0</v>
      </c>
      <c r="V1344" s="52">
        <f>IF(0&lt;0.8,0,IF(0&lt;1,Sheet3!L561,1))*IF(G1344&lt;3,0.12 - O1344,0.01) *U1344</f>
        <v>0</v>
      </c>
      <c r="W1344" s="52">
        <f t="shared" si="395"/>
        <v>0</v>
      </c>
      <c r="X1344" s="53">
        <f t="shared" si="396"/>
        <v>0</v>
      </c>
      <c r="Y1344" s="53">
        <f t="shared" si="397"/>
        <v>0</v>
      </c>
      <c r="Z1344" s="54">
        <f t="shared" si="401"/>
        <v>0</v>
      </c>
      <c r="AA1344" s="54">
        <f t="shared" si="398"/>
        <v>0</v>
      </c>
      <c r="AB1344" s="55">
        <f t="shared" si="402"/>
        <v>0</v>
      </c>
      <c r="AC1344" s="55">
        <f t="shared" si="399"/>
        <v>0</v>
      </c>
      <c r="AD1344" s="56">
        <f t="shared" si="400"/>
        <v>8691.43</v>
      </c>
    </row>
    <row r="1345" spans="3:30">
      <c r="C1345" s="43" t="s">
        <v>2454</v>
      </c>
      <c r="D1345" s="44" t="s">
        <v>2455</v>
      </c>
      <c r="E1345" s="44"/>
      <c r="F1345" s="45">
        <v>42838.350162037037</v>
      </c>
      <c r="G1345" s="46">
        <v>17</v>
      </c>
      <c r="H1345" s="47">
        <v>43372</v>
      </c>
      <c r="I1345" s="47">
        <v>43404</v>
      </c>
      <c r="J1345" s="46">
        <v>1457855</v>
      </c>
      <c r="K1345" s="46">
        <v>0</v>
      </c>
      <c r="L1345" s="46">
        <v>0</v>
      </c>
      <c r="M1345" s="46">
        <f t="shared" si="389"/>
        <v>1457855</v>
      </c>
      <c r="N1345" s="46">
        <v>1457855</v>
      </c>
      <c r="O1345" s="48">
        <f t="shared" si="390"/>
        <v>0</v>
      </c>
      <c r="P1345" s="46">
        <v>0</v>
      </c>
      <c r="Q1345" s="46">
        <v>1457855</v>
      </c>
      <c r="R1345" s="49">
        <f t="shared" si="391"/>
        <v>1</v>
      </c>
      <c r="S1345" s="50">
        <f t="shared" si="392"/>
        <v>0.01</v>
      </c>
      <c r="T1345" s="49">
        <f t="shared" si="393"/>
        <v>14578.550000000001</v>
      </c>
      <c r="U1345" s="51">
        <f t="shared" si="394"/>
        <v>0</v>
      </c>
      <c r="V1345" s="52">
        <f>IF(0&lt;0.8,0,IF(0&lt;1,Sheet3!L561,1))*IF(G1345&lt;3,0.12 - O1345,0.01) *U1345</f>
        <v>0</v>
      </c>
      <c r="W1345" s="52">
        <f t="shared" si="395"/>
        <v>0</v>
      </c>
      <c r="X1345" s="53">
        <f t="shared" si="396"/>
        <v>0</v>
      </c>
      <c r="Y1345" s="53">
        <f t="shared" si="397"/>
        <v>0</v>
      </c>
      <c r="Z1345" s="54">
        <f t="shared" si="401"/>
        <v>0</v>
      </c>
      <c r="AA1345" s="54">
        <f t="shared" si="398"/>
        <v>0</v>
      </c>
      <c r="AB1345" s="55">
        <f t="shared" si="402"/>
        <v>0</v>
      </c>
      <c r="AC1345" s="55">
        <f t="shared" si="399"/>
        <v>0</v>
      </c>
      <c r="AD1345" s="56">
        <f t="shared" si="400"/>
        <v>14578.550000000001</v>
      </c>
    </row>
    <row r="1346" spans="3:30">
      <c r="C1346" s="43" t="s">
        <v>2456</v>
      </c>
      <c r="D1346" s="44" t="s">
        <v>2457</v>
      </c>
      <c r="E1346" s="44"/>
      <c r="F1346" s="45">
        <v>42838.352997685186</v>
      </c>
      <c r="G1346" s="46">
        <v>17</v>
      </c>
      <c r="H1346" s="47">
        <v>43378</v>
      </c>
      <c r="I1346" s="47">
        <v>43390</v>
      </c>
      <c r="J1346" s="46">
        <v>294381</v>
      </c>
      <c r="K1346" s="46">
        <v>0</v>
      </c>
      <c r="L1346" s="46">
        <v>0</v>
      </c>
      <c r="M1346" s="46">
        <f t="shared" si="389"/>
        <v>294381</v>
      </c>
      <c r="N1346" s="46">
        <v>294381</v>
      </c>
      <c r="O1346" s="48">
        <f t="shared" si="390"/>
        <v>0</v>
      </c>
      <c r="P1346" s="46">
        <v>0</v>
      </c>
      <c r="Q1346" s="46">
        <v>294381</v>
      </c>
      <c r="R1346" s="49">
        <f t="shared" si="391"/>
        <v>1</v>
      </c>
      <c r="S1346" s="50">
        <f t="shared" si="392"/>
        <v>0.01</v>
      </c>
      <c r="T1346" s="49">
        <f t="shared" si="393"/>
        <v>2943.81</v>
      </c>
      <c r="U1346" s="51">
        <f t="shared" si="394"/>
        <v>0</v>
      </c>
      <c r="V1346" s="52">
        <f>IF(0&lt;0.8,0,IF(0&lt;1,Sheet3!L561,1))*IF(G1346&lt;3,0.12 - O1346,0.01) *U1346</f>
        <v>0</v>
      </c>
      <c r="W1346" s="52">
        <f t="shared" si="395"/>
        <v>0</v>
      </c>
      <c r="X1346" s="53">
        <f t="shared" si="396"/>
        <v>0</v>
      </c>
      <c r="Y1346" s="53">
        <f t="shared" si="397"/>
        <v>0</v>
      </c>
      <c r="Z1346" s="54">
        <f t="shared" si="401"/>
        <v>0</v>
      </c>
      <c r="AA1346" s="54">
        <f t="shared" si="398"/>
        <v>0</v>
      </c>
      <c r="AB1346" s="55">
        <f t="shared" si="402"/>
        <v>0</v>
      </c>
      <c r="AC1346" s="55">
        <f t="shared" si="399"/>
        <v>0</v>
      </c>
      <c r="AD1346" s="56">
        <f t="shared" si="400"/>
        <v>2943.81</v>
      </c>
    </row>
    <row r="1347" spans="3:30">
      <c r="C1347" s="43" t="s">
        <v>2458</v>
      </c>
      <c r="D1347" s="44" t="s">
        <v>2459</v>
      </c>
      <c r="E1347" s="44"/>
      <c r="F1347" s="45">
        <v>42842.102048611108</v>
      </c>
      <c r="G1347" s="46">
        <v>17</v>
      </c>
      <c r="H1347" s="47">
        <v>43382</v>
      </c>
      <c r="I1347" s="47">
        <v>43392</v>
      </c>
      <c r="J1347" s="46">
        <v>114800</v>
      </c>
      <c r="K1347" s="46">
        <v>0</v>
      </c>
      <c r="L1347" s="46">
        <v>0</v>
      </c>
      <c r="M1347" s="46">
        <f t="shared" si="389"/>
        <v>114800</v>
      </c>
      <c r="N1347" s="46">
        <v>114800</v>
      </c>
      <c r="O1347" s="48">
        <f t="shared" si="390"/>
        <v>0</v>
      </c>
      <c r="P1347" s="46">
        <v>0</v>
      </c>
      <c r="Q1347" s="46">
        <v>114800</v>
      </c>
      <c r="R1347" s="49">
        <f t="shared" si="391"/>
        <v>1</v>
      </c>
      <c r="S1347" s="50">
        <f t="shared" si="392"/>
        <v>0.01</v>
      </c>
      <c r="T1347" s="49">
        <f t="shared" si="393"/>
        <v>1148</v>
      </c>
      <c r="U1347" s="51">
        <f t="shared" si="394"/>
        <v>0</v>
      </c>
      <c r="V1347" s="52">
        <f>IF(0&lt;0.8,0,IF(0&lt;1,Sheet3!L561,1))*IF(G1347&lt;3,0.12 - O1347,0.01) *U1347</f>
        <v>0</v>
      </c>
      <c r="W1347" s="52">
        <f t="shared" si="395"/>
        <v>0</v>
      </c>
      <c r="X1347" s="53">
        <f t="shared" si="396"/>
        <v>0</v>
      </c>
      <c r="Y1347" s="53">
        <f t="shared" si="397"/>
        <v>0</v>
      </c>
      <c r="Z1347" s="54">
        <f t="shared" si="401"/>
        <v>0</v>
      </c>
      <c r="AA1347" s="54">
        <f t="shared" si="398"/>
        <v>0</v>
      </c>
      <c r="AB1347" s="55">
        <f t="shared" si="402"/>
        <v>0</v>
      </c>
      <c r="AC1347" s="55">
        <f t="shared" si="399"/>
        <v>0</v>
      </c>
      <c r="AD1347" s="56">
        <f t="shared" si="400"/>
        <v>1148</v>
      </c>
    </row>
    <row r="1348" spans="3:30">
      <c r="C1348" s="43" t="s">
        <v>2460</v>
      </c>
      <c r="D1348" s="44" t="s">
        <v>2461</v>
      </c>
      <c r="E1348" s="44"/>
      <c r="F1348" s="45">
        <v>42842.098993055552</v>
      </c>
      <c r="G1348" s="46">
        <v>17</v>
      </c>
      <c r="H1348" s="47">
        <v>43378</v>
      </c>
      <c r="I1348" s="47">
        <v>43397</v>
      </c>
      <c r="J1348" s="46">
        <v>263486</v>
      </c>
      <c r="K1348" s="46">
        <v>0</v>
      </c>
      <c r="L1348" s="46">
        <v>0</v>
      </c>
      <c r="M1348" s="46">
        <f t="shared" si="389"/>
        <v>263486</v>
      </c>
      <c r="N1348" s="46">
        <v>263486</v>
      </c>
      <c r="O1348" s="48">
        <f t="shared" si="390"/>
        <v>0</v>
      </c>
      <c r="P1348" s="46">
        <v>0</v>
      </c>
      <c r="Q1348" s="46">
        <v>263486</v>
      </c>
      <c r="R1348" s="49">
        <f t="shared" si="391"/>
        <v>1</v>
      </c>
      <c r="S1348" s="50">
        <f t="shared" si="392"/>
        <v>0.01</v>
      </c>
      <c r="T1348" s="49">
        <f t="shared" si="393"/>
        <v>2634.86</v>
      </c>
      <c r="U1348" s="51">
        <f t="shared" si="394"/>
        <v>0</v>
      </c>
      <c r="V1348" s="52">
        <f>IF(0&lt;0.8,0,IF(0&lt;1,Sheet3!L561,1))*IF(G1348&lt;3,0.12 - O1348,0.01) *U1348</f>
        <v>0</v>
      </c>
      <c r="W1348" s="52">
        <f t="shared" si="395"/>
        <v>0</v>
      </c>
      <c r="X1348" s="53">
        <f t="shared" si="396"/>
        <v>0</v>
      </c>
      <c r="Y1348" s="53">
        <f t="shared" si="397"/>
        <v>0</v>
      </c>
      <c r="Z1348" s="54">
        <f t="shared" si="401"/>
        <v>0</v>
      </c>
      <c r="AA1348" s="54">
        <f t="shared" si="398"/>
        <v>0</v>
      </c>
      <c r="AB1348" s="55">
        <f t="shared" si="402"/>
        <v>0</v>
      </c>
      <c r="AC1348" s="55">
        <f t="shared" si="399"/>
        <v>0</v>
      </c>
      <c r="AD1348" s="56">
        <f t="shared" si="400"/>
        <v>2634.86</v>
      </c>
    </row>
    <row r="1349" spans="3:30">
      <c r="C1349" s="43" t="s">
        <v>2462</v>
      </c>
      <c r="D1349" s="44" t="s">
        <v>2463</v>
      </c>
      <c r="E1349" s="44"/>
      <c r="F1349" s="45">
        <v>42851.081990740742</v>
      </c>
      <c r="G1349" s="46">
        <v>17</v>
      </c>
      <c r="H1349" s="47">
        <v>43378</v>
      </c>
      <c r="I1349" s="47">
        <v>43391</v>
      </c>
      <c r="J1349" s="46">
        <v>682135</v>
      </c>
      <c r="K1349" s="46">
        <v>0</v>
      </c>
      <c r="L1349" s="46">
        <v>0</v>
      </c>
      <c r="M1349" s="46">
        <f t="shared" si="389"/>
        <v>682135</v>
      </c>
      <c r="N1349" s="46">
        <v>682135</v>
      </c>
      <c r="O1349" s="48">
        <f t="shared" si="390"/>
        <v>0</v>
      </c>
      <c r="P1349" s="46">
        <v>0</v>
      </c>
      <c r="Q1349" s="46">
        <v>682135</v>
      </c>
      <c r="R1349" s="49">
        <f t="shared" si="391"/>
        <v>1</v>
      </c>
      <c r="S1349" s="50">
        <f t="shared" si="392"/>
        <v>0.01</v>
      </c>
      <c r="T1349" s="49">
        <f t="shared" si="393"/>
        <v>6821.35</v>
      </c>
      <c r="U1349" s="51">
        <f t="shared" si="394"/>
        <v>0</v>
      </c>
      <c r="V1349" s="52">
        <f>IF(0&lt;0.8,0,IF(0&lt;1,Sheet3!L561,1))*IF(G1349&lt;3,0.12 - O1349,0.01) *U1349</f>
        <v>0</v>
      </c>
      <c r="W1349" s="52">
        <f t="shared" si="395"/>
        <v>0</v>
      </c>
      <c r="X1349" s="53">
        <f t="shared" si="396"/>
        <v>0</v>
      </c>
      <c r="Y1349" s="53">
        <f t="shared" si="397"/>
        <v>0</v>
      </c>
      <c r="Z1349" s="54">
        <f t="shared" si="401"/>
        <v>0</v>
      </c>
      <c r="AA1349" s="54">
        <f t="shared" si="398"/>
        <v>0</v>
      </c>
      <c r="AB1349" s="55">
        <f t="shared" si="402"/>
        <v>0</v>
      </c>
      <c r="AC1349" s="55">
        <f t="shared" si="399"/>
        <v>0</v>
      </c>
      <c r="AD1349" s="56">
        <f t="shared" si="400"/>
        <v>6821.35</v>
      </c>
    </row>
    <row r="1350" spans="3:30">
      <c r="C1350" s="43" t="s">
        <v>2464</v>
      </c>
      <c r="D1350" s="44" t="s">
        <v>2465</v>
      </c>
      <c r="E1350" s="44"/>
      <c r="F1350" s="45">
        <v>42853.39163194444</v>
      </c>
      <c r="G1350" s="46">
        <v>17</v>
      </c>
      <c r="H1350" s="47">
        <v>43382</v>
      </c>
      <c r="I1350" s="47">
        <v>43404</v>
      </c>
      <c r="J1350" s="46">
        <v>2043043</v>
      </c>
      <c r="K1350" s="46">
        <v>0</v>
      </c>
      <c r="L1350" s="46">
        <v>0</v>
      </c>
      <c r="M1350" s="46">
        <f t="shared" si="389"/>
        <v>2043043</v>
      </c>
      <c r="N1350" s="46">
        <v>2043043</v>
      </c>
      <c r="O1350" s="48">
        <f t="shared" si="390"/>
        <v>0</v>
      </c>
      <c r="P1350" s="46">
        <v>0</v>
      </c>
      <c r="Q1350" s="46">
        <v>2043043</v>
      </c>
      <c r="R1350" s="49">
        <f t="shared" si="391"/>
        <v>1</v>
      </c>
      <c r="S1350" s="50">
        <f t="shared" si="392"/>
        <v>0.01</v>
      </c>
      <c r="T1350" s="49">
        <f t="shared" si="393"/>
        <v>20430.43</v>
      </c>
      <c r="U1350" s="51">
        <f t="shared" si="394"/>
        <v>0</v>
      </c>
      <c r="V1350" s="52">
        <f>IF(0&lt;0.8,0,IF(0&lt;1,Sheet3!L561,1))*IF(G1350&lt;3,0.12 - O1350,0.01) *U1350</f>
        <v>0</v>
      </c>
      <c r="W1350" s="52">
        <f t="shared" si="395"/>
        <v>0</v>
      </c>
      <c r="X1350" s="53">
        <f t="shared" si="396"/>
        <v>0</v>
      </c>
      <c r="Y1350" s="53">
        <f t="shared" si="397"/>
        <v>0</v>
      </c>
      <c r="Z1350" s="54">
        <f t="shared" si="401"/>
        <v>0</v>
      </c>
      <c r="AA1350" s="54">
        <f t="shared" si="398"/>
        <v>0</v>
      </c>
      <c r="AB1350" s="55">
        <f t="shared" si="402"/>
        <v>0</v>
      </c>
      <c r="AC1350" s="55">
        <f t="shared" si="399"/>
        <v>0</v>
      </c>
      <c r="AD1350" s="56">
        <f t="shared" si="400"/>
        <v>20430.43</v>
      </c>
    </row>
    <row r="1351" spans="3:30">
      <c r="C1351" s="43" t="s">
        <v>2466</v>
      </c>
      <c r="D1351" s="44" t="s">
        <v>2467</v>
      </c>
      <c r="E1351" s="44"/>
      <c r="F1351" s="45">
        <v>42859.180069444439</v>
      </c>
      <c r="G1351" s="46">
        <v>16</v>
      </c>
      <c r="H1351" s="47">
        <v>43447</v>
      </c>
      <c r="I1351" s="47">
        <v>43455</v>
      </c>
      <c r="J1351" s="46">
        <v>18545830</v>
      </c>
      <c r="K1351" s="46">
        <v>5260830</v>
      </c>
      <c r="L1351" s="46">
        <v>0</v>
      </c>
      <c r="M1351" s="46">
        <f t="shared" si="389"/>
        <v>13285000</v>
      </c>
      <c r="N1351" s="46">
        <v>23131722</v>
      </c>
      <c r="O1351" s="48">
        <f t="shared" si="390"/>
        <v>0.42568045733906024</v>
      </c>
      <c r="P1351" s="46">
        <v>0</v>
      </c>
      <c r="Q1351" s="46">
        <v>13300000</v>
      </c>
      <c r="R1351" s="49">
        <f t="shared" si="391"/>
        <v>1</v>
      </c>
      <c r="S1351" s="50">
        <f t="shared" si="392"/>
        <v>0.01</v>
      </c>
      <c r="T1351" s="49">
        <f t="shared" si="393"/>
        <v>132850</v>
      </c>
      <c r="U1351" s="51">
        <f t="shared" si="394"/>
        <v>0</v>
      </c>
      <c r="V1351" s="52">
        <f>IF(0&lt;0.8,0,IF(0&lt;1,Sheet3!L561,1))*IF(G1351&lt;3,0.12 - O1351,0.01) *U1351</f>
        <v>0</v>
      </c>
      <c r="W1351" s="52">
        <f t="shared" si="395"/>
        <v>0</v>
      </c>
      <c r="X1351" s="53">
        <f t="shared" si="396"/>
        <v>0</v>
      </c>
      <c r="Y1351" s="53">
        <f t="shared" si="397"/>
        <v>0</v>
      </c>
      <c r="Z1351" s="54">
        <f t="shared" si="401"/>
        <v>0</v>
      </c>
      <c r="AA1351" s="54">
        <f t="shared" si="398"/>
        <v>0</v>
      </c>
      <c r="AB1351" s="55">
        <f t="shared" si="402"/>
        <v>0</v>
      </c>
      <c r="AC1351" s="55">
        <f t="shared" si="399"/>
        <v>0</v>
      </c>
      <c r="AD1351" s="56">
        <f t="shared" si="400"/>
        <v>132850</v>
      </c>
    </row>
    <row r="1352" spans="3:30">
      <c r="C1352" s="43" t="s">
        <v>2468</v>
      </c>
      <c r="D1352" s="44" t="s">
        <v>2469</v>
      </c>
      <c r="E1352" s="44"/>
      <c r="F1352" s="45">
        <v>42860.298472222217</v>
      </c>
      <c r="G1352" s="46">
        <v>16</v>
      </c>
      <c r="H1352" s="47">
        <v>43434</v>
      </c>
      <c r="I1352" s="47">
        <v>43462</v>
      </c>
      <c r="J1352" s="46">
        <v>2217309</v>
      </c>
      <c r="K1352" s="46">
        <v>0</v>
      </c>
      <c r="L1352" s="46">
        <v>0</v>
      </c>
      <c r="M1352" s="46">
        <f t="shared" si="389"/>
        <v>2217309</v>
      </c>
      <c r="N1352" s="46">
        <v>2748676</v>
      </c>
      <c r="O1352" s="48">
        <f t="shared" si="390"/>
        <v>0.19331743719521688</v>
      </c>
      <c r="P1352" s="46">
        <v>0</v>
      </c>
      <c r="Q1352" s="46">
        <v>2447209</v>
      </c>
      <c r="R1352" s="49">
        <f t="shared" si="391"/>
        <v>1</v>
      </c>
      <c r="S1352" s="50">
        <f t="shared" si="392"/>
        <v>0.01</v>
      </c>
      <c r="T1352" s="49">
        <f t="shared" si="393"/>
        <v>22173.09</v>
      </c>
      <c r="U1352" s="51">
        <f t="shared" si="394"/>
        <v>0</v>
      </c>
      <c r="V1352" s="52">
        <f>IF(0&lt;0.8,0,IF(0&lt;1,Sheet3!L561,1))*IF(G1352&lt;3,0.12 - O1352,0.01) *U1352</f>
        <v>0</v>
      </c>
      <c r="W1352" s="52">
        <f t="shared" si="395"/>
        <v>0</v>
      </c>
      <c r="X1352" s="53">
        <f t="shared" si="396"/>
        <v>0</v>
      </c>
      <c r="Y1352" s="53">
        <f t="shared" si="397"/>
        <v>0</v>
      </c>
      <c r="Z1352" s="54">
        <f t="shared" si="401"/>
        <v>0</v>
      </c>
      <c r="AA1352" s="54">
        <f t="shared" si="398"/>
        <v>0</v>
      </c>
      <c r="AB1352" s="55">
        <f t="shared" si="402"/>
        <v>0</v>
      </c>
      <c r="AC1352" s="55">
        <f t="shared" si="399"/>
        <v>0</v>
      </c>
      <c r="AD1352" s="56">
        <f t="shared" si="400"/>
        <v>22173.09</v>
      </c>
    </row>
    <row r="1353" spans="3:30">
      <c r="C1353" s="43" t="s">
        <v>2470</v>
      </c>
      <c r="D1353" s="44" t="s">
        <v>2471</v>
      </c>
      <c r="E1353" s="44"/>
      <c r="F1353" s="45">
        <v>42863.168611111112</v>
      </c>
      <c r="G1353" s="46">
        <v>16</v>
      </c>
      <c r="H1353" s="47">
        <v>43395</v>
      </c>
      <c r="I1353" s="47">
        <v>43419</v>
      </c>
      <c r="J1353" s="46">
        <v>140284546</v>
      </c>
      <c r="K1353" s="46">
        <v>0</v>
      </c>
      <c r="L1353" s="46">
        <v>0</v>
      </c>
      <c r="M1353" s="46">
        <f t="shared" si="389"/>
        <v>140284546</v>
      </c>
      <c r="N1353" s="46">
        <v>231657935</v>
      </c>
      <c r="O1353" s="48">
        <f t="shared" si="390"/>
        <v>0.39443237288634214</v>
      </c>
      <c r="P1353" s="46">
        <v>0</v>
      </c>
      <c r="Q1353" s="46">
        <v>140284546</v>
      </c>
      <c r="R1353" s="49">
        <f t="shared" si="391"/>
        <v>1</v>
      </c>
      <c r="S1353" s="50">
        <f t="shared" si="392"/>
        <v>0.01</v>
      </c>
      <c r="T1353" s="49">
        <f t="shared" si="393"/>
        <v>1402845.46</v>
      </c>
      <c r="U1353" s="51">
        <f t="shared" si="394"/>
        <v>0</v>
      </c>
      <c r="V1353" s="52">
        <f>IF(0&lt;0.8,0,IF(0&lt;1,Sheet3!L561,1))*IF(G1353&lt;3,0.12 - O1353,0.01) *U1353</f>
        <v>0</v>
      </c>
      <c r="W1353" s="52">
        <f t="shared" si="395"/>
        <v>0</v>
      </c>
      <c r="X1353" s="53">
        <f t="shared" si="396"/>
        <v>0</v>
      </c>
      <c r="Y1353" s="53">
        <f t="shared" si="397"/>
        <v>0</v>
      </c>
      <c r="Z1353" s="54">
        <f t="shared" si="401"/>
        <v>0</v>
      </c>
      <c r="AA1353" s="54">
        <f t="shared" si="398"/>
        <v>0</v>
      </c>
      <c r="AB1353" s="55">
        <f t="shared" si="402"/>
        <v>0</v>
      </c>
      <c r="AC1353" s="55">
        <f t="shared" si="399"/>
        <v>0</v>
      </c>
      <c r="AD1353" s="56">
        <f t="shared" si="400"/>
        <v>1402845.46</v>
      </c>
    </row>
    <row r="1354" spans="3:30">
      <c r="C1354" s="43" t="s">
        <v>2472</v>
      </c>
      <c r="D1354" s="44" t="s">
        <v>2473</v>
      </c>
      <c r="E1354" s="44"/>
      <c r="F1354" s="45">
        <v>42864.261296296296</v>
      </c>
      <c r="G1354" s="46">
        <v>16</v>
      </c>
      <c r="H1354" s="47">
        <v>43378</v>
      </c>
      <c r="I1354" s="47">
        <v>43390</v>
      </c>
      <c r="J1354" s="46">
        <v>2572042</v>
      </c>
      <c r="K1354" s="46">
        <v>0</v>
      </c>
      <c r="L1354" s="46">
        <v>0</v>
      </c>
      <c r="M1354" s="46">
        <f t="shared" si="389"/>
        <v>2572042</v>
      </c>
      <c r="N1354" s="46">
        <v>689939</v>
      </c>
      <c r="O1354" s="48">
        <f t="shared" si="390"/>
        <v>0</v>
      </c>
      <c r="P1354" s="46">
        <v>0</v>
      </c>
      <c r="Q1354" s="46">
        <v>2572042</v>
      </c>
      <c r="R1354" s="49">
        <f t="shared" si="391"/>
        <v>1</v>
      </c>
      <c r="S1354" s="50">
        <f t="shared" si="392"/>
        <v>0.01</v>
      </c>
      <c r="T1354" s="49">
        <f t="shared" si="393"/>
        <v>25720.420000000002</v>
      </c>
      <c r="U1354" s="51">
        <f t="shared" si="394"/>
        <v>0</v>
      </c>
      <c r="V1354" s="52">
        <f>IF(0&lt;0.8,0,IF(0&lt;1,Sheet3!L561,1))*IF(G1354&lt;3,0.12 - O1354,0.01) *U1354</f>
        <v>0</v>
      </c>
      <c r="W1354" s="52">
        <f t="shared" si="395"/>
        <v>0</v>
      </c>
      <c r="X1354" s="53">
        <f t="shared" si="396"/>
        <v>0</v>
      </c>
      <c r="Y1354" s="53">
        <f t="shared" si="397"/>
        <v>0</v>
      </c>
      <c r="Z1354" s="54">
        <f t="shared" si="401"/>
        <v>0</v>
      </c>
      <c r="AA1354" s="54">
        <f t="shared" si="398"/>
        <v>0</v>
      </c>
      <c r="AB1354" s="55">
        <f>IF(R1354=0,1882101,0)</f>
        <v>0</v>
      </c>
      <c r="AC1354" s="55">
        <f t="shared" si="399"/>
        <v>0</v>
      </c>
      <c r="AD1354" s="56">
        <f t="shared" si="400"/>
        <v>25720.420000000002</v>
      </c>
    </row>
    <row r="1355" spans="3:30">
      <c r="C1355" s="43" t="s">
        <v>2474</v>
      </c>
      <c r="D1355" s="44" t="s">
        <v>2475</v>
      </c>
      <c r="E1355" s="44"/>
      <c r="F1355" s="45">
        <v>42864.257013888884</v>
      </c>
      <c r="G1355" s="46">
        <v>16</v>
      </c>
      <c r="H1355" s="47">
        <v>43524</v>
      </c>
      <c r="I1355" s="47">
        <v>43532</v>
      </c>
      <c r="J1355" s="46">
        <v>959772</v>
      </c>
      <c r="K1355" s="46">
        <v>0</v>
      </c>
      <c r="L1355" s="46">
        <v>0</v>
      </c>
      <c r="M1355" s="46">
        <f t="shared" si="389"/>
        <v>959772</v>
      </c>
      <c r="N1355" s="46">
        <v>959772</v>
      </c>
      <c r="O1355" s="48">
        <f t="shared" si="390"/>
        <v>0</v>
      </c>
      <c r="P1355" s="46">
        <v>0</v>
      </c>
      <c r="Q1355" s="46">
        <v>1310672</v>
      </c>
      <c r="R1355" s="49">
        <f t="shared" si="391"/>
        <v>1</v>
      </c>
      <c r="S1355" s="50">
        <f t="shared" si="392"/>
        <v>0.01</v>
      </c>
      <c r="T1355" s="49">
        <f t="shared" si="393"/>
        <v>9597.7199999999993</v>
      </c>
      <c r="U1355" s="51">
        <f t="shared" si="394"/>
        <v>0</v>
      </c>
      <c r="V1355" s="52">
        <f>IF(0&lt;0.8,0,IF(0&lt;1,Sheet3!L561,1))*IF(G1355&lt;3,0.12 - O1355,0.01) *U1355</f>
        <v>0</v>
      </c>
      <c r="W1355" s="52">
        <f t="shared" si="395"/>
        <v>0</v>
      </c>
      <c r="X1355" s="53">
        <f t="shared" si="396"/>
        <v>0</v>
      </c>
      <c r="Y1355" s="53">
        <f t="shared" si="397"/>
        <v>0</v>
      </c>
      <c r="Z1355" s="54">
        <f t="shared" si="401"/>
        <v>0</v>
      </c>
      <c r="AA1355" s="54">
        <f t="shared" si="398"/>
        <v>0</v>
      </c>
      <c r="AB1355" s="55">
        <f t="shared" ref="AB1355:AB1408" si="403">IF(R1355=0,0,0)</f>
        <v>0</v>
      </c>
      <c r="AC1355" s="55">
        <f t="shared" si="399"/>
        <v>0</v>
      </c>
      <c r="AD1355" s="56">
        <f t="shared" si="400"/>
        <v>9597.7199999999993</v>
      </c>
    </row>
    <row r="1356" spans="3:30">
      <c r="C1356" s="43" t="s">
        <v>2476</v>
      </c>
      <c r="D1356" s="44" t="s">
        <v>2477</v>
      </c>
      <c r="E1356" s="44"/>
      <c r="F1356" s="45">
        <v>42865.284629629627</v>
      </c>
      <c r="G1356" s="46">
        <v>16</v>
      </c>
      <c r="H1356" s="47">
        <v>43375</v>
      </c>
      <c r="I1356" s="47">
        <v>43427</v>
      </c>
      <c r="J1356" s="46">
        <v>45280</v>
      </c>
      <c r="K1356" s="46">
        <v>0</v>
      </c>
      <c r="L1356" s="46">
        <v>0</v>
      </c>
      <c r="M1356" s="46">
        <f t="shared" si="389"/>
        <v>45280</v>
      </c>
      <c r="N1356" s="46">
        <v>45280</v>
      </c>
      <c r="O1356" s="48">
        <f t="shared" si="390"/>
        <v>0</v>
      </c>
      <c r="P1356" s="46">
        <v>0</v>
      </c>
      <c r="Q1356" s="46">
        <v>45280</v>
      </c>
      <c r="R1356" s="49">
        <f t="shared" si="391"/>
        <v>1</v>
      </c>
      <c r="S1356" s="50">
        <f t="shared" si="392"/>
        <v>0.01</v>
      </c>
      <c r="T1356" s="49">
        <f t="shared" si="393"/>
        <v>452.8</v>
      </c>
      <c r="U1356" s="51">
        <f t="shared" si="394"/>
        <v>0</v>
      </c>
      <c r="V1356" s="52">
        <f>IF(0&lt;0.8,0,IF(0&lt;1,Sheet3!L561,1))*IF(G1356&lt;3,0.12 - O1356,0.01) *U1356</f>
        <v>0</v>
      </c>
      <c r="W1356" s="52">
        <f t="shared" si="395"/>
        <v>0</v>
      </c>
      <c r="X1356" s="53">
        <f t="shared" si="396"/>
        <v>0</v>
      </c>
      <c r="Y1356" s="53">
        <f t="shared" si="397"/>
        <v>0</v>
      </c>
      <c r="Z1356" s="54">
        <f t="shared" si="401"/>
        <v>0</v>
      </c>
      <c r="AA1356" s="54">
        <f t="shared" si="398"/>
        <v>0</v>
      </c>
      <c r="AB1356" s="55">
        <f t="shared" si="403"/>
        <v>0</v>
      </c>
      <c r="AC1356" s="55">
        <f t="shared" si="399"/>
        <v>0</v>
      </c>
      <c r="AD1356" s="56">
        <f t="shared" si="400"/>
        <v>452.8</v>
      </c>
    </row>
    <row r="1357" spans="3:30">
      <c r="C1357" s="43" t="s">
        <v>2478</v>
      </c>
      <c r="D1357" s="44" t="s">
        <v>2479</v>
      </c>
      <c r="E1357" s="44"/>
      <c r="F1357" s="45">
        <v>42873.193657407406</v>
      </c>
      <c r="G1357" s="46">
        <v>16</v>
      </c>
      <c r="H1357" s="47">
        <v>43372</v>
      </c>
      <c r="I1357" s="47">
        <v>43409</v>
      </c>
      <c r="J1357" s="46">
        <v>199521672</v>
      </c>
      <c r="K1357" s="46">
        <v>0</v>
      </c>
      <c r="L1357" s="46">
        <v>0</v>
      </c>
      <c r="M1357" s="46">
        <f t="shared" si="389"/>
        <v>199521672</v>
      </c>
      <c r="N1357" s="46">
        <v>512762547</v>
      </c>
      <c r="O1357" s="48">
        <f t="shared" si="390"/>
        <v>0.61088875705268708</v>
      </c>
      <c r="P1357" s="46">
        <v>0</v>
      </c>
      <c r="Q1357" s="46">
        <v>199521672</v>
      </c>
      <c r="R1357" s="49">
        <f t="shared" si="391"/>
        <v>1</v>
      </c>
      <c r="S1357" s="50">
        <f t="shared" si="392"/>
        <v>0.01</v>
      </c>
      <c r="T1357" s="49">
        <f t="shared" si="393"/>
        <v>1995216.72</v>
      </c>
      <c r="U1357" s="51">
        <f t="shared" si="394"/>
        <v>0</v>
      </c>
      <c r="V1357" s="52">
        <f>IF(0&lt;0.8,0,IF(0&lt;1,Sheet3!L561,1))*IF(G1357&lt;3,0.12 - O1357,0.01) *U1357</f>
        <v>0</v>
      </c>
      <c r="W1357" s="52">
        <f t="shared" si="395"/>
        <v>0</v>
      </c>
      <c r="X1357" s="53">
        <f t="shared" si="396"/>
        <v>0</v>
      </c>
      <c r="Y1357" s="53">
        <f t="shared" si="397"/>
        <v>0</v>
      </c>
      <c r="Z1357" s="54">
        <f t="shared" si="401"/>
        <v>0</v>
      </c>
      <c r="AA1357" s="54">
        <f t="shared" si="398"/>
        <v>0</v>
      </c>
      <c r="AB1357" s="55">
        <f t="shared" si="403"/>
        <v>0</v>
      </c>
      <c r="AC1357" s="55">
        <f t="shared" si="399"/>
        <v>0</v>
      </c>
      <c r="AD1357" s="56">
        <f t="shared" si="400"/>
        <v>1995216.72</v>
      </c>
    </row>
    <row r="1358" spans="3:30">
      <c r="C1358" s="43" t="s">
        <v>2480</v>
      </c>
      <c r="D1358" s="44" t="s">
        <v>2481</v>
      </c>
      <c r="E1358" s="44"/>
      <c r="F1358" s="45">
        <v>42873.164884259255</v>
      </c>
      <c r="G1358" s="46">
        <v>16</v>
      </c>
      <c r="H1358" s="47">
        <v>43377</v>
      </c>
      <c r="I1358" s="47">
        <v>43385</v>
      </c>
      <c r="J1358" s="46">
        <v>301507</v>
      </c>
      <c r="K1358" s="46">
        <v>0</v>
      </c>
      <c r="L1358" s="46">
        <v>0</v>
      </c>
      <c r="M1358" s="46">
        <f t="shared" si="389"/>
        <v>301507</v>
      </c>
      <c r="N1358" s="46">
        <v>301507</v>
      </c>
      <c r="O1358" s="48">
        <f t="shared" si="390"/>
        <v>0</v>
      </c>
      <c r="P1358" s="46">
        <v>0</v>
      </c>
      <c r="Q1358" s="46">
        <v>301507</v>
      </c>
      <c r="R1358" s="49">
        <f t="shared" si="391"/>
        <v>1</v>
      </c>
      <c r="S1358" s="50">
        <f t="shared" si="392"/>
        <v>0.01</v>
      </c>
      <c r="T1358" s="49">
        <f t="shared" si="393"/>
        <v>3015.07</v>
      </c>
      <c r="U1358" s="51">
        <f t="shared" si="394"/>
        <v>0</v>
      </c>
      <c r="V1358" s="52">
        <f>IF(0&lt;0.8,0,IF(0&lt;1,Sheet3!L561,1))*IF(G1358&lt;3,0.12 - O1358,0.01) *U1358</f>
        <v>0</v>
      </c>
      <c r="W1358" s="52">
        <f t="shared" si="395"/>
        <v>0</v>
      </c>
      <c r="X1358" s="53">
        <f t="shared" si="396"/>
        <v>0</v>
      </c>
      <c r="Y1358" s="53">
        <f t="shared" si="397"/>
        <v>0</v>
      </c>
      <c r="Z1358" s="54">
        <f t="shared" si="401"/>
        <v>0</v>
      </c>
      <c r="AA1358" s="54">
        <f t="shared" si="398"/>
        <v>0</v>
      </c>
      <c r="AB1358" s="55">
        <f t="shared" si="403"/>
        <v>0</v>
      </c>
      <c r="AC1358" s="55">
        <f t="shared" si="399"/>
        <v>0</v>
      </c>
      <c r="AD1358" s="56">
        <f t="shared" si="400"/>
        <v>3015.07</v>
      </c>
    </row>
    <row r="1359" spans="3:30">
      <c r="C1359" s="43" t="s">
        <v>2482</v>
      </c>
      <c r="D1359" s="44" t="s">
        <v>2483</v>
      </c>
      <c r="E1359" s="44"/>
      <c r="F1359" s="45">
        <v>42873.161157407405</v>
      </c>
      <c r="G1359" s="46">
        <v>16</v>
      </c>
      <c r="H1359" s="47">
        <v>43375</v>
      </c>
      <c r="I1359" s="47">
        <v>43396</v>
      </c>
      <c r="J1359" s="46">
        <v>804006</v>
      </c>
      <c r="K1359" s="46">
        <v>0</v>
      </c>
      <c r="L1359" s="46">
        <v>0</v>
      </c>
      <c r="M1359" s="46">
        <f t="shared" si="389"/>
        <v>804006</v>
      </c>
      <c r="N1359" s="46">
        <v>804006</v>
      </c>
      <c r="O1359" s="48">
        <f t="shared" si="390"/>
        <v>0</v>
      </c>
      <c r="P1359" s="46">
        <v>0</v>
      </c>
      <c r="Q1359" s="46">
        <v>804006</v>
      </c>
      <c r="R1359" s="49">
        <f t="shared" si="391"/>
        <v>1</v>
      </c>
      <c r="S1359" s="50">
        <f t="shared" si="392"/>
        <v>0.01</v>
      </c>
      <c r="T1359" s="49">
        <f t="shared" si="393"/>
        <v>8040.06</v>
      </c>
      <c r="U1359" s="51">
        <f t="shared" si="394"/>
        <v>0</v>
      </c>
      <c r="V1359" s="52">
        <f>IF(0&lt;0.8,0,IF(0&lt;1,Sheet3!L561,1))*IF(G1359&lt;3,0.12 - O1359,0.01) *U1359</f>
        <v>0</v>
      </c>
      <c r="W1359" s="52">
        <f t="shared" si="395"/>
        <v>0</v>
      </c>
      <c r="X1359" s="53">
        <f t="shared" si="396"/>
        <v>0</v>
      </c>
      <c r="Y1359" s="53">
        <f t="shared" si="397"/>
        <v>0</v>
      </c>
      <c r="Z1359" s="54">
        <f t="shared" si="401"/>
        <v>0</v>
      </c>
      <c r="AA1359" s="54">
        <f t="shared" si="398"/>
        <v>0</v>
      </c>
      <c r="AB1359" s="55">
        <f t="shared" si="403"/>
        <v>0</v>
      </c>
      <c r="AC1359" s="55">
        <f t="shared" si="399"/>
        <v>0</v>
      </c>
      <c r="AD1359" s="56">
        <f t="shared" si="400"/>
        <v>8040.06</v>
      </c>
    </row>
    <row r="1360" spans="3:30">
      <c r="C1360" s="43" t="s">
        <v>2484</v>
      </c>
      <c r="D1360" s="44" t="s">
        <v>2485</v>
      </c>
      <c r="E1360" s="44"/>
      <c r="F1360" s="45">
        <v>42873.164085648146</v>
      </c>
      <c r="G1360" s="46">
        <v>16</v>
      </c>
      <c r="H1360" s="47">
        <v>43378</v>
      </c>
      <c r="I1360" s="47">
        <v>43398</v>
      </c>
      <c r="J1360" s="46">
        <v>192463</v>
      </c>
      <c r="K1360" s="46">
        <v>0</v>
      </c>
      <c r="L1360" s="46">
        <v>0</v>
      </c>
      <c r="M1360" s="46">
        <f t="shared" si="389"/>
        <v>192463</v>
      </c>
      <c r="N1360" s="46">
        <v>192463</v>
      </c>
      <c r="O1360" s="48">
        <f t="shared" si="390"/>
        <v>0</v>
      </c>
      <c r="P1360" s="46">
        <v>0</v>
      </c>
      <c r="Q1360" s="46">
        <v>192463</v>
      </c>
      <c r="R1360" s="49">
        <f t="shared" si="391"/>
        <v>1</v>
      </c>
      <c r="S1360" s="50">
        <f t="shared" si="392"/>
        <v>0.01</v>
      </c>
      <c r="T1360" s="49">
        <f t="shared" si="393"/>
        <v>1924.63</v>
      </c>
      <c r="U1360" s="51">
        <f t="shared" si="394"/>
        <v>0</v>
      </c>
      <c r="V1360" s="52">
        <f>IF(0&lt;0.8,0,IF(0&lt;1,Sheet3!L561,1))*IF(G1360&lt;3,0.12 - O1360,0.01) *U1360</f>
        <v>0</v>
      </c>
      <c r="W1360" s="52">
        <f t="shared" si="395"/>
        <v>0</v>
      </c>
      <c r="X1360" s="53">
        <f t="shared" si="396"/>
        <v>0</v>
      </c>
      <c r="Y1360" s="53">
        <f t="shared" si="397"/>
        <v>0</v>
      </c>
      <c r="Z1360" s="54">
        <f t="shared" si="401"/>
        <v>0</v>
      </c>
      <c r="AA1360" s="54">
        <f t="shared" si="398"/>
        <v>0</v>
      </c>
      <c r="AB1360" s="55">
        <f t="shared" si="403"/>
        <v>0</v>
      </c>
      <c r="AC1360" s="55">
        <f t="shared" si="399"/>
        <v>0</v>
      </c>
      <c r="AD1360" s="56">
        <f t="shared" si="400"/>
        <v>1924.63</v>
      </c>
    </row>
    <row r="1361" spans="3:30">
      <c r="C1361" s="43" t="s">
        <v>2486</v>
      </c>
      <c r="D1361" s="44" t="s">
        <v>2487</v>
      </c>
      <c r="E1361" s="44"/>
      <c r="F1361" s="45">
        <v>42885.084374999999</v>
      </c>
      <c r="G1361" s="46">
        <v>16</v>
      </c>
      <c r="H1361" s="47">
        <v>43382</v>
      </c>
      <c r="I1361" s="47">
        <v>43414</v>
      </c>
      <c r="J1361" s="46">
        <v>20797</v>
      </c>
      <c r="K1361" s="46">
        <v>0</v>
      </c>
      <c r="L1361" s="46">
        <v>0</v>
      </c>
      <c r="M1361" s="46">
        <f t="shared" si="389"/>
        <v>20797</v>
      </c>
      <c r="N1361" s="46">
        <v>20797</v>
      </c>
      <c r="O1361" s="48">
        <f t="shared" si="390"/>
        <v>0</v>
      </c>
      <c r="P1361" s="46">
        <v>0</v>
      </c>
      <c r="Q1361" s="46">
        <v>20797</v>
      </c>
      <c r="R1361" s="49">
        <f t="shared" si="391"/>
        <v>1</v>
      </c>
      <c r="S1361" s="50">
        <f t="shared" si="392"/>
        <v>0.01</v>
      </c>
      <c r="T1361" s="49">
        <f t="shared" si="393"/>
        <v>207.97</v>
      </c>
      <c r="U1361" s="51">
        <f t="shared" si="394"/>
        <v>0</v>
      </c>
      <c r="V1361" s="52">
        <f>IF(0&lt;0.8,0,IF(0&lt;1,Sheet3!L561,1))*IF(G1361&lt;3,0.12 - O1361,0.01) *U1361</f>
        <v>0</v>
      </c>
      <c r="W1361" s="52">
        <f t="shared" si="395"/>
        <v>0</v>
      </c>
      <c r="X1361" s="53">
        <f t="shared" si="396"/>
        <v>0</v>
      </c>
      <c r="Y1361" s="53">
        <f t="shared" si="397"/>
        <v>0</v>
      </c>
      <c r="Z1361" s="54">
        <f t="shared" si="401"/>
        <v>0</v>
      </c>
      <c r="AA1361" s="54">
        <f t="shared" si="398"/>
        <v>0</v>
      </c>
      <c r="AB1361" s="55">
        <f t="shared" si="403"/>
        <v>0</v>
      </c>
      <c r="AC1361" s="55">
        <f t="shared" si="399"/>
        <v>0</v>
      </c>
      <c r="AD1361" s="56">
        <f t="shared" si="400"/>
        <v>207.97</v>
      </c>
    </row>
    <row r="1362" spans="3:30">
      <c r="C1362" s="43" t="s">
        <v>2488</v>
      </c>
      <c r="D1362" s="44" t="s">
        <v>2489</v>
      </c>
      <c r="E1362" s="44"/>
      <c r="F1362" s="45">
        <v>42901.133252314816</v>
      </c>
      <c r="G1362" s="46">
        <v>15</v>
      </c>
      <c r="H1362" s="47">
        <v>43376</v>
      </c>
      <c r="I1362" s="47">
        <v>43397</v>
      </c>
      <c r="J1362" s="46">
        <v>336173</v>
      </c>
      <c r="K1362" s="46">
        <v>0</v>
      </c>
      <c r="L1362" s="46">
        <v>0</v>
      </c>
      <c r="M1362" s="46">
        <f t="shared" si="389"/>
        <v>336173</v>
      </c>
      <c r="N1362" s="46">
        <v>336173</v>
      </c>
      <c r="O1362" s="48">
        <f t="shared" si="390"/>
        <v>0</v>
      </c>
      <c r="P1362" s="46">
        <v>0</v>
      </c>
      <c r="Q1362" s="46">
        <v>336173</v>
      </c>
      <c r="R1362" s="49">
        <f t="shared" si="391"/>
        <v>1</v>
      </c>
      <c r="S1362" s="50">
        <f t="shared" si="392"/>
        <v>0.01</v>
      </c>
      <c r="T1362" s="49">
        <f t="shared" si="393"/>
        <v>3361.73</v>
      </c>
      <c r="U1362" s="51">
        <f t="shared" si="394"/>
        <v>0</v>
      </c>
      <c r="V1362" s="52">
        <f>IF(0&lt;0.8,0,IF(0&lt;1,Sheet3!L561,1))*IF(G1362&lt;3,0.12 - O1362,0.01) *U1362</f>
        <v>0</v>
      </c>
      <c r="W1362" s="52">
        <f t="shared" si="395"/>
        <v>0</v>
      </c>
      <c r="X1362" s="53">
        <f t="shared" si="396"/>
        <v>0</v>
      </c>
      <c r="Y1362" s="53">
        <f t="shared" si="397"/>
        <v>0</v>
      </c>
      <c r="Z1362" s="54">
        <f t="shared" si="401"/>
        <v>0</v>
      </c>
      <c r="AA1362" s="54">
        <f t="shared" si="398"/>
        <v>0</v>
      </c>
      <c r="AB1362" s="55">
        <f t="shared" si="403"/>
        <v>0</v>
      </c>
      <c r="AC1362" s="55">
        <f t="shared" si="399"/>
        <v>0</v>
      </c>
      <c r="AD1362" s="56">
        <f t="shared" si="400"/>
        <v>3361.73</v>
      </c>
    </row>
    <row r="1363" spans="3:30">
      <c r="C1363" s="43" t="s">
        <v>2490</v>
      </c>
      <c r="D1363" s="44" t="s">
        <v>2038</v>
      </c>
      <c r="E1363" s="44"/>
      <c r="F1363" s="45">
        <v>42916.289861111109</v>
      </c>
      <c r="G1363" s="46">
        <v>15</v>
      </c>
      <c r="H1363" s="47">
        <v>43404</v>
      </c>
      <c r="I1363" s="47">
        <v>43412</v>
      </c>
      <c r="J1363" s="46">
        <v>128535</v>
      </c>
      <c r="K1363" s="46">
        <v>0</v>
      </c>
      <c r="L1363" s="46">
        <v>0</v>
      </c>
      <c r="M1363" s="46">
        <f t="shared" si="389"/>
        <v>128535</v>
      </c>
      <c r="N1363" s="46">
        <v>144547</v>
      </c>
      <c r="O1363" s="48">
        <f t="shared" si="390"/>
        <v>0.11077365839484732</v>
      </c>
      <c r="P1363" s="46">
        <v>0</v>
      </c>
      <c r="Q1363" s="46">
        <v>128535</v>
      </c>
      <c r="R1363" s="49">
        <f t="shared" si="391"/>
        <v>1</v>
      </c>
      <c r="S1363" s="50">
        <f t="shared" si="392"/>
        <v>0.01</v>
      </c>
      <c r="T1363" s="49">
        <f t="shared" si="393"/>
        <v>1285.3500000000001</v>
      </c>
      <c r="U1363" s="51">
        <f t="shared" si="394"/>
        <v>0</v>
      </c>
      <c r="V1363" s="52">
        <f>IF(0&lt;0.8,0,IF(0&lt;1,Sheet3!L561,1))*IF(G1363&lt;3,0.12 - O1363,0.01) *U1363</f>
        <v>0</v>
      </c>
      <c r="W1363" s="52">
        <f t="shared" si="395"/>
        <v>0</v>
      </c>
      <c r="X1363" s="53">
        <f t="shared" si="396"/>
        <v>0</v>
      </c>
      <c r="Y1363" s="53">
        <f t="shared" si="397"/>
        <v>0</v>
      </c>
      <c r="Z1363" s="54">
        <f t="shared" si="401"/>
        <v>0</v>
      </c>
      <c r="AA1363" s="54">
        <f t="shared" si="398"/>
        <v>0</v>
      </c>
      <c r="AB1363" s="55">
        <f t="shared" si="403"/>
        <v>0</v>
      </c>
      <c r="AC1363" s="55">
        <f t="shared" si="399"/>
        <v>0</v>
      </c>
      <c r="AD1363" s="56">
        <f t="shared" si="400"/>
        <v>1285.3500000000001</v>
      </c>
    </row>
    <row r="1364" spans="3:30">
      <c r="C1364" s="43" t="s">
        <v>2491</v>
      </c>
      <c r="D1364" s="44" t="s">
        <v>2492</v>
      </c>
      <c r="E1364" s="44"/>
      <c r="F1364" s="45">
        <v>42916.378298611111</v>
      </c>
      <c r="G1364" s="46">
        <v>15</v>
      </c>
      <c r="H1364" s="47">
        <v>43404</v>
      </c>
      <c r="I1364" s="47">
        <v>43412</v>
      </c>
      <c r="J1364" s="46">
        <v>114950</v>
      </c>
      <c r="K1364" s="46">
        <v>0</v>
      </c>
      <c r="L1364" s="46">
        <v>0</v>
      </c>
      <c r="M1364" s="46">
        <f t="shared" si="389"/>
        <v>114950</v>
      </c>
      <c r="N1364" s="46">
        <v>161657</v>
      </c>
      <c r="O1364" s="48">
        <f t="shared" si="390"/>
        <v>0.28892655437129233</v>
      </c>
      <c r="P1364" s="46">
        <v>0</v>
      </c>
      <c r="Q1364" s="46">
        <v>114950</v>
      </c>
      <c r="R1364" s="49">
        <f t="shared" si="391"/>
        <v>1</v>
      </c>
      <c r="S1364" s="50">
        <f t="shared" si="392"/>
        <v>0.01</v>
      </c>
      <c r="T1364" s="49">
        <f t="shared" si="393"/>
        <v>1149.5</v>
      </c>
      <c r="U1364" s="51">
        <f t="shared" si="394"/>
        <v>0</v>
      </c>
      <c r="V1364" s="52">
        <f>IF(0&lt;0.8,0,IF(0&lt;1,Sheet3!L561,1))*IF(G1364&lt;3,0.12 - O1364,0.01) *U1364</f>
        <v>0</v>
      </c>
      <c r="W1364" s="52">
        <f t="shared" si="395"/>
        <v>0</v>
      </c>
      <c r="X1364" s="53">
        <f t="shared" si="396"/>
        <v>0</v>
      </c>
      <c r="Y1364" s="53">
        <f t="shared" si="397"/>
        <v>0</v>
      </c>
      <c r="Z1364" s="54">
        <f t="shared" si="401"/>
        <v>0</v>
      </c>
      <c r="AA1364" s="54">
        <f t="shared" si="398"/>
        <v>0</v>
      </c>
      <c r="AB1364" s="55">
        <f t="shared" si="403"/>
        <v>0</v>
      </c>
      <c r="AC1364" s="55">
        <f t="shared" si="399"/>
        <v>0</v>
      </c>
      <c r="AD1364" s="56">
        <f t="shared" si="400"/>
        <v>1149.5</v>
      </c>
    </row>
    <row r="1365" spans="3:30">
      <c r="C1365" s="43" t="s">
        <v>2493</v>
      </c>
      <c r="D1365" s="44" t="s">
        <v>2494</v>
      </c>
      <c r="E1365" s="44"/>
      <c r="F1365" s="45">
        <v>42921.286736111106</v>
      </c>
      <c r="G1365" s="46">
        <v>14</v>
      </c>
      <c r="H1365" s="47">
        <v>43382</v>
      </c>
      <c r="I1365" s="47">
        <v>43398</v>
      </c>
      <c r="J1365" s="46">
        <v>178188</v>
      </c>
      <c r="K1365" s="46">
        <v>0</v>
      </c>
      <c r="L1365" s="46">
        <v>0</v>
      </c>
      <c r="M1365" s="46">
        <f t="shared" si="389"/>
        <v>178188</v>
      </c>
      <c r="N1365" s="46">
        <v>178188</v>
      </c>
      <c r="O1365" s="48">
        <f t="shared" si="390"/>
        <v>0</v>
      </c>
      <c r="P1365" s="46">
        <v>0</v>
      </c>
      <c r="Q1365" s="46">
        <v>178188</v>
      </c>
      <c r="R1365" s="49">
        <f t="shared" si="391"/>
        <v>1</v>
      </c>
      <c r="S1365" s="50">
        <f t="shared" si="392"/>
        <v>0.01</v>
      </c>
      <c r="T1365" s="49">
        <f t="shared" si="393"/>
        <v>1781.88</v>
      </c>
      <c r="U1365" s="51">
        <f t="shared" si="394"/>
        <v>0</v>
      </c>
      <c r="V1365" s="52">
        <f>IF(0&lt;0.8,0,IF(0&lt;1,Sheet3!L561,1))*IF(G1365&lt;3,0.12 - O1365,0.01) *U1365</f>
        <v>0</v>
      </c>
      <c r="W1365" s="52">
        <f t="shared" si="395"/>
        <v>0</v>
      </c>
      <c r="X1365" s="53">
        <f t="shared" si="396"/>
        <v>0</v>
      </c>
      <c r="Y1365" s="53">
        <f t="shared" si="397"/>
        <v>0</v>
      </c>
      <c r="Z1365" s="54">
        <f t="shared" si="401"/>
        <v>0</v>
      </c>
      <c r="AA1365" s="54">
        <f t="shared" si="398"/>
        <v>0</v>
      </c>
      <c r="AB1365" s="55">
        <f t="shared" si="403"/>
        <v>0</v>
      </c>
      <c r="AC1365" s="55">
        <f t="shared" si="399"/>
        <v>0</v>
      </c>
      <c r="AD1365" s="56">
        <f t="shared" si="400"/>
        <v>1781.88</v>
      </c>
    </row>
    <row r="1366" spans="3:30">
      <c r="C1366" s="43" t="s">
        <v>2495</v>
      </c>
      <c r="D1366" s="44" t="s">
        <v>2496</v>
      </c>
      <c r="E1366" s="44"/>
      <c r="F1366" s="45">
        <v>42923.162592592591</v>
      </c>
      <c r="G1366" s="46">
        <v>14</v>
      </c>
      <c r="H1366" s="47">
        <v>43389</v>
      </c>
      <c r="I1366" s="47">
        <v>43399</v>
      </c>
      <c r="J1366" s="46">
        <v>12192180</v>
      </c>
      <c r="K1366" s="46">
        <v>261111</v>
      </c>
      <c r="L1366" s="46">
        <v>0</v>
      </c>
      <c r="M1366" s="46">
        <f t="shared" si="389"/>
        <v>11931069</v>
      </c>
      <c r="N1366" s="46">
        <v>12192180</v>
      </c>
      <c r="O1366" s="48">
        <f t="shared" si="390"/>
        <v>2.1416268460603405E-2</v>
      </c>
      <c r="P1366" s="46">
        <v>0</v>
      </c>
      <c r="Q1366" s="46">
        <v>12192180</v>
      </c>
      <c r="R1366" s="49">
        <f t="shared" si="391"/>
        <v>1</v>
      </c>
      <c r="S1366" s="50">
        <f t="shared" si="392"/>
        <v>0.01</v>
      </c>
      <c r="T1366" s="49">
        <f t="shared" si="393"/>
        <v>119310.69</v>
      </c>
      <c r="U1366" s="51">
        <f t="shared" si="394"/>
        <v>0</v>
      </c>
      <c r="V1366" s="52">
        <f>IF(0&lt;0.8,0,IF(0&lt;1,Sheet3!L561,1))*IF(G1366&lt;3,0.12 - O1366,0.01) *U1366</f>
        <v>0</v>
      </c>
      <c r="W1366" s="52">
        <f t="shared" si="395"/>
        <v>0</v>
      </c>
      <c r="X1366" s="53">
        <f t="shared" si="396"/>
        <v>0</v>
      </c>
      <c r="Y1366" s="53">
        <f t="shared" si="397"/>
        <v>0</v>
      </c>
      <c r="Z1366" s="54">
        <f t="shared" si="401"/>
        <v>0</v>
      </c>
      <c r="AA1366" s="54">
        <f t="shared" si="398"/>
        <v>0</v>
      </c>
      <c r="AB1366" s="55">
        <f t="shared" si="403"/>
        <v>0</v>
      </c>
      <c r="AC1366" s="55">
        <f t="shared" si="399"/>
        <v>0</v>
      </c>
      <c r="AD1366" s="56">
        <f t="shared" si="400"/>
        <v>119310.69</v>
      </c>
    </row>
    <row r="1367" spans="3:30">
      <c r="C1367" s="43" t="s">
        <v>2497</v>
      </c>
      <c r="D1367" s="44" t="s">
        <v>2498</v>
      </c>
      <c r="E1367" s="44"/>
      <c r="F1367" s="45">
        <v>42937.103668981479</v>
      </c>
      <c r="G1367" s="46">
        <v>14</v>
      </c>
      <c r="H1367" s="47">
        <v>43382</v>
      </c>
      <c r="I1367" s="47">
        <v>43428</v>
      </c>
      <c r="J1367" s="46">
        <v>368360</v>
      </c>
      <c r="K1367" s="46">
        <v>0</v>
      </c>
      <c r="L1367" s="46">
        <v>0</v>
      </c>
      <c r="M1367" s="46">
        <f t="shared" si="389"/>
        <v>368360</v>
      </c>
      <c r="N1367" s="46">
        <v>368360</v>
      </c>
      <c r="O1367" s="48">
        <f t="shared" si="390"/>
        <v>0</v>
      </c>
      <c r="P1367" s="46">
        <v>0</v>
      </c>
      <c r="Q1367" s="46">
        <v>368360</v>
      </c>
      <c r="R1367" s="49">
        <f t="shared" si="391"/>
        <v>1</v>
      </c>
      <c r="S1367" s="50">
        <f t="shared" si="392"/>
        <v>0.01</v>
      </c>
      <c r="T1367" s="49">
        <f t="shared" si="393"/>
        <v>3683.6</v>
      </c>
      <c r="U1367" s="51">
        <f t="shared" si="394"/>
        <v>0</v>
      </c>
      <c r="V1367" s="52">
        <f>IF(0&lt;0.8,0,IF(0&lt;1,Sheet3!L561,1))*IF(G1367&lt;3,0.12 - O1367,0.01) *U1367</f>
        <v>0</v>
      </c>
      <c r="W1367" s="52">
        <f t="shared" si="395"/>
        <v>0</v>
      </c>
      <c r="X1367" s="53">
        <f t="shared" si="396"/>
        <v>0</v>
      </c>
      <c r="Y1367" s="53">
        <f t="shared" si="397"/>
        <v>0</v>
      </c>
      <c r="Z1367" s="54">
        <f t="shared" si="401"/>
        <v>0</v>
      </c>
      <c r="AA1367" s="54">
        <f t="shared" si="398"/>
        <v>0</v>
      </c>
      <c r="AB1367" s="55">
        <f t="shared" si="403"/>
        <v>0</v>
      </c>
      <c r="AC1367" s="55">
        <f t="shared" si="399"/>
        <v>0</v>
      </c>
      <c r="AD1367" s="56">
        <f t="shared" si="400"/>
        <v>3683.6</v>
      </c>
    </row>
    <row r="1368" spans="3:30">
      <c r="C1368" s="43" t="s">
        <v>2499</v>
      </c>
      <c r="D1368" s="44" t="s">
        <v>2143</v>
      </c>
      <c r="E1368" s="44"/>
      <c r="F1368" s="45">
        <v>42942.204386574071</v>
      </c>
      <c r="G1368" s="46">
        <v>14</v>
      </c>
      <c r="H1368" s="47">
        <v>43404</v>
      </c>
      <c r="I1368" s="47">
        <v>43412</v>
      </c>
      <c r="J1368" s="46">
        <v>260315</v>
      </c>
      <c r="K1368" s="46">
        <v>0</v>
      </c>
      <c r="L1368" s="46">
        <v>0</v>
      </c>
      <c r="M1368" s="46">
        <f t="shared" si="389"/>
        <v>260315</v>
      </c>
      <c r="N1368" s="46">
        <v>308627</v>
      </c>
      <c r="O1368" s="48">
        <f t="shared" si="390"/>
        <v>0.15653847524681896</v>
      </c>
      <c r="P1368" s="46">
        <v>0</v>
      </c>
      <c r="Q1368" s="46">
        <v>260315</v>
      </c>
      <c r="R1368" s="49">
        <f t="shared" si="391"/>
        <v>1</v>
      </c>
      <c r="S1368" s="50">
        <f t="shared" si="392"/>
        <v>0.01</v>
      </c>
      <c r="T1368" s="49">
        <f t="shared" si="393"/>
        <v>2603.15</v>
      </c>
      <c r="U1368" s="51">
        <f t="shared" si="394"/>
        <v>0</v>
      </c>
      <c r="V1368" s="52">
        <f>IF(0&lt;0.8,0,IF(0&lt;1,Sheet3!L561,1))*IF(G1368&lt;3,0.12 - O1368,0.01) *U1368</f>
        <v>0</v>
      </c>
      <c r="W1368" s="52">
        <f t="shared" si="395"/>
        <v>0</v>
      </c>
      <c r="X1368" s="53">
        <f t="shared" si="396"/>
        <v>0</v>
      </c>
      <c r="Y1368" s="53">
        <f t="shared" si="397"/>
        <v>0</v>
      </c>
      <c r="Z1368" s="54">
        <f t="shared" si="401"/>
        <v>0</v>
      </c>
      <c r="AA1368" s="54">
        <f t="shared" si="398"/>
        <v>0</v>
      </c>
      <c r="AB1368" s="55">
        <f t="shared" si="403"/>
        <v>0</v>
      </c>
      <c r="AC1368" s="55">
        <f t="shared" si="399"/>
        <v>0</v>
      </c>
      <c r="AD1368" s="56">
        <f t="shared" si="400"/>
        <v>2603.15</v>
      </c>
    </row>
    <row r="1369" spans="3:30">
      <c r="C1369" s="43" t="s">
        <v>2500</v>
      </c>
      <c r="D1369" s="44" t="s">
        <v>2501</v>
      </c>
      <c r="E1369" s="44"/>
      <c r="F1369" s="45">
        <v>42948.278796296298</v>
      </c>
      <c r="G1369" s="46">
        <v>13</v>
      </c>
      <c r="H1369" s="47">
        <v>43390</v>
      </c>
      <c r="I1369" s="47">
        <v>43397</v>
      </c>
      <c r="J1369" s="46">
        <v>8361267</v>
      </c>
      <c r="K1369" s="46">
        <v>0</v>
      </c>
      <c r="L1369" s="46">
        <v>0</v>
      </c>
      <c r="M1369" s="46">
        <f t="shared" si="389"/>
        <v>8361267</v>
      </c>
      <c r="N1369" s="46">
        <v>8361267</v>
      </c>
      <c r="O1369" s="48">
        <f t="shared" si="390"/>
        <v>0</v>
      </c>
      <c r="P1369" s="46">
        <v>0</v>
      </c>
      <c r="Q1369" s="46">
        <v>8361267</v>
      </c>
      <c r="R1369" s="49">
        <f t="shared" si="391"/>
        <v>1</v>
      </c>
      <c r="S1369" s="50">
        <f t="shared" si="392"/>
        <v>0.01</v>
      </c>
      <c r="T1369" s="49">
        <f t="shared" si="393"/>
        <v>83612.67</v>
      </c>
      <c r="U1369" s="51">
        <f t="shared" si="394"/>
        <v>0</v>
      </c>
      <c r="V1369" s="52">
        <f>IF(0&lt;0.8,0,IF(0&lt;1,Sheet3!L561,1))*IF(G1369&lt;3,0.12 - O1369,0.01) *U1369</f>
        <v>0</v>
      </c>
      <c r="W1369" s="52">
        <f t="shared" si="395"/>
        <v>0</v>
      </c>
      <c r="X1369" s="53">
        <f t="shared" si="396"/>
        <v>0</v>
      </c>
      <c r="Y1369" s="53">
        <f t="shared" si="397"/>
        <v>0</v>
      </c>
      <c r="Z1369" s="54">
        <f t="shared" si="401"/>
        <v>0</v>
      </c>
      <c r="AA1369" s="54">
        <f t="shared" si="398"/>
        <v>0</v>
      </c>
      <c r="AB1369" s="55">
        <f t="shared" si="403"/>
        <v>0</v>
      </c>
      <c r="AC1369" s="55">
        <f t="shared" si="399"/>
        <v>0</v>
      </c>
      <c r="AD1369" s="56">
        <f t="shared" si="400"/>
        <v>83612.67</v>
      </c>
    </row>
    <row r="1370" spans="3:30">
      <c r="C1370" s="43" t="s">
        <v>2502</v>
      </c>
      <c r="D1370" s="44" t="s">
        <v>2503</v>
      </c>
      <c r="E1370" s="44"/>
      <c r="F1370" s="45">
        <v>42951.108171296291</v>
      </c>
      <c r="G1370" s="46">
        <v>13</v>
      </c>
      <c r="H1370" s="47">
        <v>43404</v>
      </c>
      <c r="I1370" s="47">
        <v>43412</v>
      </c>
      <c r="J1370" s="46">
        <v>10467965</v>
      </c>
      <c r="K1370" s="46">
        <v>954670</v>
      </c>
      <c r="L1370" s="46">
        <v>0</v>
      </c>
      <c r="M1370" s="46">
        <f t="shared" si="389"/>
        <v>9513295</v>
      </c>
      <c r="N1370" s="46">
        <v>10467965</v>
      </c>
      <c r="O1370" s="48">
        <f t="shared" si="390"/>
        <v>9.11991967875323E-2</v>
      </c>
      <c r="P1370" s="46">
        <v>0</v>
      </c>
      <c r="Q1370" s="46">
        <v>10526529</v>
      </c>
      <c r="R1370" s="49">
        <f t="shared" si="391"/>
        <v>1</v>
      </c>
      <c r="S1370" s="50">
        <f t="shared" si="392"/>
        <v>0.01</v>
      </c>
      <c r="T1370" s="49">
        <f t="shared" si="393"/>
        <v>95132.95</v>
      </c>
      <c r="U1370" s="51">
        <f t="shared" si="394"/>
        <v>0</v>
      </c>
      <c r="V1370" s="52">
        <f>IF(0&lt;0.8,0,IF(0&lt;1,Sheet3!L561,1))*IF(G1370&lt;3,0.12 - O1370,0.01) *U1370</f>
        <v>0</v>
      </c>
      <c r="W1370" s="52">
        <f t="shared" si="395"/>
        <v>0</v>
      </c>
      <c r="X1370" s="53">
        <f t="shared" si="396"/>
        <v>0</v>
      </c>
      <c r="Y1370" s="53">
        <f t="shared" si="397"/>
        <v>0</v>
      </c>
      <c r="Z1370" s="54">
        <f t="shared" si="401"/>
        <v>0</v>
      </c>
      <c r="AA1370" s="54">
        <f t="shared" si="398"/>
        <v>0</v>
      </c>
      <c r="AB1370" s="55">
        <f t="shared" si="403"/>
        <v>0</v>
      </c>
      <c r="AC1370" s="55">
        <f t="shared" si="399"/>
        <v>0</v>
      </c>
      <c r="AD1370" s="56">
        <f t="shared" si="400"/>
        <v>95132.95</v>
      </c>
    </row>
    <row r="1371" spans="3:30">
      <c r="C1371" s="43" t="s">
        <v>2504</v>
      </c>
      <c r="D1371" s="44" t="s">
        <v>2505</v>
      </c>
      <c r="E1371" s="44"/>
      <c r="F1371" s="45">
        <v>42951.340312499997</v>
      </c>
      <c r="G1371" s="46">
        <v>13</v>
      </c>
      <c r="H1371" s="47">
        <v>43404</v>
      </c>
      <c r="I1371" s="47">
        <v>43412</v>
      </c>
      <c r="J1371" s="46">
        <v>154138</v>
      </c>
      <c r="K1371" s="46">
        <v>0</v>
      </c>
      <c r="L1371" s="46">
        <v>0</v>
      </c>
      <c r="M1371" s="46">
        <f t="shared" si="389"/>
        <v>154138</v>
      </c>
      <c r="N1371" s="46">
        <v>210052</v>
      </c>
      <c r="O1371" s="48">
        <f t="shared" si="390"/>
        <v>0.26619122883857327</v>
      </c>
      <c r="P1371" s="46">
        <v>0</v>
      </c>
      <c r="Q1371" s="46">
        <v>154138</v>
      </c>
      <c r="R1371" s="49">
        <f t="shared" si="391"/>
        <v>1</v>
      </c>
      <c r="S1371" s="50">
        <f t="shared" si="392"/>
        <v>0.01</v>
      </c>
      <c r="T1371" s="49">
        <f t="shared" si="393"/>
        <v>1541.38</v>
      </c>
      <c r="U1371" s="51">
        <f t="shared" si="394"/>
        <v>0</v>
      </c>
      <c r="V1371" s="52">
        <f>IF(0&lt;0.8,0,IF(0&lt;1,Sheet3!L561,1))*IF(G1371&lt;3,0.12 - O1371,0.01) *U1371</f>
        <v>0</v>
      </c>
      <c r="W1371" s="52">
        <f t="shared" si="395"/>
        <v>0</v>
      </c>
      <c r="X1371" s="53">
        <f t="shared" si="396"/>
        <v>0</v>
      </c>
      <c r="Y1371" s="53">
        <f t="shared" si="397"/>
        <v>0</v>
      </c>
      <c r="Z1371" s="54">
        <f t="shared" si="401"/>
        <v>0</v>
      </c>
      <c r="AA1371" s="54">
        <f t="shared" si="398"/>
        <v>0</v>
      </c>
      <c r="AB1371" s="55">
        <f t="shared" si="403"/>
        <v>0</v>
      </c>
      <c r="AC1371" s="55">
        <f t="shared" si="399"/>
        <v>0</v>
      </c>
      <c r="AD1371" s="56">
        <f t="shared" si="400"/>
        <v>1541.38</v>
      </c>
    </row>
    <row r="1372" spans="3:30">
      <c r="C1372" s="43" t="s">
        <v>2506</v>
      </c>
      <c r="D1372" s="44" t="s">
        <v>2507</v>
      </c>
      <c r="E1372" s="44"/>
      <c r="F1372" s="45">
        <v>42957.06858796296</v>
      </c>
      <c r="G1372" s="46">
        <v>13</v>
      </c>
      <c r="H1372" s="47">
        <v>43378</v>
      </c>
      <c r="I1372" s="47">
        <v>43384</v>
      </c>
      <c r="J1372" s="46">
        <v>11126464</v>
      </c>
      <c r="K1372" s="46">
        <v>0</v>
      </c>
      <c r="L1372" s="46">
        <v>0</v>
      </c>
      <c r="M1372" s="46">
        <f t="shared" si="389"/>
        <v>11126464</v>
      </c>
      <c r="N1372" s="46">
        <v>11126464</v>
      </c>
      <c r="O1372" s="48">
        <f t="shared" si="390"/>
        <v>0</v>
      </c>
      <c r="P1372" s="46">
        <v>0</v>
      </c>
      <c r="Q1372" s="46">
        <v>11126464</v>
      </c>
      <c r="R1372" s="49">
        <f t="shared" si="391"/>
        <v>1</v>
      </c>
      <c r="S1372" s="50">
        <f t="shared" si="392"/>
        <v>0.01</v>
      </c>
      <c r="T1372" s="49">
        <f t="shared" si="393"/>
        <v>111264.64</v>
      </c>
      <c r="U1372" s="51">
        <f t="shared" si="394"/>
        <v>0</v>
      </c>
      <c r="V1372" s="52">
        <f>IF(0&lt;0.8,0,IF(0&lt;1,Sheet3!L561,1))*IF(G1372&lt;3,0.12 - O1372,0.01) *U1372</f>
        <v>0</v>
      </c>
      <c r="W1372" s="52">
        <f t="shared" si="395"/>
        <v>0</v>
      </c>
      <c r="X1372" s="53">
        <f t="shared" si="396"/>
        <v>0</v>
      </c>
      <c r="Y1372" s="53">
        <f t="shared" si="397"/>
        <v>0</v>
      </c>
      <c r="Z1372" s="54">
        <f t="shared" si="401"/>
        <v>0</v>
      </c>
      <c r="AA1372" s="54">
        <f t="shared" si="398"/>
        <v>0</v>
      </c>
      <c r="AB1372" s="55">
        <f t="shared" si="403"/>
        <v>0</v>
      </c>
      <c r="AC1372" s="55">
        <f t="shared" si="399"/>
        <v>0</v>
      </c>
      <c r="AD1372" s="56">
        <f t="shared" si="400"/>
        <v>111264.64</v>
      </c>
    </row>
    <row r="1373" spans="3:30">
      <c r="C1373" s="43" t="s">
        <v>2508</v>
      </c>
      <c r="D1373" s="44" t="s">
        <v>2509</v>
      </c>
      <c r="E1373" s="44"/>
      <c r="F1373" s="45">
        <v>42970.388043981482</v>
      </c>
      <c r="G1373" s="46">
        <v>13</v>
      </c>
      <c r="H1373" s="47">
        <v>43382</v>
      </c>
      <c r="I1373" s="47">
        <v>43434</v>
      </c>
      <c r="J1373" s="46">
        <v>29116</v>
      </c>
      <c r="K1373" s="46">
        <v>0</v>
      </c>
      <c r="L1373" s="46">
        <v>0</v>
      </c>
      <c r="M1373" s="46">
        <f t="shared" si="389"/>
        <v>29116</v>
      </c>
      <c r="N1373" s="46">
        <v>29116</v>
      </c>
      <c r="O1373" s="48">
        <f t="shared" si="390"/>
        <v>0</v>
      </c>
      <c r="P1373" s="46">
        <v>0</v>
      </c>
      <c r="Q1373" s="46">
        <v>29116</v>
      </c>
      <c r="R1373" s="49">
        <f t="shared" si="391"/>
        <v>1</v>
      </c>
      <c r="S1373" s="50">
        <f t="shared" si="392"/>
        <v>0.01</v>
      </c>
      <c r="T1373" s="49">
        <f t="shared" si="393"/>
        <v>291.16000000000003</v>
      </c>
      <c r="U1373" s="51">
        <f t="shared" si="394"/>
        <v>0</v>
      </c>
      <c r="V1373" s="52">
        <f>IF(0&lt;0.8,0,IF(0&lt;1,Sheet3!L561,1))*IF(G1373&lt;3,0.12 - O1373,0.01) *U1373</f>
        <v>0</v>
      </c>
      <c r="W1373" s="52">
        <f t="shared" si="395"/>
        <v>0</v>
      </c>
      <c r="X1373" s="53">
        <f t="shared" si="396"/>
        <v>0</v>
      </c>
      <c r="Y1373" s="53">
        <f t="shared" si="397"/>
        <v>0</v>
      </c>
      <c r="Z1373" s="54">
        <f t="shared" si="401"/>
        <v>0</v>
      </c>
      <c r="AA1373" s="54">
        <f t="shared" si="398"/>
        <v>0</v>
      </c>
      <c r="AB1373" s="55">
        <f t="shared" si="403"/>
        <v>0</v>
      </c>
      <c r="AC1373" s="55">
        <f t="shared" si="399"/>
        <v>0</v>
      </c>
      <c r="AD1373" s="56">
        <f t="shared" si="400"/>
        <v>291.16000000000003</v>
      </c>
    </row>
    <row r="1374" spans="3:30">
      <c r="C1374" s="43" t="s">
        <v>2510</v>
      </c>
      <c r="D1374" s="44" t="s">
        <v>2511</v>
      </c>
      <c r="E1374" s="44"/>
      <c r="F1374" s="45">
        <v>42970.386331018519</v>
      </c>
      <c r="G1374" s="46">
        <v>13</v>
      </c>
      <c r="H1374" s="47">
        <v>43378</v>
      </c>
      <c r="I1374" s="47">
        <v>43397</v>
      </c>
      <c r="J1374" s="46">
        <v>551400</v>
      </c>
      <c r="K1374" s="46">
        <v>0</v>
      </c>
      <c r="L1374" s="46">
        <v>0</v>
      </c>
      <c r="M1374" s="46">
        <f t="shared" si="389"/>
        <v>551400</v>
      </c>
      <c r="N1374" s="46">
        <v>551400</v>
      </c>
      <c r="O1374" s="48">
        <f t="shared" si="390"/>
        <v>0</v>
      </c>
      <c r="P1374" s="46">
        <v>0</v>
      </c>
      <c r="Q1374" s="46">
        <v>551400</v>
      </c>
      <c r="R1374" s="49">
        <f t="shared" si="391"/>
        <v>1</v>
      </c>
      <c r="S1374" s="50">
        <f t="shared" si="392"/>
        <v>0.01</v>
      </c>
      <c r="T1374" s="49">
        <f t="shared" si="393"/>
        <v>5514</v>
      </c>
      <c r="U1374" s="51">
        <f t="shared" si="394"/>
        <v>0</v>
      </c>
      <c r="V1374" s="52">
        <f>IF(0&lt;0.8,0,IF(0&lt;1,Sheet3!L561,1))*IF(G1374&lt;3,0.12 - O1374,0.01) *U1374</f>
        <v>0</v>
      </c>
      <c r="W1374" s="52">
        <f t="shared" si="395"/>
        <v>0</v>
      </c>
      <c r="X1374" s="53">
        <f t="shared" si="396"/>
        <v>0</v>
      </c>
      <c r="Y1374" s="53">
        <f t="shared" si="397"/>
        <v>0</v>
      </c>
      <c r="Z1374" s="54">
        <f t="shared" si="401"/>
        <v>0</v>
      </c>
      <c r="AA1374" s="54">
        <f t="shared" si="398"/>
        <v>0</v>
      </c>
      <c r="AB1374" s="55">
        <f t="shared" si="403"/>
        <v>0</v>
      </c>
      <c r="AC1374" s="55">
        <f t="shared" si="399"/>
        <v>0</v>
      </c>
      <c r="AD1374" s="56">
        <f t="shared" si="400"/>
        <v>5514</v>
      </c>
    </row>
    <row r="1375" spans="3:30">
      <c r="C1375" s="43" t="s">
        <v>2512</v>
      </c>
      <c r="D1375" s="44" t="s">
        <v>532</v>
      </c>
      <c r="E1375" s="44"/>
      <c r="F1375" s="45">
        <v>42970.382581018515</v>
      </c>
      <c r="G1375" s="46">
        <v>13</v>
      </c>
      <c r="H1375" s="47">
        <v>43376</v>
      </c>
      <c r="I1375" s="47">
        <v>43399</v>
      </c>
      <c r="J1375" s="46">
        <v>72930</v>
      </c>
      <c r="K1375" s="46">
        <v>0</v>
      </c>
      <c r="L1375" s="46">
        <v>0</v>
      </c>
      <c r="M1375" s="46">
        <f t="shared" si="389"/>
        <v>72930</v>
      </c>
      <c r="N1375" s="46">
        <v>101194</v>
      </c>
      <c r="O1375" s="48">
        <f t="shared" si="390"/>
        <v>0.27930509714014662</v>
      </c>
      <c r="P1375" s="46">
        <v>0</v>
      </c>
      <c r="Q1375" s="46">
        <v>72930</v>
      </c>
      <c r="R1375" s="49">
        <f t="shared" si="391"/>
        <v>1</v>
      </c>
      <c r="S1375" s="50">
        <f t="shared" si="392"/>
        <v>0.01</v>
      </c>
      <c r="T1375" s="49">
        <f t="shared" si="393"/>
        <v>729.30000000000007</v>
      </c>
      <c r="U1375" s="51">
        <f t="shared" si="394"/>
        <v>0</v>
      </c>
      <c r="V1375" s="52">
        <f>IF(0&lt;0.8,0,IF(0&lt;1,Sheet3!L561,1))*IF(G1375&lt;3,0.12 - O1375,0.01) *U1375</f>
        <v>0</v>
      </c>
      <c r="W1375" s="52">
        <f t="shared" si="395"/>
        <v>0</v>
      </c>
      <c r="X1375" s="53">
        <f t="shared" si="396"/>
        <v>0</v>
      </c>
      <c r="Y1375" s="53">
        <f t="shared" si="397"/>
        <v>0</v>
      </c>
      <c r="Z1375" s="54">
        <f t="shared" si="401"/>
        <v>0</v>
      </c>
      <c r="AA1375" s="54">
        <f t="shared" si="398"/>
        <v>0</v>
      </c>
      <c r="AB1375" s="55">
        <f t="shared" si="403"/>
        <v>0</v>
      </c>
      <c r="AC1375" s="55">
        <f t="shared" si="399"/>
        <v>0</v>
      </c>
      <c r="AD1375" s="56">
        <f t="shared" si="400"/>
        <v>729.30000000000007</v>
      </c>
    </row>
    <row r="1376" spans="3:30">
      <c r="C1376" s="43" t="s">
        <v>2513</v>
      </c>
      <c r="D1376" s="44" t="s">
        <v>487</v>
      </c>
      <c r="E1376" s="44"/>
      <c r="F1376" s="45">
        <v>42991.067499999997</v>
      </c>
      <c r="G1376" s="46">
        <v>12</v>
      </c>
      <c r="H1376" s="47" t="s">
        <v>24</v>
      </c>
      <c r="I1376" s="47" t="s">
        <v>24</v>
      </c>
      <c r="J1376" s="46">
        <v>13442378</v>
      </c>
      <c r="K1376" s="46">
        <v>1384204</v>
      </c>
      <c r="L1376" s="46">
        <v>0</v>
      </c>
      <c r="M1376" s="46">
        <f t="shared" si="389"/>
        <v>12058174</v>
      </c>
      <c r="N1376" s="46">
        <v>23164419</v>
      </c>
      <c r="O1376" s="48">
        <f t="shared" si="390"/>
        <v>0.4794527762600046</v>
      </c>
      <c r="P1376" s="46">
        <v>0</v>
      </c>
      <c r="Q1376" s="46">
        <v>12238118</v>
      </c>
      <c r="R1376" s="49">
        <f t="shared" si="391"/>
        <v>1</v>
      </c>
      <c r="S1376" s="50">
        <f t="shared" si="392"/>
        <v>0.01</v>
      </c>
      <c r="T1376" s="49">
        <f t="shared" si="393"/>
        <v>120581.74</v>
      </c>
      <c r="U1376" s="51">
        <f t="shared" si="394"/>
        <v>0</v>
      </c>
      <c r="V1376" s="52">
        <f>IF(0&lt;0.8,0,IF(0&lt;1,Sheet3!L561,1))*IF(G1376&lt;3,0.12 - O1376,0.01) *U1376</f>
        <v>0</v>
      </c>
      <c r="W1376" s="52">
        <f t="shared" si="395"/>
        <v>0</v>
      </c>
      <c r="X1376" s="53">
        <f t="shared" si="396"/>
        <v>0</v>
      </c>
      <c r="Y1376" s="53">
        <f t="shared" si="397"/>
        <v>0</v>
      </c>
      <c r="Z1376" s="54">
        <f t="shared" si="401"/>
        <v>0</v>
      </c>
      <c r="AA1376" s="54">
        <f t="shared" si="398"/>
        <v>0</v>
      </c>
      <c r="AB1376" s="55">
        <f t="shared" si="403"/>
        <v>0</v>
      </c>
      <c r="AC1376" s="55">
        <f t="shared" si="399"/>
        <v>0</v>
      </c>
      <c r="AD1376" s="56">
        <f t="shared" si="400"/>
        <v>120581.74</v>
      </c>
    </row>
    <row r="1377" spans="3:30">
      <c r="C1377" s="43" t="s">
        <v>2514</v>
      </c>
      <c r="D1377" s="44" t="s">
        <v>2515</v>
      </c>
      <c r="E1377" s="44"/>
      <c r="F1377" s="45">
        <v>42991.272465277776</v>
      </c>
      <c r="G1377" s="46">
        <v>12</v>
      </c>
      <c r="H1377" s="47">
        <v>43375</v>
      </c>
      <c r="I1377" s="47">
        <v>43392</v>
      </c>
      <c r="J1377" s="46">
        <v>998657</v>
      </c>
      <c r="K1377" s="46">
        <v>0</v>
      </c>
      <c r="L1377" s="46">
        <v>0</v>
      </c>
      <c r="M1377" s="46">
        <f t="shared" si="389"/>
        <v>998657</v>
      </c>
      <c r="N1377" s="46">
        <v>998657</v>
      </c>
      <c r="O1377" s="48">
        <f t="shared" si="390"/>
        <v>0</v>
      </c>
      <c r="P1377" s="46">
        <v>0</v>
      </c>
      <c r="Q1377" s="46">
        <v>998657</v>
      </c>
      <c r="R1377" s="49">
        <f t="shared" si="391"/>
        <v>1</v>
      </c>
      <c r="S1377" s="50">
        <f t="shared" si="392"/>
        <v>0.01</v>
      </c>
      <c r="T1377" s="49">
        <f t="shared" si="393"/>
        <v>9986.57</v>
      </c>
      <c r="U1377" s="51">
        <f t="shared" si="394"/>
        <v>0</v>
      </c>
      <c r="V1377" s="52">
        <f>IF(0&lt;0.8,0,IF(0&lt;1,Sheet3!L561,1))*IF(G1377&lt;3,0.12 - O1377,0.01) *U1377</f>
        <v>0</v>
      </c>
      <c r="W1377" s="52">
        <f t="shared" si="395"/>
        <v>0</v>
      </c>
      <c r="X1377" s="53">
        <f t="shared" si="396"/>
        <v>0</v>
      </c>
      <c r="Y1377" s="53">
        <f t="shared" si="397"/>
        <v>0</v>
      </c>
      <c r="Z1377" s="54">
        <f t="shared" si="401"/>
        <v>0</v>
      </c>
      <c r="AA1377" s="54">
        <f t="shared" si="398"/>
        <v>0</v>
      </c>
      <c r="AB1377" s="55">
        <f t="shared" si="403"/>
        <v>0</v>
      </c>
      <c r="AC1377" s="55">
        <f t="shared" si="399"/>
        <v>0</v>
      </c>
      <c r="AD1377" s="56">
        <f t="shared" si="400"/>
        <v>9986.57</v>
      </c>
    </row>
    <row r="1378" spans="3:30">
      <c r="C1378" s="43" t="s">
        <v>2516</v>
      </c>
      <c r="D1378" s="44" t="s">
        <v>2517</v>
      </c>
      <c r="E1378" s="44"/>
      <c r="F1378" s="45">
        <v>42992.268078703702</v>
      </c>
      <c r="G1378" s="46">
        <v>12</v>
      </c>
      <c r="H1378" s="47">
        <v>43382</v>
      </c>
      <c r="I1378" s="47">
        <v>43432</v>
      </c>
      <c r="J1378" s="46">
        <v>3221675</v>
      </c>
      <c r="K1378" s="46">
        <v>0</v>
      </c>
      <c r="L1378" s="46">
        <v>0</v>
      </c>
      <c r="M1378" s="46">
        <f t="shared" si="389"/>
        <v>3221675</v>
      </c>
      <c r="N1378" s="46">
        <v>3221675</v>
      </c>
      <c r="O1378" s="48">
        <f t="shared" si="390"/>
        <v>0</v>
      </c>
      <c r="P1378" s="46">
        <v>0</v>
      </c>
      <c r="Q1378" s="46">
        <v>3221675</v>
      </c>
      <c r="R1378" s="49">
        <f t="shared" si="391"/>
        <v>1</v>
      </c>
      <c r="S1378" s="50">
        <f t="shared" si="392"/>
        <v>0.01</v>
      </c>
      <c r="T1378" s="49">
        <f t="shared" si="393"/>
        <v>32216.75</v>
      </c>
      <c r="U1378" s="51">
        <f t="shared" si="394"/>
        <v>0</v>
      </c>
      <c r="V1378" s="52">
        <f>IF(0&lt;0.8,0,IF(0&lt;1,Sheet3!L561,1))*IF(G1378&lt;3,0.12 - O1378,0.01) *U1378</f>
        <v>0</v>
      </c>
      <c r="W1378" s="52">
        <f t="shared" si="395"/>
        <v>0</v>
      </c>
      <c r="X1378" s="53">
        <f t="shared" si="396"/>
        <v>0</v>
      </c>
      <c r="Y1378" s="53">
        <f t="shared" si="397"/>
        <v>0</v>
      </c>
      <c r="Z1378" s="54">
        <f t="shared" si="401"/>
        <v>0</v>
      </c>
      <c r="AA1378" s="54">
        <f t="shared" si="398"/>
        <v>0</v>
      </c>
      <c r="AB1378" s="55">
        <f t="shared" si="403"/>
        <v>0</v>
      </c>
      <c r="AC1378" s="55">
        <f t="shared" si="399"/>
        <v>0</v>
      </c>
      <c r="AD1378" s="56">
        <f t="shared" si="400"/>
        <v>32216.75</v>
      </c>
    </row>
    <row r="1379" spans="3:30">
      <c r="C1379" s="43" t="s">
        <v>2518</v>
      </c>
      <c r="D1379" s="44" t="s">
        <v>2519</v>
      </c>
      <c r="E1379" s="44"/>
      <c r="F1379" s="45">
        <v>42992.260567129626</v>
      </c>
      <c r="G1379" s="46">
        <v>12</v>
      </c>
      <c r="H1379" s="47">
        <v>43375</v>
      </c>
      <c r="I1379" s="47">
        <v>43320</v>
      </c>
      <c r="J1379" s="46">
        <v>773337</v>
      </c>
      <c r="K1379" s="46">
        <v>0</v>
      </c>
      <c r="L1379" s="46">
        <v>0</v>
      </c>
      <c r="M1379" s="46">
        <f t="shared" si="389"/>
        <v>773337</v>
      </c>
      <c r="N1379" s="46">
        <v>773337</v>
      </c>
      <c r="O1379" s="48">
        <f t="shared" si="390"/>
        <v>0</v>
      </c>
      <c r="P1379" s="46">
        <v>0</v>
      </c>
      <c r="Q1379" s="46">
        <v>773337</v>
      </c>
      <c r="R1379" s="49">
        <f t="shared" si="391"/>
        <v>1</v>
      </c>
      <c r="S1379" s="50">
        <f t="shared" si="392"/>
        <v>0.01</v>
      </c>
      <c r="T1379" s="49">
        <f t="shared" si="393"/>
        <v>7733.37</v>
      </c>
      <c r="U1379" s="51">
        <f t="shared" si="394"/>
        <v>0</v>
      </c>
      <c r="V1379" s="52">
        <f>IF(0&lt;0.8,0,IF(0&lt;1,Sheet3!L561,1))*IF(G1379&lt;3,0.12 - O1379,0.01) *U1379</f>
        <v>0</v>
      </c>
      <c r="W1379" s="52">
        <f t="shared" si="395"/>
        <v>0</v>
      </c>
      <c r="X1379" s="53">
        <f t="shared" si="396"/>
        <v>0</v>
      </c>
      <c r="Y1379" s="53">
        <f t="shared" si="397"/>
        <v>0</v>
      </c>
      <c r="Z1379" s="54">
        <f t="shared" si="401"/>
        <v>0</v>
      </c>
      <c r="AA1379" s="54">
        <f t="shared" si="398"/>
        <v>0</v>
      </c>
      <c r="AB1379" s="55">
        <f t="shared" si="403"/>
        <v>0</v>
      </c>
      <c r="AC1379" s="55">
        <f t="shared" si="399"/>
        <v>0</v>
      </c>
      <c r="AD1379" s="56">
        <f t="shared" si="400"/>
        <v>7733.37</v>
      </c>
    </row>
    <row r="1380" spans="3:30">
      <c r="C1380" s="43" t="s">
        <v>2520</v>
      </c>
      <c r="D1380" s="44" t="s">
        <v>2521</v>
      </c>
      <c r="E1380" s="44"/>
      <c r="F1380" s="45">
        <v>42998.080358796295</v>
      </c>
      <c r="G1380" s="46">
        <v>12</v>
      </c>
      <c r="H1380" s="47">
        <v>43378</v>
      </c>
      <c r="I1380" s="47">
        <v>43390</v>
      </c>
      <c r="J1380" s="46">
        <v>1068091</v>
      </c>
      <c r="K1380" s="46">
        <v>0</v>
      </c>
      <c r="L1380" s="46">
        <v>0</v>
      </c>
      <c r="M1380" s="46">
        <f t="shared" si="389"/>
        <v>1068091</v>
      </c>
      <c r="N1380" s="46">
        <v>1068091</v>
      </c>
      <c r="O1380" s="48">
        <f t="shared" si="390"/>
        <v>0</v>
      </c>
      <c r="P1380" s="46">
        <v>0</v>
      </c>
      <c r="Q1380" s="46">
        <v>1068091</v>
      </c>
      <c r="R1380" s="49">
        <f t="shared" si="391"/>
        <v>1</v>
      </c>
      <c r="S1380" s="50">
        <f t="shared" si="392"/>
        <v>0.01</v>
      </c>
      <c r="T1380" s="49">
        <f t="shared" si="393"/>
        <v>10680.91</v>
      </c>
      <c r="U1380" s="51">
        <f t="shared" si="394"/>
        <v>0</v>
      </c>
      <c r="V1380" s="52">
        <f>IF(0&lt;0.8,0,IF(0&lt;1,Sheet3!L561,1))*IF(G1380&lt;3,0.12 - O1380,0.01) *U1380</f>
        <v>0</v>
      </c>
      <c r="W1380" s="52">
        <f t="shared" si="395"/>
        <v>0</v>
      </c>
      <c r="X1380" s="53">
        <f t="shared" si="396"/>
        <v>0</v>
      </c>
      <c r="Y1380" s="53">
        <f t="shared" si="397"/>
        <v>0</v>
      </c>
      <c r="Z1380" s="54">
        <f t="shared" si="401"/>
        <v>0</v>
      </c>
      <c r="AA1380" s="54">
        <f t="shared" si="398"/>
        <v>0</v>
      </c>
      <c r="AB1380" s="55">
        <f t="shared" si="403"/>
        <v>0</v>
      </c>
      <c r="AC1380" s="55">
        <f t="shared" si="399"/>
        <v>0</v>
      </c>
      <c r="AD1380" s="56">
        <f t="shared" si="400"/>
        <v>10680.91</v>
      </c>
    </row>
    <row r="1381" spans="3:30">
      <c r="C1381" s="43" t="s">
        <v>2522</v>
      </c>
      <c r="D1381" s="44" t="s">
        <v>2523</v>
      </c>
      <c r="E1381" s="44"/>
      <c r="F1381" s="45">
        <v>43001.3671875</v>
      </c>
      <c r="G1381" s="46">
        <v>12</v>
      </c>
      <c r="H1381" s="47">
        <v>43372</v>
      </c>
      <c r="I1381" s="47">
        <v>43397</v>
      </c>
      <c r="J1381" s="46">
        <v>6923117</v>
      </c>
      <c r="K1381" s="46">
        <v>1059582</v>
      </c>
      <c r="L1381" s="46">
        <v>0</v>
      </c>
      <c r="M1381" s="46">
        <f t="shared" si="389"/>
        <v>5863535</v>
      </c>
      <c r="N1381" s="46">
        <v>7264051</v>
      </c>
      <c r="O1381" s="48">
        <f t="shared" si="390"/>
        <v>0.19280095913423512</v>
      </c>
      <c r="P1381" s="46">
        <v>0</v>
      </c>
      <c r="Q1381" s="46">
        <v>6923117</v>
      </c>
      <c r="R1381" s="49">
        <f t="shared" si="391"/>
        <v>1</v>
      </c>
      <c r="S1381" s="50">
        <f t="shared" si="392"/>
        <v>0.01</v>
      </c>
      <c r="T1381" s="49">
        <f t="shared" si="393"/>
        <v>58635.35</v>
      </c>
      <c r="U1381" s="51">
        <f t="shared" si="394"/>
        <v>0</v>
      </c>
      <c r="V1381" s="52">
        <f>IF(0&lt;0.8,0,IF(0&lt;1,Sheet3!L561,1))*IF(G1381&lt;3,0.12 - O1381,0.01) *U1381</f>
        <v>0</v>
      </c>
      <c r="W1381" s="52">
        <f t="shared" si="395"/>
        <v>0</v>
      </c>
      <c r="X1381" s="53">
        <f t="shared" si="396"/>
        <v>0</v>
      </c>
      <c r="Y1381" s="53">
        <f t="shared" si="397"/>
        <v>0</v>
      </c>
      <c r="Z1381" s="54">
        <f t="shared" si="401"/>
        <v>0</v>
      </c>
      <c r="AA1381" s="54">
        <f t="shared" si="398"/>
        <v>0</v>
      </c>
      <c r="AB1381" s="55">
        <f t="shared" si="403"/>
        <v>0</v>
      </c>
      <c r="AC1381" s="55">
        <f t="shared" si="399"/>
        <v>0</v>
      </c>
      <c r="AD1381" s="56">
        <f t="shared" si="400"/>
        <v>58635.35</v>
      </c>
    </row>
    <row r="1382" spans="3:30">
      <c r="C1382" s="43" t="s">
        <v>2524</v>
      </c>
      <c r="D1382" s="44" t="s">
        <v>2525</v>
      </c>
      <c r="E1382" s="44"/>
      <c r="F1382" s="45">
        <v>43001.381331018514</v>
      </c>
      <c r="G1382" s="46">
        <v>12</v>
      </c>
      <c r="H1382" s="47">
        <v>43375</v>
      </c>
      <c r="I1382" s="47">
        <v>43386</v>
      </c>
      <c r="J1382" s="46">
        <v>314083</v>
      </c>
      <c r="K1382" s="46">
        <v>0</v>
      </c>
      <c r="L1382" s="46">
        <v>0</v>
      </c>
      <c r="M1382" s="46">
        <f t="shared" si="389"/>
        <v>314083</v>
      </c>
      <c r="N1382" s="46">
        <v>314083</v>
      </c>
      <c r="O1382" s="48">
        <f t="shared" si="390"/>
        <v>0</v>
      </c>
      <c r="P1382" s="46">
        <v>0</v>
      </c>
      <c r="Q1382" s="46">
        <v>314083</v>
      </c>
      <c r="R1382" s="49">
        <f t="shared" si="391"/>
        <v>1</v>
      </c>
      <c r="S1382" s="50">
        <f t="shared" si="392"/>
        <v>0.01</v>
      </c>
      <c r="T1382" s="49">
        <f t="shared" si="393"/>
        <v>3140.83</v>
      </c>
      <c r="U1382" s="51">
        <f t="shared" si="394"/>
        <v>0</v>
      </c>
      <c r="V1382" s="52">
        <f>IF(0&lt;0.8,0,IF(0&lt;1,Sheet3!L561,1))*IF(G1382&lt;3,0.12 - O1382,0.01) *U1382</f>
        <v>0</v>
      </c>
      <c r="W1382" s="52">
        <f t="shared" si="395"/>
        <v>0</v>
      </c>
      <c r="X1382" s="53">
        <f t="shared" si="396"/>
        <v>0</v>
      </c>
      <c r="Y1382" s="53">
        <f t="shared" si="397"/>
        <v>0</v>
      </c>
      <c r="Z1382" s="54">
        <f t="shared" si="401"/>
        <v>0</v>
      </c>
      <c r="AA1382" s="54">
        <f t="shared" si="398"/>
        <v>0</v>
      </c>
      <c r="AB1382" s="55">
        <f t="shared" si="403"/>
        <v>0</v>
      </c>
      <c r="AC1382" s="55">
        <f t="shared" si="399"/>
        <v>0</v>
      </c>
      <c r="AD1382" s="56">
        <f t="shared" si="400"/>
        <v>3140.83</v>
      </c>
    </row>
    <row r="1383" spans="3:30">
      <c r="C1383" s="43" t="s">
        <v>2526</v>
      </c>
      <c r="D1383" s="44" t="s">
        <v>2527</v>
      </c>
      <c r="E1383" s="44"/>
      <c r="F1383" s="45">
        <v>43001.382581018515</v>
      </c>
      <c r="G1383" s="46">
        <v>12</v>
      </c>
      <c r="H1383" s="47">
        <v>43375</v>
      </c>
      <c r="I1383" s="47">
        <v>43368</v>
      </c>
      <c r="J1383" s="46">
        <v>291983</v>
      </c>
      <c r="K1383" s="46">
        <v>0</v>
      </c>
      <c r="L1383" s="46">
        <v>0</v>
      </c>
      <c r="M1383" s="46">
        <f t="shared" si="389"/>
        <v>291983</v>
      </c>
      <c r="N1383" s="46">
        <v>291983</v>
      </c>
      <c r="O1383" s="48">
        <f t="shared" si="390"/>
        <v>0</v>
      </c>
      <c r="P1383" s="46">
        <v>0</v>
      </c>
      <c r="Q1383" s="46">
        <v>291983</v>
      </c>
      <c r="R1383" s="49">
        <f t="shared" si="391"/>
        <v>1</v>
      </c>
      <c r="S1383" s="50">
        <f t="shared" si="392"/>
        <v>0.01</v>
      </c>
      <c r="T1383" s="49">
        <f t="shared" si="393"/>
        <v>2919.83</v>
      </c>
      <c r="U1383" s="51">
        <f t="shared" si="394"/>
        <v>0</v>
      </c>
      <c r="V1383" s="52">
        <f>IF(0&lt;0.8,0,IF(0&lt;1,Sheet3!L561,1))*IF(G1383&lt;3,0.12 - O1383,0.01) *U1383</f>
        <v>0</v>
      </c>
      <c r="W1383" s="52">
        <f t="shared" si="395"/>
        <v>0</v>
      </c>
      <c r="X1383" s="53">
        <f t="shared" si="396"/>
        <v>0</v>
      </c>
      <c r="Y1383" s="53">
        <f t="shared" si="397"/>
        <v>0</v>
      </c>
      <c r="Z1383" s="54">
        <f t="shared" si="401"/>
        <v>0</v>
      </c>
      <c r="AA1383" s="54">
        <f t="shared" si="398"/>
        <v>0</v>
      </c>
      <c r="AB1383" s="55">
        <f t="shared" si="403"/>
        <v>0</v>
      </c>
      <c r="AC1383" s="55">
        <f t="shared" si="399"/>
        <v>0</v>
      </c>
      <c r="AD1383" s="56">
        <f t="shared" si="400"/>
        <v>2919.83</v>
      </c>
    </row>
    <row r="1384" spans="3:30">
      <c r="C1384" s="43" t="s">
        <v>2528</v>
      </c>
      <c r="D1384" s="44" t="s">
        <v>2529</v>
      </c>
      <c r="E1384" s="44"/>
      <c r="F1384" s="45">
        <v>43004.400347222218</v>
      </c>
      <c r="G1384" s="46">
        <v>12</v>
      </c>
      <c r="H1384" s="47">
        <v>43382</v>
      </c>
      <c r="I1384" s="47">
        <v>43414</v>
      </c>
      <c r="J1384" s="46">
        <v>117761</v>
      </c>
      <c r="K1384" s="46">
        <v>0</v>
      </c>
      <c r="L1384" s="46">
        <v>0</v>
      </c>
      <c r="M1384" s="46">
        <f t="shared" si="389"/>
        <v>117761</v>
      </c>
      <c r="N1384" s="46">
        <v>117761</v>
      </c>
      <c r="O1384" s="48">
        <f t="shared" si="390"/>
        <v>0</v>
      </c>
      <c r="P1384" s="46">
        <v>0</v>
      </c>
      <c r="Q1384" s="46">
        <v>117761</v>
      </c>
      <c r="R1384" s="49">
        <f t="shared" si="391"/>
        <v>1</v>
      </c>
      <c r="S1384" s="50">
        <f t="shared" si="392"/>
        <v>0.01</v>
      </c>
      <c r="T1384" s="49">
        <f t="shared" si="393"/>
        <v>1177.6100000000001</v>
      </c>
      <c r="U1384" s="51">
        <f t="shared" si="394"/>
        <v>0</v>
      </c>
      <c r="V1384" s="52">
        <f>IF(0&lt;0.8,0,IF(0&lt;1,Sheet3!L561,1))*IF(G1384&lt;3,0.12 - O1384,0.01) *U1384</f>
        <v>0</v>
      </c>
      <c r="W1384" s="52">
        <f t="shared" si="395"/>
        <v>0</v>
      </c>
      <c r="X1384" s="53">
        <f t="shared" si="396"/>
        <v>0</v>
      </c>
      <c r="Y1384" s="53">
        <f t="shared" si="397"/>
        <v>0</v>
      </c>
      <c r="Z1384" s="54">
        <f t="shared" si="401"/>
        <v>0</v>
      </c>
      <c r="AA1384" s="54">
        <f t="shared" si="398"/>
        <v>0</v>
      </c>
      <c r="AB1384" s="55">
        <f t="shared" si="403"/>
        <v>0</v>
      </c>
      <c r="AC1384" s="55">
        <f t="shared" si="399"/>
        <v>0</v>
      </c>
      <c r="AD1384" s="56">
        <f t="shared" si="400"/>
        <v>1177.6100000000001</v>
      </c>
    </row>
    <row r="1385" spans="3:30">
      <c r="C1385" s="43" t="s">
        <v>2530</v>
      </c>
      <c r="D1385" s="44" t="s">
        <v>2531</v>
      </c>
      <c r="E1385" s="44"/>
      <c r="F1385" s="45">
        <v>43008.394467592589</v>
      </c>
      <c r="G1385" s="46">
        <v>12</v>
      </c>
      <c r="H1385" s="47">
        <v>43385</v>
      </c>
      <c r="I1385" s="47">
        <v>43391</v>
      </c>
      <c r="J1385" s="46">
        <v>4503776</v>
      </c>
      <c r="K1385" s="46">
        <v>450378</v>
      </c>
      <c r="L1385" s="46">
        <v>0</v>
      </c>
      <c r="M1385" s="46">
        <f t="shared" si="389"/>
        <v>4053398</v>
      </c>
      <c r="N1385" s="46">
        <v>4503776</v>
      </c>
      <c r="O1385" s="48">
        <f t="shared" si="390"/>
        <v>0.10000008881436373</v>
      </c>
      <c r="P1385" s="46">
        <v>0</v>
      </c>
      <c r="Q1385" s="46">
        <v>4503776</v>
      </c>
      <c r="R1385" s="49">
        <f t="shared" si="391"/>
        <v>1</v>
      </c>
      <c r="S1385" s="50">
        <f t="shared" si="392"/>
        <v>0.01</v>
      </c>
      <c r="T1385" s="49">
        <f t="shared" si="393"/>
        <v>40533.980000000003</v>
      </c>
      <c r="U1385" s="51">
        <f t="shared" si="394"/>
        <v>0</v>
      </c>
      <c r="V1385" s="52">
        <f>IF(0&lt;0.8,0,IF(0&lt;1,Sheet3!L561,1))*IF(G1385&lt;3,0.12 - O1385,0.01) *U1385</f>
        <v>0</v>
      </c>
      <c r="W1385" s="52">
        <f t="shared" si="395"/>
        <v>0</v>
      </c>
      <c r="X1385" s="53">
        <f t="shared" si="396"/>
        <v>0</v>
      </c>
      <c r="Y1385" s="53">
        <f t="shared" si="397"/>
        <v>0</v>
      </c>
      <c r="Z1385" s="54">
        <f t="shared" si="401"/>
        <v>0</v>
      </c>
      <c r="AA1385" s="54">
        <f t="shared" si="398"/>
        <v>0</v>
      </c>
      <c r="AB1385" s="55">
        <f t="shared" si="403"/>
        <v>0</v>
      </c>
      <c r="AC1385" s="55">
        <f t="shared" si="399"/>
        <v>0</v>
      </c>
      <c r="AD1385" s="56">
        <f t="shared" si="400"/>
        <v>40533.980000000003</v>
      </c>
    </row>
    <row r="1386" spans="3:30">
      <c r="C1386" s="43" t="s">
        <v>2532</v>
      </c>
      <c r="D1386" s="44" t="s">
        <v>2533</v>
      </c>
      <c r="E1386" s="44"/>
      <c r="F1386" s="45">
        <v>43013.405358796292</v>
      </c>
      <c r="G1386" s="46">
        <v>11</v>
      </c>
      <c r="H1386" s="47">
        <v>43376</v>
      </c>
      <c r="I1386" s="47">
        <v>43397</v>
      </c>
      <c r="J1386" s="46">
        <v>50524</v>
      </c>
      <c r="K1386" s="46">
        <v>0</v>
      </c>
      <c r="L1386" s="46">
        <v>0</v>
      </c>
      <c r="M1386" s="46">
        <f t="shared" si="389"/>
        <v>50524</v>
      </c>
      <c r="N1386" s="46">
        <v>50524</v>
      </c>
      <c r="O1386" s="48">
        <f t="shared" si="390"/>
        <v>0</v>
      </c>
      <c r="P1386" s="46">
        <v>0</v>
      </c>
      <c r="Q1386" s="46">
        <v>50524</v>
      </c>
      <c r="R1386" s="49">
        <f t="shared" si="391"/>
        <v>1</v>
      </c>
      <c r="S1386" s="50">
        <f t="shared" si="392"/>
        <v>0.01</v>
      </c>
      <c r="T1386" s="49">
        <f t="shared" si="393"/>
        <v>505.24</v>
      </c>
      <c r="U1386" s="51">
        <f t="shared" si="394"/>
        <v>0</v>
      </c>
      <c r="V1386" s="52">
        <f>IF(0&lt;0.8,0,IF(0&lt;1,Sheet3!L561,1))*IF(G1386&lt;3,0.12 - O1386,0.01) *U1386</f>
        <v>0</v>
      </c>
      <c r="W1386" s="52">
        <f t="shared" si="395"/>
        <v>0</v>
      </c>
      <c r="X1386" s="53">
        <f t="shared" si="396"/>
        <v>0</v>
      </c>
      <c r="Y1386" s="53">
        <f t="shared" si="397"/>
        <v>0</v>
      </c>
      <c r="Z1386" s="54">
        <f t="shared" si="401"/>
        <v>0</v>
      </c>
      <c r="AA1386" s="54">
        <f t="shared" si="398"/>
        <v>0</v>
      </c>
      <c r="AB1386" s="55">
        <f t="shared" si="403"/>
        <v>0</v>
      </c>
      <c r="AC1386" s="55">
        <f t="shared" si="399"/>
        <v>0</v>
      </c>
      <c r="AD1386" s="56">
        <f t="shared" si="400"/>
        <v>505.24</v>
      </c>
    </row>
    <row r="1387" spans="3:30">
      <c r="C1387" s="43" t="s">
        <v>2534</v>
      </c>
      <c r="D1387" s="44" t="s">
        <v>2143</v>
      </c>
      <c r="E1387" s="44"/>
      <c r="F1387" s="45">
        <v>43025.166724537034</v>
      </c>
      <c r="G1387" s="46">
        <v>11</v>
      </c>
      <c r="H1387" s="47">
        <v>43404</v>
      </c>
      <c r="I1387" s="47">
        <v>43412</v>
      </c>
      <c r="J1387" s="46">
        <v>1432695</v>
      </c>
      <c r="K1387" s="46">
        <v>0</v>
      </c>
      <c r="L1387" s="46">
        <v>0</v>
      </c>
      <c r="M1387" s="46">
        <f t="shared" si="389"/>
        <v>1432695</v>
      </c>
      <c r="N1387" s="46">
        <v>1962076</v>
      </c>
      <c r="O1387" s="48">
        <f t="shared" si="390"/>
        <v>0.26980657222248272</v>
      </c>
      <c r="P1387" s="46">
        <v>0</v>
      </c>
      <c r="Q1387" s="46">
        <v>1432695</v>
      </c>
      <c r="R1387" s="49">
        <f t="shared" si="391"/>
        <v>1</v>
      </c>
      <c r="S1387" s="50">
        <f t="shared" si="392"/>
        <v>0.01</v>
      </c>
      <c r="T1387" s="49">
        <f t="shared" si="393"/>
        <v>14326.95</v>
      </c>
      <c r="U1387" s="51">
        <f t="shared" si="394"/>
        <v>0</v>
      </c>
      <c r="V1387" s="52">
        <f>IF(0&lt;0.8,0,IF(0&lt;1,Sheet3!L561,1))*IF(G1387&lt;3,0.12 - O1387,0.01) *U1387</f>
        <v>0</v>
      </c>
      <c r="W1387" s="52">
        <f t="shared" si="395"/>
        <v>0</v>
      </c>
      <c r="X1387" s="53">
        <f t="shared" si="396"/>
        <v>0</v>
      </c>
      <c r="Y1387" s="53">
        <f t="shared" si="397"/>
        <v>0</v>
      </c>
      <c r="Z1387" s="54">
        <f t="shared" si="401"/>
        <v>0</v>
      </c>
      <c r="AA1387" s="54">
        <f t="shared" si="398"/>
        <v>0</v>
      </c>
      <c r="AB1387" s="55">
        <f t="shared" si="403"/>
        <v>0</v>
      </c>
      <c r="AC1387" s="55">
        <f t="shared" si="399"/>
        <v>0</v>
      </c>
      <c r="AD1387" s="56">
        <f t="shared" si="400"/>
        <v>14326.95</v>
      </c>
    </row>
    <row r="1388" spans="3:30">
      <c r="C1388" s="43" t="s">
        <v>2535</v>
      </c>
      <c r="D1388" s="44" t="s">
        <v>2536</v>
      </c>
      <c r="E1388" s="44"/>
      <c r="F1388" s="45">
        <v>43035.10119212963</v>
      </c>
      <c r="G1388" s="46">
        <v>11</v>
      </c>
      <c r="H1388" s="47">
        <v>43404</v>
      </c>
      <c r="I1388" s="47">
        <v>43410</v>
      </c>
      <c r="J1388" s="46">
        <v>20938178</v>
      </c>
      <c r="K1388" s="46">
        <v>909439</v>
      </c>
      <c r="L1388" s="46">
        <v>0</v>
      </c>
      <c r="M1388" s="46">
        <f t="shared" si="389"/>
        <v>20028739</v>
      </c>
      <c r="N1388" s="46">
        <v>20938178</v>
      </c>
      <c r="O1388" s="48">
        <f t="shared" si="390"/>
        <v>4.3434486037896902E-2</v>
      </c>
      <c r="P1388" s="46">
        <v>0</v>
      </c>
      <c r="Q1388" s="46">
        <v>20938178</v>
      </c>
      <c r="R1388" s="49">
        <f t="shared" si="391"/>
        <v>1</v>
      </c>
      <c r="S1388" s="50">
        <f t="shared" si="392"/>
        <v>0.01</v>
      </c>
      <c r="T1388" s="49">
        <f t="shared" si="393"/>
        <v>200287.39</v>
      </c>
      <c r="U1388" s="51">
        <f t="shared" si="394"/>
        <v>0</v>
      </c>
      <c r="V1388" s="52">
        <f>IF(0&lt;0.8,0,IF(0&lt;1,Sheet3!L561,1))*IF(G1388&lt;3,0.12 - O1388,0.01) *U1388</f>
        <v>0</v>
      </c>
      <c r="W1388" s="52">
        <f t="shared" si="395"/>
        <v>0</v>
      </c>
      <c r="X1388" s="53">
        <f t="shared" si="396"/>
        <v>0</v>
      </c>
      <c r="Y1388" s="53">
        <f t="shared" si="397"/>
        <v>0</v>
      </c>
      <c r="Z1388" s="54">
        <f t="shared" si="401"/>
        <v>0</v>
      </c>
      <c r="AA1388" s="54">
        <f t="shared" si="398"/>
        <v>0</v>
      </c>
      <c r="AB1388" s="55">
        <f t="shared" si="403"/>
        <v>0</v>
      </c>
      <c r="AC1388" s="55">
        <f t="shared" si="399"/>
        <v>0</v>
      </c>
      <c r="AD1388" s="56">
        <f t="shared" si="400"/>
        <v>200287.39</v>
      </c>
    </row>
    <row r="1389" spans="3:30">
      <c r="C1389" s="43" t="s">
        <v>2537</v>
      </c>
      <c r="D1389" s="44" t="s">
        <v>2538</v>
      </c>
      <c r="E1389" s="44"/>
      <c r="F1389" s="45">
        <v>43027.138703703698</v>
      </c>
      <c r="G1389" s="46">
        <v>11</v>
      </c>
      <c r="H1389" s="47">
        <v>43375</v>
      </c>
      <c r="I1389" s="47">
        <v>43386</v>
      </c>
      <c r="J1389" s="46">
        <v>997883</v>
      </c>
      <c r="K1389" s="46">
        <v>0</v>
      </c>
      <c r="L1389" s="46">
        <v>0</v>
      </c>
      <c r="M1389" s="46">
        <f t="shared" si="389"/>
        <v>997883</v>
      </c>
      <c r="N1389" s="46">
        <v>997883</v>
      </c>
      <c r="O1389" s="48">
        <f t="shared" si="390"/>
        <v>0</v>
      </c>
      <c r="P1389" s="46">
        <v>0</v>
      </c>
      <c r="Q1389" s="46">
        <v>997883</v>
      </c>
      <c r="R1389" s="49">
        <f t="shared" si="391"/>
        <v>1</v>
      </c>
      <c r="S1389" s="50">
        <f t="shared" si="392"/>
        <v>0.01</v>
      </c>
      <c r="T1389" s="49">
        <f t="shared" si="393"/>
        <v>9978.83</v>
      </c>
      <c r="U1389" s="51">
        <f t="shared" si="394"/>
        <v>0</v>
      </c>
      <c r="V1389" s="52">
        <f>IF(0&lt;0.8,0,IF(0&lt;1,Sheet3!L561,1))*IF(G1389&lt;3,0.12 - O1389,0.01) *U1389</f>
        <v>0</v>
      </c>
      <c r="W1389" s="52">
        <f t="shared" si="395"/>
        <v>0</v>
      </c>
      <c r="X1389" s="53">
        <f t="shared" si="396"/>
        <v>0</v>
      </c>
      <c r="Y1389" s="53">
        <f t="shared" si="397"/>
        <v>0</v>
      </c>
      <c r="Z1389" s="54">
        <f t="shared" si="401"/>
        <v>0</v>
      </c>
      <c r="AA1389" s="54">
        <f t="shared" si="398"/>
        <v>0</v>
      </c>
      <c r="AB1389" s="55">
        <f t="shared" si="403"/>
        <v>0</v>
      </c>
      <c r="AC1389" s="55">
        <f t="shared" si="399"/>
        <v>0</v>
      </c>
      <c r="AD1389" s="56">
        <f t="shared" si="400"/>
        <v>9978.83</v>
      </c>
    </row>
    <row r="1390" spans="3:30">
      <c r="C1390" s="43" t="s">
        <v>2539</v>
      </c>
      <c r="D1390" s="44" t="s">
        <v>2540</v>
      </c>
      <c r="E1390" s="44"/>
      <c r="F1390" s="45">
        <v>43028.160648148143</v>
      </c>
      <c r="G1390" s="46">
        <v>11</v>
      </c>
      <c r="H1390" s="47">
        <v>43378</v>
      </c>
      <c r="I1390" s="47">
        <v>43397</v>
      </c>
      <c r="J1390" s="46">
        <v>3629982</v>
      </c>
      <c r="K1390" s="46">
        <v>0</v>
      </c>
      <c r="L1390" s="46">
        <v>0</v>
      </c>
      <c r="M1390" s="46">
        <f t="shared" si="389"/>
        <v>3629982</v>
      </c>
      <c r="N1390" s="46">
        <v>3629982</v>
      </c>
      <c r="O1390" s="48">
        <f t="shared" si="390"/>
        <v>0</v>
      </c>
      <c r="P1390" s="46">
        <v>0</v>
      </c>
      <c r="Q1390" s="46">
        <v>3629982</v>
      </c>
      <c r="R1390" s="49">
        <f t="shared" si="391"/>
        <v>1</v>
      </c>
      <c r="S1390" s="50">
        <f t="shared" si="392"/>
        <v>0.01</v>
      </c>
      <c r="T1390" s="49">
        <f t="shared" si="393"/>
        <v>36299.82</v>
      </c>
      <c r="U1390" s="51">
        <f t="shared" si="394"/>
        <v>0</v>
      </c>
      <c r="V1390" s="52">
        <f>IF(0&lt;0.8,0,IF(0&lt;1,Sheet3!L561,1))*IF(G1390&lt;3,0.12 - O1390,0.01) *U1390</f>
        <v>0</v>
      </c>
      <c r="W1390" s="52">
        <f t="shared" si="395"/>
        <v>0</v>
      </c>
      <c r="X1390" s="53">
        <f t="shared" si="396"/>
        <v>0</v>
      </c>
      <c r="Y1390" s="53">
        <f t="shared" si="397"/>
        <v>0</v>
      </c>
      <c r="Z1390" s="54">
        <f t="shared" si="401"/>
        <v>0</v>
      </c>
      <c r="AA1390" s="54">
        <f t="shared" si="398"/>
        <v>0</v>
      </c>
      <c r="AB1390" s="55">
        <f t="shared" si="403"/>
        <v>0</v>
      </c>
      <c r="AC1390" s="55">
        <f t="shared" si="399"/>
        <v>0</v>
      </c>
      <c r="AD1390" s="56">
        <f t="shared" si="400"/>
        <v>36299.82</v>
      </c>
    </row>
    <row r="1391" spans="3:30">
      <c r="C1391" s="43" t="s">
        <v>2541</v>
      </c>
      <c r="D1391" s="44" t="s">
        <v>2542</v>
      </c>
      <c r="E1391" s="44"/>
      <c r="F1391" s="45">
        <v>43055.103032407409</v>
      </c>
      <c r="G1391" s="46">
        <v>10</v>
      </c>
      <c r="H1391" s="47">
        <v>43382</v>
      </c>
      <c r="I1391" s="47">
        <v>43391</v>
      </c>
      <c r="J1391" s="46">
        <v>398673</v>
      </c>
      <c r="K1391" s="46">
        <v>0</v>
      </c>
      <c r="L1391" s="46">
        <v>0</v>
      </c>
      <c r="M1391" s="46">
        <f t="shared" si="389"/>
        <v>398673</v>
      </c>
      <c r="N1391" s="46">
        <v>398673</v>
      </c>
      <c r="O1391" s="48">
        <f t="shared" si="390"/>
        <v>0</v>
      </c>
      <c r="P1391" s="46">
        <v>0</v>
      </c>
      <c r="Q1391" s="46">
        <v>398673</v>
      </c>
      <c r="R1391" s="49">
        <f t="shared" si="391"/>
        <v>1</v>
      </c>
      <c r="S1391" s="50">
        <f t="shared" si="392"/>
        <v>0.01</v>
      </c>
      <c r="T1391" s="49">
        <f t="shared" si="393"/>
        <v>3986.73</v>
      </c>
      <c r="U1391" s="51">
        <f t="shared" si="394"/>
        <v>0</v>
      </c>
      <c r="V1391" s="52">
        <f>IF(0&lt;0.8,0,IF(0&lt;1,Sheet3!L561,1))*IF(G1391&lt;3,0.12 - O1391,0.01) *U1391</f>
        <v>0</v>
      </c>
      <c r="W1391" s="52">
        <f t="shared" si="395"/>
        <v>0</v>
      </c>
      <c r="X1391" s="53">
        <f t="shared" si="396"/>
        <v>0</v>
      </c>
      <c r="Y1391" s="53">
        <f t="shared" si="397"/>
        <v>0</v>
      </c>
      <c r="Z1391" s="54">
        <f t="shared" si="401"/>
        <v>0</v>
      </c>
      <c r="AA1391" s="54">
        <f t="shared" si="398"/>
        <v>0</v>
      </c>
      <c r="AB1391" s="55">
        <f t="shared" si="403"/>
        <v>0</v>
      </c>
      <c r="AC1391" s="55">
        <f t="shared" si="399"/>
        <v>0</v>
      </c>
      <c r="AD1391" s="56">
        <f t="shared" si="400"/>
        <v>3986.73</v>
      </c>
    </row>
    <row r="1392" spans="3:30">
      <c r="C1392" s="43" t="s">
        <v>2543</v>
      </c>
      <c r="D1392" s="44" t="s">
        <v>2544</v>
      </c>
      <c r="E1392" s="44"/>
      <c r="F1392" s="45">
        <v>43059.277939814812</v>
      </c>
      <c r="G1392" s="46">
        <v>10</v>
      </c>
      <c r="H1392" s="47">
        <v>43382</v>
      </c>
      <c r="I1392" s="47">
        <v>43400</v>
      </c>
      <c r="J1392" s="46">
        <v>392007</v>
      </c>
      <c r="K1392" s="46">
        <v>0</v>
      </c>
      <c r="L1392" s="46">
        <v>0</v>
      </c>
      <c r="M1392" s="46">
        <f t="shared" si="389"/>
        <v>392007</v>
      </c>
      <c r="N1392" s="46">
        <v>392007</v>
      </c>
      <c r="O1392" s="48">
        <f t="shared" si="390"/>
        <v>0</v>
      </c>
      <c r="P1392" s="46">
        <v>0</v>
      </c>
      <c r="Q1392" s="46">
        <v>392007</v>
      </c>
      <c r="R1392" s="49">
        <f t="shared" si="391"/>
        <v>1</v>
      </c>
      <c r="S1392" s="50">
        <f t="shared" si="392"/>
        <v>0.01</v>
      </c>
      <c r="T1392" s="49">
        <f t="shared" si="393"/>
        <v>3920.07</v>
      </c>
      <c r="U1392" s="51">
        <f t="shared" si="394"/>
        <v>0</v>
      </c>
      <c r="V1392" s="52">
        <f>IF(0&lt;0.8,0,IF(0&lt;1,Sheet3!L561,1))*IF(G1392&lt;3,0.12 - O1392,0.01) *U1392</f>
        <v>0</v>
      </c>
      <c r="W1392" s="52">
        <f t="shared" si="395"/>
        <v>0</v>
      </c>
      <c r="X1392" s="53">
        <f t="shared" si="396"/>
        <v>0</v>
      </c>
      <c r="Y1392" s="53">
        <f t="shared" si="397"/>
        <v>0</v>
      </c>
      <c r="Z1392" s="54">
        <f t="shared" si="401"/>
        <v>0</v>
      </c>
      <c r="AA1392" s="54">
        <f t="shared" si="398"/>
        <v>0</v>
      </c>
      <c r="AB1392" s="55">
        <f t="shared" si="403"/>
        <v>0</v>
      </c>
      <c r="AC1392" s="55">
        <f t="shared" si="399"/>
        <v>0</v>
      </c>
      <c r="AD1392" s="56">
        <f t="shared" si="400"/>
        <v>3920.07</v>
      </c>
    </row>
    <row r="1393" spans="3:30">
      <c r="C1393" s="43" t="s">
        <v>2545</v>
      </c>
      <c r="D1393" s="44" t="s">
        <v>2546</v>
      </c>
      <c r="E1393" s="44"/>
      <c r="F1393" s="45">
        <v>43069.155729166661</v>
      </c>
      <c r="G1393" s="46">
        <v>10</v>
      </c>
      <c r="H1393" s="47">
        <v>43379</v>
      </c>
      <c r="I1393" s="47">
        <v>43397</v>
      </c>
      <c r="J1393" s="46">
        <v>601640</v>
      </c>
      <c r="K1393" s="46">
        <v>0</v>
      </c>
      <c r="L1393" s="46">
        <v>0</v>
      </c>
      <c r="M1393" s="46">
        <f t="shared" si="389"/>
        <v>601640</v>
      </c>
      <c r="N1393" s="46">
        <v>676148</v>
      </c>
      <c r="O1393" s="48">
        <f t="shared" si="390"/>
        <v>0.1101948094204227</v>
      </c>
      <c r="P1393" s="46">
        <v>0</v>
      </c>
      <c r="Q1393" s="46">
        <v>601640</v>
      </c>
      <c r="R1393" s="49">
        <f t="shared" si="391"/>
        <v>1</v>
      </c>
      <c r="S1393" s="50">
        <f t="shared" si="392"/>
        <v>0.01</v>
      </c>
      <c r="T1393" s="49">
        <f t="shared" si="393"/>
        <v>6016.4000000000005</v>
      </c>
      <c r="U1393" s="51">
        <f t="shared" si="394"/>
        <v>0</v>
      </c>
      <c r="V1393" s="52">
        <f>IF(0&lt;0.8,0,IF(0&lt;1,Sheet3!L561,1))*IF(G1393&lt;3,0.12 - O1393,0.01) *U1393</f>
        <v>0</v>
      </c>
      <c r="W1393" s="52">
        <f t="shared" si="395"/>
        <v>0</v>
      </c>
      <c r="X1393" s="53">
        <f t="shared" si="396"/>
        <v>0</v>
      </c>
      <c r="Y1393" s="53">
        <f t="shared" si="397"/>
        <v>0</v>
      </c>
      <c r="Z1393" s="54">
        <f t="shared" si="401"/>
        <v>0</v>
      </c>
      <c r="AA1393" s="54">
        <f t="shared" si="398"/>
        <v>0</v>
      </c>
      <c r="AB1393" s="55">
        <f t="shared" si="403"/>
        <v>0</v>
      </c>
      <c r="AC1393" s="55">
        <f t="shared" si="399"/>
        <v>0</v>
      </c>
      <c r="AD1393" s="56">
        <f t="shared" si="400"/>
        <v>6016.4000000000005</v>
      </c>
    </row>
    <row r="1394" spans="3:30">
      <c r="C1394" s="43" t="s">
        <v>2547</v>
      </c>
      <c r="D1394" s="44" t="s">
        <v>2548</v>
      </c>
      <c r="E1394" s="44"/>
      <c r="F1394" s="45">
        <v>43069.158692129626</v>
      </c>
      <c r="G1394" s="46">
        <v>10</v>
      </c>
      <c r="H1394" s="47">
        <v>43377</v>
      </c>
      <c r="I1394" s="47">
        <v>43391</v>
      </c>
      <c r="J1394" s="46">
        <v>158656</v>
      </c>
      <c r="K1394" s="46">
        <v>0</v>
      </c>
      <c r="L1394" s="46">
        <v>0</v>
      </c>
      <c r="M1394" s="46">
        <f t="shared" si="389"/>
        <v>158656</v>
      </c>
      <c r="N1394" s="46">
        <v>158656</v>
      </c>
      <c r="O1394" s="48">
        <f t="shared" si="390"/>
        <v>0</v>
      </c>
      <c r="P1394" s="46">
        <v>0</v>
      </c>
      <c r="Q1394" s="46">
        <v>158656</v>
      </c>
      <c r="R1394" s="49">
        <f t="shared" si="391"/>
        <v>1</v>
      </c>
      <c r="S1394" s="50">
        <f t="shared" si="392"/>
        <v>0.01</v>
      </c>
      <c r="T1394" s="49">
        <f t="shared" si="393"/>
        <v>1586.56</v>
      </c>
      <c r="U1394" s="51">
        <f t="shared" si="394"/>
        <v>0</v>
      </c>
      <c r="V1394" s="52">
        <f>IF(0&lt;0.8,0,IF(0&lt;1,Sheet3!L561,1))*IF(G1394&lt;3,0.12 - O1394,0.01) *U1394</f>
        <v>0</v>
      </c>
      <c r="W1394" s="52">
        <f t="shared" si="395"/>
        <v>0</v>
      </c>
      <c r="X1394" s="53">
        <f t="shared" si="396"/>
        <v>0</v>
      </c>
      <c r="Y1394" s="53">
        <f t="shared" si="397"/>
        <v>0</v>
      </c>
      <c r="Z1394" s="54">
        <f t="shared" si="401"/>
        <v>0</v>
      </c>
      <c r="AA1394" s="54">
        <f t="shared" si="398"/>
        <v>0</v>
      </c>
      <c r="AB1394" s="55">
        <f t="shared" si="403"/>
        <v>0</v>
      </c>
      <c r="AC1394" s="55">
        <f t="shared" si="399"/>
        <v>0</v>
      </c>
      <c r="AD1394" s="56">
        <f t="shared" si="400"/>
        <v>1586.56</v>
      </c>
    </row>
    <row r="1395" spans="3:30">
      <c r="C1395" s="43" t="s">
        <v>2549</v>
      </c>
      <c r="D1395" s="44" t="s">
        <v>2550</v>
      </c>
      <c r="E1395" s="44"/>
      <c r="F1395" s="45">
        <v>43069.161747685182</v>
      </c>
      <c r="G1395" s="46">
        <v>10</v>
      </c>
      <c r="H1395" s="47">
        <v>43379</v>
      </c>
      <c r="I1395" s="47">
        <v>43388</v>
      </c>
      <c r="J1395" s="46">
        <v>74370</v>
      </c>
      <c r="K1395" s="46">
        <v>0</v>
      </c>
      <c r="L1395" s="46">
        <v>0</v>
      </c>
      <c r="M1395" s="46">
        <f t="shared" ref="M1395:M1458" si="404">IFERROR(J1395-K1395-L1395,0)</f>
        <v>74370</v>
      </c>
      <c r="N1395" s="46">
        <v>74370</v>
      </c>
      <c r="O1395" s="48">
        <f t="shared" ref="O1395:O1458" si="405">IFERROR(IF(1 - M1395/N1395&lt;0,0,1-M1395/N1395),0)</f>
        <v>0</v>
      </c>
      <c r="P1395" s="46">
        <v>0</v>
      </c>
      <c r="Q1395" s="46">
        <v>74370</v>
      </c>
      <c r="R1395" s="49">
        <f t="shared" ref="R1395:R1458" si="406">IF(F1395&lt;DATEVALUE("2018-07-01"),1,0)</f>
        <v>1</v>
      </c>
      <c r="S1395" s="50">
        <f t="shared" ref="S1395:S1458" si="407">IF(R1395=1,1%,0)</f>
        <v>0.01</v>
      </c>
      <c r="T1395" s="49">
        <f t="shared" ref="T1395:T1458" si="408">IFERROR(S1395*M1395,0)</f>
        <v>743.7</v>
      </c>
      <c r="U1395" s="51">
        <f t="shared" ref="U1395:U1458" si="409">IF(O1395&lt;=0.12,1,0)*(1-R1395)*M1395</f>
        <v>0</v>
      </c>
      <c r="V1395" s="52">
        <f>IF(0&lt;0.8,0,IF(0&lt;1,Sheet3!L561,1))*IF(G1395&lt;3,0.12 - O1395,0.01) *U1395</f>
        <v>0</v>
      </c>
      <c r="W1395" s="52">
        <f t="shared" ref="W1395:W1458" si="410">IF(0&gt;1,IF(0&lt;=1.1,1,IF(0&lt;=1.2,2,IF(0&lt;=1.5,3,5))),0) * 1000000</f>
        <v>0</v>
      </c>
      <c r="X1395" s="53">
        <f t="shared" ref="X1395:X1458" si="411">IF(AND(P1395&gt;=150000000,P1395&lt;300000000),5000000,IF(AND(P1395&gt;=300000000,P1395&lt;500000000),10000000,IF(AND(P1395&gt;=300000000,P1395&lt;500000000),15000000,IF(AND(P1395&gt;=500000000,P1395&lt;3000000000),20000000,IF(P1395&gt;=30000000000,35000000,0))))) * (1-R1395)</f>
        <v>0</v>
      </c>
      <c r="Y1395" s="53">
        <f t="shared" ref="Y1395:Y1458" si="412">IFERROR(Q1395 * (1-R1395),0)</f>
        <v>0</v>
      </c>
      <c r="Z1395" s="54">
        <f t="shared" si="401"/>
        <v>0</v>
      </c>
      <c r="AA1395" s="54">
        <f t="shared" ref="AA1395:AA1458" si="413">IFERROR((1-R1395) * Z1395 * 2%,0)</f>
        <v>0</v>
      </c>
      <c r="AB1395" s="55">
        <f t="shared" si="403"/>
        <v>0</v>
      </c>
      <c r="AC1395" s="55">
        <f t="shared" ref="AC1395:AC1458" si="414">IFERROR(AB1395 * (1-R1395) * 2%,0)</f>
        <v>0</v>
      </c>
      <c r="AD1395" s="56">
        <f t="shared" ref="AD1395:AD1458" si="415">T1395+V1395+W1395+X1395+AA1395+AC1395</f>
        <v>743.7</v>
      </c>
    </row>
    <row r="1396" spans="3:30">
      <c r="C1396" s="43" t="s">
        <v>2551</v>
      </c>
      <c r="D1396" s="44" t="s">
        <v>2552</v>
      </c>
      <c r="E1396" s="44"/>
      <c r="F1396" s="45">
        <v>43070.115393518514</v>
      </c>
      <c r="G1396" s="46">
        <v>9</v>
      </c>
      <c r="H1396" s="47">
        <v>43379</v>
      </c>
      <c r="I1396" s="47">
        <v>43434</v>
      </c>
      <c r="J1396" s="46">
        <v>5936772</v>
      </c>
      <c r="K1396" s="46">
        <v>0</v>
      </c>
      <c r="L1396" s="46">
        <v>0</v>
      </c>
      <c r="M1396" s="46">
        <f t="shared" si="404"/>
        <v>5936772</v>
      </c>
      <c r="N1396" s="46">
        <v>6419331</v>
      </c>
      <c r="O1396" s="48">
        <f t="shared" si="405"/>
        <v>7.5172786696931504E-2</v>
      </c>
      <c r="P1396" s="46">
        <v>0</v>
      </c>
      <c r="Q1396" s="46">
        <v>5936772</v>
      </c>
      <c r="R1396" s="49">
        <f t="shared" si="406"/>
        <v>1</v>
      </c>
      <c r="S1396" s="50">
        <f t="shared" si="407"/>
        <v>0.01</v>
      </c>
      <c r="T1396" s="49">
        <f t="shared" si="408"/>
        <v>59367.72</v>
      </c>
      <c r="U1396" s="51">
        <f t="shared" si="409"/>
        <v>0</v>
      </c>
      <c r="V1396" s="52">
        <f>IF(0&lt;0.8,0,IF(0&lt;1,Sheet3!L561,1))*IF(G1396&lt;3,0.12 - O1396,0.01) *U1396</f>
        <v>0</v>
      </c>
      <c r="W1396" s="52">
        <f t="shared" si="410"/>
        <v>0</v>
      </c>
      <c r="X1396" s="53">
        <f t="shared" si="411"/>
        <v>0</v>
      </c>
      <c r="Y1396" s="53">
        <f t="shared" si="412"/>
        <v>0</v>
      </c>
      <c r="Z1396" s="54">
        <f t="shared" si="401"/>
        <v>0</v>
      </c>
      <c r="AA1396" s="54">
        <f t="shared" si="413"/>
        <v>0</v>
      </c>
      <c r="AB1396" s="55">
        <f t="shared" si="403"/>
        <v>0</v>
      </c>
      <c r="AC1396" s="55">
        <f t="shared" si="414"/>
        <v>0</v>
      </c>
      <c r="AD1396" s="56">
        <f t="shared" si="415"/>
        <v>59367.72</v>
      </c>
    </row>
    <row r="1397" spans="3:30">
      <c r="C1397" s="43" t="s">
        <v>2553</v>
      </c>
      <c r="D1397" s="44" t="s">
        <v>2554</v>
      </c>
      <c r="E1397" s="44"/>
      <c r="F1397" s="45">
        <v>43070.175520833334</v>
      </c>
      <c r="G1397" s="46">
        <v>9</v>
      </c>
      <c r="H1397" s="47">
        <v>43388</v>
      </c>
      <c r="I1397" s="47">
        <v>43361</v>
      </c>
      <c r="J1397" s="46">
        <v>5931090</v>
      </c>
      <c r="K1397" s="46">
        <v>0</v>
      </c>
      <c r="L1397" s="46">
        <v>0</v>
      </c>
      <c r="M1397" s="46">
        <f t="shared" si="404"/>
        <v>5931090</v>
      </c>
      <c r="N1397" s="46">
        <v>6874505</v>
      </c>
      <c r="O1397" s="48">
        <f t="shared" si="405"/>
        <v>0.13723388083942045</v>
      </c>
      <c r="P1397" s="46">
        <v>0</v>
      </c>
      <c r="Q1397" s="46">
        <v>5931090</v>
      </c>
      <c r="R1397" s="49">
        <f t="shared" si="406"/>
        <v>1</v>
      </c>
      <c r="S1397" s="50">
        <f t="shared" si="407"/>
        <v>0.01</v>
      </c>
      <c r="T1397" s="49">
        <f t="shared" si="408"/>
        <v>59310.9</v>
      </c>
      <c r="U1397" s="51">
        <f t="shared" si="409"/>
        <v>0</v>
      </c>
      <c r="V1397" s="52">
        <f>IF(0&lt;0.8,0,IF(0&lt;1,Sheet3!L561,1))*IF(G1397&lt;3,0.12 - O1397,0.01) *U1397</f>
        <v>0</v>
      </c>
      <c r="W1397" s="52">
        <f t="shared" si="410"/>
        <v>0</v>
      </c>
      <c r="X1397" s="53">
        <f t="shared" si="411"/>
        <v>0</v>
      </c>
      <c r="Y1397" s="53">
        <f t="shared" si="412"/>
        <v>0</v>
      </c>
      <c r="Z1397" s="54">
        <f t="shared" si="401"/>
        <v>0</v>
      </c>
      <c r="AA1397" s="54">
        <f t="shared" si="413"/>
        <v>0</v>
      </c>
      <c r="AB1397" s="55">
        <f t="shared" si="403"/>
        <v>0</v>
      </c>
      <c r="AC1397" s="55">
        <f t="shared" si="414"/>
        <v>0</v>
      </c>
      <c r="AD1397" s="56">
        <f t="shared" si="415"/>
        <v>59310.9</v>
      </c>
    </row>
    <row r="1398" spans="3:30">
      <c r="C1398" s="43" t="s">
        <v>2555</v>
      </c>
      <c r="D1398" s="44" t="s">
        <v>2556</v>
      </c>
      <c r="E1398" s="44"/>
      <c r="F1398" s="45">
        <v>43078.090486111112</v>
      </c>
      <c r="G1398" s="46">
        <v>9</v>
      </c>
      <c r="H1398" s="47">
        <v>43377</v>
      </c>
      <c r="I1398" s="47">
        <v>43385</v>
      </c>
      <c r="J1398" s="46">
        <v>310723</v>
      </c>
      <c r="K1398" s="46">
        <v>0</v>
      </c>
      <c r="L1398" s="46">
        <v>0</v>
      </c>
      <c r="M1398" s="46">
        <f t="shared" si="404"/>
        <v>310723</v>
      </c>
      <c r="N1398" s="46">
        <v>310723</v>
      </c>
      <c r="O1398" s="48">
        <f t="shared" si="405"/>
        <v>0</v>
      </c>
      <c r="P1398" s="46">
        <v>0</v>
      </c>
      <c r="Q1398" s="46">
        <v>310723</v>
      </c>
      <c r="R1398" s="49">
        <f t="shared" si="406"/>
        <v>1</v>
      </c>
      <c r="S1398" s="50">
        <f t="shared" si="407"/>
        <v>0.01</v>
      </c>
      <c r="T1398" s="49">
        <f t="shared" si="408"/>
        <v>3107.23</v>
      </c>
      <c r="U1398" s="51">
        <f t="shared" si="409"/>
        <v>0</v>
      </c>
      <c r="V1398" s="52">
        <f>IF(0&lt;0.8,0,IF(0&lt;1,Sheet3!L561,1))*IF(G1398&lt;3,0.12 - O1398,0.01) *U1398</f>
        <v>0</v>
      </c>
      <c r="W1398" s="52">
        <f t="shared" si="410"/>
        <v>0</v>
      </c>
      <c r="X1398" s="53">
        <f t="shared" si="411"/>
        <v>0</v>
      </c>
      <c r="Y1398" s="53">
        <f t="shared" si="412"/>
        <v>0</v>
      </c>
      <c r="Z1398" s="54">
        <f t="shared" si="401"/>
        <v>0</v>
      </c>
      <c r="AA1398" s="54">
        <f t="shared" si="413"/>
        <v>0</v>
      </c>
      <c r="AB1398" s="55">
        <f t="shared" si="403"/>
        <v>0</v>
      </c>
      <c r="AC1398" s="55">
        <f t="shared" si="414"/>
        <v>0</v>
      </c>
      <c r="AD1398" s="56">
        <f t="shared" si="415"/>
        <v>3107.23</v>
      </c>
    </row>
    <row r="1399" spans="3:30">
      <c r="C1399" s="43" t="s">
        <v>2557</v>
      </c>
      <c r="D1399" s="44" t="s">
        <v>2558</v>
      </c>
      <c r="E1399" s="44"/>
      <c r="F1399" s="45">
        <v>43081.325243055551</v>
      </c>
      <c r="G1399" s="46">
        <v>9</v>
      </c>
      <c r="H1399" s="47">
        <v>43382</v>
      </c>
      <c r="I1399" s="47">
        <v>43447</v>
      </c>
      <c r="J1399" s="46">
        <v>330112</v>
      </c>
      <c r="K1399" s="46">
        <v>0</v>
      </c>
      <c r="L1399" s="46">
        <v>0</v>
      </c>
      <c r="M1399" s="46">
        <f t="shared" si="404"/>
        <v>330112</v>
      </c>
      <c r="N1399" s="46">
        <v>330112</v>
      </c>
      <c r="O1399" s="48">
        <f t="shared" si="405"/>
        <v>0</v>
      </c>
      <c r="P1399" s="46">
        <v>0</v>
      </c>
      <c r="Q1399" s="46">
        <v>330112</v>
      </c>
      <c r="R1399" s="49">
        <f t="shared" si="406"/>
        <v>1</v>
      </c>
      <c r="S1399" s="50">
        <f t="shared" si="407"/>
        <v>0.01</v>
      </c>
      <c r="T1399" s="49">
        <f t="shared" si="408"/>
        <v>3301.12</v>
      </c>
      <c r="U1399" s="51">
        <f t="shared" si="409"/>
        <v>0</v>
      </c>
      <c r="V1399" s="52">
        <f>IF(0&lt;0.8,0,IF(0&lt;1,Sheet3!L561,1))*IF(G1399&lt;3,0.12 - O1399,0.01) *U1399</f>
        <v>0</v>
      </c>
      <c r="W1399" s="52">
        <f t="shared" si="410"/>
        <v>0</v>
      </c>
      <c r="X1399" s="53">
        <f t="shared" si="411"/>
        <v>0</v>
      </c>
      <c r="Y1399" s="53">
        <f t="shared" si="412"/>
        <v>0</v>
      </c>
      <c r="Z1399" s="54">
        <f t="shared" si="401"/>
        <v>0</v>
      </c>
      <c r="AA1399" s="54">
        <f t="shared" si="413"/>
        <v>0</v>
      </c>
      <c r="AB1399" s="55">
        <f t="shared" si="403"/>
        <v>0</v>
      </c>
      <c r="AC1399" s="55">
        <f t="shared" si="414"/>
        <v>0</v>
      </c>
      <c r="AD1399" s="56">
        <f t="shared" si="415"/>
        <v>3301.12</v>
      </c>
    </row>
    <row r="1400" spans="3:30">
      <c r="C1400" s="43" t="s">
        <v>2559</v>
      </c>
      <c r="D1400" s="44" t="s">
        <v>2560</v>
      </c>
      <c r="E1400" s="44"/>
      <c r="F1400" s="45">
        <v>43084.303587962961</v>
      </c>
      <c r="G1400" s="46">
        <v>9</v>
      </c>
      <c r="H1400" s="47">
        <v>43379</v>
      </c>
      <c r="I1400" s="47">
        <v>43393</v>
      </c>
      <c r="J1400" s="46">
        <v>988182</v>
      </c>
      <c r="K1400" s="46">
        <v>0</v>
      </c>
      <c r="L1400" s="46">
        <v>0</v>
      </c>
      <c r="M1400" s="46">
        <f t="shared" si="404"/>
        <v>988182</v>
      </c>
      <c r="N1400" s="46">
        <v>988182</v>
      </c>
      <c r="O1400" s="48">
        <f t="shared" si="405"/>
        <v>0</v>
      </c>
      <c r="P1400" s="46">
        <v>0</v>
      </c>
      <c r="Q1400" s="46">
        <v>988182</v>
      </c>
      <c r="R1400" s="49">
        <f t="shared" si="406"/>
        <v>1</v>
      </c>
      <c r="S1400" s="50">
        <f t="shared" si="407"/>
        <v>0.01</v>
      </c>
      <c r="T1400" s="49">
        <f t="shared" si="408"/>
        <v>9881.82</v>
      </c>
      <c r="U1400" s="51">
        <f t="shared" si="409"/>
        <v>0</v>
      </c>
      <c r="V1400" s="52">
        <f>IF(0&lt;0.8,0,IF(0&lt;1,Sheet3!L561,1))*IF(G1400&lt;3,0.12 - O1400,0.01) *U1400</f>
        <v>0</v>
      </c>
      <c r="W1400" s="52">
        <f t="shared" si="410"/>
        <v>0</v>
      </c>
      <c r="X1400" s="53">
        <f t="shared" si="411"/>
        <v>0</v>
      </c>
      <c r="Y1400" s="53">
        <f t="shared" si="412"/>
        <v>0</v>
      </c>
      <c r="Z1400" s="54">
        <f t="shared" si="401"/>
        <v>0</v>
      </c>
      <c r="AA1400" s="54">
        <f t="shared" si="413"/>
        <v>0</v>
      </c>
      <c r="AB1400" s="55">
        <f t="shared" si="403"/>
        <v>0</v>
      </c>
      <c r="AC1400" s="55">
        <f t="shared" si="414"/>
        <v>0</v>
      </c>
      <c r="AD1400" s="56">
        <f t="shared" si="415"/>
        <v>9881.82</v>
      </c>
    </row>
    <row r="1401" spans="3:30">
      <c r="C1401" s="43" t="s">
        <v>2561</v>
      </c>
      <c r="D1401" s="44" t="s">
        <v>2562</v>
      </c>
      <c r="E1401" s="44"/>
      <c r="F1401" s="45">
        <v>43088.29</v>
      </c>
      <c r="G1401" s="46">
        <v>9</v>
      </c>
      <c r="H1401" s="47">
        <v>43372</v>
      </c>
      <c r="I1401" s="47">
        <v>43397</v>
      </c>
      <c r="J1401" s="46">
        <v>3501632</v>
      </c>
      <c r="K1401" s="46">
        <v>0</v>
      </c>
      <c r="L1401" s="46">
        <v>0</v>
      </c>
      <c r="M1401" s="46">
        <f t="shared" si="404"/>
        <v>3501632</v>
      </c>
      <c r="N1401" s="46">
        <v>3501632</v>
      </c>
      <c r="O1401" s="48">
        <f t="shared" si="405"/>
        <v>0</v>
      </c>
      <c r="P1401" s="46">
        <v>0</v>
      </c>
      <c r="Q1401" s="46">
        <v>3501632</v>
      </c>
      <c r="R1401" s="49">
        <f t="shared" si="406"/>
        <v>1</v>
      </c>
      <c r="S1401" s="50">
        <f t="shared" si="407"/>
        <v>0.01</v>
      </c>
      <c r="T1401" s="49">
        <f t="shared" si="408"/>
        <v>35016.32</v>
      </c>
      <c r="U1401" s="51">
        <f t="shared" si="409"/>
        <v>0</v>
      </c>
      <c r="V1401" s="52">
        <f>IF(0&lt;0.8,0,IF(0&lt;1,Sheet3!L561,1))*IF(G1401&lt;3,0.12 - O1401,0.01) *U1401</f>
        <v>0</v>
      </c>
      <c r="W1401" s="52">
        <f t="shared" si="410"/>
        <v>0</v>
      </c>
      <c r="X1401" s="53">
        <f t="shared" si="411"/>
        <v>0</v>
      </c>
      <c r="Y1401" s="53">
        <f t="shared" si="412"/>
        <v>0</v>
      </c>
      <c r="Z1401" s="54">
        <f t="shared" si="401"/>
        <v>0</v>
      </c>
      <c r="AA1401" s="54">
        <f t="shared" si="413"/>
        <v>0</v>
      </c>
      <c r="AB1401" s="55">
        <f t="shared" si="403"/>
        <v>0</v>
      </c>
      <c r="AC1401" s="55">
        <f t="shared" si="414"/>
        <v>0</v>
      </c>
      <c r="AD1401" s="56">
        <f t="shared" si="415"/>
        <v>35016.32</v>
      </c>
    </row>
    <row r="1402" spans="3:30">
      <c r="C1402" s="43" t="s">
        <v>2563</v>
      </c>
      <c r="D1402" s="44" t="s">
        <v>2564</v>
      </c>
      <c r="E1402" s="44"/>
      <c r="F1402" s="45">
        <v>43089.382685185185</v>
      </c>
      <c r="G1402" s="46">
        <v>9</v>
      </c>
      <c r="H1402" s="47">
        <v>43377</v>
      </c>
      <c r="I1402" s="47">
        <v>43396</v>
      </c>
      <c r="J1402" s="46">
        <v>1636282</v>
      </c>
      <c r="K1402" s="46">
        <v>0</v>
      </c>
      <c r="L1402" s="46">
        <v>0</v>
      </c>
      <c r="M1402" s="46">
        <f t="shared" si="404"/>
        <v>1636282</v>
      </c>
      <c r="N1402" s="46">
        <v>1636282</v>
      </c>
      <c r="O1402" s="48">
        <f t="shared" si="405"/>
        <v>0</v>
      </c>
      <c r="P1402" s="46">
        <v>0</v>
      </c>
      <c r="Q1402" s="46">
        <v>1636282</v>
      </c>
      <c r="R1402" s="49">
        <f t="shared" si="406"/>
        <v>1</v>
      </c>
      <c r="S1402" s="50">
        <f t="shared" si="407"/>
        <v>0.01</v>
      </c>
      <c r="T1402" s="49">
        <f t="shared" si="408"/>
        <v>16362.82</v>
      </c>
      <c r="U1402" s="51">
        <f t="shared" si="409"/>
        <v>0</v>
      </c>
      <c r="V1402" s="52">
        <f>IF(0&lt;0.8,0,IF(0&lt;1,Sheet3!L561,1))*IF(G1402&lt;3,0.12 - O1402,0.01) *U1402</f>
        <v>0</v>
      </c>
      <c r="W1402" s="52">
        <f t="shared" si="410"/>
        <v>0</v>
      </c>
      <c r="X1402" s="53">
        <f t="shared" si="411"/>
        <v>0</v>
      </c>
      <c r="Y1402" s="53">
        <f t="shared" si="412"/>
        <v>0</v>
      </c>
      <c r="Z1402" s="54">
        <f t="shared" si="401"/>
        <v>0</v>
      </c>
      <c r="AA1402" s="54">
        <f t="shared" si="413"/>
        <v>0</v>
      </c>
      <c r="AB1402" s="55">
        <f t="shared" si="403"/>
        <v>0</v>
      </c>
      <c r="AC1402" s="55">
        <f t="shared" si="414"/>
        <v>0</v>
      </c>
      <c r="AD1402" s="56">
        <f t="shared" si="415"/>
        <v>16362.82</v>
      </c>
    </row>
    <row r="1403" spans="3:30">
      <c r="C1403" s="43" t="s">
        <v>2565</v>
      </c>
      <c r="D1403" s="44" t="s">
        <v>2566</v>
      </c>
      <c r="E1403" s="44"/>
      <c r="F1403" s="45">
        <v>43091.109351851854</v>
      </c>
      <c r="G1403" s="46">
        <v>9</v>
      </c>
      <c r="H1403" s="47">
        <v>43417</v>
      </c>
      <c r="I1403" s="47">
        <v>43458</v>
      </c>
      <c r="J1403" s="46">
        <v>14159815</v>
      </c>
      <c r="K1403" s="46">
        <v>1251999</v>
      </c>
      <c r="L1403" s="46">
        <v>0</v>
      </c>
      <c r="M1403" s="46">
        <f t="shared" si="404"/>
        <v>12907816</v>
      </c>
      <c r="N1403" s="46">
        <v>15854795</v>
      </c>
      <c r="O1403" s="48">
        <f t="shared" si="405"/>
        <v>0.18587304345467726</v>
      </c>
      <c r="P1403" s="46">
        <v>0</v>
      </c>
      <c r="Q1403" s="46">
        <v>14159815</v>
      </c>
      <c r="R1403" s="49">
        <f t="shared" si="406"/>
        <v>1</v>
      </c>
      <c r="S1403" s="50">
        <f t="shared" si="407"/>
        <v>0.01</v>
      </c>
      <c r="T1403" s="49">
        <f t="shared" si="408"/>
        <v>129078.16</v>
      </c>
      <c r="U1403" s="51">
        <f t="shared" si="409"/>
        <v>0</v>
      </c>
      <c r="V1403" s="52">
        <f>IF(0&lt;0.8,0,IF(0&lt;1,Sheet3!L561,1))*IF(G1403&lt;3,0.12 - O1403,0.01) *U1403</f>
        <v>0</v>
      </c>
      <c r="W1403" s="52">
        <f t="shared" si="410"/>
        <v>0</v>
      </c>
      <c r="X1403" s="53">
        <f t="shared" si="411"/>
        <v>0</v>
      </c>
      <c r="Y1403" s="53">
        <f t="shared" si="412"/>
        <v>0</v>
      </c>
      <c r="Z1403" s="54">
        <f t="shared" si="401"/>
        <v>0</v>
      </c>
      <c r="AA1403" s="54">
        <f t="shared" si="413"/>
        <v>0</v>
      </c>
      <c r="AB1403" s="55">
        <f t="shared" si="403"/>
        <v>0</v>
      </c>
      <c r="AC1403" s="55">
        <f t="shared" si="414"/>
        <v>0</v>
      </c>
      <c r="AD1403" s="56">
        <f t="shared" si="415"/>
        <v>129078.16</v>
      </c>
    </row>
    <row r="1404" spans="3:30">
      <c r="C1404" s="43" t="s">
        <v>2567</v>
      </c>
      <c r="D1404" s="44" t="s">
        <v>2143</v>
      </c>
      <c r="E1404" s="44"/>
      <c r="F1404" s="45">
        <v>43091.158900462964</v>
      </c>
      <c r="G1404" s="46">
        <v>9</v>
      </c>
      <c r="H1404" s="47">
        <v>43404</v>
      </c>
      <c r="I1404" s="47">
        <v>43412</v>
      </c>
      <c r="J1404" s="46">
        <v>13585</v>
      </c>
      <c r="K1404" s="46">
        <v>0</v>
      </c>
      <c r="L1404" s="46">
        <v>0</v>
      </c>
      <c r="M1404" s="46">
        <f t="shared" si="404"/>
        <v>13585</v>
      </c>
      <c r="N1404" s="46">
        <v>19699</v>
      </c>
      <c r="O1404" s="48">
        <f t="shared" si="405"/>
        <v>0.310371084826641</v>
      </c>
      <c r="P1404" s="46">
        <v>0</v>
      </c>
      <c r="Q1404" s="46">
        <v>13585</v>
      </c>
      <c r="R1404" s="49">
        <f t="shared" si="406"/>
        <v>1</v>
      </c>
      <c r="S1404" s="50">
        <f t="shared" si="407"/>
        <v>0.01</v>
      </c>
      <c r="T1404" s="49">
        <f t="shared" si="408"/>
        <v>135.85</v>
      </c>
      <c r="U1404" s="51">
        <f t="shared" si="409"/>
        <v>0</v>
      </c>
      <c r="V1404" s="52">
        <f>IF(0&lt;0.8,0,IF(0&lt;1,Sheet3!L561,1))*IF(G1404&lt;3,0.12 - O1404,0.01) *U1404</f>
        <v>0</v>
      </c>
      <c r="W1404" s="52">
        <f t="shared" si="410"/>
        <v>0</v>
      </c>
      <c r="X1404" s="53">
        <f t="shared" si="411"/>
        <v>0</v>
      </c>
      <c r="Y1404" s="53">
        <f t="shared" si="412"/>
        <v>0</v>
      </c>
      <c r="Z1404" s="54">
        <f t="shared" ref="Z1404:Z1422" si="416">IF(R1404=1,0,0)</f>
        <v>0</v>
      </c>
      <c r="AA1404" s="54">
        <f t="shared" si="413"/>
        <v>0</v>
      </c>
      <c r="AB1404" s="55">
        <f t="shared" si="403"/>
        <v>0</v>
      </c>
      <c r="AC1404" s="55">
        <f t="shared" si="414"/>
        <v>0</v>
      </c>
      <c r="AD1404" s="56">
        <f t="shared" si="415"/>
        <v>135.85</v>
      </c>
    </row>
    <row r="1405" spans="3:30">
      <c r="C1405" s="43" t="s">
        <v>2568</v>
      </c>
      <c r="D1405" s="44" t="s">
        <v>2569</v>
      </c>
      <c r="E1405" s="44"/>
      <c r="F1405" s="45">
        <v>43096.134780092594</v>
      </c>
      <c r="G1405" s="46">
        <v>9</v>
      </c>
      <c r="H1405" s="47">
        <v>43396</v>
      </c>
      <c r="I1405" s="47">
        <v>43419</v>
      </c>
      <c r="J1405" s="46">
        <v>556387</v>
      </c>
      <c r="K1405" s="46">
        <v>0</v>
      </c>
      <c r="L1405" s="46">
        <v>0</v>
      </c>
      <c r="M1405" s="46">
        <f t="shared" si="404"/>
        <v>556387</v>
      </c>
      <c r="N1405" s="46">
        <v>556387</v>
      </c>
      <c r="O1405" s="48">
        <f t="shared" si="405"/>
        <v>0</v>
      </c>
      <c r="P1405" s="46">
        <v>0</v>
      </c>
      <c r="Q1405" s="46">
        <v>556387</v>
      </c>
      <c r="R1405" s="49">
        <f t="shared" si="406"/>
        <v>1</v>
      </c>
      <c r="S1405" s="50">
        <f t="shared" si="407"/>
        <v>0.01</v>
      </c>
      <c r="T1405" s="49">
        <f t="shared" si="408"/>
        <v>5563.87</v>
      </c>
      <c r="U1405" s="51">
        <f t="shared" si="409"/>
        <v>0</v>
      </c>
      <c r="V1405" s="52">
        <f>IF(0&lt;0.8,0,IF(0&lt;1,Sheet3!L561,1))*IF(G1405&lt;3,0.12 - O1405,0.01) *U1405</f>
        <v>0</v>
      </c>
      <c r="W1405" s="52">
        <f t="shared" si="410"/>
        <v>0</v>
      </c>
      <c r="X1405" s="53">
        <f t="shared" si="411"/>
        <v>0</v>
      </c>
      <c r="Y1405" s="53">
        <f t="shared" si="412"/>
        <v>0</v>
      </c>
      <c r="Z1405" s="54">
        <f t="shared" si="416"/>
        <v>0</v>
      </c>
      <c r="AA1405" s="54">
        <f t="shared" si="413"/>
        <v>0</v>
      </c>
      <c r="AB1405" s="55">
        <f t="shared" si="403"/>
        <v>0</v>
      </c>
      <c r="AC1405" s="55">
        <f t="shared" si="414"/>
        <v>0</v>
      </c>
      <c r="AD1405" s="56">
        <f t="shared" si="415"/>
        <v>5563.87</v>
      </c>
    </row>
    <row r="1406" spans="3:30">
      <c r="C1406" s="43" t="s">
        <v>2570</v>
      </c>
      <c r="D1406" s="44" t="s">
        <v>2571</v>
      </c>
      <c r="E1406" s="44"/>
      <c r="F1406" s="45">
        <v>43098.327615740738</v>
      </c>
      <c r="G1406" s="46">
        <v>9</v>
      </c>
      <c r="H1406" s="47">
        <v>43388</v>
      </c>
      <c r="I1406" s="47">
        <v>43386</v>
      </c>
      <c r="J1406" s="46">
        <v>3190953</v>
      </c>
      <c r="K1406" s="46">
        <v>290087</v>
      </c>
      <c r="L1406" s="46">
        <v>0</v>
      </c>
      <c r="M1406" s="46">
        <f t="shared" si="404"/>
        <v>2900866</v>
      </c>
      <c r="N1406" s="46">
        <v>3190953</v>
      </c>
      <c r="O1406" s="48">
        <f t="shared" si="405"/>
        <v>9.0909204867636761E-2</v>
      </c>
      <c r="P1406" s="46">
        <v>0</v>
      </c>
      <c r="Q1406" s="46">
        <v>2962069</v>
      </c>
      <c r="R1406" s="49">
        <f t="shared" si="406"/>
        <v>1</v>
      </c>
      <c r="S1406" s="50">
        <f t="shared" si="407"/>
        <v>0.01</v>
      </c>
      <c r="T1406" s="49">
        <f t="shared" si="408"/>
        <v>29008.66</v>
      </c>
      <c r="U1406" s="51">
        <f t="shared" si="409"/>
        <v>0</v>
      </c>
      <c r="V1406" s="52">
        <f>IF(0&lt;0.8,0,IF(0&lt;1,Sheet3!L561,1))*IF(G1406&lt;3,0.12 - O1406,0.01) *U1406</f>
        <v>0</v>
      </c>
      <c r="W1406" s="52">
        <f t="shared" si="410"/>
        <v>0</v>
      </c>
      <c r="X1406" s="53">
        <f t="shared" si="411"/>
        <v>0</v>
      </c>
      <c r="Y1406" s="53">
        <f t="shared" si="412"/>
        <v>0</v>
      </c>
      <c r="Z1406" s="54">
        <f t="shared" si="416"/>
        <v>0</v>
      </c>
      <c r="AA1406" s="54">
        <f t="shared" si="413"/>
        <v>0</v>
      </c>
      <c r="AB1406" s="55">
        <f t="shared" si="403"/>
        <v>0</v>
      </c>
      <c r="AC1406" s="55">
        <f t="shared" si="414"/>
        <v>0</v>
      </c>
      <c r="AD1406" s="56">
        <f t="shared" si="415"/>
        <v>29008.66</v>
      </c>
    </row>
    <row r="1407" spans="3:30">
      <c r="C1407" s="43" t="s">
        <v>2572</v>
      </c>
      <c r="D1407" s="44" t="s">
        <v>2573</v>
      </c>
      <c r="E1407" s="44"/>
      <c r="F1407" s="45">
        <v>43102.377962962964</v>
      </c>
      <c r="G1407" s="46">
        <v>8</v>
      </c>
      <c r="H1407" s="47">
        <v>43385</v>
      </c>
      <c r="I1407" s="47">
        <v>43388</v>
      </c>
      <c r="J1407" s="46">
        <v>4068223</v>
      </c>
      <c r="K1407" s="46">
        <v>803320</v>
      </c>
      <c r="L1407" s="46">
        <v>0</v>
      </c>
      <c r="M1407" s="46">
        <f t="shared" si="404"/>
        <v>3264903</v>
      </c>
      <c r="N1407" s="46">
        <v>4068223</v>
      </c>
      <c r="O1407" s="48">
        <f t="shared" si="405"/>
        <v>0.19746213518777123</v>
      </c>
      <c r="P1407" s="46">
        <v>0</v>
      </c>
      <c r="Q1407" s="46">
        <v>4068223</v>
      </c>
      <c r="R1407" s="49">
        <f t="shared" si="406"/>
        <v>1</v>
      </c>
      <c r="S1407" s="50">
        <f t="shared" si="407"/>
        <v>0.01</v>
      </c>
      <c r="T1407" s="49">
        <f t="shared" si="408"/>
        <v>32649.030000000002</v>
      </c>
      <c r="U1407" s="51">
        <f t="shared" si="409"/>
        <v>0</v>
      </c>
      <c r="V1407" s="52">
        <f>IF(0&lt;0.8,0,IF(0&lt;1,Sheet3!L561,1))*IF(G1407&lt;3,0.12 - O1407,0.01) *U1407</f>
        <v>0</v>
      </c>
      <c r="W1407" s="52">
        <f t="shared" si="410"/>
        <v>0</v>
      </c>
      <c r="X1407" s="53">
        <f t="shared" si="411"/>
        <v>0</v>
      </c>
      <c r="Y1407" s="53">
        <f t="shared" si="412"/>
        <v>0</v>
      </c>
      <c r="Z1407" s="54">
        <f t="shared" si="416"/>
        <v>0</v>
      </c>
      <c r="AA1407" s="54">
        <f t="shared" si="413"/>
        <v>0</v>
      </c>
      <c r="AB1407" s="55">
        <f t="shared" si="403"/>
        <v>0</v>
      </c>
      <c r="AC1407" s="55">
        <f t="shared" si="414"/>
        <v>0</v>
      </c>
      <c r="AD1407" s="56">
        <f t="shared" si="415"/>
        <v>32649.030000000002</v>
      </c>
    </row>
    <row r="1408" spans="3:30">
      <c r="C1408" s="43" t="s">
        <v>2574</v>
      </c>
      <c r="D1408" s="44" t="s">
        <v>2575</v>
      </c>
      <c r="E1408" s="44"/>
      <c r="F1408" s="45">
        <v>43105.305081018516</v>
      </c>
      <c r="G1408" s="46">
        <v>8</v>
      </c>
      <c r="H1408" s="47">
        <v>43375</v>
      </c>
      <c r="I1408" s="47">
        <v>43386</v>
      </c>
      <c r="J1408" s="46">
        <v>430379</v>
      </c>
      <c r="K1408" s="46">
        <v>0</v>
      </c>
      <c r="L1408" s="46">
        <v>0</v>
      </c>
      <c r="M1408" s="46">
        <f t="shared" si="404"/>
        <v>430379</v>
      </c>
      <c r="N1408" s="46">
        <v>430379</v>
      </c>
      <c r="O1408" s="48">
        <f t="shared" si="405"/>
        <v>0</v>
      </c>
      <c r="P1408" s="46">
        <v>0</v>
      </c>
      <c r="Q1408" s="46">
        <v>430379</v>
      </c>
      <c r="R1408" s="49">
        <f t="shared" si="406"/>
        <v>1</v>
      </c>
      <c r="S1408" s="50">
        <f t="shared" si="407"/>
        <v>0.01</v>
      </c>
      <c r="T1408" s="49">
        <f t="shared" si="408"/>
        <v>4303.79</v>
      </c>
      <c r="U1408" s="51">
        <f t="shared" si="409"/>
        <v>0</v>
      </c>
      <c r="V1408" s="52">
        <f>IF(0&lt;0.8,0,IF(0&lt;1,Sheet3!L561,1))*IF(G1408&lt;3,0.12 - O1408,0.01) *U1408</f>
        <v>0</v>
      </c>
      <c r="W1408" s="52">
        <f t="shared" si="410"/>
        <v>0</v>
      </c>
      <c r="X1408" s="53">
        <f t="shared" si="411"/>
        <v>0</v>
      </c>
      <c r="Y1408" s="53">
        <f t="shared" si="412"/>
        <v>0</v>
      </c>
      <c r="Z1408" s="54">
        <f t="shared" si="416"/>
        <v>0</v>
      </c>
      <c r="AA1408" s="54">
        <f t="shared" si="413"/>
        <v>0</v>
      </c>
      <c r="AB1408" s="55">
        <f t="shared" si="403"/>
        <v>0</v>
      </c>
      <c r="AC1408" s="55">
        <f t="shared" si="414"/>
        <v>0</v>
      </c>
      <c r="AD1408" s="56">
        <f t="shared" si="415"/>
        <v>4303.79</v>
      </c>
    </row>
    <row r="1409" spans="3:30">
      <c r="C1409" s="43" t="s">
        <v>2576</v>
      </c>
      <c r="D1409" s="44" t="s">
        <v>2577</v>
      </c>
      <c r="E1409" s="44"/>
      <c r="F1409" s="45">
        <v>43111.200138888889</v>
      </c>
      <c r="G1409" s="46">
        <v>8</v>
      </c>
      <c r="H1409" s="47">
        <v>43388</v>
      </c>
      <c r="I1409" s="47">
        <v>43397</v>
      </c>
      <c r="J1409" s="46">
        <v>1506659</v>
      </c>
      <c r="K1409" s="46">
        <v>0</v>
      </c>
      <c r="L1409" s="46">
        <v>0</v>
      </c>
      <c r="M1409" s="46">
        <f t="shared" si="404"/>
        <v>1506659</v>
      </c>
      <c r="N1409" s="46">
        <v>567874</v>
      </c>
      <c r="O1409" s="48">
        <f t="shared" si="405"/>
        <v>0</v>
      </c>
      <c r="P1409" s="46">
        <v>0</v>
      </c>
      <c r="Q1409" s="46">
        <v>1506659</v>
      </c>
      <c r="R1409" s="49">
        <f t="shared" si="406"/>
        <v>1</v>
      </c>
      <c r="S1409" s="50">
        <f t="shared" si="407"/>
        <v>0.01</v>
      </c>
      <c r="T1409" s="49">
        <f t="shared" si="408"/>
        <v>15066.59</v>
      </c>
      <c r="U1409" s="51">
        <f t="shared" si="409"/>
        <v>0</v>
      </c>
      <c r="V1409" s="52">
        <f>IF(0&lt;0.8,0,IF(0&lt;1,Sheet3!L561,1))*IF(G1409&lt;3,0.12 - O1409,0.01) *U1409</f>
        <v>0</v>
      </c>
      <c r="W1409" s="52">
        <f t="shared" si="410"/>
        <v>0</v>
      </c>
      <c r="X1409" s="53">
        <f t="shared" si="411"/>
        <v>0</v>
      </c>
      <c r="Y1409" s="53">
        <f t="shared" si="412"/>
        <v>0</v>
      </c>
      <c r="Z1409" s="54">
        <f t="shared" si="416"/>
        <v>0</v>
      </c>
      <c r="AA1409" s="54">
        <f t="shared" si="413"/>
        <v>0</v>
      </c>
      <c r="AB1409" s="55">
        <f>IF(R1409=0,938784,0)</f>
        <v>0</v>
      </c>
      <c r="AC1409" s="55">
        <f t="shared" si="414"/>
        <v>0</v>
      </c>
      <c r="AD1409" s="56">
        <f t="shared" si="415"/>
        <v>15066.59</v>
      </c>
    </row>
    <row r="1410" spans="3:30">
      <c r="C1410" s="43" t="s">
        <v>2578</v>
      </c>
      <c r="D1410" s="44" t="s">
        <v>2579</v>
      </c>
      <c r="E1410" s="44"/>
      <c r="F1410" s="45">
        <v>43111.149629629625</v>
      </c>
      <c r="G1410" s="46">
        <v>8</v>
      </c>
      <c r="H1410" s="47">
        <v>43379</v>
      </c>
      <c r="I1410" s="47">
        <v>43420</v>
      </c>
      <c r="J1410" s="46">
        <v>4210098</v>
      </c>
      <c r="K1410" s="46">
        <v>0</v>
      </c>
      <c r="L1410" s="46">
        <v>0</v>
      </c>
      <c r="M1410" s="46">
        <f t="shared" si="404"/>
        <v>4210098</v>
      </c>
      <c r="N1410" s="46">
        <v>3403881</v>
      </c>
      <c r="O1410" s="48">
        <f t="shared" si="405"/>
        <v>0</v>
      </c>
      <c r="P1410" s="46">
        <v>0</v>
      </c>
      <c r="Q1410" s="46">
        <v>4210098</v>
      </c>
      <c r="R1410" s="49">
        <f t="shared" si="406"/>
        <v>1</v>
      </c>
      <c r="S1410" s="50">
        <f t="shared" si="407"/>
        <v>0.01</v>
      </c>
      <c r="T1410" s="49">
        <f t="shared" si="408"/>
        <v>42100.98</v>
      </c>
      <c r="U1410" s="51">
        <f t="shared" si="409"/>
        <v>0</v>
      </c>
      <c r="V1410" s="52">
        <f>IF(0&lt;0.8,0,IF(0&lt;1,Sheet3!L561,1))*IF(G1410&lt;3,0.12 - O1410,0.01) *U1410</f>
        <v>0</v>
      </c>
      <c r="W1410" s="52">
        <f t="shared" si="410"/>
        <v>0</v>
      </c>
      <c r="X1410" s="53">
        <f t="shared" si="411"/>
        <v>0</v>
      </c>
      <c r="Y1410" s="53">
        <f t="shared" si="412"/>
        <v>0</v>
      </c>
      <c r="Z1410" s="54">
        <f t="shared" si="416"/>
        <v>0</v>
      </c>
      <c r="AA1410" s="54">
        <f t="shared" si="413"/>
        <v>0</v>
      </c>
      <c r="AB1410" s="55">
        <f>IF(R1410=0,806216,0)</f>
        <v>0</v>
      </c>
      <c r="AC1410" s="55">
        <f t="shared" si="414"/>
        <v>0</v>
      </c>
      <c r="AD1410" s="56">
        <f t="shared" si="415"/>
        <v>42100.98</v>
      </c>
    </row>
    <row r="1411" spans="3:30">
      <c r="C1411" s="43" t="s">
        <v>2580</v>
      </c>
      <c r="D1411" s="44" t="s">
        <v>2581</v>
      </c>
      <c r="E1411" s="44"/>
      <c r="F1411" s="45">
        <v>43116.074525462958</v>
      </c>
      <c r="G1411" s="46">
        <v>8</v>
      </c>
      <c r="H1411" s="47">
        <v>43402</v>
      </c>
      <c r="I1411" s="47">
        <v>43453</v>
      </c>
      <c r="J1411" s="46">
        <v>16151411</v>
      </c>
      <c r="K1411" s="46">
        <v>0</v>
      </c>
      <c r="L1411" s="46">
        <v>0</v>
      </c>
      <c r="M1411" s="46">
        <f t="shared" si="404"/>
        <v>16151411</v>
      </c>
      <c r="N1411" s="46">
        <v>19111691</v>
      </c>
      <c r="O1411" s="48">
        <f t="shared" si="405"/>
        <v>0.15489367215072702</v>
      </c>
      <c r="P1411" s="46">
        <v>0</v>
      </c>
      <c r="Q1411" s="46">
        <v>17301395</v>
      </c>
      <c r="R1411" s="49">
        <f t="shared" si="406"/>
        <v>1</v>
      </c>
      <c r="S1411" s="50">
        <f t="shared" si="407"/>
        <v>0.01</v>
      </c>
      <c r="T1411" s="49">
        <f t="shared" si="408"/>
        <v>161514.11000000002</v>
      </c>
      <c r="U1411" s="51">
        <f t="shared" si="409"/>
        <v>0</v>
      </c>
      <c r="V1411" s="52">
        <f>IF(0&lt;0.8,0,IF(0&lt;1,Sheet3!L561,1))*IF(G1411&lt;3,0.12 - O1411,0.01) *U1411</f>
        <v>0</v>
      </c>
      <c r="W1411" s="52">
        <f t="shared" si="410"/>
        <v>0</v>
      </c>
      <c r="X1411" s="53">
        <f t="shared" si="411"/>
        <v>0</v>
      </c>
      <c r="Y1411" s="53">
        <f t="shared" si="412"/>
        <v>0</v>
      </c>
      <c r="Z1411" s="54">
        <f t="shared" si="416"/>
        <v>0</v>
      </c>
      <c r="AA1411" s="54">
        <f t="shared" si="413"/>
        <v>0</v>
      </c>
      <c r="AB1411" s="55">
        <f t="shared" ref="AB1411:AB1422" si="417">IF(R1411=0,0,0)</f>
        <v>0</v>
      </c>
      <c r="AC1411" s="55">
        <f t="shared" si="414"/>
        <v>0</v>
      </c>
      <c r="AD1411" s="56">
        <f t="shared" si="415"/>
        <v>161514.11000000002</v>
      </c>
    </row>
    <row r="1412" spans="3:30">
      <c r="C1412" s="43" t="s">
        <v>2582</v>
      </c>
      <c r="D1412" s="44" t="s">
        <v>2583</v>
      </c>
      <c r="E1412" s="44"/>
      <c r="F1412" s="45">
        <v>43116.276550925926</v>
      </c>
      <c r="G1412" s="46">
        <v>8</v>
      </c>
      <c r="H1412" s="47">
        <v>43382</v>
      </c>
      <c r="I1412" s="47">
        <v>43390</v>
      </c>
      <c r="J1412" s="46">
        <v>533891</v>
      </c>
      <c r="K1412" s="46">
        <v>0</v>
      </c>
      <c r="L1412" s="46">
        <v>0</v>
      </c>
      <c r="M1412" s="46">
        <f t="shared" si="404"/>
        <v>533891</v>
      </c>
      <c r="N1412" s="46">
        <v>533891</v>
      </c>
      <c r="O1412" s="48">
        <f t="shared" si="405"/>
        <v>0</v>
      </c>
      <c r="P1412" s="46">
        <v>0</v>
      </c>
      <c r="Q1412" s="46">
        <v>533891</v>
      </c>
      <c r="R1412" s="49">
        <f t="shared" si="406"/>
        <v>1</v>
      </c>
      <c r="S1412" s="50">
        <f t="shared" si="407"/>
        <v>0.01</v>
      </c>
      <c r="T1412" s="49">
        <f t="shared" si="408"/>
        <v>5338.91</v>
      </c>
      <c r="U1412" s="51">
        <f t="shared" si="409"/>
        <v>0</v>
      </c>
      <c r="V1412" s="52">
        <f>IF(0&lt;0.8,0,IF(0&lt;1,Sheet3!L561,1))*IF(G1412&lt;3,0.12 - O1412,0.01) *U1412</f>
        <v>0</v>
      </c>
      <c r="W1412" s="52">
        <f t="shared" si="410"/>
        <v>0</v>
      </c>
      <c r="X1412" s="53">
        <f t="shared" si="411"/>
        <v>0</v>
      </c>
      <c r="Y1412" s="53">
        <f t="shared" si="412"/>
        <v>0</v>
      </c>
      <c r="Z1412" s="54">
        <f t="shared" si="416"/>
        <v>0</v>
      </c>
      <c r="AA1412" s="54">
        <f t="shared" si="413"/>
        <v>0</v>
      </c>
      <c r="AB1412" s="55">
        <f t="shared" si="417"/>
        <v>0</v>
      </c>
      <c r="AC1412" s="55">
        <f t="shared" si="414"/>
        <v>0</v>
      </c>
      <c r="AD1412" s="56">
        <f t="shared" si="415"/>
        <v>5338.91</v>
      </c>
    </row>
    <row r="1413" spans="3:30">
      <c r="C1413" s="43" t="s">
        <v>2584</v>
      </c>
      <c r="D1413" s="44" t="s">
        <v>2585</v>
      </c>
      <c r="E1413" s="44"/>
      <c r="F1413" s="45">
        <v>43118.277395833335</v>
      </c>
      <c r="G1413" s="46">
        <v>8</v>
      </c>
      <c r="H1413" s="47">
        <v>43395</v>
      </c>
      <c r="I1413" s="47">
        <v>43459</v>
      </c>
      <c r="J1413" s="46">
        <v>16231927</v>
      </c>
      <c r="K1413" s="46">
        <v>0</v>
      </c>
      <c r="L1413" s="46">
        <v>0</v>
      </c>
      <c r="M1413" s="46">
        <f t="shared" si="404"/>
        <v>16231927</v>
      </c>
      <c r="N1413" s="46">
        <v>16231927</v>
      </c>
      <c r="O1413" s="48">
        <f t="shared" si="405"/>
        <v>0</v>
      </c>
      <c r="P1413" s="46">
        <v>0</v>
      </c>
      <c r="Q1413" s="46">
        <v>16231927</v>
      </c>
      <c r="R1413" s="49">
        <f t="shared" si="406"/>
        <v>1</v>
      </c>
      <c r="S1413" s="50">
        <f t="shared" si="407"/>
        <v>0.01</v>
      </c>
      <c r="T1413" s="49">
        <f t="shared" si="408"/>
        <v>162319.26999999999</v>
      </c>
      <c r="U1413" s="51">
        <f t="shared" si="409"/>
        <v>0</v>
      </c>
      <c r="V1413" s="52">
        <f>IF(0&lt;0.8,0,IF(0&lt;1,Sheet3!L561,1))*IF(G1413&lt;3,0.12 - O1413,0.01) *U1413</f>
        <v>0</v>
      </c>
      <c r="W1413" s="52">
        <f t="shared" si="410"/>
        <v>0</v>
      </c>
      <c r="X1413" s="53">
        <f t="shared" si="411"/>
        <v>0</v>
      </c>
      <c r="Y1413" s="53">
        <f t="shared" si="412"/>
        <v>0</v>
      </c>
      <c r="Z1413" s="54">
        <f t="shared" si="416"/>
        <v>0</v>
      </c>
      <c r="AA1413" s="54">
        <f t="shared" si="413"/>
        <v>0</v>
      </c>
      <c r="AB1413" s="55">
        <f t="shared" si="417"/>
        <v>0</v>
      </c>
      <c r="AC1413" s="55">
        <f t="shared" si="414"/>
        <v>0</v>
      </c>
      <c r="AD1413" s="56">
        <f t="shared" si="415"/>
        <v>162319.26999999999</v>
      </c>
    </row>
    <row r="1414" spans="3:30">
      <c r="C1414" s="43" t="s">
        <v>2586</v>
      </c>
      <c r="D1414" s="44" t="s">
        <v>2587</v>
      </c>
      <c r="E1414" s="44"/>
      <c r="F1414" s="45">
        <v>43120.173136574071</v>
      </c>
      <c r="G1414" s="46">
        <v>8</v>
      </c>
      <c r="H1414" s="47">
        <v>43377</v>
      </c>
      <c r="I1414" s="47">
        <v>43391</v>
      </c>
      <c r="J1414" s="46">
        <v>1951023</v>
      </c>
      <c r="K1414" s="46">
        <v>0</v>
      </c>
      <c r="L1414" s="46">
        <v>0</v>
      </c>
      <c r="M1414" s="46">
        <f t="shared" si="404"/>
        <v>1951023</v>
      </c>
      <c r="N1414" s="46">
        <v>1951023</v>
      </c>
      <c r="O1414" s="48">
        <f t="shared" si="405"/>
        <v>0</v>
      </c>
      <c r="P1414" s="46">
        <v>0</v>
      </c>
      <c r="Q1414" s="46">
        <v>1951023</v>
      </c>
      <c r="R1414" s="49">
        <f t="shared" si="406"/>
        <v>1</v>
      </c>
      <c r="S1414" s="50">
        <f t="shared" si="407"/>
        <v>0.01</v>
      </c>
      <c r="T1414" s="49">
        <f t="shared" si="408"/>
        <v>19510.23</v>
      </c>
      <c r="U1414" s="51">
        <f t="shared" si="409"/>
        <v>0</v>
      </c>
      <c r="V1414" s="52">
        <f>IF(0&lt;0.8,0,IF(0&lt;1,Sheet3!L561,1))*IF(G1414&lt;3,0.12 - O1414,0.01) *U1414</f>
        <v>0</v>
      </c>
      <c r="W1414" s="52">
        <f t="shared" si="410"/>
        <v>0</v>
      </c>
      <c r="X1414" s="53">
        <f t="shared" si="411"/>
        <v>0</v>
      </c>
      <c r="Y1414" s="53">
        <f t="shared" si="412"/>
        <v>0</v>
      </c>
      <c r="Z1414" s="54">
        <f t="shared" si="416"/>
        <v>0</v>
      </c>
      <c r="AA1414" s="54">
        <f t="shared" si="413"/>
        <v>0</v>
      </c>
      <c r="AB1414" s="55">
        <f t="shared" si="417"/>
        <v>0</v>
      </c>
      <c r="AC1414" s="55">
        <f t="shared" si="414"/>
        <v>0</v>
      </c>
      <c r="AD1414" s="56">
        <f t="shared" si="415"/>
        <v>19510.23</v>
      </c>
    </row>
    <row r="1415" spans="3:30">
      <c r="C1415" s="43" t="s">
        <v>2588</v>
      </c>
      <c r="D1415" s="44" t="s">
        <v>2589</v>
      </c>
      <c r="E1415" s="44"/>
      <c r="F1415" s="45">
        <v>43122.154016203705</v>
      </c>
      <c r="G1415" s="46">
        <v>8</v>
      </c>
      <c r="H1415" s="47">
        <v>43379</v>
      </c>
      <c r="I1415" s="47">
        <v>43420</v>
      </c>
      <c r="J1415" s="46">
        <v>39930</v>
      </c>
      <c r="K1415" s="46">
        <v>0</v>
      </c>
      <c r="L1415" s="46">
        <v>0</v>
      </c>
      <c r="M1415" s="46">
        <f t="shared" si="404"/>
        <v>39930</v>
      </c>
      <c r="N1415" s="46">
        <v>39930</v>
      </c>
      <c r="O1415" s="48">
        <f t="shared" si="405"/>
        <v>0</v>
      </c>
      <c r="P1415" s="46">
        <v>0</v>
      </c>
      <c r="Q1415" s="46">
        <v>39930</v>
      </c>
      <c r="R1415" s="49">
        <f t="shared" si="406"/>
        <v>1</v>
      </c>
      <c r="S1415" s="50">
        <f t="shared" si="407"/>
        <v>0.01</v>
      </c>
      <c r="T1415" s="49">
        <f t="shared" si="408"/>
        <v>399.3</v>
      </c>
      <c r="U1415" s="51">
        <f t="shared" si="409"/>
        <v>0</v>
      </c>
      <c r="V1415" s="52">
        <f>IF(0&lt;0.8,0,IF(0&lt;1,Sheet3!L561,1))*IF(G1415&lt;3,0.12 - O1415,0.01) *U1415</f>
        <v>0</v>
      </c>
      <c r="W1415" s="52">
        <f t="shared" si="410"/>
        <v>0</v>
      </c>
      <c r="X1415" s="53">
        <f t="shared" si="411"/>
        <v>0</v>
      </c>
      <c r="Y1415" s="53">
        <f t="shared" si="412"/>
        <v>0</v>
      </c>
      <c r="Z1415" s="54">
        <f t="shared" si="416"/>
        <v>0</v>
      </c>
      <c r="AA1415" s="54">
        <f t="shared" si="413"/>
        <v>0</v>
      </c>
      <c r="AB1415" s="55">
        <f t="shared" si="417"/>
        <v>0</v>
      </c>
      <c r="AC1415" s="55">
        <f t="shared" si="414"/>
        <v>0</v>
      </c>
      <c r="AD1415" s="56">
        <f t="shared" si="415"/>
        <v>399.3</v>
      </c>
    </row>
    <row r="1416" spans="3:30">
      <c r="C1416" s="43" t="s">
        <v>2590</v>
      </c>
      <c r="D1416" s="44" t="s">
        <v>2591</v>
      </c>
      <c r="E1416" s="44"/>
      <c r="F1416" s="45">
        <v>43123.137476851851</v>
      </c>
      <c r="G1416" s="46">
        <v>8</v>
      </c>
      <c r="H1416" s="47">
        <v>43379</v>
      </c>
      <c r="I1416" s="47">
        <v>43390</v>
      </c>
      <c r="J1416" s="46">
        <v>211302</v>
      </c>
      <c r="K1416" s="46">
        <v>0</v>
      </c>
      <c r="L1416" s="46">
        <v>0</v>
      </c>
      <c r="M1416" s="46">
        <f t="shared" si="404"/>
        <v>211302</v>
      </c>
      <c r="N1416" s="46">
        <v>211302</v>
      </c>
      <c r="O1416" s="48">
        <f t="shared" si="405"/>
        <v>0</v>
      </c>
      <c r="P1416" s="46">
        <v>0</v>
      </c>
      <c r="Q1416" s="46">
        <v>211302</v>
      </c>
      <c r="R1416" s="49">
        <f t="shared" si="406"/>
        <v>1</v>
      </c>
      <c r="S1416" s="50">
        <f t="shared" si="407"/>
        <v>0.01</v>
      </c>
      <c r="T1416" s="49">
        <f t="shared" si="408"/>
        <v>2113.02</v>
      </c>
      <c r="U1416" s="51">
        <f t="shared" si="409"/>
        <v>0</v>
      </c>
      <c r="V1416" s="52">
        <f>IF(0&lt;0.8,0,IF(0&lt;1,Sheet3!L561,1))*IF(G1416&lt;3,0.12 - O1416,0.01) *U1416</f>
        <v>0</v>
      </c>
      <c r="W1416" s="52">
        <f t="shared" si="410"/>
        <v>0</v>
      </c>
      <c r="X1416" s="53">
        <f t="shared" si="411"/>
        <v>0</v>
      </c>
      <c r="Y1416" s="53">
        <f t="shared" si="412"/>
        <v>0</v>
      </c>
      <c r="Z1416" s="54">
        <f t="shared" si="416"/>
        <v>0</v>
      </c>
      <c r="AA1416" s="54">
        <f t="shared" si="413"/>
        <v>0</v>
      </c>
      <c r="AB1416" s="55">
        <f t="shared" si="417"/>
        <v>0</v>
      </c>
      <c r="AC1416" s="55">
        <f t="shared" si="414"/>
        <v>0</v>
      </c>
      <c r="AD1416" s="56">
        <f t="shared" si="415"/>
        <v>2113.02</v>
      </c>
    </row>
    <row r="1417" spans="3:30">
      <c r="C1417" s="43" t="s">
        <v>2592</v>
      </c>
      <c r="D1417" s="44" t="s">
        <v>2593</v>
      </c>
      <c r="E1417" s="44"/>
      <c r="F1417" s="45">
        <v>43123.138969907406</v>
      </c>
      <c r="G1417" s="46">
        <v>8</v>
      </c>
      <c r="H1417" s="47">
        <v>43404</v>
      </c>
      <c r="I1417" s="47">
        <v>43427</v>
      </c>
      <c r="J1417" s="46">
        <v>2400330</v>
      </c>
      <c r="K1417" s="46">
        <v>0</v>
      </c>
      <c r="L1417" s="46">
        <v>0</v>
      </c>
      <c r="M1417" s="46">
        <f t="shared" si="404"/>
        <v>2400330</v>
      </c>
      <c r="N1417" s="46">
        <v>3951086</v>
      </c>
      <c r="O1417" s="48">
        <f t="shared" si="405"/>
        <v>0.39248854618704831</v>
      </c>
      <c r="P1417" s="46">
        <v>0</v>
      </c>
      <c r="Q1417" s="46">
        <v>2400330</v>
      </c>
      <c r="R1417" s="49">
        <f t="shared" si="406"/>
        <v>1</v>
      </c>
      <c r="S1417" s="50">
        <f t="shared" si="407"/>
        <v>0.01</v>
      </c>
      <c r="T1417" s="49">
        <f t="shared" si="408"/>
        <v>24003.3</v>
      </c>
      <c r="U1417" s="51">
        <f t="shared" si="409"/>
        <v>0</v>
      </c>
      <c r="V1417" s="52">
        <f>IF(0&lt;0.8,0,IF(0&lt;1,Sheet3!L561,1))*IF(G1417&lt;3,0.12 - O1417,0.01) *U1417</f>
        <v>0</v>
      </c>
      <c r="W1417" s="52">
        <f t="shared" si="410"/>
        <v>0</v>
      </c>
      <c r="X1417" s="53">
        <f t="shared" si="411"/>
        <v>0</v>
      </c>
      <c r="Y1417" s="53">
        <f t="shared" si="412"/>
        <v>0</v>
      </c>
      <c r="Z1417" s="54">
        <f t="shared" si="416"/>
        <v>0</v>
      </c>
      <c r="AA1417" s="54">
        <f t="shared" si="413"/>
        <v>0</v>
      </c>
      <c r="AB1417" s="55">
        <f t="shared" si="417"/>
        <v>0</v>
      </c>
      <c r="AC1417" s="55">
        <f t="shared" si="414"/>
        <v>0</v>
      </c>
      <c r="AD1417" s="56">
        <f t="shared" si="415"/>
        <v>24003.3</v>
      </c>
    </row>
    <row r="1418" spans="3:30">
      <c r="C1418" s="43" t="s">
        <v>2594</v>
      </c>
      <c r="D1418" s="44" t="s">
        <v>2595</v>
      </c>
      <c r="E1418" s="44"/>
      <c r="F1418" s="45">
        <v>43124.073287037034</v>
      </c>
      <c r="G1418" s="46">
        <v>8</v>
      </c>
      <c r="H1418" s="47">
        <v>43375</v>
      </c>
      <c r="I1418" s="47">
        <v>43427</v>
      </c>
      <c r="J1418" s="46">
        <v>392282</v>
      </c>
      <c r="K1418" s="46">
        <v>0</v>
      </c>
      <c r="L1418" s="46">
        <v>0</v>
      </c>
      <c r="M1418" s="46">
        <f t="shared" si="404"/>
        <v>392282</v>
      </c>
      <c r="N1418" s="46">
        <v>392282</v>
      </c>
      <c r="O1418" s="48">
        <f t="shared" si="405"/>
        <v>0</v>
      </c>
      <c r="P1418" s="46">
        <v>0</v>
      </c>
      <c r="Q1418" s="46">
        <v>392282</v>
      </c>
      <c r="R1418" s="49">
        <f t="shared" si="406"/>
        <v>1</v>
      </c>
      <c r="S1418" s="50">
        <f t="shared" si="407"/>
        <v>0.01</v>
      </c>
      <c r="T1418" s="49">
        <f t="shared" si="408"/>
        <v>3922.82</v>
      </c>
      <c r="U1418" s="51">
        <f t="shared" si="409"/>
        <v>0</v>
      </c>
      <c r="V1418" s="52">
        <f>IF(0&lt;0.8,0,IF(0&lt;1,Sheet3!L561,1))*IF(G1418&lt;3,0.12 - O1418,0.01) *U1418</f>
        <v>0</v>
      </c>
      <c r="W1418" s="52">
        <f t="shared" si="410"/>
        <v>0</v>
      </c>
      <c r="X1418" s="53">
        <f t="shared" si="411"/>
        <v>0</v>
      </c>
      <c r="Y1418" s="53">
        <f t="shared" si="412"/>
        <v>0</v>
      </c>
      <c r="Z1418" s="54">
        <f t="shared" si="416"/>
        <v>0</v>
      </c>
      <c r="AA1418" s="54">
        <f t="shared" si="413"/>
        <v>0</v>
      </c>
      <c r="AB1418" s="55">
        <f t="shared" si="417"/>
        <v>0</v>
      </c>
      <c r="AC1418" s="55">
        <f t="shared" si="414"/>
        <v>0</v>
      </c>
      <c r="AD1418" s="56">
        <f t="shared" si="415"/>
        <v>3922.82</v>
      </c>
    </row>
    <row r="1419" spans="3:30">
      <c r="C1419" s="43" t="s">
        <v>2596</v>
      </c>
      <c r="D1419" s="44" t="s">
        <v>2597</v>
      </c>
      <c r="E1419" s="44"/>
      <c r="F1419" s="45">
        <v>43124.29247685185</v>
      </c>
      <c r="G1419" s="46">
        <v>8</v>
      </c>
      <c r="H1419" s="47">
        <v>43382</v>
      </c>
      <c r="I1419" s="47">
        <v>43398</v>
      </c>
      <c r="J1419" s="46">
        <v>537416</v>
      </c>
      <c r="K1419" s="46">
        <v>0</v>
      </c>
      <c r="L1419" s="46">
        <v>0</v>
      </c>
      <c r="M1419" s="46">
        <f t="shared" si="404"/>
        <v>537416</v>
      </c>
      <c r="N1419" s="46">
        <v>591158</v>
      </c>
      <c r="O1419" s="48">
        <f t="shared" si="405"/>
        <v>9.0909706034596471E-2</v>
      </c>
      <c r="P1419" s="46">
        <v>0</v>
      </c>
      <c r="Q1419" s="46">
        <v>537416</v>
      </c>
      <c r="R1419" s="49">
        <f t="shared" si="406"/>
        <v>1</v>
      </c>
      <c r="S1419" s="50">
        <f t="shared" si="407"/>
        <v>0.01</v>
      </c>
      <c r="T1419" s="49">
        <f t="shared" si="408"/>
        <v>5374.16</v>
      </c>
      <c r="U1419" s="51">
        <f t="shared" si="409"/>
        <v>0</v>
      </c>
      <c r="V1419" s="52">
        <f>IF(0&lt;0.8,0,IF(0&lt;1,Sheet3!L561,1))*IF(G1419&lt;3,0.12 - O1419,0.01) *U1419</f>
        <v>0</v>
      </c>
      <c r="W1419" s="52">
        <f t="shared" si="410"/>
        <v>0</v>
      </c>
      <c r="X1419" s="53">
        <f t="shared" si="411"/>
        <v>0</v>
      </c>
      <c r="Y1419" s="53">
        <f t="shared" si="412"/>
        <v>0</v>
      </c>
      <c r="Z1419" s="54">
        <f t="shared" si="416"/>
        <v>0</v>
      </c>
      <c r="AA1419" s="54">
        <f t="shared" si="413"/>
        <v>0</v>
      </c>
      <c r="AB1419" s="55">
        <f t="shared" si="417"/>
        <v>0</v>
      </c>
      <c r="AC1419" s="55">
        <f t="shared" si="414"/>
        <v>0</v>
      </c>
      <c r="AD1419" s="56">
        <f t="shared" si="415"/>
        <v>5374.16</v>
      </c>
    </row>
    <row r="1420" spans="3:30">
      <c r="C1420" s="43" t="s">
        <v>2598</v>
      </c>
      <c r="D1420" s="44" t="s">
        <v>2599</v>
      </c>
      <c r="E1420" s="44"/>
      <c r="F1420" s="45">
        <v>43129.384027777778</v>
      </c>
      <c r="G1420" s="46">
        <v>8</v>
      </c>
      <c r="H1420" s="47">
        <v>43403</v>
      </c>
      <c r="I1420" s="47">
        <v>43453</v>
      </c>
      <c r="J1420" s="46">
        <v>116056603</v>
      </c>
      <c r="K1420" s="46">
        <v>9904176</v>
      </c>
      <c r="L1420" s="46">
        <v>0</v>
      </c>
      <c r="M1420" s="46">
        <f t="shared" si="404"/>
        <v>106152427</v>
      </c>
      <c r="N1420" s="46">
        <v>155920671</v>
      </c>
      <c r="O1420" s="48">
        <f t="shared" si="405"/>
        <v>0.31918951913694626</v>
      </c>
      <c r="P1420" s="46">
        <v>0</v>
      </c>
      <c r="Q1420" s="46">
        <v>116452103</v>
      </c>
      <c r="R1420" s="49">
        <f t="shared" si="406"/>
        <v>1</v>
      </c>
      <c r="S1420" s="50">
        <f t="shared" si="407"/>
        <v>0.01</v>
      </c>
      <c r="T1420" s="49">
        <f t="shared" si="408"/>
        <v>1061524.27</v>
      </c>
      <c r="U1420" s="51">
        <f t="shared" si="409"/>
        <v>0</v>
      </c>
      <c r="V1420" s="52">
        <f>IF(0&lt;0.8,0,IF(0&lt;1,Sheet3!L561,1))*IF(G1420&lt;3,0.12 - O1420,0.01) *U1420</f>
        <v>0</v>
      </c>
      <c r="W1420" s="52">
        <f t="shared" si="410"/>
        <v>0</v>
      </c>
      <c r="X1420" s="53">
        <f t="shared" si="411"/>
        <v>0</v>
      </c>
      <c r="Y1420" s="53">
        <f t="shared" si="412"/>
        <v>0</v>
      </c>
      <c r="Z1420" s="54">
        <f t="shared" si="416"/>
        <v>0</v>
      </c>
      <c r="AA1420" s="54">
        <f t="shared" si="413"/>
        <v>0</v>
      </c>
      <c r="AB1420" s="55">
        <f t="shared" si="417"/>
        <v>0</v>
      </c>
      <c r="AC1420" s="55">
        <f t="shared" si="414"/>
        <v>0</v>
      </c>
      <c r="AD1420" s="56">
        <f t="shared" si="415"/>
        <v>1061524.27</v>
      </c>
    </row>
    <row r="1421" spans="3:30">
      <c r="C1421" s="43" t="s">
        <v>2600</v>
      </c>
      <c r="D1421" s="44" t="s">
        <v>2601</v>
      </c>
      <c r="E1421" s="44"/>
      <c r="F1421" s="45">
        <v>43133.168194444443</v>
      </c>
      <c r="G1421" s="46">
        <v>7</v>
      </c>
      <c r="H1421" s="47">
        <v>43396</v>
      </c>
      <c r="I1421" s="47">
        <v>43447</v>
      </c>
      <c r="J1421" s="46">
        <v>7163645</v>
      </c>
      <c r="K1421" s="46">
        <v>0</v>
      </c>
      <c r="L1421" s="46">
        <v>0</v>
      </c>
      <c r="M1421" s="46">
        <f t="shared" si="404"/>
        <v>7163645</v>
      </c>
      <c r="N1421" s="46">
        <v>8846774</v>
      </c>
      <c r="O1421" s="48">
        <f t="shared" si="405"/>
        <v>0.19025341892988334</v>
      </c>
      <c r="P1421" s="46">
        <v>0</v>
      </c>
      <c r="Q1421" s="46">
        <v>7163645</v>
      </c>
      <c r="R1421" s="49">
        <f t="shared" si="406"/>
        <v>1</v>
      </c>
      <c r="S1421" s="50">
        <f t="shared" si="407"/>
        <v>0.01</v>
      </c>
      <c r="T1421" s="49">
        <f t="shared" si="408"/>
        <v>71636.45</v>
      </c>
      <c r="U1421" s="51">
        <f t="shared" si="409"/>
        <v>0</v>
      </c>
      <c r="V1421" s="52">
        <f>IF(0&lt;0.8,0,IF(0&lt;1,Sheet3!L561,1))*IF(G1421&lt;3,0.12 - O1421,0.01) *U1421</f>
        <v>0</v>
      </c>
      <c r="W1421" s="52">
        <f t="shared" si="410"/>
        <v>0</v>
      </c>
      <c r="X1421" s="53">
        <f t="shared" si="411"/>
        <v>0</v>
      </c>
      <c r="Y1421" s="53">
        <f t="shared" si="412"/>
        <v>0</v>
      </c>
      <c r="Z1421" s="54">
        <f t="shared" si="416"/>
        <v>0</v>
      </c>
      <c r="AA1421" s="54">
        <f t="shared" si="413"/>
        <v>0</v>
      </c>
      <c r="AB1421" s="55">
        <f t="shared" si="417"/>
        <v>0</v>
      </c>
      <c r="AC1421" s="55">
        <f t="shared" si="414"/>
        <v>0</v>
      </c>
      <c r="AD1421" s="56">
        <f t="shared" si="415"/>
        <v>71636.45</v>
      </c>
    </row>
    <row r="1422" spans="3:30">
      <c r="C1422" s="43" t="s">
        <v>2602</v>
      </c>
      <c r="D1422" s="44" t="s">
        <v>2603</v>
      </c>
      <c r="E1422" s="44"/>
      <c r="F1422" s="45">
        <v>43141.30872685185</v>
      </c>
      <c r="G1422" s="46">
        <v>7</v>
      </c>
      <c r="H1422" s="47">
        <v>43382</v>
      </c>
      <c r="I1422" s="47">
        <v>43409</v>
      </c>
      <c r="J1422" s="46">
        <v>3778114</v>
      </c>
      <c r="K1422" s="46">
        <v>0</v>
      </c>
      <c r="L1422" s="46">
        <v>0</v>
      </c>
      <c r="M1422" s="46">
        <f t="shared" si="404"/>
        <v>3778114</v>
      </c>
      <c r="N1422" s="46">
        <v>3778114</v>
      </c>
      <c r="O1422" s="48">
        <f t="shared" si="405"/>
        <v>0</v>
      </c>
      <c r="P1422" s="46">
        <v>0</v>
      </c>
      <c r="Q1422" s="46">
        <v>3778114</v>
      </c>
      <c r="R1422" s="49">
        <f t="shared" si="406"/>
        <v>1</v>
      </c>
      <c r="S1422" s="50">
        <f t="shared" si="407"/>
        <v>0.01</v>
      </c>
      <c r="T1422" s="49">
        <f t="shared" si="408"/>
        <v>37781.14</v>
      </c>
      <c r="U1422" s="51">
        <f t="shared" si="409"/>
        <v>0</v>
      </c>
      <c r="V1422" s="52">
        <f>IF(0&lt;0.8,0,IF(0&lt;1,Sheet3!L561,1))*IF(G1422&lt;3,0.12 - O1422,0.01) *U1422</f>
        <v>0</v>
      </c>
      <c r="W1422" s="52">
        <f t="shared" si="410"/>
        <v>0</v>
      </c>
      <c r="X1422" s="53">
        <f t="shared" si="411"/>
        <v>0</v>
      </c>
      <c r="Y1422" s="53">
        <f t="shared" si="412"/>
        <v>0</v>
      </c>
      <c r="Z1422" s="54">
        <f t="shared" si="416"/>
        <v>0</v>
      </c>
      <c r="AA1422" s="54">
        <f t="shared" si="413"/>
        <v>0</v>
      </c>
      <c r="AB1422" s="55">
        <f t="shared" si="417"/>
        <v>0</v>
      </c>
      <c r="AC1422" s="55">
        <f t="shared" si="414"/>
        <v>0</v>
      </c>
      <c r="AD1422" s="56">
        <f t="shared" si="415"/>
        <v>37781.14</v>
      </c>
    </row>
    <row r="1423" spans="3:30">
      <c r="C1423" s="43" t="s">
        <v>2604</v>
      </c>
      <c r="D1423" s="44" t="s">
        <v>2605</v>
      </c>
      <c r="E1423" s="44"/>
      <c r="F1423" s="45">
        <v>43141.307905092588</v>
      </c>
      <c r="G1423" s="46">
        <v>7</v>
      </c>
      <c r="H1423" s="47" t="s">
        <v>24</v>
      </c>
      <c r="I1423" s="47" t="s">
        <v>24</v>
      </c>
      <c r="J1423" s="46">
        <v>51743</v>
      </c>
      <c r="K1423" s="46">
        <v>0</v>
      </c>
      <c r="L1423" s="46">
        <v>0</v>
      </c>
      <c r="M1423" s="46">
        <f t="shared" si="404"/>
        <v>51743</v>
      </c>
      <c r="N1423" s="46" t="s">
        <v>24</v>
      </c>
      <c r="O1423" s="48">
        <f t="shared" si="405"/>
        <v>0</v>
      </c>
      <c r="P1423" s="46">
        <v>0</v>
      </c>
      <c r="Q1423" s="46">
        <v>0</v>
      </c>
      <c r="R1423" s="49">
        <f t="shared" si="406"/>
        <v>1</v>
      </c>
      <c r="S1423" s="50">
        <f t="shared" si="407"/>
        <v>0.01</v>
      </c>
      <c r="T1423" s="49">
        <f t="shared" si="408"/>
        <v>517.43000000000006</v>
      </c>
      <c r="U1423" s="51">
        <f t="shared" si="409"/>
        <v>0</v>
      </c>
      <c r="V1423" s="52">
        <f>IF(0&lt;0.8,0,IF(0&lt;1,Sheet3!L561,1))*IF(G1423&lt;3,0.12 - O1423,0.01) *U1423</f>
        <v>0</v>
      </c>
      <c r="W1423" s="52">
        <f t="shared" si="410"/>
        <v>0</v>
      </c>
      <c r="X1423" s="53">
        <f t="shared" si="411"/>
        <v>0</v>
      </c>
      <c r="Y1423" s="53">
        <f t="shared" si="412"/>
        <v>0</v>
      </c>
      <c r="Z1423" s="54">
        <f>IF(R1423=1,0,"")</f>
        <v>0</v>
      </c>
      <c r="AA1423" s="54">
        <f t="shared" si="413"/>
        <v>0</v>
      </c>
      <c r="AB1423" s="55">
        <f>IF(R1423=0,"",0)</f>
        <v>0</v>
      </c>
      <c r="AC1423" s="55">
        <f t="shared" si="414"/>
        <v>0</v>
      </c>
      <c r="AD1423" s="56">
        <f t="shared" si="415"/>
        <v>517.43000000000006</v>
      </c>
    </row>
    <row r="1424" spans="3:30">
      <c r="C1424" s="43" t="s">
        <v>2606</v>
      </c>
      <c r="D1424" s="44" t="s">
        <v>2607</v>
      </c>
      <c r="E1424" s="44"/>
      <c r="F1424" s="45">
        <v>43165.347407407404</v>
      </c>
      <c r="G1424" s="46">
        <v>6</v>
      </c>
      <c r="H1424" s="47">
        <v>43411</v>
      </c>
      <c r="I1424" s="47">
        <v>43430</v>
      </c>
      <c r="J1424" s="46">
        <v>1233100</v>
      </c>
      <c r="K1424" s="46">
        <v>293079</v>
      </c>
      <c r="L1424" s="46">
        <v>0</v>
      </c>
      <c r="M1424" s="46">
        <f t="shared" si="404"/>
        <v>940021</v>
      </c>
      <c r="N1424" s="46">
        <v>1356410</v>
      </c>
      <c r="O1424" s="48">
        <f t="shared" si="405"/>
        <v>0.30697871587499359</v>
      </c>
      <c r="P1424" s="46">
        <v>0</v>
      </c>
      <c r="Q1424" s="46">
        <v>1233100</v>
      </c>
      <c r="R1424" s="49">
        <f t="shared" si="406"/>
        <v>1</v>
      </c>
      <c r="S1424" s="50">
        <f t="shared" si="407"/>
        <v>0.01</v>
      </c>
      <c r="T1424" s="49">
        <f t="shared" si="408"/>
        <v>9400.2100000000009</v>
      </c>
      <c r="U1424" s="51">
        <f t="shared" si="409"/>
        <v>0</v>
      </c>
      <c r="V1424" s="52">
        <f>IF(0&lt;0.8,0,IF(0&lt;1,Sheet3!L561,1))*IF(G1424&lt;3,0.12 - O1424,0.01) *U1424</f>
        <v>0</v>
      </c>
      <c r="W1424" s="52">
        <f t="shared" si="410"/>
        <v>0</v>
      </c>
      <c r="X1424" s="53">
        <f t="shared" si="411"/>
        <v>0</v>
      </c>
      <c r="Y1424" s="53">
        <f t="shared" si="412"/>
        <v>0</v>
      </c>
      <c r="Z1424" s="54">
        <f t="shared" ref="Z1424:Z1430" si="418">IF(R1424=1,0,0)</f>
        <v>0</v>
      </c>
      <c r="AA1424" s="54">
        <f t="shared" si="413"/>
        <v>0</v>
      </c>
      <c r="AB1424" s="55">
        <f t="shared" ref="AB1424:AB1430" si="419">IF(R1424=0,0,0)</f>
        <v>0</v>
      </c>
      <c r="AC1424" s="55">
        <f t="shared" si="414"/>
        <v>0</v>
      </c>
      <c r="AD1424" s="56">
        <f t="shared" si="415"/>
        <v>9400.2100000000009</v>
      </c>
    </row>
    <row r="1425" spans="3:30">
      <c r="C1425" s="43" t="s">
        <v>2608</v>
      </c>
      <c r="D1425" s="44" t="s">
        <v>2609</v>
      </c>
      <c r="E1425" s="44"/>
      <c r="F1425" s="45">
        <v>43166.356736111113</v>
      </c>
      <c r="G1425" s="46">
        <v>6</v>
      </c>
      <c r="H1425" s="47">
        <v>43379</v>
      </c>
      <c r="I1425" s="47">
        <v>43420</v>
      </c>
      <c r="J1425" s="46">
        <v>116463</v>
      </c>
      <c r="K1425" s="46">
        <v>0</v>
      </c>
      <c r="L1425" s="46">
        <v>0</v>
      </c>
      <c r="M1425" s="46">
        <f t="shared" si="404"/>
        <v>116463</v>
      </c>
      <c r="N1425" s="46">
        <v>116463</v>
      </c>
      <c r="O1425" s="48">
        <f t="shared" si="405"/>
        <v>0</v>
      </c>
      <c r="P1425" s="46">
        <v>0</v>
      </c>
      <c r="Q1425" s="46">
        <v>116463</v>
      </c>
      <c r="R1425" s="49">
        <f t="shared" si="406"/>
        <v>1</v>
      </c>
      <c r="S1425" s="50">
        <f t="shared" si="407"/>
        <v>0.01</v>
      </c>
      <c r="T1425" s="49">
        <f t="shared" si="408"/>
        <v>1164.6300000000001</v>
      </c>
      <c r="U1425" s="51">
        <f t="shared" si="409"/>
        <v>0</v>
      </c>
      <c r="V1425" s="52">
        <f>IF(0&lt;0.8,0,IF(0&lt;1,Sheet3!L561,1))*IF(G1425&lt;3,0.12 - O1425,0.01) *U1425</f>
        <v>0</v>
      </c>
      <c r="W1425" s="52">
        <f t="shared" si="410"/>
        <v>0</v>
      </c>
      <c r="X1425" s="53">
        <f t="shared" si="411"/>
        <v>0</v>
      </c>
      <c r="Y1425" s="53">
        <f t="shared" si="412"/>
        <v>0</v>
      </c>
      <c r="Z1425" s="54">
        <f t="shared" si="418"/>
        <v>0</v>
      </c>
      <c r="AA1425" s="54">
        <f t="shared" si="413"/>
        <v>0</v>
      </c>
      <c r="AB1425" s="55">
        <f t="shared" si="419"/>
        <v>0</v>
      </c>
      <c r="AC1425" s="55">
        <f t="shared" si="414"/>
        <v>0</v>
      </c>
      <c r="AD1425" s="56">
        <f t="shared" si="415"/>
        <v>1164.6300000000001</v>
      </c>
    </row>
    <row r="1426" spans="3:30">
      <c r="C1426" s="43" t="s">
        <v>2610</v>
      </c>
      <c r="D1426" s="44" t="s">
        <v>2611</v>
      </c>
      <c r="E1426" s="44"/>
      <c r="F1426" s="45">
        <v>43172.292546296296</v>
      </c>
      <c r="G1426" s="46">
        <v>6</v>
      </c>
      <c r="H1426" s="47" t="s">
        <v>24</v>
      </c>
      <c r="I1426" s="47" t="s">
        <v>24</v>
      </c>
      <c r="J1426" s="46">
        <v>3293373</v>
      </c>
      <c r="K1426" s="46">
        <v>0</v>
      </c>
      <c r="L1426" s="46">
        <v>0</v>
      </c>
      <c r="M1426" s="46">
        <f t="shared" si="404"/>
        <v>3293373</v>
      </c>
      <c r="N1426" s="46">
        <v>3293373</v>
      </c>
      <c r="O1426" s="48">
        <f t="shared" si="405"/>
        <v>0</v>
      </c>
      <c r="P1426" s="46">
        <v>0</v>
      </c>
      <c r="Q1426" s="46">
        <v>3293373</v>
      </c>
      <c r="R1426" s="49">
        <f t="shared" si="406"/>
        <v>1</v>
      </c>
      <c r="S1426" s="50">
        <f t="shared" si="407"/>
        <v>0.01</v>
      </c>
      <c r="T1426" s="49">
        <f t="shared" si="408"/>
        <v>32933.730000000003</v>
      </c>
      <c r="U1426" s="51">
        <f t="shared" si="409"/>
        <v>0</v>
      </c>
      <c r="V1426" s="52">
        <f>IF(0&lt;0.8,0,IF(0&lt;1,Sheet3!L561,1))*IF(G1426&lt;3,0.12 - O1426,0.01) *U1426</f>
        <v>0</v>
      </c>
      <c r="W1426" s="52">
        <f t="shared" si="410"/>
        <v>0</v>
      </c>
      <c r="X1426" s="53">
        <f t="shared" si="411"/>
        <v>0</v>
      </c>
      <c r="Y1426" s="53">
        <f t="shared" si="412"/>
        <v>0</v>
      </c>
      <c r="Z1426" s="54">
        <f t="shared" si="418"/>
        <v>0</v>
      </c>
      <c r="AA1426" s="54">
        <f t="shared" si="413"/>
        <v>0</v>
      </c>
      <c r="AB1426" s="55">
        <f t="shared" si="419"/>
        <v>0</v>
      </c>
      <c r="AC1426" s="55">
        <f t="shared" si="414"/>
        <v>0</v>
      </c>
      <c r="AD1426" s="56">
        <f t="shared" si="415"/>
        <v>32933.730000000003</v>
      </c>
    </row>
    <row r="1427" spans="3:30">
      <c r="C1427" s="43" t="s">
        <v>2612</v>
      </c>
      <c r="D1427" s="44" t="s">
        <v>2613</v>
      </c>
      <c r="E1427" s="44"/>
      <c r="F1427" s="45">
        <v>43175.093124999999</v>
      </c>
      <c r="G1427" s="46">
        <v>6</v>
      </c>
      <c r="H1427" s="47">
        <v>43379</v>
      </c>
      <c r="I1427" s="47">
        <v>43396</v>
      </c>
      <c r="J1427" s="46">
        <v>1829582</v>
      </c>
      <c r="K1427" s="46">
        <v>0</v>
      </c>
      <c r="L1427" s="46">
        <v>0</v>
      </c>
      <c r="M1427" s="46">
        <f t="shared" si="404"/>
        <v>1829582</v>
      </c>
      <c r="N1427" s="46">
        <v>1829582</v>
      </c>
      <c r="O1427" s="48">
        <f t="shared" si="405"/>
        <v>0</v>
      </c>
      <c r="P1427" s="46">
        <v>0</v>
      </c>
      <c r="Q1427" s="46">
        <v>1829582</v>
      </c>
      <c r="R1427" s="49">
        <f t="shared" si="406"/>
        <v>1</v>
      </c>
      <c r="S1427" s="50">
        <f t="shared" si="407"/>
        <v>0.01</v>
      </c>
      <c r="T1427" s="49">
        <f t="shared" si="408"/>
        <v>18295.82</v>
      </c>
      <c r="U1427" s="51">
        <f t="shared" si="409"/>
        <v>0</v>
      </c>
      <c r="V1427" s="52">
        <f>IF(0&lt;0.8,0,IF(0&lt;1,Sheet3!L561,1))*IF(G1427&lt;3,0.12 - O1427,0.01) *U1427</f>
        <v>0</v>
      </c>
      <c r="W1427" s="52">
        <f t="shared" si="410"/>
        <v>0</v>
      </c>
      <c r="X1427" s="53">
        <f t="shared" si="411"/>
        <v>0</v>
      </c>
      <c r="Y1427" s="53">
        <f t="shared" si="412"/>
        <v>0</v>
      </c>
      <c r="Z1427" s="54">
        <f t="shared" si="418"/>
        <v>0</v>
      </c>
      <c r="AA1427" s="54">
        <f t="shared" si="413"/>
        <v>0</v>
      </c>
      <c r="AB1427" s="55">
        <f t="shared" si="419"/>
        <v>0</v>
      </c>
      <c r="AC1427" s="55">
        <f t="shared" si="414"/>
        <v>0</v>
      </c>
      <c r="AD1427" s="56">
        <f t="shared" si="415"/>
        <v>18295.82</v>
      </c>
    </row>
    <row r="1428" spans="3:30">
      <c r="C1428" s="43" t="s">
        <v>2614</v>
      </c>
      <c r="D1428" s="44" t="s">
        <v>2143</v>
      </c>
      <c r="E1428" s="44"/>
      <c r="F1428" s="45">
        <v>43175.090983796297</v>
      </c>
      <c r="G1428" s="46">
        <v>6</v>
      </c>
      <c r="H1428" s="47">
        <v>43404</v>
      </c>
      <c r="I1428" s="47">
        <v>43412</v>
      </c>
      <c r="J1428" s="46">
        <v>71060</v>
      </c>
      <c r="K1428" s="46">
        <v>0</v>
      </c>
      <c r="L1428" s="46">
        <v>0</v>
      </c>
      <c r="M1428" s="46">
        <f t="shared" si="404"/>
        <v>71060</v>
      </c>
      <c r="N1428" s="46">
        <v>105029</v>
      </c>
      <c r="O1428" s="48">
        <f t="shared" si="405"/>
        <v>0.32342495882089706</v>
      </c>
      <c r="P1428" s="46">
        <v>0</v>
      </c>
      <c r="Q1428" s="46">
        <v>71060</v>
      </c>
      <c r="R1428" s="49">
        <f t="shared" si="406"/>
        <v>1</v>
      </c>
      <c r="S1428" s="50">
        <f t="shared" si="407"/>
        <v>0.01</v>
      </c>
      <c r="T1428" s="49">
        <f t="shared" si="408"/>
        <v>710.6</v>
      </c>
      <c r="U1428" s="51">
        <f t="shared" si="409"/>
        <v>0</v>
      </c>
      <c r="V1428" s="52">
        <f>IF(0&lt;0.8,0,IF(0&lt;1,Sheet3!L561,1))*IF(G1428&lt;3,0.12 - O1428,0.01) *U1428</f>
        <v>0</v>
      </c>
      <c r="W1428" s="52">
        <f t="shared" si="410"/>
        <v>0</v>
      </c>
      <c r="X1428" s="53">
        <f t="shared" si="411"/>
        <v>0</v>
      </c>
      <c r="Y1428" s="53">
        <f t="shared" si="412"/>
        <v>0</v>
      </c>
      <c r="Z1428" s="54">
        <f t="shared" si="418"/>
        <v>0</v>
      </c>
      <c r="AA1428" s="54">
        <f t="shared" si="413"/>
        <v>0</v>
      </c>
      <c r="AB1428" s="55">
        <f t="shared" si="419"/>
        <v>0</v>
      </c>
      <c r="AC1428" s="55">
        <f t="shared" si="414"/>
        <v>0</v>
      </c>
      <c r="AD1428" s="56">
        <f t="shared" si="415"/>
        <v>710.6</v>
      </c>
    </row>
    <row r="1429" spans="3:30">
      <c r="C1429" s="43" t="s">
        <v>2615</v>
      </c>
      <c r="D1429" s="44" t="s">
        <v>2616</v>
      </c>
      <c r="E1429" s="44"/>
      <c r="F1429" s="45">
        <v>43175.357638888891</v>
      </c>
      <c r="G1429" s="46">
        <v>6</v>
      </c>
      <c r="H1429" s="47" t="s">
        <v>24</v>
      </c>
      <c r="I1429" s="47" t="s">
        <v>24</v>
      </c>
      <c r="J1429" s="46">
        <v>2309894</v>
      </c>
      <c r="K1429" s="46">
        <v>0</v>
      </c>
      <c r="L1429" s="46">
        <v>0</v>
      </c>
      <c r="M1429" s="46">
        <f t="shared" si="404"/>
        <v>2309894</v>
      </c>
      <c r="N1429" s="46">
        <v>2309894</v>
      </c>
      <c r="O1429" s="48">
        <f t="shared" si="405"/>
        <v>0</v>
      </c>
      <c r="P1429" s="46">
        <v>0</v>
      </c>
      <c r="Q1429" s="46">
        <v>2309894</v>
      </c>
      <c r="R1429" s="49">
        <f t="shared" si="406"/>
        <v>1</v>
      </c>
      <c r="S1429" s="50">
        <f t="shared" si="407"/>
        <v>0.01</v>
      </c>
      <c r="T1429" s="49">
        <f t="shared" si="408"/>
        <v>23098.94</v>
      </c>
      <c r="U1429" s="51">
        <f t="shared" si="409"/>
        <v>0</v>
      </c>
      <c r="V1429" s="52">
        <f>IF(0&lt;0.8,0,IF(0&lt;1,Sheet3!L561,1))*IF(G1429&lt;3,0.12 - O1429,0.01) *U1429</f>
        <v>0</v>
      </c>
      <c r="W1429" s="52">
        <f t="shared" si="410"/>
        <v>0</v>
      </c>
      <c r="X1429" s="53">
        <f t="shared" si="411"/>
        <v>0</v>
      </c>
      <c r="Y1429" s="53">
        <f t="shared" si="412"/>
        <v>0</v>
      </c>
      <c r="Z1429" s="54">
        <f t="shared" si="418"/>
        <v>0</v>
      </c>
      <c r="AA1429" s="54">
        <f t="shared" si="413"/>
        <v>0</v>
      </c>
      <c r="AB1429" s="55">
        <f t="shared" si="419"/>
        <v>0</v>
      </c>
      <c r="AC1429" s="55">
        <f t="shared" si="414"/>
        <v>0</v>
      </c>
      <c r="AD1429" s="56">
        <f t="shared" si="415"/>
        <v>23098.94</v>
      </c>
    </row>
    <row r="1430" spans="3:30">
      <c r="C1430" s="43" t="s">
        <v>2617</v>
      </c>
      <c r="D1430" s="44" t="s">
        <v>2618</v>
      </c>
      <c r="E1430" s="44"/>
      <c r="F1430" s="45">
        <v>43175.35664351852</v>
      </c>
      <c r="G1430" s="46">
        <v>6</v>
      </c>
      <c r="H1430" s="47">
        <v>43379</v>
      </c>
      <c r="I1430" s="47">
        <v>43403</v>
      </c>
      <c r="J1430" s="46">
        <v>882666</v>
      </c>
      <c r="K1430" s="46">
        <v>0</v>
      </c>
      <c r="L1430" s="46">
        <v>0</v>
      </c>
      <c r="M1430" s="46">
        <f t="shared" si="404"/>
        <v>882666</v>
      </c>
      <c r="N1430" s="46">
        <v>969690</v>
      </c>
      <c r="O1430" s="48">
        <f t="shared" si="405"/>
        <v>8.9744145036042444E-2</v>
      </c>
      <c r="P1430" s="46">
        <v>0</v>
      </c>
      <c r="Q1430" s="46">
        <v>882666</v>
      </c>
      <c r="R1430" s="49">
        <f t="shared" si="406"/>
        <v>1</v>
      </c>
      <c r="S1430" s="50">
        <f t="shared" si="407"/>
        <v>0.01</v>
      </c>
      <c r="T1430" s="49">
        <f t="shared" si="408"/>
        <v>8826.66</v>
      </c>
      <c r="U1430" s="51">
        <f t="shared" si="409"/>
        <v>0</v>
      </c>
      <c r="V1430" s="52">
        <f>IF(0&lt;0.8,0,IF(0&lt;1,Sheet3!L561,1))*IF(G1430&lt;3,0.12 - O1430,0.01) *U1430</f>
        <v>0</v>
      </c>
      <c r="W1430" s="52">
        <f t="shared" si="410"/>
        <v>0</v>
      </c>
      <c r="X1430" s="53">
        <f t="shared" si="411"/>
        <v>0</v>
      </c>
      <c r="Y1430" s="53">
        <f t="shared" si="412"/>
        <v>0</v>
      </c>
      <c r="Z1430" s="54">
        <f t="shared" si="418"/>
        <v>0</v>
      </c>
      <c r="AA1430" s="54">
        <f t="shared" si="413"/>
        <v>0</v>
      </c>
      <c r="AB1430" s="55">
        <f t="shared" si="419"/>
        <v>0</v>
      </c>
      <c r="AC1430" s="55">
        <f t="shared" si="414"/>
        <v>0</v>
      </c>
      <c r="AD1430" s="56">
        <f t="shared" si="415"/>
        <v>8826.66</v>
      </c>
    </row>
    <row r="1431" spans="3:30">
      <c r="C1431" s="43" t="s">
        <v>2619</v>
      </c>
      <c r="D1431" s="44" t="s">
        <v>24</v>
      </c>
      <c r="E1431" s="44"/>
      <c r="F1431" s="45" t="s">
        <v>24</v>
      </c>
      <c r="G1431" s="46" t="s">
        <v>24</v>
      </c>
      <c r="H1431" s="47" t="s">
        <v>24</v>
      </c>
      <c r="I1431" s="47" t="s">
        <v>24</v>
      </c>
      <c r="J1431" s="46">
        <v>4530520</v>
      </c>
      <c r="K1431" s="46">
        <v>0</v>
      </c>
      <c r="L1431" s="46">
        <v>0</v>
      </c>
      <c r="M1431" s="46">
        <f t="shared" si="404"/>
        <v>4530520</v>
      </c>
      <c r="N1431" s="46" t="s">
        <v>24</v>
      </c>
      <c r="O1431" s="48">
        <f t="shared" si="405"/>
        <v>0</v>
      </c>
      <c r="P1431" s="46">
        <v>0</v>
      </c>
      <c r="Q1431" s="46">
        <v>0</v>
      </c>
      <c r="R1431" s="49">
        <f t="shared" si="406"/>
        <v>0</v>
      </c>
      <c r="S1431" s="50">
        <f t="shared" si="407"/>
        <v>0</v>
      </c>
      <c r="T1431" s="49">
        <f t="shared" si="408"/>
        <v>0</v>
      </c>
      <c r="U1431" s="51">
        <f t="shared" si="409"/>
        <v>4530520</v>
      </c>
      <c r="V1431" s="52">
        <f>IF(0&lt;0.8,0,IF(0&lt;1,Sheet3!L561,1))*IF(G1431&lt;3,0.12 - O1431,0.01) *U1431</f>
        <v>0</v>
      </c>
      <c r="W1431" s="52">
        <f t="shared" si="410"/>
        <v>0</v>
      </c>
      <c r="X1431" s="53">
        <f t="shared" si="411"/>
        <v>0</v>
      </c>
      <c r="Y1431" s="53">
        <f t="shared" si="412"/>
        <v>0</v>
      </c>
      <c r="Z1431" s="54" t="str">
        <f>IF(R1431=1,0,"")</f>
        <v/>
      </c>
      <c r="AA1431" s="54">
        <f t="shared" si="413"/>
        <v>0</v>
      </c>
      <c r="AB1431" s="55" t="str">
        <f>IF(R1431=0,"",0)</f>
        <v/>
      </c>
      <c r="AC1431" s="55">
        <f t="shared" si="414"/>
        <v>0</v>
      </c>
      <c r="AD1431" s="56">
        <f t="shared" si="415"/>
        <v>0</v>
      </c>
    </row>
    <row r="1432" spans="3:30">
      <c r="C1432" s="43" t="s">
        <v>2620</v>
      </c>
      <c r="D1432" s="44" t="s">
        <v>2621</v>
      </c>
      <c r="E1432" s="44"/>
      <c r="F1432" s="45">
        <v>43182.299143518518</v>
      </c>
      <c r="G1432" s="46">
        <v>6</v>
      </c>
      <c r="H1432" s="47">
        <v>43376</v>
      </c>
      <c r="I1432" s="47">
        <v>43390</v>
      </c>
      <c r="J1432" s="46">
        <v>55736</v>
      </c>
      <c r="K1432" s="46">
        <v>0</v>
      </c>
      <c r="L1432" s="46">
        <v>0</v>
      </c>
      <c r="M1432" s="46">
        <f t="shared" si="404"/>
        <v>55736</v>
      </c>
      <c r="N1432" s="46">
        <v>55736</v>
      </c>
      <c r="O1432" s="48">
        <f t="shared" si="405"/>
        <v>0</v>
      </c>
      <c r="P1432" s="46">
        <v>0</v>
      </c>
      <c r="Q1432" s="46">
        <v>55736</v>
      </c>
      <c r="R1432" s="49">
        <f t="shared" si="406"/>
        <v>1</v>
      </c>
      <c r="S1432" s="50">
        <f t="shared" si="407"/>
        <v>0.01</v>
      </c>
      <c r="T1432" s="49">
        <f t="shared" si="408"/>
        <v>557.36</v>
      </c>
      <c r="U1432" s="51">
        <f t="shared" si="409"/>
        <v>0</v>
      </c>
      <c r="V1432" s="52">
        <f>IF(0&lt;0.8,0,IF(0&lt;1,Sheet3!L561,1))*IF(G1432&lt;3,0.12 - O1432,0.01) *U1432</f>
        <v>0</v>
      </c>
      <c r="W1432" s="52">
        <f t="shared" si="410"/>
        <v>0</v>
      </c>
      <c r="X1432" s="53">
        <f t="shared" si="411"/>
        <v>0</v>
      </c>
      <c r="Y1432" s="53">
        <f t="shared" si="412"/>
        <v>0</v>
      </c>
      <c r="Z1432" s="54">
        <f t="shared" ref="Z1432:Z1459" si="420">IF(R1432=1,0,0)</f>
        <v>0</v>
      </c>
      <c r="AA1432" s="54">
        <f t="shared" si="413"/>
        <v>0</v>
      </c>
      <c r="AB1432" s="55">
        <f t="shared" ref="AB1432:AB1459" si="421">IF(R1432=0,0,0)</f>
        <v>0</v>
      </c>
      <c r="AC1432" s="55">
        <f t="shared" si="414"/>
        <v>0</v>
      </c>
      <c r="AD1432" s="56">
        <f t="shared" si="415"/>
        <v>557.36</v>
      </c>
    </row>
    <row r="1433" spans="3:30">
      <c r="C1433" s="43" t="s">
        <v>2622</v>
      </c>
      <c r="D1433" s="44" t="s">
        <v>2623</v>
      </c>
      <c r="E1433" s="44"/>
      <c r="F1433" s="45">
        <v>43186.082858796297</v>
      </c>
      <c r="G1433" s="46">
        <v>6</v>
      </c>
      <c r="H1433" s="47">
        <v>43398</v>
      </c>
      <c r="I1433" s="47">
        <v>43426</v>
      </c>
      <c r="J1433" s="46">
        <v>5760000</v>
      </c>
      <c r="K1433" s="46">
        <v>0</v>
      </c>
      <c r="L1433" s="46">
        <v>0</v>
      </c>
      <c r="M1433" s="46">
        <f t="shared" si="404"/>
        <v>5760000</v>
      </c>
      <c r="N1433" s="46">
        <v>4414685</v>
      </c>
      <c r="O1433" s="48">
        <f t="shared" si="405"/>
        <v>0</v>
      </c>
      <c r="P1433" s="46">
        <v>0</v>
      </c>
      <c r="Q1433" s="46">
        <v>6240000</v>
      </c>
      <c r="R1433" s="49">
        <f t="shared" si="406"/>
        <v>1</v>
      </c>
      <c r="S1433" s="50">
        <f t="shared" si="407"/>
        <v>0.01</v>
      </c>
      <c r="T1433" s="49">
        <f t="shared" si="408"/>
        <v>57600</v>
      </c>
      <c r="U1433" s="51">
        <f t="shared" si="409"/>
        <v>0</v>
      </c>
      <c r="V1433" s="52">
        <f>IF(0&lt;0.8,0,IF(0&lt;1,Sheet3!L561,1))*IF(G1433&lt;3,0.12 - O1433,0.01) *U1433</f>
        <v>0</v>
      </c>
      <c r="W1433" s="52">
        <f t="shared" si="410"/>
        <v>0</v>
      </c>
      <c r="X1433" s="53">
        <f t="shared" si="411"/>
        <v>0</v>
      </c>
      <c r="Y1433" s="53">
        <f t="shared" si="412"/>
        <v>0</v>
      </c>
      <c r="Z1433" s="54">
        <f t="shared" si="420"/>
        <v>0</v>
      </c>
      <c r="AA1433" s="54">
        <f t="shared" si="413"/>
        <v>0</v>
      </c>
      <c r="AB1433" s="55">
        <f t="shared" si="421"/>
        <v>0</v>
      </c>
      <c r="AC1433" s="55">
        <f t="shared" si="414"/>
        <v>0</v>
      </c>
      <c r="AD1433" s="56">
        <f t="shared" si="415"/>
        <v>57600</v>
      </c>
    </row>
    <row r="1434" spans="3:30">
      <c r="C1434" s="43" t="s">
        <v>2624</v>
      </c>
      <c r="D1434" s="44" t="s">
        <v>2625</v>
      </c>
      <c r="E1434" s="44"/>
      <c r="F1434" s="45">
        <v>43188.31927083333</v>
      </c>
      <c r="G1434" s="46">
        <v>6</v>
      </c>
      <c r="H1434" s="47">
        <v>43382</v>
      </c>
      <c r="I1434" s="47">
        <v>43391</v>
      </c>
      <c r="J1434" s="46">
        <v>66550</v>
      </c>
      <c r="K1434" s="46">
        <v>0</v>
      </c>
      <c r="L1434" s="46">
        <v>0</v>
      </c>
      <c r="M1434" s="46">
        <f t="shared" si="404"/>
        <v>66550</v>
      </c>
      <c r="N1434" s="46">
        <v>66550</v>
      </c>
      <c r="O1434" s="48">
        <f t="shared" si="405"/>
        <v>0</v>
      </c>
      <c r="P1434" s="46">
        <v>0</v>
      </c>
      <c r="Q1434" s="46">
        <v>66550</v>
      </c>
      <c r="R1434" s="49">
        <f t="shared" si="406"/>
        <v>1</v>
      </c>
      <c r="S1434" s="50">
        <f t="shared" si="407"/>
        <v>0.01</v>
      </c>
      <c r="T1434" s="49">
        <f t="shared" si="408"/>
        <v>665.5</v>
      </c>
      <c r="U1434" s="51">
        <f t="shared" si="409"/>
        <v>0</v>
      </c>
      <c r="V1434" s="52">
        <f>IF(0&lt;0.8,0,IF(0&lt;1,Sheet3!L561,1))*IF(G1434&lt;3,0.12 - O1434,0.01) *U1434</f>
        <v>0</v>
      </c>
      <c r="W1434" s="52">
        <f t="shared" si="410"/>
        <v>0</v>
      </c>
      <c r="X1434" s="53">
        <f t="shared" si="411"/>
        <v>0</v>
      </c>
      <c r="Y1434" s="53">
        <f t="shared" si="412"/>
        <v>0</v>
      </c>
      <c r="Z1434" s="54">
        <f t="shared" si="420"/>
        <v>0</v>
      </c>
      <c r="AA1434" s="54">
        <f t="shared" si="413"/>
        <v>0</v>
      </c>
      <c r="AB1434" s="55">
        <f t="shared" si="421"/>
        <v>0</v>
      </c>
      <c r="AC1434" s="55">
        <f t="shared" si="414"/>
        <v>0</v>
      </c>
      <c r="AD1434" s="56">
        <f t="shared" si="415"/>
        <v>665.5</v>
      </c>
    </row>
    <row r="1435" spans="3:30">
      <c r="C1435" s="43" t="s">
        <v>2626</v>
      </c>
      <c r="D1435" s="44" t="s">
        <v>2627</v>
      </c>
      <c r="E1435" s="44"/>
      <c r="F1435" s="45">
        <v>43190.08452546296</v>
      </c>
      <c r="G1435" s="46">
        <v>6</v>
      </c>
      <c r="H1435" s="47">
        <v>43379</v>
      </c>
      <c r="I1435" s="47">
        <v>43400</v>
      </c>
      <c r="J1435" s="46">
        <v>481217</v>
      </c>
      <c r="K1435" s="46">
        <v>0</v>
      </c>
      <c r="L1435" s="46">
        <v>0</v>
      </c>
      <c r="M1435" s="46">
        <f t="shared" si="404"/>
        <v>481217</v>
      </c>
      <c r="N1435" s="46">
        <v>481217</v>
      </c>
      <c r="O1435" s="48">
        <f t="shared" si="405"/>
        <v>0</v>
      </c>
      <c r="P1435" s="46">
        <v>0</v>
      </c>
      <c r="Q1435" s="46">
        <v>481217</v>
      </c>
      <c r="R1435" s="49">
        <f t="shared" si="406"/>
        <v>1</v>
      </c>
      <c r="S1435" s="50">
        <f t="shared" si="407"/>
        <v>0.01</v>
      </c>
      <c r="T1435" s="49">
        <f t="shared" si="408"/>
        <v>4812.17</v>
      </c>
      <c r="U1435" s="51">
        <f t="shared" si="409"/>
        <v>0</v>
      </c>
      <c r="V1435" s="52">
        <f>IF(0&lt;0.8,0,IF(0&lt;1,Sheet3!L561,1))*IF(G1435&lt;3,0.12 - O1435,0.01) *U1435</f>
        <v>0</v>
      </c>
      <c r="W1435" s="52">
        <f t="shared" si="410"/>
        <v>0</v>
      </c>
      <c r="X1435" s="53">
        <f t="shared" si="411"/>
        <v>0</v>
      </c>
      <c r="Y1435" s="53">
        <f t="shared" si="412"/>
        <v>0</v>
      </c>
      <c r="Z1435" s="54">
        <f t="shared" si="420"/>
        <v>0</v>
      </c>
      <c r="AA1435" s="54">
        <f t="shared" si="413"/>
        <v>0</v>
      </c>
      <c r="AB1435" s="55">
        <f t="shared" si="421"/>
        <v>0</v>
      </c>
      <c r="AC1435" s="55">
        <f t="shared" si="414"/>
        <v>0</v>
      </c>
      <c r="AD1435" s="56">
        <f t="shared" si="415"/>
        <v>4812.17</v>
      </c>
    </row>
    <row r="1436" spans="3:30">
      <c r="C1436" s="43" t="s">
        <v>2628</v>
      </c>
      <c r="D1436" s="44" t="s">
        <v>2629</v>
      </c>
      <c r="E1436" s="44"/>
      <c r="F1436" s="45">
        <v>43190.083379629628</v>
      </c>
      <c r="G1436" s="46">
        <v>6</v>
      </c>
      <c r="H1436" s="47">
        <v>43403</v>
      </c>
      <c r="I1436" s="47">
        <v>43418</v>
      </c>
      <c r="J1436" s="46">
        <v>2344349</v>
      </c>
      <c r="K1436" s="46">
        <v>49672</v>
      </c>
      <c r="L1436" s="46">
        <v>0</v>
      </c>
      <c r="M1436" s="46">
        <f t="shared" si="404"/>
        <v>2294677</v>
      </c>
      <c r="N1436" s="46">
        <v>4537115</v>
      </c>
      <c r="O1436" s="48">
        <f t="shared" si="405"/>
        <v>0.49424314790345847</v>
      </c>
      <c r="P1436" s="46">
        <v>0</v>
      </c>
      <c r="Q1436" s="46">
        <v>2344349</v>
      </c>
      <c r="R1436" s="49">
        <f t="shared" si="406"/>
        <v>1</v>
      </c>
      <c r="S1436" s="50">
        <f t="shared" si="407"/>
        <v>0.01</v>
      </c>
      <c r="T1436" s="49">
        <f t="shared" si="408"/>
        <v>22946.77</v>
      </c>
      <c r="U1436" s="51">
        <f t="shared" si="409"/>
        <v>0</v>
      </c>
      <c r="V1436" s="52">
        <f>IF(0&lt;0.8,0,IF(0&lt;1,Sheet3!L561,1))*IF(G1436&lt;3,0.12 - O1436,0.01) *U1436</f>
        <v>0</v>
      </c>
      <c r="W1436" s="52">
        <f t="shared" si="410"/>
        <v>0</v>
      </c>
      <c r="X1436" s="53">
        <f t="shared" si="411"/>
        <v>0</v>
      </c>
      <c r="Y1436" s="53">
        <f t="shared" si="412"/>
        <v>0</v>
      </c>
      <c r="Z1436" s="54">
        <f t="shared" si="420"/>
        <v>0</v>
      </c>
      <c r="AA1436" s="54">
        <f t="shared" si="413"/>
        <v>0</v>
      </c>
      <c r="AB1436" s="55">
        <f t="shared" si="421"/>
        <v>0</v>
      </c>
      <c r="AC1436" s="55">
        <f t="shared" si="414"/>
        <v>0</v>
      </c>
      <c r="AD1436" s="56">
        <f t="shared" si="415"/>
        <v>22946.77</v>
      </c>
    </row>
    <row r="1437" spans="3:30">
      <c r="C1437" s="43" t="s">
        <v>2630</v>
      </c>
      <c r="D1437" s="44" t="s">
        <v>2631</v>
      </c>
      <c r="E1437" s="44"/>
      <c r="F1437" s="45">
        <v>43190.085428240738</v>
      </c>
      <c r="G1437" s="46">
        <v>6</v>
      </c>
      <c r="H1437" s="47">
        <v>43379</v>
      </c>
      <c r="I1437" s="47">
        <v>43397</v>
      </c>
      <c r="J1437" s="46">
        <v>204998</v>
      </c>
      <c r="K1437" s="46">
        <v>0</v>
      </c>
      <c r="L1437" s="46">
        <v>0</v>
      </c>
      <c r="M1437" s="46">
        <f t="shared" si="404"/>
        <v>204998</v>
      </c>
      <c r="N1437" s="46">
        <v>204998</v>
      </c>
      <c r="O1437" s="48">
        <f t="shared" si="405"/>
        <v>0</v>
      </c>
      <c r="P1437" s="46">
        <v>0</v>
      </c>
      <c r="Q1437" s="46">
        <v>204998</v>
      </c>
      <c r="R1437" s="49">
        <f t="shared" si="406"/>
        <v>1</v>
      </c>
      <c r="S1437" s="50">
        <f t="shared" si="407"/>
        <v>0.01</v>
      </c>
      <c r="T1437" s="49">
        <f t="shared" si="408"/>
        <v>2049.98</v>
      </c>
      <c r="U1437" s="51">
        <f t="shared" si="409"/>
        <v>0</v>
      </c>
      <c r="V1437" s="52">
        <f>IF(0&lt;0.8,0,IF(0&lt;1,Sheet3!L561,1))*IF(G1437&lt;3,0.12 - O1437,0.01) *U1437</f>
        <v>0</v>
      </c>
      <c r="W1437" s="52">
        <f t="shared" si="410"/>
        <v>0</v>
      </c>
      <c r="X1437" s="53">
        <f t="shared" si="411"/>
        <v>0</v>
      </c>
      <c r="Y1437" s="53">
        <f t="shared" si="412"/>
        <v>0</v>
      </c>
      <c r="Z1437" s="54">
        <f t="shared" si="420"/>
        <v>0</v>
      </c>
      <c r="AA1437" s="54">
        <f t="shared" si="413"/>
        <v>0</v>
      </c>
      <c r="AB1437" s="55">
        <f t="shared" si="421"/>
        <v>0</v>
      </c>
      <c r="AC1437" s="55">
        <f t="shared" si="414"/>
        <v>0</v>
      </c>
      <c r="AD1437" s="56">
        <f t="shared" si="415"/>
        <v>2049.98</v>
      </c>
    </row>
    <row r="1438" spans="3:30">
      <c r="C1438" s="43" t="s">
        <v>2632</v>
      </c>
      <c r="D1438" s="44" t="s">
        <v>2633</v>
      </c>
      <c r="E1438" s="44"/>
      <c r="F1438" s="45">
        <v>43192.407534722217</v>
      </c>
      <c r="G1438" s="46">
        <v>5</v>
      </c>
      <c r="H1438" s="47">
        <v>43372</v>
      </c>
      <c r="I1438" s="47">
        <v>43399</v>
      </c>
      <c r="J1438" s="46">
        <v>1899002</v>
      </c>
      <c r="K1438" s="46">
        <v>0</v>
      </c>
      <c r="L1438" s="46">
        <v>0</v>
      </c>
      <c r="M1438" s="46">
        <f t="shared" si="404"/>
        <v>1899002</v>
      </c>
      <c r="N1438" s="46">
        <v>1899002</v>
      </c>
      <c r="O1438" s="48">
        <f t="shared" si="405"/>
        <v>0</v>
      </c>
      <c r="P1438" s="46">
        <v>0</v>
      </c>
      <c r="Q1438" s="46">
        <v>1899002</v>
      </c>
      <c r="R1438" s="49">
        <f t="shared" si="406"/>
        <v>1</v>
      </c>
      <c r="S1438" s="50">
        <f t="shared" si="407"/>
        <v>0.01</v>
      </c>
      <c r="T1438" s="49">
        <f t="shared" si="408"/>
        <v>18990.02</v>
      </c>
      <c r="U1438" s="51">
        <f t="shared" si="409"/>
        <v>0</v>
      </c>
      <c r="V1438" s="52">
        <f>IF(0&lt;0.8,0,IF(0&lt;1,Sheet3!L561,1))*IF(G1438&lt;3,0.12 - O1438,0.01) *U1438</f>
        <v>0</v>
      </c>
      <c r="W1438" s="52">
        <f t="shared" si="410"/>
        <v>0</v>
      </c>
      <c r="X1438" s="53">
        <f t="shared" si="411"/>
        <v>0</v>
      </c>
      <c r="Y1438" s="53">
        <f t="shared" si="412"/>
        <v>0</v>
      </c>
      <c r="Z1438" s="54">
        <f t="shared" si="420"/>
        <v>0</v>
      </c>
      <c r="AA1438" s="54">
        <f t="shared" si="413"/>
        <v>0</v>
      </c>
      <c r="AB1438" s="55">
        <f t="shared" si="421"/>
        <v>0</v>
      </c>
      <c r="AC1438" s="55">
        <f t="shared" si="414"/>
        <v>0</v>
      </c>
      <c r="AD1438" s="56">
        <f t="shared" si="415"/>
        <v>18990.02</v>
      </c>
    </row>
    <row r="1439" spans="3:30">
      <c r="C1439" s="43" t="s">
        <v>2634</v>
      </c>
      <c r="D1439" s="44" t="s">
        <v>2635</v>
      </c>
      <c r="E1439" s="44"/>
      <c r="F1439" s="45">
        <v>43196.0777662037</v>
      </c>
      <c r="G1439" s="46">
        <v>5</v>
      </c>
      <c r="H1439" s="47">
        <v>43375</v>
      </c>
      <c r="I1439" s="47">
        <v>43393</v>
      </c>
      <c r="J1439" s="46">
        <v>246070</v>
      </c>
      <c r="K1439" s="46">
        <v>0</v>
      </c>
      <c r="L1439" s="46">
        <v>0</v>
      </c>
      <c r="M1439" s="46">
        <f t="shared" si="404"/>
        <v>246070</v>
      </c>
      <c r="N1439" s="46">
        <v>246070</v>
      </c>
      <c r="O1439" s="48">
        <f t="shared" si="405"/>
        <v>0</v>
      </c>
      <c r="P1439" s="46">
        <v>0</v>
      </c>
      <c r="Q1439" s="46">
        <v>246070</v>
      </c>
      <c r="R1439" s="49">
        <f t="shared" si="406"/>
        <v>1</v>
      </c>
      <c r="S1439" s="50">
        <f t="shared" si="407"/>
        <v>0.01</v>
      </c>
      <c r="T1439" s="49">
        <f t="shared" si="408"/>
        <v>2460.7000000000003</v>
      </c>
      <c r="U1439" s="51">
        <f t="shared" si="409"/>
        <v>0</v>
      </c>
      <c r="V1439" s="52">
        <f>IF(0&lt;0.8,0,IF(0&lt;1,Sheet3!L561,1))*IF(G1439&lt;3,0.12 - O1439,0.01) *U1439</f>
        <v>0</v>
      </c>
      <c r="W1439" s="52">
        <f t="shared" si="410"/>
        <v>0</v>
      </c>
      <c r="X1439" s="53">
        <f t="shared" si="411"/>
        <v>0</v>
      </c>
      <c r="Y1439" s="53">
        <f t="shared" si="412"/>
        <v>0</v>
      </c>
      <c r="Z1439" s="54">
        <f t="shared" si="420"/>
        <v>0</v>
      </c>
      <c r="AA1439" s="54">
        <f t="shared" si="413"/>
        <v>0</v>
      </c>
      <c r="AB1439" s="55">
        <f t="shared" si="421"/>
        <v>0</v>
      </c>
      <c r="AC1439" s="55">
        <f t="shared" si="414"/>
        <v>0</v>
      </c>
      <c r="AD1439" s="56">
        <f t="shared" si="415"/>
        <v>2460.7000000000003</v>
      </c>
    </row>
    <row r="1440" spans="3:30">
      <c r="C1440" s="43" t="s">
        <v>2636</v>
      </c>
      <c r="D1440" s="44" t="s">
        <v>2637</v>
      </c>
      <c r="E1440" s="44"/>
      <c r="F1440" s="45">
        <v>43196.075543981482</v>
      </c>
      <c r="G1440" s="46">
        <v>5</v>
      </c>
      <c r="H1440" s="47">
        <v>43372</v>
      </c>
      <c r="I1440" s="47">
        <v>43398</v>
      </c>
      <c r="J1440" s="46">
        <v>615346</v>
      </c>
      <c r="K1440" s="46">
        <v>0</v>
      </c>
      <c r="L1440" s="46">
        <v>0</v>
      </c>
      <c r="M1440" s="46">
        <f t="shared" si="404"/>
        <v>615346</v>
      </c>
      <c r="N1440" s="46">
        <v>615346</v>
      </c>
      <c r="O1440" s="48">
        <f t="shared" si="405"/>
        <v>0</v>
      </c>
      <c r="P1440" s="46">
        <v>0</v>
      </c>
      <c r="Q1440" s="46">
        <v>615346</v>
      </c>
      <c r="R1440" s="49">
        <f t="shared" si="406"/>
        <v>1</v>
      </c>
      <c r="S1440" s="50">
        <f t="shared" si="407"/>
        <v>0.01</v>
      </c>
      <c r="T1440" s="49">
        <f t="shared" si="408"/>
        <v>6153.46</v>
      </c>
      <c r="U1440" s="51">
        <f t="shared" si="409"/>
        <v>0</v>
      </c>
      <c r="V1440" s="52">
        <f>IF(0&lt;0.8,0,IF(0&lt;1,Sheet3!L561,1))*IF(G1440&lt;3,0.12 - O1440,0.01) *U1440</f>
        <v>0</v>
      </c>
      <c r="W1440" s="52">
        <f t="shared" si="410"/>
        <v>0</v>
      </c>
      <c r="X1440" s="53">
        <f t="shared" si="411"/>
        <v>0</v>
      </c>
      <c r="Y1440" s="53">
        <f t="shared" si="412"/>
        <v>0</v>
      </c>
      <c r="Z1440" s="54">
        <f t="shared" si="420"/>
        <v>0</v>
      </c>
      <c r="AA1440" s="54">
        <f t="shared" si="413"/>
        <v>0</v>
      </c>
      <c r="AB1440" s="55">
        <f t="shared" si="421"/>
        <v>0</v>
      </c>
      <c r="AC1440" s="55">
        <f t="shared" si="414"/>
        <v>0</v>
      </c>
      <c r="AD1440" s="56">
        <f t="shared" si="415"/>
        <v>6153.46</v>
      </c>
    </row>
    <row r="1441" spans="3:30">
      <c r="C1441" s="43" t="s">
        <v>2638</v>
      </c>
      <c r="D1441" s="44" t="s">
        <v>2639</v>
      </c>
      <c r="E1441" s="44"/>
      <c r="F1441" s="45">
        <v>43200.071967592594</v>
      </c>
      <c r="G1441" s="46">
        <v>5</v>
      </c>
      <c r="H1441" s="47">
        <v>43404</v>
      </c>
      <c r="I1441" s="47">
        <v>43441</v>
      </c>
      <c r="J1441" s="46">
        <v>491620896</v>
      </c>
      <c r="K1441" s="46">
        <v>109866246</v>
      </c>
      <c r="L1441" s="46">
        <v>0</v>
      </c>
      <c r="M1441" s="46">
        <f t="shared" si="404"/>
        <v>381754650</v>
      </c>
      <c r="N1441" s="46">
        <v>1060708448</v>
      </c>
      <c r="O1441" s="48">
        <f t="shared" si="405"/>
        <v>0.64009464549866579</v>
      </c>
      <c r="P1441" s="46">
        <v>0</v>
      </c>
      <c r="Q1441" s="46">
        <v>491620896</v>
      </c>
      <c r="R1441" s="49">
        <f t="shared" si="406"/>
        <v>1</v>
      </c>
      <c r="S1441" s="50">
        <f t="shared" si="407"/>
        <v>0.01</v>
      </c>
      <c r="T1441" s="49">
        <f t="shared" si="408"/>
        <v>3817546.5</v>
      </c>
      <c r="U1441" s="51">
        <f t="shared" si="409"/>
        <v>0</v>
      </c>
      <c r="V1441" s="52">
        <f>IF(0&lt;0.8,0,IF(0&lt;1,Sheet3!L561,1))*IF(G1441&lt;3,0.12 - O1441,0.01) *U1441</f>
        <v>0</v>
      </c>
      <c r="W1441" s="52">
        <f t="shared" si="410"/>
        <v>0</v>
      </c>
      <c r="X1441" s="53">
        <f t="shared" si="411"/>
        <v>0</v>
      </c>
      <c r="Y1441" s="53">
        <f t="shared" si="412"/>
        <v>0</v>
      </c>
      <c r="Z1441" s="54">
        <f t="shared" si="420"/>
        <v>0</v>
      </c>
      <c r="AA1441" s="54">
        <f t="shared" si="413"/>
        <v>0</v>
      </c>
      <c r="AB1441" s="55">
        <f t="shared" si="421"/>
        <v>0</v>
      </c>
      <c r="AC1441" s="55">
        <f t="shared" si="414"/>
        <v>0</v>
      </c>
      <c r="AD1441" s="56">
        <f t="shared" si="415"/>
        <v>3817546.5</v>
      </c>
    </row>
    <row r="1442" spans="3:30">
      <c r="C1442" s="43" t="s">
        <v>2640</v>
      </c>
      <c r="D1442" s="44" t="s">
        <v>2641</v>
      </c>
      <c r="E1442" s="44"/>
      <c r="F1442" s="45">
        <v>43200.325092592589</v>
      </c>
      <c r="G1442" s="46">
        <v>5</v>
      </c>
      <c r="H1442" s="47">
        <v>43376</v>
      </c>
      <c r="I1442" s="47">
        <v>43426</v>
      </c>
      <c r="J1442" s="46">
        <v>399001</v>
      </c>
      <c r="K1442" s="46">
        <v>0</v>
      </c>
      <c r="L1442" s="46">
        <v>0</v>
      </c>
      <c r="M1442" s="46">
        <f t="shared" si="404"/>
        <v>399001</v>
      </c>
      <c r="N1442" s="46">
        <v>399001</v>
      </c>
      <c r="O1442" s="48">
        <f t="shared" si="405"/>
        <v>0</v>
      </c>
      <c r="P1442" s="46">
        <v>0</v>
      </c>
      <c r="Q1442" s="46">
        <v>399001</v>
      </c>
      <c r="R1442" s="49">
        <f t="shared" si="406"/>
        <v>1</v>
      </c>
      <c r="S1442" s="50">
        <f t="shared" si="407"/>
        <v>0.01</v>
      </c>
      <c r="T1442" s="49">
        <f t="shared" si="408"/>
        <v>3990.01</v>
      </c>
      <c r="U1442" s="51">
        <f t="shared" si="409"/>
        <v>0</v>
      </c>
      <c r="V1442" s="52">
        <f>IF(0&lt;0.8,0,IF(0&lt;1,Sheet3!L561,1))*IF(G1442&lt;3,0.12 - O1442,0.01) *U1442</f>
        <v>0</v>
      </c>
      <c r="W1442" s="52">
        <f t="shared" si="410"/>
        <v>0</v>
      </c>
      <c r="X1442" s="53">
        <f t="shared" si="411"/>
        <v>0</v>
      </c>
      <c r="Y1442" s="53">
        <f t="shared" si="412"/>
        <v>0</v>
      </c>
      <c r="Z1442" s="54">
        <f t="shared" si="420"/>
        <v>0</v>
      </c>
      <c r="AA1442" s="54">
        <f t="shared" si="413"/>
        <v>0</v>
      </c>
      <c r="AB1442" s="55">
        <f t="shared" si="421"/>
        <v>0</v>
      </c>
      <c r="AC1442" s="55">
        <f t="shared" si="414"/>
        <v>0</v>
      </c>
      <c r="AD1442" s="56">
        <f t="shared" si="415"/>
        <v>3990.01</v>
      </c>
    </row>
    <row r="1443" spans="3:30">
      <c r="C1443" s="43" t="s">
        <v>2642</v>
      </c>
      <c r="D1443" s="44" t="s">
        <v>2643</v>
      </c>
      <c r="E1443" s="44"/>
      <c r="F1443" s="45">
        <v>43200.322743055556</v>
      </c>
      <c r="G1443" s="46">
        <v>5</v>
      </c>
      <c r="H1443" s="47">
        <v>43375</v>
      </c>
      <c r="I1443" s="47">
        <v>43393</v>
      </c>
      <c r="J1443" s="46">
        <v>344006</v>
      </c>
      <c r="K1443" s="46">
        <v>0</v>
      </c>
      <c r="L1443" s="46">
        <v>0</v>
      </c>
      <c r="M1443" s="46">
        <f t="shared" si="404"/>
        <v>344006</v>
      </c>
      <c r="N1443" s="46">
        <v>344006</v>
      </c>
      <c r="O1443" s="48">
        <f t="shared" si="405"/>
        <v>0</v>
      </c>
      <c r="P1443" s="46">
        <v>0</v>
      </c>
      <c r="Q1443" s="46">
        <v>344006</v>
      </c>
      <c r="R1443" s="49">
        <f t="shared" si="406"/>
        <v>1</v>
      </c>
      <c r="S1443" s="50">
        <f t="shared" si="407"/>
        <v>0.01</v>
      </c>
      <c r="T1443" s="49">
        <f t="shared" si="408"/>
        <v>3440.06</v>
      </c>
      <c r="U1443" s="51">
        <f t="shared" si="409"/>
        <v>0</v>
      </c>
      <c r="V1443" s="52">
        <f>IF(0&lt;0.8,0,IF(0&lt;1,Sheet3!L561,1))*IF(G1443&lt;3,0.12 - O1443,0.01) *U1443</f>
        <v>0</v>
      </c>
      <c r="W1443" s="52">
        <f t="shared" si="410"/>
        <v>0</v>
      </c>
      <c r="X1443" s="53">
        <f t="shared" si="411"/>
        <v>0</v>
      </c>
      <c r="Y1443" s="53">
        <f t="shared" si="412"/>
        <v>0</v>
      </c>
      <c r="Z1443" s="54">
        <f t="shared" si="420"/>
        <v>0</v>
      </c>
      <c r="AA1443" s="54">
        <f t="shared" si="413"/>
        <v>0</v>
      </c>
      <c r="AB1443" s="55">
        <f t="shared" si="421"/>
        <v>0</v>
      </c>
      <c r="AC1443" s="55">
        <f t="shared" si="414"/>
        <v>0</v>
      </c>
      <c r="AD1443" s="56">
        <f t="shared" si="415"/>
        <v>3440.06</v>
      </c>
    </row>
    <row r="1444" spans="3:30">
      <c r="C1444" s="43" t="s">
        <v>2644</v>
      </c>
      <c r="D1444" s="44" t="s">
        <v>2645</v>
      </c>
      <c r="E1444" s="44"/>
      <c r="F1444" s="45">
        <v>43200.327835648146</v>
      </c>
      <c r="G1444" s="46">
        <v>5</v>
      </c>
      <c r="H1444" s="47">
        <v>43375</v>
      </c>
      <c r="I1444" s="47">
        <v>43386</v>
      </c>
      <c r="J1444" s="46">
        <v>14641</v>
      </c>
      <c r="K1444" s="46">
        <v>0</v>
      </c>
      <c r="L1444" s="46">
        <v>0</v>
      </c>
      <c r="M1444" s="46">
        <f t="shared" si="404"/>
        <v>14641</v>
      </c>
      <c r="N1444" s="46">
        <v>14641</v>
      </c>
      <c r="O1444" s="48">
        <f t="shared" si="405"/>
        <v>0</v>
      </c>
      <c r="P1444" s="46">
        <v>0</v>
      </c>
      <c r="Q1444" s="46">
        <v>14641</v>
      </c>
      <c r="R1444" s="49">
        <f t="shared" si="406"/>
        <v>1</v>
      </c>
      <c r="S1444" s="50">
        <f t="shared" si="407"/>
        <v>0.01</v>
      </c>
      <c r="T1444" s="49">
        <f t="shared" si="408"/>
        <v>146.41</v>
      </c>
      <c r="U1444" s="51">
        <f t="shared" si="409"/>
        <v>0</v>
      </c>
      <c r="V1444" s="52">
        <f>IF(0&lt;0.8,0,IF(0&lt;1,Sheet3!L561,1))*IF(G1444&lt;3,0.12 - O1444,0.01) *U1444</f>
        <v>0</v>
      </c>
      <c r="W1444" s="52">
        <f t="shared" si="410"/>
        <v>0</v>
      </c>
      <c r="X1444" s="53">
        <f t="shared" si="411"/>
        <v>0</v>
      </c>
      <c r="Y1444" s="53">
        <f t="shared" si="412"/>
        <v>0</v>
      </c>
      <c r="Z1444" s="54">
        <f t="shared" si="420"/>
        <v>0</v>
      </c>
      <c r="AA1444" s="54">
        <f t="shared" si="413"/>
        <v>0</v>
      </c>
      <c r="AB1444" s="55">
        <f t="shared" si="421"/>
        <v>0</v>
      </c>
      <c r="AC1444" s="55">
        <f t="shared" si="414"/>
        <v>0</v>
      </c>
      <c r="AD1444" s="56">
        <f t="shared" si="415"/>
        <v>146.41</v>
      </c>
    </row>
    <row r="1445" spans="3:30">
      <c r="C1445" s="43" t="s">
        <v>2646</v>
      </c>
      <c r="D1445" s="44" t="s">
        <v>2143</v>
      </c>
      <c r="E1445" s="44"/>
      <c r="F1445" s="45">
        <v>43201.254872685182</v>
      </c>
      <c r="G1445" s="46">
        <v>5</v>
      </c>
      <c r="H1445" s="47">
        <v>43404</v>
      </c>
      <c r="I1445" s="47">
        <v>43412</v>
      </c>
      <c r="J1445" s="46">
        <v>32395</v>
      </c>
      <c r="K1445" s="46">
        <v>0</v>
      </c>
      <c r="L1445" s="46">
        <v>0</v>
      </c>
      <c r="M1445" s="46">
        <f t="shared" si="404"/>
        <v>32395</v>
      </c>
      <c r="N1445" s="46">
        <v>39930</v>
      </c>
      <c r="O1445" s="48">
        <f t="shared" si="405"/>
        <v>0.18870523415977958</v>
      </c>
      <c r="P1445" s="46">
        <v>0</v>
      </c>
      <c r="Q1445" s="46">
        <v>32395</v>
      </c>
      <c r="R1445" s="49">
        <f t="shared" si="406"/>
        <v>1</v>
      </c>
      <c r="S1445" s="50">
        <f t="shared" si="407"/>
        <v>0.01</v>
      </c>
      <c r="T1445" s="49">
        <f t="shared" si="408"/>
        <v>323.95</v>
      </c>
      <c r="U1445" s="51">
        <f t="shared" si="409"/>
        <v>0</v>
      </c>
      <c r="V1445" s="52">
        <f>IF(0&lt;0.8,0,IF(0&lt;1,Sheet3!L561,1))*IF(G1445&lt;3,0.12 - O1445,0.01) *U1445</f>
        <v>0</v>
      </c>
      <c r="W1445" s="52">
        <f t="shared" si="410"/>
        <v>0</v>
      </c>
      <c r="X1445" s="53">
        <f t="shared" si="411"/>
        <v>0</v>
      </c>
      <c r="Y1445" s="53">
        <f t="shared" si="412"/>
        <v>0</v>
      </c>
      <c r="Z1445" s="54">
        <f t="shared" si="420"/>
        <v>0</v>
      </c>
      <c r="AA1445" s="54">
        <f t="shared" si="413"/>
        <v>0</v>
      </c>
      <c r="AB1445" s="55">
        <f t="shared" si="421"/>
        <v>0</v>
      </c>
      <c r="AC1445" s="55">
        <f t="shared" si="414"/>
        <v>0</v>
      </c>
      <c r="AD1445" s="56">
        <f t="shared" si="415"/>
        <v>323.95</v>
      </c>
    </row>
    <row r="1446" spans="3:30">
      <c r="C1446" s="43" t="s">
        <v>2647</v>
      </c>
      <c r="D1446" s="44" t="s">
        <v>2648</v>
      </c>
      <c r="E1446" s="44"/>
      <c r="F1446" s="45">
        <v>43202.147534722222</v>
      </c>
      <c r="G1446" s="46">
        <v>5</v>
      </c>
      <c r="H1446" s="47">
        <v>43376</v>
      </c>
      <c r="I1446" s="47">
        <v>43391</v>
      </c>
      <c r="J1446" s="46">
        <v>71042</v>
      </c>
      <c r="K1446" s="46">
        <v>0</v>
      </c>
      <c r="L1446" s="46">
        <v>0</v>
      </c>
      <c r="M1446" s="46">
        <f t="shared" si="404"/>
        <v>71042</v>
      </c>
      <c r="N1446" s="46">
        <v>71042</v>
      </c>
      <c r="O1446" s="48">
        <f t="shared" si="405"/>
        <v>0</v>
      </c>
      <c r="P1446" s="46">
        <v>0</v>
      </c>
      <c r="Q1446" s="46">
        <v>71042</v>
      </c>
      <c r="R1446" s="49">
        <f t="shared" si="406"/>
        <v>1</v>
      </c>
      <c r="S1446" s="50">
        <f t="shared" si="407"/>
        <v>0.01</v>
      </c>
      <c r="T1446" s="49">
        <f t="shared" si="408"/>
        <v>710.42</v>
      </c>
      <c r="U1446" s="51">
        <f t="shared" si="409"/>
        <v>0</v>
      </c>
      <c r="V1446" s="52">
        <f>IF(0&lt;0.8,0,IF(0&lt;1,Sheet3!L561,1))*IF(G1446&lt;3,0.12 - O1446,0.01) *U1446</f>
        <v>0</v>
      </c>
      <c r="W1446" s="52">
        <f t="shared" si="410"/>
        <v>0</v>
      </c>
      <c r="X1446" s="53">
        <f t="shared" si="411"/>
        <v>0</v>
      </c>
      <c r="Y1446" s="53">
        <f t="shared" si="412"/>
        <v>0</v>
      </c>
      <c r="Z1446" s="54">
        <f t="shared" si="420"/>
        <v>0</v>
      </c>
      <c r="AA1446" s="54">
        <f t="shared" si="413"/>
        <v>0</v>
      </c>
      <c r="AB1446" s="55">
        <f t="shared" si="421"/>
        <v>0</v>
      </c>
      <c r="AC1446" s="55">
        <f t="shared" si="414"/>
        <v>0</v>
      </c>
      <c r="AD1446" s="56">
        <f t="shared" si="415"/>
        <v>710.42</v>
      </c>
    </row>
    <row r="1447" spans="3:30">
      <c r="C1447" s="43" t="s">
        <v>2649</v>
      </c>
      <c r="D1447" s="44" t="s">
        <v>2650</v>
      </c>
      <c r="E1447" s="44"/>
      <c r="F1447" s="45">
        <v>43208.3283912037</v>
      </c>
      <c r="G1447" s="46">
        <v>5</v>
      </c>
      <c r="H1447" s="47">
        <v>43382</v>
      </c>
      <c r="I1447" s="47">
        <v>43390</v>
      </c>
      <c r="J1447" s="46">
        <v>606936</v>
      </c>
      <c r="K1447" s="46">
        <v>0</v>
      </c>
      <c r="L1447" s="46">
        <v>0</v>
      </c>
      <c r="M1447" s="46">
        <f t="shared" si="404"/>
        <v>606936</v>
      </c>
      <c r="N1447" s="46">
        <v>606936</v>
      </c>
      <c r="O1447" s="48">
        <f t="shared" si="405"/>
        <v>0</v>
      </c>
      <c r="P1447" s="46">
        <v>0</v>
      </c>
      <c r="Q1447" s="46">
        <v>606936</v>
      </c>
      <c r="R1447" s="49">
        <f t="shared" si="406"/>
        <v>1</v>
      </c>
      <c r="S1447" s="50">
        <f t="shared" si="407"/>
        <v>0.01</v>
      </c>
      <c r="T1447" s="49">
        <f t="shared" si="408"/>
        <v>6069.36</v>
      </c>
      <c r="U1447" s="51">
        <f t="shared" si="409"/>
        <v>0</v>
      </c>
      <c r="V1447" s="52">
        <f>IF(0&lt;0.8,0,IF(0&lt;1,Sheet3!L561,1))*IF(G1447&lt;3,0.12 - O1447,0.01) *U1447</f>
        <v>0</v>
      </c>
      <c r="W1447" s="52">
        <f t="shared" si="410"/>
        <v>0</v>
      </c>
      <c r="X1447" s="53">
        <f t="shared" si="411"/>
        <v>0</v>
      </c>
      <c r="Y1447" s="53">
        <f t="shared" si="412"/>
        <v>0</v>
      </c>
      <c r="Z1447" s="54">
        <f t="shared" si="420"/>
        <v>0</v>
      </c>
      <c r="AA1447" s="54">
        <f t="shared" si="413"/>
        <v>0</v>
      </c>
      <c r="AB1447" s="55">
        <f t="shared" si="421"/>
        <v>0</v>
      </c>
      <c r="AC1447" s="55">
        <f t="shared" si="414"/>
        <v>0</v>
      </c>
      <c r="AD1447" s="56">
        <f t="shared" si="415"/>
        <v>6069.36</v>
      </c>
    </row>
    <row r="1448" spans="3:30">
      <c r="C1448" s="43" t="s">
        <v>2651</v>
      </c>
      <c r="D1448" s="44" t="s">
        <v>2652</v>
      </c>
      <c r="E1448" s="44"/>
      <c r="F1448" s="45">
        <v>43210.072696759256</v>
      </c>
      <c r="G1448" s="46">
        <v>5</v>
      </c>
      <c r="H1448" s="47">
        <v>43375</v>
      </c>
      <c r="I1448" s="47">
        <v>43391</v>
      </c>
      <c r="J1448" s="46">
        <v>533919</v>
      </c>
      <c r="K1448" s="46">
        <v>0</v>
      </c>
      <c r="L1448" s="46">
        <v>0</v>
      </c>
      <c r="M1448" s="46">
        <f t="shared" si="404"/>
        <v>533919</v>
      </c>
      <c r="N1448" s="46">
        <v>533919</v>
      </c>
      <c r="O1448" s="48">
        <f t="shared" si="405"/>
        <v>0</v>
      </c>
      <c r="P1448" s="46">
        <v>0</v>
      </c>
      <c r="Q1448" s="46">
        <v>533919</v>
      </c>
      <c r="R1448" s="49">
        <f t="shared" si="406"/>
        <v>1</v>
      </c>
      <c r="S1448" s="50">
        <f t="shared" si="407"/>
        <v>0.01</v>
      </c>
      <c r="T1448" s="49">
        <f t="shared" si="408"/>
        <v>5339.1900000000005</v>
      </c>
      <c r="U1448" s="51">
        <f t="shared" si="409"/>
        <v>0</v>
      </c>
      <c r="V1448" s="52">
        <f>IF(0&lt;0.8,0,IF(0&lt;1,Sheet3!L561,1))*IF(G1448&lt;3,0.12 - O1448,0.01) *U1448</f>
        <v>0</v>
      </c>
      <c r="W1448" s="52">
        <f t="shared" si="410"/>
        <v>0</v>
      </c>
      <c r="X1448" s="53">
        <f t="shared" si="411"/>
        <v>0</v>
      </c>
      <c r="Y1448" s="53">
        <f t="shared" si="412"/>
        <v>0</v>
      </c>
      <c r="Z1448" s="54">
        <f t="shared" si="420"/>
        <v>0</v>
      </c>
      <c r="AA1448" s="54">
        <f t="shared" si="413"/>
        <v>0</v>
      </c>
      <c r="AB1448" s="55">
        <f t="shared" si="421"/>
        <v>0</v>
      </c>
      <c r="AC1448" s="55">
        <f t="shared" si="414"/>
        <v>0</v>
      </c>
      <c r="AD1448" s="56">
        <f t="shared" si="415"/>
        <v>5339.1900000000005</v>
      </c>
    </row>
    <row r="1449" spans="3:30">
      <c r="C1449" s="43" t="s">
        <v>2653</v>
      </c>
      <c r="D1449" s="44" t="s">
        <v>2654</v>
      </c>
      <c r="E1449" s="44"/>
      <c r="F1449" s="45">
        <v>43210.074074074073</v>
      </c>
      <c r="G1449" s="46">
        <v>5</v>
      </c>
      <c r="H1449" s="47">
        <v>43377</v>
      </c>
      <c r="I1449" s="47">
        <v>43398</v>
      </c>
      <c r="J1449" s="46">
        <v>136488</v>
      </c>
      <c r="K1449" s="46">
        <v>0</v>
      </c>
      <c r="L1449" s="46">
        <v>0</v>
      </c>
      <c r="M1449" s="46">
        <f t="shared" si="404"/>
        <v>136488</v>
      </c>
      <c r="N1449" s="46">
        <v>136488</v>
      </c>
      <c r="O1449" s="48">
        <f t="shared" si="405"/>
        <v>0</v>
      </c>
      <c r="P1449" s="46">
        <v>0</v>
      </c>
      <c r="Q1449" s="46">
        <v>136488</v>
      </c>
      <c r="R1449" s="49">
        <f t="shared" si="406"/>
        <v>1</v>
      </c>
      <c r="S1449" s="50">
        <f t="shared" si="407"/>
        <v>0.01</v>
      </c>
      <c r="T1449" s="49">
        <f t="shared" si="408"/>
        <v>1364.88</v>
      </c>
      <c r="U1449" s="51">
        <f t="shared" si="409"/>
        <v>0</v>
      </c>
      <c r="V1449" s="52">
        <f>IF(0&lt;0.8,0,IF(0&lt;1,Sheet3!L561,1))*IF(G1449&lt;3,0.12 - O1449,0.01) *U1449</f>
        <v>0</v>
      </c>
      <c r="W1449" s="52">
        <f t="shared" si="410"/>
        <v>0</v>
      </c>
      <c r="X1449" s="53">
        <f t="shared" si="411"/>
        <v>0</v>
      </c>
      <c r="Y1449" s="53">
        <f t="shared" si="412"/>
        <v>0</v>
      </c>
      <c r="Z1449" s="54">
        <f t="shared" si="420"/>
        <v>0</v>
      </c>
      <c r="AA1449" s="54">
        <f t="shared" si="413"/>
        <v>0</v>
      </c>
      <c r="AB1449" s="55">
        <f t="shared" si="421"/>
        <v>0</v>
      </c>
      <c r="AC1449" s="55">
        <f t="shared" si="414"/>
        <v>0</v>
      </c>
      <c r="AD1449" s="56">
        <f t="shared" si="415"/>
        <v>1364.88</v>
      </c>
    </row>
    <row r="1450" spans="3:30">
      <c r="C1450" s="43" t="s">
        <v>2655</v>
      </c>
      <c r="D1450" s="44" t="s">
        <v>2656</v>
      </c>
      <c r="E1450" s="44"/>
      <c r="F1450" s="45">
        <v>43213.264166666668</v>
      </c>
      <c r="G1450" s="46">
        <v>5</v>
      </c>
      <c r="H1450" s="47">
        <v>43377</v>
      </c>
      <c r="I1450" s="47">
        <v>43391</v>
      </c>
      <c r="J1450" s="46">
        <v>2671834</v>
      </c>
      <c r="K1450" s="46">
        <v>0</v>
      </c>
      <c r="L1450" s="46">
        <v>0</v>
      </c>
      <c r="M1450" s="46">
        <f t="shared" si="404"/>
        <v>2671834</v>
      </c>
      <c r="N1450" s="46">
        <v>2671834</v>
      </c>
      <c r="O1450" s="48">
        <f t="shared" si="405"/>
        <v>0</v>
      </c>
      <c r="P1450" s="46">
        <v>0</v>
      </c>
      <c r="Q1450" s="46">
        <v>2671834</v>
      </c>
      <c r="R1450" s="49">
        <f t="shared" si="406"/>
        <v>1</v>
      </c>
      <c r="S1450" s="50">
        <f t="shared" si="407"/>
        <v>0.01</v>
      </c>
      <c r="T1450" s="49">
        <f t="shared" si="408"/>
        <v>26718.34</v>
      </c>
      <c r="U1450" s="51">
        <f t="shared" si="409"/>
        <v>0</v>
      </c>
      <c r="V1450" s="52">
        <f>IF(0&lt;0.8,0,IF(0&lt;1,Sheet3!L561,1))*IF(G1450&lt;3,0.12 - O1450,0.01) *U1450</f>
        <v>0</v>
      </c>
      <c r="W1450" s="52">
        <f t="shared" si="410"/>
        <v>0</v>
      </c>
      <c r="X1450" s="53">
        <f t="shared" si="411"/>
        <v>0</v>
      </c>
      <c r="Y1450" s="53">
        <f t="shared" si="412"/>
        <v>0</v>
      </c>
      <c r="Z1450" s="54">
        <f t="shared" si="420"/>
        <v>0</v>
      </c>
      <c r="AA1450" s="54">
        <f t="shared" si="413"/>
        <v>0</v>
      </c>
      <c r="AB1450" s="55">
        <f t="shared" si="421"/>
        <v>0</v>
      </c>
      <c r="AC1450" s="55">
        <f t="shared" si="414"/>
        <v>0</v>
      </c>
      <c r="AD1450" s="56">
        <f t="shared" si="415"/>
        <v>26718.34</v>
      </c>
    </row>
    <row r="1451" spans="3:30">
      <c r="C1451" s="43" t="s">
        <v>2657</v>
      </c>
      <c r="D1451" s="44" t="s">
        <v>2658</v>
      </c>
      <c r="E1451" s="44"/>
      <c r="F1451" s="45">
        <v>43216.139004629629</v>
      </c>
      <c r="G1451" s="46">
        <v>5</v>
      </c>
      <c r="H1451" s="47">
        <v>43379</v>
      </c>
      <c r="I1451" s="47">
        <v>43393</v>
      </c>
      <c r="J1451" s="46">
        <v>1249800</v>
      </c>
      <c r="K1451" s="46">
        <v>0</v>
      </c>
      <c r="L1451" s="46">
        <v>0</v>
      </c>
      <c r="M1451" s="46">
        <f t="shared" si="404"/>
        <v>1249800</v>
      </c>
      <c r="N1451" s="46">
        <v>1249800</v>
      </c>
      <c r="O1451" s="48">
        <f t="shared" si="405"/>
        <v>0</v>
      </c>
      <c r="P1451" s="46">
        <v>0</v>
      </c>
      <c r="Q1451" s="46">
        <v>1249800</v>
      </c>
      <c r="R1451" s="49">
        <f t="shared" si="406"/>
        <v>1</v>
      </c>
      <c r="S1451" s="50">
        <f t="shared" si="407"/>
        <v>0.01</v>
      </c>
      <c r="T1451" s="49">
        <f t="shared" si="408"/>
        <v>12498</v>
      </c>
      <c r="U1451" s="51">
        <f t="shared" si="409"/>
        <v>0</v>
      </c>
      <c r="V1451" s="52">
        <f>IF(0&lt;0.8,0,IF(0&lt;1,Sheet3!L561,1))*IF(G1451&lt;3,0.12 - O1451,0.01) *U1451</f>
        <v>0</v>
      </c>
      <c r="W1451" s="52">
        <f t="shared" si="410"/>
        <v>0</v>
      </c>
      <c r="X1451" s="53">
        <f t="shared" si="411"/>
        <v>0</v>
      </c>
      <c r="Y1451" s="53">
        <f t="shared" si="412"/>
        <v>0</v>
      </c>
      <c r="Z1451" s="54">
        <f t="shared" si="420"/>
        <v>0</v>
      </c>
      <c r="AA1451" s="54">
        <f t="shared" si="413"/>
        <v>0</v>
      </c>
      <c r="AB1451" s="55">
        <f t="shared" si="421"/>
        <v>0</v>
      </c>
      <c r="AC1451" s="55">
        <f t="shared" si="414"/>
        <v>0</v>
      </c>
      <c r="AD1451" s="56">
        <f t="shared" si="415"/>
        <v>12498</v>
      </c>
    </row>
    <row r="1452" spans="3:30">
      <c r="C1452" s="43" t="s">
        <v>2659</v>
      </c>
      <c r="D1452" s="44" t="s">
        <v>2660</v>
      </c>
      <c r="E1452" s="44"/>
      <c r="F1452" s="45">
        <v>43216.138020833328</v>
      </c>
      <c r="G1452" s="46">
        <v>5</v>
      </c>
      <c r="H1452" s="47">
        <v>43377</v>
      </c>
      <c r="I1452" s="47">
        <v>43385</v>
      </c>
      <c r="J1452" s="46">
        <v>335546</v>
      </c>
      <c r="K1452" s="46">
        <v>0</v>
      </c>
      <c r="L1452" s="46">
        <v>0</v>
      </c>
      <c r="M1452" s="46">
        <f t="shared" si="404"/>
        <v>335546</v>
      </c>
      <c r="N1452" s="46">
        <v>335546</v>
      </c>
      <c r="O1452" s="48">
        <f t="shared" si="405"/>
        <v>0</v>
      </c>
      <c r="P1452" s="46">
        <v>0</v>
      </c>
      <c r="Q1452" s="46">
        <v>335546</v>
      </c>
      <c r="R1452" s="49">
        <f t="shared" si="406"/>
        <v>1</v>
      </c>
      <c r="S1452" s="50">
        <f t="shared" si="407"/>
        <v>0.01</v>
      </c>
      <c r="T1452" s="49">
        <f t="shared" si="408"/>
        <v>3355.46</v>
      </c>
      <c r="U1452" s="51">
        <f t="shared" si="409"/>
        <v>0</v>
      </c>
      <c r="V1452" s="52">
        <f>IF(0&lt;0.8,0,IF(0&lt;1,Sheet3!L561,1))*IF(G1452&lt;3,0.12 - O1452,0.01) *U1452</f>
        <v>0</v>
      </c>
      <c r="W1452" s="52">
        <f t="shared" si="410"/>
        <v>0</v>
      </c>
      <c r="X1452" s="53">
        <f t="shared" si="411"/>
        <v>0</v>
      </c>
      <c r="Y1452" s="53">
        <f t="shared" si="412"/>
        <v>0</v>
      </c>
      <c r="Z1452" s="54">
        <f t="shared" si="420"/>
        <v>0</v>
      </c>
      <c r="AA1452" s="54">
        <f t="shared" si="413"/>
        <v>0</v>
      </c>
      <c r="AB1452" s="55">
        <f t="shared" si="421"/>
        <v>0</v>
      </c>
      <c r="AC1452" s="55">
        <f t="shared" si="414"/>
        <v>0</v>
      </c>
      <c r="AD1452" s="56">
        <f t="shared" si="415"/>
        <v>3355.46</v>
      </c>
    </row>
    <row r="1453" spans="3:30">
      <c r="C1453" s="43" t="s">
        <v>2661</v>
      </c>
      <c r="D1453" s="44" t="s">
        <v>2143</v>
      </c>
      <c r="E1453" s="44"/>
      <c r="F1453" s="45">
        <v>43222.101377314815</v>
      </c>
      <c r="G1453" s="46">
        <v>4</v>
      </c>
      <c r="H1453" s="47">
        <v>43404</v>
      </c>
      <c r="I1453" s="47">
        <v>43412</v>
      </c>
      <c r="J1453" s="46">
        <v>55385</v>
      </c>
      <c r="K1453" s="46">
        <v>0</v>
      </c>
      <c r="L1453" s="46">
        <v>0</v>
      </c>
      <c r="M1453" s="46">
        <f t="shared" si="404"/>
        <v>55385</v>
      </c>
      <c r="N1453" s="46">
        <v>69878</v>
      </c>
      <c r="O1453" s="48">
        <f t="shared" si="405"/>
        <v>0.20740433326655028</v>
      </c>
      <c r="P1453" s="46">
        <v>0</v>
      </c>
      <c r="Q1453" s="46">
        <v>55385</v>
      </c>
      <c r="R1453" s="49">
        <f t="shared" si="406"/>
        <v>1</v>
      </c>
      <c r="S1453" s="50">
        <f t="shared" si="407"/>
        <v>0.01</v>
      </c>
      <c r="T1453" s="49">
        <f t="shared" si="408"/>
        <v>553.85</v>
      </c>
      <c r="U1453" s="51">
        <f t="shared" si="409"/>
        <v>0</v>
      </c>
      <c r="V1453" s="52">
        <f>IF(0&lt;0.8,0,IF(0&lt;1,Sheet3!L561,1))*IF(G1453&lt;3,0.12 - O1453,0.01) *U1453</f>
        <v>0</v>
      </c>
      <c r="W1453" s="52">
        <f t="shared" si="410"/>
        <v>0</v>
      </c>
      <c r="X1453" s="53">
        <f t="shared" si="411"/>
        <v>0</v>
      </c>
      <c r="Y1453" s="53">
        <f t="shared" si="412"/>
        <v>0</v>
      </c>
      <c r="Z1453" s="54">
        <f t="shared" si="420"/>
        <v>0</v>
      </c>
      <c r="AA1453" s="54">
        <f t="shared" si="413"/>
        <v>0</v>
      </c>
      <c r="AB1453" s="55">
        <f t="shared" si="421"/>
        <v>0</v>
      </c>
      <c r="AC1453" s="55">
        <f t="shared" si="414"/>
        <v>0</v>
      </c>
      <c r="AD1453" s="56">
        <f t="shared" si="415"/>
        <v>553.85</v>
      </c>
    </row>
    <row r="1454" spans="3:30">
      <c r="C1454" s="43" t="s">
        <v>2662</v>
      </c>
      <c r="D1454" s="44" t="s">
        <v>2143</v>
      </c>
      <c r="E1454" s="44"/>
      <c r="F1454" s="45">
        <v>43228.0855787037</v>
      </c>
      <c r="G1454" s="46">
        <v>4</v>
      </c>
      <c r="H1454" s="47">
        <v>43404</v>
      </c>
      <c r="I1454" s="47">
        <v>43412</v>
      </c>
      <c r="J1454" s="46">
        <v>38665</v>
      </c>
      <c r="K1454" s="46">
        <v>0</v>
      </c>
      <c r="L1454" s="46">
        <v>0</v>
      </c>
      <c r="M1454" s="46">
        <f t="shared" si="404"/>
        <v>38665</v>
      </c>
      <c r="N1454" s="46">
        <v>49913</v>
      </c>
      <c r="O1454" s="48">
        <f t="shared" si="405"/>
        <v>0.22535211267605637</v>
      </c>
      <c r="P1454" s="46">
        <v>0</v>
      </c>
      <c r="Q1454" s="46">
        <v>38665</v>
      </c>
      <c r="R1454" s="49">
        <f t="shared" si="406"/>
        <v>1</v>
      </c>
      <c r="S1454" s="50">
        <f t="shared" si="407"/>
        <v>0.01</v>
      </c>
      <c r="T1454" s="49">
        <f t="shared" si="408"/>
        <v>386.65000000000003</v>
      </c>
      <c r="U1454" s="51">
        <f t="shared" si="409"/>
        <v>0</v>
      </c>
      <c r="V1454" s="52">
        <f>IF(0&lt;0.8,0,IF(0&lt;1,Sheet3!L561,1))*IF(G1454&lt;3,0.12 - O1454,0.01) *U1454</f>
        <v>0</v>
      </c>
      <c r="W1454" s="52">
        <f t="shared" si="410"/>
        <v>0</v>
      </c>
      <c r="X1454" s="53">
        <f t="shared" si="411"/>
        <v>0</v>
      </c>
      <c r="Y1454" s="53">
        <f t="shared" si="412"/>
        <v>0</v>
      </c>
      <c r="Z1454" s="54">
        <f t="shared" si="420"/>
        <v>0</v>
      </c>
      <c r="AA1454" s="54">
        <f t="shared" si="413"/>
        <v>0</v>
      </c>
      <c r="AB1454" s="55">
        <f t="shared" si="421"/>
        <v>0</v>
      </c>
      <c r="AC1454" s="55">
        <f t="shared" si="414"/>
        <v>0</v>
      </c>
      <c r="AD1454" s="56">
        <f t="shared" si="415"/>
        <v>386.65000000000003</v>
      </c>
    </row>
    <row r="1455" spans="3:30">
      <c r="C1455" s="43" t="s">
        <v>2663</v>
      </c>
      <c r="D1455" s="44" t="s">
        <v>2664</v>
      </c>
      <c r="E1455" s="44"/>
      <c r="F1455" s="45">
        <v>43228.066354166665</v>
      </c>
      <c r="G1455" s="46">
        <v>4</v>
      </c>
      <c r="H1455" s="47">
        <v>43398</v>
      </c>
      <c r="I1455" s="47">
        <v>43399</v>
      </c>
      <c r="J1455" s="46">
        <v>1993680</v>
      </c>
      <c r="K1455" s="46">
        <v>0</v>
      </c>
      <c r="L1455" s="46">
        <v>0</v>
      </c>
      <c r="M1455" s="46">
        <f t="shared" si="404"/>
        <v>1993680</v>
      </c>
      <c r="N1455" s="46">
        <v>2913680</v>
      </c>
      <c r="O1455" s="48">
        <f t="shared" si="405"/>
        <v>0.31575190137558007</v>
      </c>
      <c r="P1455" s="46">
        <v>0</v>
      </c>
      <c r="Q1455" s="46">
        <v>1993680</v>
      </c>
      <c r="R1455" s="49">
        <f t="shared" si="406"/>
        <v>1</v>
      </c>
      <c r="S1455" s="50">
        <f t="shared" si="407"/>
        <v>0.01</v>
      </c>
      <c r="T1455" s="49">
        <f t="shared" si="408"/>
        <v>19936.8</v>
      </c>
      <c r="U1455" s="51">
        <f t="shared" si="409"/>
        <v>0</v>
      </c>
      <c r="V1455" s="52">
        <f>IF(0&lt;0.8,0,IF(0&lt;1,Sheet3!L561,1))*IF(G1455&lt;3,0.12 - O1455,0.01) *U1455</f>
        <v>0</v>
      </c>
      <c r="W1455" s="52">
        <f t="shared" si="410"/>
        <v>0</v>
      </c>
      <c r="X1455" s="53">
        <f t="shared" si="411"/>
        <v>0</v>
      </c>
      <c r="Y1455" s="53">
        <f t="shared" si="412"/>
        <v>0</v>
      </c>
      <c r="Z1455" s="54">
        <f t="shared" si="420"/>
        <v>0</v>
      </c>
      <c r="AA1455" s="54">
        <f t="shared" si="413"/>
        <v>0</v>
      </c>
      <c r="AB1455" s="55">
        <f t="shared" si="421"/>
        <v>0</v>
      </c>
      <c r="AC1455" s="55">
        <f t="shared" si="414"/>
        <v>0</v>
      </c>
      <c r="AD1455" s="56">
        <f t="shared" si="415"/>
        <v>19936.8</v>
      </c>
    </row>
    <row r="1456" spans="3:30">
      <c r="C1456" s="43" t="s">
        <v>2665</v>
      </c>
      <c r="D1456" s="44" t="s">
        <v>2143</v>
      </c>
      <c r="E1456" s="44"/>
      <c r="F1456" s="45">
        <v>43231.268136574072</v>
      </c>
      <c r="G1456" s="46">
        <v>4</v>
      </c>
      <c r="H1456" s="47">
        <v>43404</v>
      </c>
      <c r="I1456" s="47">
        <v>43412</v>
      </c>
      <c r="J1456" s="46">
        <v>36575</v>
      </c>
      <c r="K1456" s="46">
        <v>0</v>
      </c>
      <c r="L1456" s="46">
        <v>0</v>
      </c>
      <c r="M1456" s="46">
        <f t="shared" si="404"/>
        <v>36575</v>
      </c>
      <c r="N1456" s="46">
        <v>39930</v>
      </c>
      <c r="O1456" s="48">
        <f t="shared" si="405"/>
        <v>8.4022038567493129E-2</v>
      </c>
      <c r="P1456" s="46">
        <v>0</v>
      </c>
      <c r="Q1456" s="46">
        <v>36575</v>
      </c>
      <c r="R1456" s="49">
        <f t="shared" si="406"/>
        <v>1</v>
      </c>
      <c r="S1456" s="50">
        <f t="shared" si="407"/>
        <v>0.01</v>
      </c>
      <c r="T1456" s="49">
        <f t="shared" si="408"/>
        <v>365.75</v>
      </c>
      <c r="U1456" s="51">
        <f t="shared" si="409"/>
        <v>0</v>
      </c>
      <c r="V1456" s="52">
        <f>IF(0&lt;0.8,0,IF(0&lt;1,Sheet3!L561,1))*IF(G1456&lt;3,0.12 - O1456,0.01) *U1456</f>
        <v>0</v>
      </c>
      <c r="W1456" s="52">
        <f t="shared" si="410"/>
        <v>0</v>
      </c>
      <c r="X1456" s="53">
        <f t="shared" si="411"/>
        <v>0</v>
      </c>
      <c r="Y1456" s="53">
        <f t="shared" si="412"/>
        <v>0</v>
      </c>
      <c r="Z1456" s="54">
        <f t="shared" si="420"/>
        <v>0</v>
      </c>
      <c r="AA1456" s="54">
        <f t="shared" si="413"/>
        <v>0</v>
      </c>
      <c r="AB1456" s="55">
        <f t="shared" si="421"/>
        <v>0</v>
      </c>
      <c r="AC1456" s="55">
        <f t="shared" si="414"/>
        <v>0</v>
      </c>
      <c r="AD1456" s="56">
        <f t="shared" si="415"/>
        <v>365.75</v>
      </c>
    </row>
    <row r="1457" spans="3:30">
      <c r="C1457" s="43" t="s">
        <v>2666</v>
      </c>
      <c r="D1457" s="44" t="s">
        <v>2667</v>
      </c>
      <c r="E1457" s="44"/>
      <c r="F1457" s="45">
        <v>43231.266898148147</v>
      </c>
      <c r="G1457" s="46">
        <v>4</v>
      </c>
      <c r="H1457" s="47">
        <v>43382</v>
      </c>
      <c r="I1457" s="47">
        <v>43414</v>
      </c>
      <c r="J1457" s="46">
        <v>768605</v>
      </c>
      <c r="K1457" s="46">
        <v>0</v>
      </c>
      <c r="L1457" s="46">
        <v>0</v>
      </c>
      <c r="M1457" s="46">
        <f t="shared" si="404"/>
        <v>768605</v>
      </c>
      <c r="N1457" s="46">
        <v>768605</v>
      </c>
      <c r="O1457" s="48">
        <f t="shared" si="405"/>
        <v>0</v>
      </c>
      <c r="P1457" s="46">
        <v>0</v>
      </c>
      <c r="Q1457" s="46">
        <v>768605</v>
      </c>
      <c r="R1457" s="49">
        <f t="shared" si="406"/>
        <v>1</v>
      </c>
      <c r="S1457" s="50">
        <f t="shared" si="407"/>
        <v>0.01</v>
      </c>
      <c r="T1457" s="49">
        <f t="shared" si="408"/>
        <v>7686.05</v>
      </c>
      <c r="U1457" s="51">
        <f t="shared" si="409"/>
        <v>0</v>
      </c>
      <c r="V1457" s="52">
        <f>IF(0&lt;0.8,0,IF(0&lt;1,Sheet3!L561,1))*IF(G1457&lt;3,0.12 - O1457,0.01) *U1457</f>
        <v>0</v>
      </c>
      <c r="W1457" s="52">
        <f t="shared" si="410"/>
        <v>0</v>
      </c>
      <c r="X1457" s="53">
        <f t="shared" si="411"/>
        <v>0</v>
      </c>
      <c r="Y1457" s="53">
        <f t="shared" si="412"/>
        <v>0</v>
      </c>
      <c r="Z1457" s="54">
        <f t="shared" si="420"/>
        <v>0</v>
      </c>
      <c r="AA1457" s="54">
        <f t="shared" si="413"/>
        <v>0</v>
      </c>
      <c r="AB1457" s="55">
        <f t="shared" si="421"/>
        <v>0</v>
      </c>
      <c r="AC1457" s="55">
        <f t="shared" si="414"/>
        <v>0</v>
      </c>
      <c r="AD1457" s="56">
        <f t="shared" si="415"/>
        <v>7686.05</v>
      </c>
    </row>
    <row r="1458" spans="3:30">
      <c r="C1458" s="43" t="s">
        <v>2668</v>
      </c>
      <c r="D1458" s="44" t="s">
        <v>2669</v>
      </c>
      <c r="E1458" s="44"/>
      <c r="F1458" s="45">
        <v>43231.265451388885</v>
      </c>
      <c r="G1458" s="46">
        <v>4</v>
      </c>
      <c r="H1458" s="47">
        <v>43376</v>
      </c>
      <c r="I1458" s="47">
        <v>43404</v>
      </c>
      <c r="J1458" s="46">
        <v>2601461</v>
      </c>
      <c r="K1458" s="46">
        <v>0</v>
      </c>
      <c r="L1458" s="46">
        <v>0</v>
      </c>
      <c r="M1458" s="46">
        <f t="shared" si="404"/>
        <v>2601461</v>
      </c>
      <c r="N1458" s="46">
        <v>2601461</v>
      </c>
      <c r="O1458" s="48">
        <f t="shared" si="405"/>
        <v>0</v>
      </c>
      <c r="P1458" s="46">
        <v>0</v>
      </c>
      <c r="Q1458" s="46">
        <v>2601461</v>
      </c>
      <c r="R1458" s="49">
        <f t="shared" si="406"/>
        <v>1</v>
      </c>
      <c r="S1458" s="50">
        <f t="shared" si="407"/>
        <v>0.01</v>
      </c>
      <c r="T1458" s="49">
        <f t="shared" si="408"/>
        <v>26014.61</v>
      </c>
      <c r="U1458" s="51">
        <f t="shared" si="409"/>
        <v>0</v>
      </c>
      <c r="V1458" s="52">
        <f>IF(0&lt;0.8,0,IF(0&lt;1,Sheet3!L561,1))*IF(G1458&lt;3,0.12 - O1458,0.01) *U1458</f>
        <v>0</v>
      </c>
      <c r="W1458" s="52">
        <f t="shared" si="410"/>
        <v>0</v>
      </c>
      <c r="X1458" s="53">
        <f t="shared" si="411"/>
        <v>0</v>
      </c>
      <c r="Y1458" s="53">
        <f t="shared" si="412"/>
        <v>0</v>
      </c>
      <c r="Z1458" s="54">
        <f t="shared" si="420"/>
        <v>0</v>
      </c>
      <c r="AA1458" s="54">
        <f t="shared" si="413"/>
        <v>0</v>
      </c>
      <c r="AB1458" s="55">
        <f t="shared" si="421"/>
        <v>0</v>
      </c>
      <c r="AC1458" s="55">
        <f t="shared" si="414"/>
        <v>0</v>
      </c>
      <c r="AD1458" s="56">
        <f t="shared" si="415"/>
        <v>26014.61</v>
      </c>
    </row>
    <row r="1459" spans="3:30">
      <c r="C1459" s="43" t="s">
        <v>2670</v>
      </c>
      <c r="D1459" s="44" t="s">
        <v>2671</v>
      </c>
      <c r="E1459" s="44"/>
      <c r="F1459" s="45">
        <v>43231.26427083333</v>
      </c>
      <c r="G1459" s="46">
        <v>4</v>
      </c>
      <c r="H1459" s="47">
        <v>43379</v>
      </c>
      <c r="I1459" s="47">
        <v>43420</v>
      </c>
      <c r="J1459" s="46">
        <v>345032</v>
      </c>
      <c r="K1459" s="46">
        <v>0</v>
      </c>
      <c r="L1459" s="46">
        <v>0</v>
      </c>
      <c r="M1459" s="46">
        <f t="shared" ref="M1459:M1522" si="422">IFERROR(J1459-K1459-L1459,0)</f>
        <v>345032</v>
      </c>
      <c r="N1459" s="46">
        <v>345032</v>
      </c>
      <c r="O1459" s="48">
        <f t="shared" ref="O1459:O1522" si="423">IFERROR(IF(1 - M1459/N1459&lt;0,0,1-M1459/N1459),0)</f>
        <v>0</v>
      </c>
      <c r="P1459" s="46">
        <v>0</v>
      </c>
      <c r="Q1459" s="46">
        <v>345032</v>
      </c>
      <c r="R1459" s="49">
        <f t="shared" ref="R1459:R1522" si="424">IF(F1459&lt;DATEVALUE("2018-07-01"),1,0)</f>
        <v>1</v>
      </c>
      <c r="S1459" s="50">
        <f t="shared" ref="S1459:S1522" si="425">IF(R1459=1,1%,0)</f>
        <v>0.01</v>
      </c>
      <c r="T1459" s="49">
        <f t="shared" ref="T1459:T1522" si="426">IFERROR(S1459*M1459,0)</f>
        <v>3450.32</v>
      </c>
      <c r="U1459" s="51">
        <f t="shared" ref="U1459:U1522" si="427">IF(O1459&lt;=0.12,1,0)*(1-R1459)*M1459</f>
        <v>0</v>
      </c>
      <c r="V1459" s="52">
        <f>IF(0&lt;0.8,0,IF(0&lt;1,Sheet3!L561,1))*IF(G1459&lt;3,0.12 - O1459,0.01) *U1459</f>
        <v>0</v>
      </c>
      <c r="W1459" s="52">
        <f t="shared" ref="W1459:W1522" si="428">IF(0&gt;1,IF(0&lt;=1.1,1,IF(0&lt;=1.2,2,IF(0&lt;=1.5,3,5))),0) * 1000000</f>
        <v>0</v>
      </c>
      <c r="X1459" s="53">
        <f t="shared" ref="X1459:X1522" si="429">IF(AND(P1459&gt;=150000000,P1459&lt;300000000),5000000,IF(AND(P1459&gt;=300000000,P1459&lt;500000000),10000000,IF(AND(P1459&gt;=300000000,P1459&lt;500000000),15000000,IF(AND(P1459&gt;=500000000,P1459&lt;3000000000),20000000,IF(P1459&gt;=30000000000,35000000,0))))) * (1-R1459)</f>
        <v>0</v>
      </c>
      <c r="Y1459" s="53">
        <f t="shared" ref="Y1459:Y1522" si="430">IFERROR(Q1459 * (1-R1459),0)</f>
        <v>0</v>
      </c>
      <c r="Z1459" s="54">
        <f t="shared" si="420"/>
        <v>0</v>
      </c>
      <c r="AA1459" s="54">
        <f t="shared" ref="AA1459:AA1522" si="431">IFERROR((1-R1459) * Z1459 * 2%,0)</f>
        <v>0</v>
      </c>
      <c r="AB1459" s="55">
        <f t="shared" si="421"/>
        <v>0</v>
      </c>
      <c r="AC1459" s="55">
        <f t="shared" ref="AC1459:AC1522" si="432">IFERROR(AB1459 * (1-R1459) * 2%,0)</f>
        <v>0</v>
      </c>
      <c r="AD1459" s="56">
        <f t="shared" ref="AD1459:AD1522" si="433">T1459+V1459+W1459+X1459+AA1459+AC1459</f>
        <v>3450.32</v>
      </c>
    </row>
    <row r="1460" spans="3:30">
      <c r="C1460" s="43" t="s">
        <v>2672</v>
      </c>
      <c r="D1460" s="44" t="s">
        <v>2673</v>
      </c>
      <c r="E1460" s="44"/>
      <c r="F1460" s="45">
        <v>43231.2883912037</v>
      </c>
      <c r="G1460" s="46">
        <v>4</v>
      </c>
      <c r="H1460" s="47" t="s">
        <v>24</v>
      </c>
      <c r="I1460" s="47" t="s">
        <v>24</v>
      </c>
      <c r="J1460" s="46">
        <v>297750</v>
      </c>
      <c r="K1460" s="46">
        <v>0</v>
      </c>
      <c r="L1460" s="46">
        <v>0</v>
      </c>
      <c r="M1460" s="46">
        <f t="shared" si="422"/>
        <v>297750</v>
      </c>
      <c r="N1460" s="46" t="s">
        <v>24</v>
      </c>
      <c r="O1460" s="48">
        <f t="shared" si="423"/>
        <v>0</v>
      </c>
      <c r="P1460" s="46">
        <v>0</v>
      </c>
      <c r="Q1460" s="46">
        <v>0</v>
      </c>
      <c r="R1460" s="49">
        <f t="shared" si="424"/>
        <v>1</v>
      </c>
      <c r="S1460" s="50">
        <f t="shared" si="425"/>
        <v>0.01</v>
      </c>
      <c r="T1460" s="49">
        <f t="shared" si="426"/>
        <v>2977.5</v>
      </c>
      <c r="U1460" s="51">
        <f t="shared" si="427"/>
        <v>0</v>
      </c>
      <c r="V1460" s="52">
        <f>IF(0&lt;0.8,0,IF(0&lt;1,Sheet3!L561,1))*IF(G1460&lt;3,0.12 - O1460,0.01) *U1460</f>
        <v>0</v>
      </c>
      <c r="W1460" s="52">
        <f t="shared" si="428"/>
        <v>0</v>
      </c>
      <c r="X1460" s="53">
        <f t="shared" si="429"/>
        <v>0</v>
      </c>
      <c r="Y1460" s="53">
        <f t="shared" si="430"/>
        <v>0</v>
      </c>
      <c r="Z1460" s="54">
        <f>IF(R1460=1,0,"")</f>
        <v>0</v>
      </c>
      <c r="AA1460" s="54">
        <f t="shared" si="431"/>
        <v>0</v>
      </c>
      <c r="AB1460" s="55">
        <f>IF(R1460=0,"",0)</f>
        <v>0</v>
      </c>
      <c r="AC1460" s="55">
        <f t="shared" si="432"/>
        <v>0</v>
      </c>
      <c r="AD1460" s="56">
        <f t="shared" si="433"/>
        <v>2977.5</v>
      </c>
    </row>
    <row r="1461" spans="3:30">
      <c r="C1461" s="43" t="s">
        <v>2674</v>
      </c>
      <c r="D1461" s="44" t="s">
        <v>2675</v>
      </c>
      <c r="E1461" s="44"/>
      <c r="F1461" s="45">
        <v>43231.279236111106</v>
      </c>
      <c r="G1461" s="46">
        <v>4</v>
      </c>
      <c r="H1461" s="47">
        <v>43372</v>
      </c>
      <c r="I1461" s="47">
        <v>43390</v>
      </c>
      <c r="J1461" s="46">
        <v>299302</v>
      </c>
      <c r="K1461" s="46">
        <v>0</v>
      </c>
      <c r="L1461" s="46">
        <v>0</v>
      </c>
      <c r="M1461" s="46">
        <f t="shared" si="422"/>
        <v>299302</v>
      </c>
      <c r="N1461" s="46">
        <v>299302</v>
      </c>
      <c r="O1461" s="48">
        <f t="shared" si="423"/>
        <v>0</v>
      </c>
      <c r="P1461" s="46">
        <v>0</v>
      </c>
      <c r="Q1461" s="46">
        <v>299302</v>
      </c>
      <c r="R1461" s="49">
        <f t="shared" si="424"/>
        <v>1</v>
      </c>
      <c r="S1461" s="50">
        <f t="shared" si="425"/>
        <v>0.01</v>
      </c>
      <c r="T1461" s="49">
        <f t="shared" si="426"/>
        <v>2993.02</v>
      </c>
      <c r="U1461" s="51">
        <f t="shared" si="427"/>
        <v>0</v>
      </c>
      <c r="V1461" s="52">
        <f>IF(0&lt;0.8,0,IF(0&lt;1,Sheet3!L561,1))*IF(G1461&lt;3,0.12 - O1461,0.01) *U1461</f>
        <v>0</v>
      </c>
      <c r="W1461" s="52">
        <f t="shared" si="428"/>
        <v>0</v>
      </c>
      <c r="X1461" s="53">
        <f t="shared" si="429"/>
        <v>0</v>
      </c>
      <c r="Y1461" s="53">
        <f t="shared" si="430"/>
        <v>0</v>
      </c>
      <c r="Z1461" s="54">
        <f t="shared" ref="Z1461:Z1509" si="434">IF(R1461=1,0,0)</f>
        <v>0</v>
      </c>
      <c r="AA1461" s="54">
        <f t="shared" si="431"/>
        <v>0</v>
      </c>
      <c r="AB1461" s="55">
        <f t="shared" ref="AB1461:AB1499" si="435">IF(R1461=0,0,0)</f>
        <v>0</v>
      </c>
      <c r="AC1461" s="55">
        <f t="shared" si="432"/>
        <v>0</v>
      </c>
      <c r="AD1461" s="56">
        <f t="shared" si="433"/>
        <v>2993.02</v>
      </c>
    </row>
    <row r="1462" spans="3:30">
      <c r="C1462" s="43" t="s">
        <v>2676</v>
      </c>
      <c r="D1462" s="44" t="s">
        <v>2677</v>
      </c>
      <c r="E1462" s="44"/>
      <c r="F1462" s="45">
        <v>43231.280752314815</v>
      </c>
      <c r="G1462" s="46">
        <v>4</v>
      </c>
      <c r="H1462" s="47">
        <v>43420</v>
      </c>
      <c r="I1462" s="47">
        <v>43476</v>
      </c>
      <c r="J1462" s="46">
        <v>3687961</v>
      </c>
      <c r="K1462" s="46">
        <v>0</v>
      </c>
      <c r="L1462" s="46">
        <v>0</v>
      </c>
      <c r="M1462" s="46">
        <f t="shared" si="422"/>
        <v>3687961</v>
      </c>
      <c r="N1462" s="46">
        <v>5535340</v>
      </c>
      <c r="O1462" s="48">
        <f t="shared" si="423"/>
        <v>0.33374264272835996</v>
      </c>
      <c r="P1462" s="46">
        <v>0</v>
      </c>
      <c r="Q1462" s="46">
        <v>3687961</v>
      </c>
      <c r="R1462" s="49">
        <f t="shared" si="424"/>
        <v>1</v>
      </c>
      <c r="S1462" s="50">
        <f t="shared" si="425"/>
        <v>0.01</v>
      </c>
      <c r="T1462" s="49">
        <f t="shared" si="426"/>
        <v>36879.61</v>
      </c>
      <c r="U1462" s="51">
        <f t="shared" si="427"/>
        <v>0</v>
      </c>
      <c r="V1462" s="52">
        <f>IF(0&lt;0.8,0,IF(0&lt;1,Sheet3!L561,1))*IF(G1462&lt;3,0.12 - O1462,0.01) *U1462</f>
        <v>0</v>
      </c>
      <c r="W1462" s="52">
        <f t="shared" si="428"/>
        <v>0</v>
      </c>
      <c r="X1462" s="53">
        <f t="shared" si="429"/>
        <v>0</v>
      </c>
      <c r="Y1462" s="53">
        <f t="shared" si="430"/>
        <v>0</v>
      </c>
      <c r="Z1462" s="54">
        <f t="shared" si="434"/>
        <v>0</v>
      </c>
      <c r="AA1462" s="54">
        <f t="shared" si="431"/>
        <v>0</v>
      </c>
      <c r="AB1462" s="55">
        <f t="shared" si="435"/>
        <v>0</v>
      </c>
      <c r="AC1462" s="55">
        <f t="shared" si="432"/>
        <v>0</v>
      </c>
      <c r="AD1462" s="56">
        <f t="shared" si="433"/>
        <v>36879.61</v>
      </c>
    </row>
    <row r="1463" spans="3:30">
      <c r="C1463" s="43" t="s">
        <v>2678</v>
      </c>
      <c r="D1463" s="44" t="s">
        <v>2679</v>
      </c>
      <c r="E1463" s="44"/>
      <c r="F1463" s="45">
        <v>43236.0702662037</v>
      </c>
      <c r="G1463" s="46">
        <v>4</v>
      </c>
      <c r="H1463" s="47">
        <v>43382</v>
      </c>
      <c r="I1463" s="47">
        <v>43414</v>
      </c>
      <c r="J1463" s="46">
        <v>186507</v>
      </c>
      <c r="K1463" s="46">
        <v>0</v>
      </c>
      <c r="L1463" s="46">
        <v>0</v>
      </c>
      <c r="M1463" s="46">
        <f t="shared" si="422"/>
        <v>186507</v>
      </c>
      <c r="N1463" s="46">
        <v>186507</v>
      </c>
      <c r="O1463" s="48">
        <f t="shared" si="423"/>
        <v>0</v>
      </c>
      <c r="P1463" s="46">
        <v>0</v>
      </c>
      <c r="Q1463" s="46">
        <v>186507</v>
      </c>
      <c r="R1463" s="49">
        <f t="shared" si="424"/>
        <v>1</v>
      </c>
      <c r="S1463" s="50">
        <f t="shared" si="425"/>
        <v>0.01</v>
      </c>
      <c r="T1463" s="49">
        <f t="shared" si="426"/>
        <v>1865.07</v>
      </c>
      <c r="U1463" s="51">
        <f t="shared" si="427"/>
        <v>0</v>
      </c>
      <c r="V1463" s="52">
        <f>IF(0&lt;0.8,0,IF(0&lt;1,Sheet3!L561,1))*IF(G1463&lt;3,0.12 - O1463,0.01) *U1463</f>
        <v>0</v>
      </c>
      <c r="W1463" s="52">
        <f t="shared" si="428"/>
        <v>0</v>
      </c>
      <c r="X1463" s="53">
        <f t="shared" si="429"/>
        <v>0</v>
      </c>
      <c r="Y1463" s="53">
        <f t="shared" si="430"/>
        <v>0</v>
      </c>
      <c r="Z1463" s="54">
        <f t="shared" si="434"/>
        <v>0</v>
      </c>
      <c r="AA1463" s="54">
        <f t="shared" si="431"/>
        <v>0</v>
      </c>
      <c r="AB1463" s="55">
        <f t="shared" si="435"/>
        <v>0</v>
      </c>
      <c r="AC1463" s="55">
        <f t="shared" si="432"/>
        <v>0</v>
      </c>
      <c r="AD1463" s="56">
        <f t="shared" si="433"/>
        <v>1865.07</v>
      </c>
    </row>
    <row r="1464" spans="3:30">
      <c r="C1464" s="43" t="s">
        <v>2680</v>
      </c>
      <c r="D1464" s="44" t="s">
        <v>2681</v>
      </c>
      <c r="E1464" s="44"/>
      <c r="F1464" s="45">
        <v>43236.071585648147</v>
      </c>
      <c r="G1464" s="46">
        <v>4</v>
      </c>
      <c r="H1464" s="47">
        <v>43379</v>
      </c>
      <c r="I1464" s="47">
        <v>43420</v>
      </c>
      <c r="J1464" s="46">
        <v>69080</v>
      </c>
      <c r="K1464" s="46">
        <v>0</v>
      </c>
      <c r="L1464" s="46">
        <v>0</v>
      </c>
      <c r="M1464" s="46">
        <f t="shared" si="422"/>
        <v>69080</v>
      </c>
      <c r="N1464" s="46">
        <v>90375</v>
      </c>
      <c r="O1464" s="48">
        <f t="shared" si="423"/>
        <v>0.23562932226832645</v>
      </c>
      <c r="P1464" s="46">
        <v>0</v>
      </c>
      <c r="Q1464" s="46">
        <v>69080</v>
      </c>
      <c r="R1464" s="49">
        <f t="shared" si="424"/>
        <v>1</v>
      </c>
      <c r="S1464" s="50">
        <f t="shared" si="425"/>
        <v>0.01</v>
      </c>
      <c r="T1464" s="49">
        <f t="shared" si="426"/>
        <v>690.80000000000007</v>
      </c>
      <c r="U1464" s="51">
        <f t="shared" si="427"/>
        <v>0</v>
      </c>
      <c r="V1464" s="52">
        <f>IF(0&lt;0.8,0,IF(0&lt;1,Sheet3!L561,1))*IF(G1464&lt;3,0.12 - O1464,0.01) *U1464</f>
        <v>0</v>
      </c>
      <c r="W1464" s="52">
        <f t="shared" si="428"/>
        <v>0</v>
      </c>
      <c r="X1464" s="53">
        <f t="shared" si="429"/>
        <v>0</v>
      </c>
      <c r="Y1464" s="53">
        <f t="shared" si="430"/>
        <v>0</v>
      </c>
      <c r="Z1464" s="54">
        <f t="shared" si="434"/>
        <v>0</v>
      </c>
      <c r="AA1464" s="54">
        <f t="shared" si="431"/>
        <v>0</v>
      </c>
      <c r="AB1464" s="55">
        <f t="shared" si="435"/>
        <v>0</v>
      </c>
      <c r="AC1464" s="55">
        <f t="shared" si="432"/>
        <v>0</v>
      </c>
      <c r="AD1464" s="56">
        <f t="shared" si="433"/>
        <v>690.80000000000007</v>
      </c>
    </row>
    <row r="1465" spans="3:30">
      <c r="C1465" s="43" t="s">
        <v>2682</v>
      </c>
      <c r="D1465" s="44" t="s">
        <v>2683</v>
      </c>
      <c r="E1465" s="44"/>
      <c r="F1465" s="45">
        <v>43236.122395833328</v>
      </c>
      <c r="G1465" s="46">
        <v>4</v>
      </c>
      <c r="H1465" s="47">
        <v>43434</v>
      </c>
      <c r="I1465" s="47">
        <v>43449</v>
      </c>
      <c r="J1465" s="46">
        <v>4469014</v>
      </c>
      <c r="K1465" s="46">
        <v>0</v>
      </c>
      <c r="L1465" s="46">
        <v>0</v>
      </c>
      <c r="M1465" s="46">
        <f t="shared" si="422"/>
        <v>4469014</v>
      </c>
      <c r="N1465" s="46">
        <v>4469014</v>
      </c>
      <c r="O1465" s="48">
        <f t="shared" si="423"/>
        <v>0</v>
      </c>
      <c r="P1465" s="46">
        <v>0</v>
      </c>
      <c r="Q1465" s="46">
        <v>4682942</v>
      </c>
      <c r="R1465" s="49">
        <f t="shared" si="424"/>
        <v>1</v>
      </c>
      <c r="S1465" s="50">
        <f t="shared" si="425"/>
        <v>0.01</v>
      </c>
      <c r="T1465" s="49">
        <f t="shared" si="426"/>
        <v>44690.14</v>
      </c>
      <c r="U1465" s="51">
        <f t="shared" si="427"/>
        <v>0</v>
      </c>
      <c r="V1465" s="52">
        <f>IF(0&lt;0.8,0,IF(0&lt;1,Sheet3!L561,1))*IF(G1465&lt;3,0.12 - O1465,0.01) *U1465</f>
        <v>0</v>
      </c>
      <c r="W1465" s="52">
        <f t="shared" si="428"/>
        <v>0</v>
      </c>
      <c r="X1465" s="53">
        <f t="shared" si="429"/>
        <v>0</v>
      </c>
      <c r="Y1465" s="53">
        <f t="shared" si="430"/>
        <v>0</v>
      </c>
      <c r="Z1465" s="54">
        <f t="shared" si="434"/>
        <v>0</v>
      </c>
      <c r="AA1465" s="54">
        <f t="shared" si="431"/>
        <v>0</v>
      </c>
      <c r="AB1465" s="55">
        <f t="shared" si="435"/>
        <v>0</v>
      </c>
      <c r="AC1465" s="55">
        <f t="shared" si="432"/>
        <v>0</v>
      </c>
      <c r="AD1465" s="56">
        <f t="shared" si="433"/>
        <v>44690.14</v>
      </c>
    </row>
    <row r="1466" spans="3:30">
      <c r="C1466" s="43" t="s">
        <v>2684</v>
      </c>
      <c r="D1466" s="44" t="s">
        <v>2685</v>
      </c>
      <c r="E1466" s="44"/>
      <c r="F1466" s="45">
        <v>43237.355624999997</v>
      </c>
      <c r="G1466" s="46">
        <v>4</v>
      </c>
      <c r="H1466" s="47">
        <v>43382</v>
      </c>
      <c r="I1466" s="47">
        <v>43428</v>
      </c>
      <c r="J1466" s="46">
        <v>1813900</v>
      </c>
      <c r="K1466" s="46">
        <v>0</v>
      </c>
      <c r="L1466" s="46">
        <v>0</v>
      </c>
      <c r="M1466" s="46">
        <f t="shared" si="422"/>
        <v>1813900</v>
      </c>
      <c r="N1466" s="46">
        <v>2145330</v>
      </c>
      <c r="O1466" s="48">
        <f t="shared" si="423"/>
        <v>0.15448905296621029</v>
      </c>
      <c r="P1466" s="46">
        <v>0</v>
      </c>
      <c r="Q1466" s="46">
        <v>1813900</v>
      </c>
      <c r="R1466" s="49">
        <f t="shared" si="424"/>
        <v>1</v>
      </c>
      <c r="S1466" s="50">
        <f t="shared" si="425"/>
        <v>0.01</v>
      </c>
      <c r="T1466" s="49">
        <f t="shared" si="426"/>
        <v>18139</v>
      </c>
      <c r="U1466" s="51">
        <f t="shared" si="427"/>
        <v>0</v>
      </c>
      <c r="V1466" s="52">
        <f>IF(0&lt;0.8,0,IF(0&lt;1,Sheet3!L561,1))*IF(G1466&lt;3,0.12 - O1466,0.01) *U1466</f>
        <v>0</v>
      </c>
      <c r="W1466" s="52">
        <f t="shared" si="428"/>
        <v>0</v>
      </c>
      <c r="X1466" s="53">
        <f t="shared" si="429"/>
        <v>0</v>
      </c>
      <c r="Y1466" s="53">
        <f t="shared" si="430"/>
        <v>0</v>
      </c>
      <c r="Z1466" s="54">
        <f t="shared" si="434"/>
        <v>0</v>
      </c>
      <c r="AA1466" s="54">
        <f t="shared" si="431"/>
        <v>0</v>
      </c>
      <c r="AB1466" s="55">
        <f t="shared" si="435"/>
        <v>0</v>
      </c>
      <c r="AC1466" s="55">
        <f t="shared" si="432"/>
        <v>0</v>
      </c>
      <c r="AD1466" s="56">
        <f t="shared" si="433"/>
        <v>18139</v>
      </c>
    </row>
    <row r="1467" spans="3:30">
      <c r="C1467" s="43" t="s">
        <v>2686</v>
      </c>
      <c r="D1467" s="44" t="s">
        <v>2687</v>
      </c>
      <c r="E1467" s="44"/>
      <c r="F1467" s="45">
        <v>43238.126793981479</v>
      </c>
      <c r="G1467" s="46">
        <v>4</v>
      </c>
      <c r="H1467" s="47">
        <v>43406</v>
      </c>
      <c r="I1467" s="47">
        <v>43440</v>
      </c>
      <c r="J1467" s="46">
        <v>3278660</v>
      </c>
      <c r="K1467" s="46">
        <v>0</v>
      </c>
      <c r="L1467" s="46">
        <v>0</v>
      </c>
      <c r="M1467" s="46">
        <f t="shared" si="422"/>
        <v>3278660</v>
      </c>
      <c r="N1467" s="46">
        <v>3708892</v>
      </c>
      <c r="O1467" s="48">
        <f t="shared" si="423"/>
        <v>0.11600014236057565</v>
      </c>
      <c r="P1467" s="46">
        <v>0</v>
      </c>
      <c r="Q1467" s="46">
        <v>3278660</v>
      </c>
      <c r="R1467" s="49">
        <f t="shared" si="424"/>
        <v>1</v>
      </c>
      <c r="S1467" s="50">
        <f t="shared" si="425"/>
        <v>0.01</v>
      </c>
      <c r="T1467" s="49">
        <f t="shared" si="426"/>
        <v>32786.6</v>
      </c>
      <c r="U1467" s="51">
        <f t="shared" si="427"/>
        <v>0</v>
      </c>
      <c r="V1467" s="52">
        <f>IF(0&lt;0.8,0,IF(0&lt;1,Sheet3!L561,1))*IF(G1467&lt;3,0.12 - O1467,0.01) *U1467</f>
        <v>0</v>
      </c>
      <c r="W1467" s="52">
        <f t="shared" si="428"/>
        <v>0</v>
      </c>
      <c r="X1467" s="53">
        <f t="shared" si="429"/>
        <v>0</v>
      </c>
      <c r="Y1467" s="53">
        <f t="shared" si="430"/>
        <v>0</v>
      </c>
      <c r="Z1467" s="54">
        <f t="shared" si="434"/>
        <v>0</v>
      </c>
      <c r="AA1467" s="54">
        <f t="shared" si="431"/>
        <v>0</v>
      </c>
      <c r="AB1467" s="55">
        <f t="shared" si="435"/>
        <v>0</v>
      </c>
      <c r="AC1467" s="55">
        <f t="shared" si="432"/>
        <v>0</v>
      </c>
      <c r="AD1467" s="56">
        <f t="shared" si="433"/>
        <v>32786.6</v>
      </c>
    </row>
    <row r="1468" spans="3:30">
      <c r="C1468" s="43" t="s">
        <v>2688</v>
      </c>
      <c r="D1468" s="44" t="s">
        <v>2689</v>
      </c>
      <c r="E1468" s="44"/>
      <c r="F1468" s="45">
        <v>43241.107627314814</v>
      </c>
      <c r="G1468" s="46">
        <v>4</v>
      </c>
      <c r="H1468" s="47">
        <v>43372</v>
      </c>
      <c r="I1468" s="47">
        <v>43383</v>
      </c>
      <c r="J1468" s="46">
        <v>12825648</v>
      </c>
      <c r="K1468" s="46">
        <v>2781616</v>
      </c>
      <c r="L1468" s="46">
        <v>0</v>
      </c>
      <c r="M1468" s="46">
        <f t="shared" si="422"/>
        <v>10044032</v>
      </c>
      <c r="N1468" s="46">
        <v>12964556</v>
      </c>
      <c r="O1468" s="48">
        <f t="shared" si="423"/>
        <v>0.22526988197667552</v>
      </c>
      <c r="P1468" s="46">
        <v>0</v>
      </c>
      <c r="Q1468" s="46">
        <v>10204898</v>
      </c>
      <c r="R1468" s="49">
        <f t="shared" si="424"/>
        <v>1</v>
      </c>
      <c r="S1468" s="50">
        <f t="shared" si="425"/>
        <v>0.01</v>
      </c>
      <c r="T1468" s="49">
        <f t="shared" si="426"/>
        <v>100440.32000000001</v>
      </c>
      <c r="U1468" s="51">
        <f t="shared" si="427"/>
        <v>0</v>
      </c>
      <c r="V1468" s="52">
        <f>IF(0&lt;0.8,0,IF(0&lt;1,Sheet3!L561,1))*IF(G1468&lt;3,0.12 - O1468,0.01) *U1468</f>
        <v>0</v>
      </c>
      <c r="W1468" s="52">
        <f t="shared" si="428"/>
        <v>0</v>
      </c>
      <c r="X1468" s="53">
        <f t="shared" si="429"/>
        <v>0</v>
      </c>
      <c r="Y1468" s="53">
        <f t="shared" si="430"/>
        <v>0</v>
      </c>
      <c r="Z1468" s="54">
        <f t="shared" si="434"/>
        <v>0</v>
      </c>
      <c r="AA1468" s="54">
        <f t="shared" si="431"/>
        <v>0</v>
      </c>
      <c r="AB1468" s="55">
        <f t="shared" si="435"/>
        <v>0</v>
      </c>
      <c r="AC1468" s="55">
        <f t="shared" si="432"/>
        <v>0</v>
      </c>
      <c r="AD1468" s="56">
        <f t="shared" si="433"/>
        <v>100440.32000000001</v>
      </c>
    </row>
    <row r="1469" spans="3:30">
      <c r="C1469" s="43" t="s">
        <v>2690</v>
      </c>
      <c r="D1469" s="44" t="s">
        <v>2691</v>
      </c>
      <c r="E1469" s="44"/>
      <c r="F1469" s="45">
        <v>43243.177129629628</v>
      </c>
      <c r="G1469" s="46">
        <v>4</v>
      </c>
      <c r="H1469" s="47">
        <v>43372</v>
      </c>
      <c r="I1469" s="47">
        <v>43384</v>
      </c>
      <c r="J1469" s="46">
        <v>474701</v>
      </c>
      <c r="K1469" s="46">
        <v>0</v>
      </c>
      <c r="L1469" s="46">
        <v>0</v>
      </c>
      <c r="M1469" s="46">
        <f t="shared" si="422"/>
        <v>474701</v>
      </c>
      <c r="N1469" s="46">
        <v>519877</v>
      </c>
      <c r="O1469" s="48">
        <f t="shared" si="423"/>
        <v>8.6897477672603363E-2</v>
      </c>
      <c r="P1469" s="46">
        <v>0</v>
      </c>
      <c r="Q1469" s="46">
        <v>474701</v>
      </c>
      <c r="R1469" s="49">
        <f t="shared" si="424"/>
        <v>1</v>
      </c>
      <c r="S1469" s="50">
        <f t="shared" si="425"/>
        <v>0.01</v>
      </c>
      <c r="T1469" s="49">
        <f t="shared" si="426"/>
        <v>4747.01</v>
      </c>
      <c r="U1469" s="51">
        <f t="shared" si="427"/>
        <v>0</v>
      </c>
      <c r="V1469" s="52">
        <f>IF(0&lt;0.8,0,IF(0&lt;1,Sheet3!L561,1))*IF(G1469&lt;3,0.12 - O1469,0.01) *U1469</f>
        <v>0</v>
      </c>
      <c r="W1469" s="52">
        <f t="shared" si="428"/>
        <v>0</v>
      </c>
      <c r="X1469" s="53">
        <f t="shared" si="429"/>
        <v>0</v>
      </c>
      <c r="Y1469" s="53">
        <f t="shared" si="430"/>
        <v>0</v>
      </c>
      <c r="Z1469" s="54">
        <f t="shared" si="434"/>
        <v>0</v>
      </c>
      <c r="AA1469" s="54">
        <f t="shared" si="431"/>
        <v>0</v>
      </c>
      <c r="AB1469" s="55">
        <f t="shared" si="435"/>
        <v>0</v>
      </c>
      <c r="AC1469" s="55">
        <f t="shared" si="432"/>
        <v>0</v>
      </c>
      <c r="AD1469" s="56">
        <f t="shared" si="433"/>
        <v>4747.01</v>
      </c>
    </row>
    <row r="1470" spans="3:30">
      <c r="C1470" s="43" t="s">
        <v>2692</v>
      </c>
      <c r="D1470" s="44" t="s">
        <v>2693</v>
      </c>
      <c r="E1470" s="44"/>
      <c r="F1470" s="45">
        <v>43244.098379629628</v>
      </c>
      <c r="G1470" s="46">
        <v>4</v>
      </c>
      <c r="H1470" s="47">
        <v>43377</v>
      </c>
      <c r="I1470" s="47">
        <v>43403</v>
      </c>
      <c r="J1470" s="46">
        <v>1439050</v>
      </c>
      <c r="K1470" s="46">
        <v>0</v>
      </c>
      <c r="L1470" s="46">
        <v>0</v>
      </c>
      <c r="M1470" s="46">
        <f t="shared" si="422"/>
        <v>1439050</v>
      </c>
      <c r="N1470" s="46">
        <v>1875100</v>
      </c>
      <c r="O1470" s="48">
        <f t="shared" si="423"/>
        <v>0.23254759746146869</v>
      </c>
      <c r="P1470" s="46">
        <v>0</v>
      </c>
      <c r="Q1470" s="46">
        <v>1439050</v>
      </c>
      <c r="R1470" s="49">
        <f t="shared" si="424"/>
        <v>1</v>
      </c>
      <c r="S1470" s="50">
        <f t="shared" si="425"/>
        <v>0.01</v>
      </c>
      <c r="T1470" s="49">
        <f t="shared" si="426"/>
        <v>14390.5</v>
      </c>
      <c r="U1470" s="51">
        <f t="shared" si="427"/>
        <v>0</v>
      </c>
      <c r="V1470" s="52">
        <f>IF(0&lt;0.8,0,IF(0&lt;1,Sheet3!L561,1))*IF(G1470&lt;3,0.12 - O1470,0.01) *U1470</f>
        <v>0</v>
      </c>
      <c r="W1470" s="52">
        <f t="shared" si="428"/>
        <v>0</v>
      </c>
      <c r="X1470" s="53">
        <f t="shared" si="429"/>
        <v>0</v>
      </c>
      <c r="Y1470" s="53">
        <f t="shared" si="430"/>
        <v>0</v>
      </c>
      <c r="Z1470" s="54">
        <f t="shared" si="434"/>
        <v>0</v>
      </c>
      <c r="AA1470" s="54">
        <f t="shared" si="431"/>
        <v>0</v>
      </c>
      <c r="AB1470" s="55">
        <f t="shared" si="435"/>
        <v>0</v>
      </c>
      <c r="AC1470" s="55">
        <f t="shared" si="432"/>
        <v>0</v>
      </c>
      <c r="AD1470" s="56">
        <f t="shared" si="433"/>
        <v>14390.5</v>
      </c>
    </row>
    <row r="1471" spans="3:30">
      <c r="C1471" s="43" t="s">
        <v>2694</v>
      </c>
      <c r="D1471" s="44" t="s">
        <v>2695</v>
      </c>
      <c r="E1471" s="44"/>
      <c r="F1471" s="45">
        <v>43248.372766203705</v>
      </c>
      <c r="G1471" s="46">
        <v>4</v>
      </c>
      <c r="H1471" s="47">
        <v>43377</v>
      </c>
      <c r="I1471" s="47">
        <v>43411</v>
      </c>
      <c r="J1471" s="46">
        <v>12309693</v>
      </c>
      <c r="K1471" s="46">
        <v>0</v>
      </c>
      <c r="L1471" s="46">
        <v>0</v>
      </c>
      <c r="M1471" s="46">
        <f t="shared" si="422"/>
        <v>12309693</v>
      </c>
      <c r="N1471" s="46">
        <v>12309693</v>
      </c>
      <c r="O1471" s="48">
        <f t="shared" si="423"/>
        <v>0</v>
      </c>
      <c r="P1471" s="46">
        <v>0</v>
      </c>
      <c r="Q1471" s="46">
        <v>16550501</v>
      </c>
      <c r="R1471" s="49">
        <f t="shared" si="424"/>
        <v>1</v>
      </c>
      <c r="S1471" s="50">
        <f t="shared" si="425"/>
        <v>0.01</v>
      </c>
      <c r="T1471" s="49">
        <f t="shared" si="426"/>
        <v>123096.93000000001</v>
      </c>
      <c r="U1471" s="51">
        <f t="shared" si="427"/>
        <v>0</v>
      </c>
      <c r="V1471" s="52">
        <f>IF(0&lt;0.8,0,IF(0&lt;1,Sheet3!L561,1))*IF(G1471&lt;3,0.12 - O1471,0.01) *U1471</f>
        <v>0</v>
      </c>
      <c r="W1471" s="52">
        <f t="shared" si="428"/>
        <v>0</v>
      </c>
      <c r="X1471" s="53">
        <f t="shared" si="429"/>
        <v>0</v>
      </c>
      <c r="Y1471" s="53">
        <f t="shared" si="430"/>
        <v>0</v>
      </c>
      <c r="Z1471" s="54">
        <f t="shared" si="434"/>
        <v>0</v>
      </c>
      <c r="AA1471" s="54">
        <f t="shared" si="431"/>
        <v>0</v>
      </c>
      <c r="AB1471" s="55">
        <f t="shared" si="435"/>
        <v>0</v>
      </c>
      <c r="AC1471" s="55">
        <f t="shared" si="432"/>
        <v>0</v>
      </c>
      <c r="AD1471" s="56">
        <f t="shared" si="433"/>
        <v>123096.93000000001</v>
      </c>
    </row>
    <row r="1472" spans="3:30">
      <c r="C1472" s="43" t="s">
        <v>2696</v>
      </c>
      <c r="D1472" s="44" t="s">
        <v>2697</v>
      </c>
      <c r="E1472" s="44"/>
      <c r="F1472" s="45">
        <v>43250.062465277777</v>
      </c>
      <c r="G1472" s="46">
        <v>4</v>
      </c>
      <c r="H1472" s="47">
        <v>43372</v>
      </c>
      <c r="I1472" s="47">
        <v>43375</v>
      </c>
      <c r="J1472" s="46">
        <v>4909212</v>
      </c>
      <c r="K1472" s="46">
        <v>446292</v>
      </c>
      <c r="L1472" s="46">
        <v>0</v>
      </c>
      <c r="M1472" s="46">
        <f t="shared" si="422"/>
        <v>4462920</v>
      </c>
      <c r="N1472" s="46">
        <v>4909212</v>
      </c>
      <c r="O1472" s="48">
        <f t="shared" si="423"/>
        <v>9.0909090909090939E-2</v>
      </c>
      <c r="P1472" s="46">
        <v>0</v>
      </c>
      <c r="Q1472" s="46">
        <v>4909212</v>
      </c>
      <c r="R1472" s="49">
        <f t="shared" si="424"/>
        <v>1</v>
      </c>
      <c r="S1472" s="50">
        <f t="shared" si="425"/>
        <v>0.01</v>
      </c>
      <c r="T1472" s="49">
        <f t="shared" si="426"/>
        <v>44629.200000000004</v>
      </c>
      <c r="U1472" s="51">
        <f t="shared" si="427"/>
        <v>0</v>
      </c>
      <c r="V1472" s="52">
        <f>IF(0&lt;0.8,0,IF(0&lt;1,Sheet3!L561,1))*IF(G1472&lt;3,0.12 - O1472,0.01) *U1472</f>
        <v>0</v>
      </c>
      <c r="W1472" s="52">
        <f t="shared" si="428"/>
        <v>0</v>
      </c>
      <c r="X1472" s="53">
        <f t="shared" si="429"/>
        <v>0</v>
      </c>
      <c r="Y1472" s="53">
        <f t="shared" si="430"/>
        <v>0</v>
      </c>
      <c r="Z1472" s="54">
        <f t="shared" si="434"/>
        <v>0</v>
      </c>
      <c r="AA1472" s="54">
        <f t="shared" si="431"/>
        <v>0</v>
      </c>
      <c r="AB1472" s="55">
        <f t="shared" si="435"/>
        <v>0</v>
      </c>
      <c r="AC1472" s="55">
        <f t="shared" si="432"/>
        <v>0</v>
      </c>
      <c r="AD1472" s="56">
        <f t="shared" si="433"/>
        <v>44629.200000000004</v>
      </c>
    </row>
    <row r="1473" spans="3:30">
      <c r="C1473" s="43" t="s">
        <v>2698</v>
      </c>
      <c r="D1473" s="44" t="s">
        <v>2699</v>
      </c>
      <c r="E1473" s="44"/>
      <c r="F1473" s="45">
        <v>43256.289537037039</v>
      </c>
      <c r="G1473" s="46">
        <v>3</v>
      </c>
      <c r="H1473" s="47">
        <v>43376</v>
      </c>
      <c r="I1473" s="47">
        <v>43405</v>
      </c>
      <c r="J1473" s="46">
        <v>89540</v>
      </c>
      <c r="K1473" s="46">
        <v>0</v>
      </c>
      <c r="L1473" s="46">
        <v>0</v>
      </c>
      <c r="M1473" s="46">
        <f t="shared" si="422"/>
        <v>89540</v>
      </c>
      <c r="N1473" s="46">
        <v>112437</v>
      </c>
      <c r="O1473" s="48">
        <f t="shared" si="423"/>
        <v>0.2036429289290892</v>
      </c>
      <c r="P1473" s="46">
        <v>0</v>
      </c>
      <c r="Q1473" s="46">
        <v>0</v>
      </c>
      <c r="R1473" s="49">
        <f t="shared" si="424"/>
        <v>1</v>
      </c>
      <c r="S1473" s="50">
        <f t="shared" si="425"/>
        <v>0.01</v>
      </c>
      <c r="T1473" s="49">
        <f t="shared" si="426"/>
        <v>895.4</v>
      </c>
      <c r="U1473" s="51">
        <f t="shared" si="427"/>
        <v>0</v>
      </c>
      <c r="V1473" s="52">
        <f>IF(0&lt;0.8,0,IF(0&lt;1,Sheet3!L561,1))*IF(G1473&lt;3,0.12 - O1473,0.01) *U1473</f>
        <v>0</v>
      </c>
      <c r="W1473" s="52">
        <f t="shared" si="428"/>
        <v>0</v>
      </c>
      <c r="X1473" s="53">
        <f t="shared" si="429"/>
        <v>0</v>
      </c>
      <c r="Y1473" s="53">
        <f t="shared" si="430"/>
        <v>0</v>
      </c>
      <c r="Z1473" s="54">
        <f t="shared" si="434"/>
        <v>0</v>
      </c>
      <c r="AA1473" s="54">
        <f t="shared" si="431"/>
        <v>0</v>
      </c>
      <c r="AB1473" s="55">
        <f t="shared" si="435"/>
        <v>0</v>
      </c>
      <c r="AC1473" s="55">
        <f t="shared" si="432"/>
        <v>0</v>
      </c>
      <c r="AD1473" s="56">
        <f t="shared" si="433"/>
        <v>895.4</v>
      </c>
    </row>
    <row r="1474" spans="3:30">
      <c r="C1474" s="43" t="s">
        <v>2700</v>
      </c>
      <c r="D1474" s="44" t="s">
        <v>2701</v>
      </c>
      <c r="E1474" s="44"/>
      <c r="F1474" s="45">
        <v>43258.138067129628</v>
      </c>
      <c r="G1474" s="46">
        <v>3</v>
      </c>
      <c r="H1474" s="47">
        <v>43376</v>
      </c>
      <c r="I1474" s="47">
        <v>43397</v>
      </c>
      <c r="J1474" s="46">
        <v>82356</v>
      </c>
      <c r="K1474" s="46">
        <v>0</v>
      </c>
      <c r="L1474" s="46">
        <v>0</v>
      </c>
      <c r="M1474" s="46">
        <f t="shared" si="422"/>
        <v>82356</v>
      </c>
      <c r="N1474" s="46">
        <v>82356</v>
      </c>
      <c r="O1474" s="48">
        <f t="shared" si="423"/>
        <v>0</v>
      </c>
      <c r="P1474" s="46">
        <v>0</v>
      </c>
      <c r="Q1474" s="46">
        <v>0</v>
      </c>
      <c r="R1474" s="49">
        <f t="shared" si="424"/>
        <v>1</v>
      </c>
      <c r="S1474" s="50">
        <f t="shared" si="425"/>
        <v>0.01</v>
      </c>
      <c r="T1474" s="49">
        <f t="shared" si="426"/>
        <v>823.56000000000006</v>
      </c>
      <c r="U1474" s="51">
        <f t="shared" si="427"/>
        <v>0</v>
      </c>
      <c r="V1474" s="52">
        <f>IF(0&lt;0.8,0,IF(0&lt;1,Sheet3!L561,1))*IF(G1474&lt;3,0.12 - O1474,0.01) *U1474</f>
        <v>0</v>
      </c>
      <c r="W1474" s="52">
        <f t="shared" si="428"/>
        <v>0</v>
      </c>
      <c r="X1474" s="53">
        <f t="shared" si="429"/>
        <v>0</v>
      </c>
      <c r="Y1474" s="53">
        <f t="shared" si="430"/>
        <v>0</v>
      </c>
      <c r="Z1474" s="54">
        <f t="shared" si="434"/>
        <v>0</v>
      </c>
      <c r="AA1474" s="54">
        <f t="shared" si="431"/>
        <v>0</v>
      </c>
      <c r="AB1474" s="55">
        <f t="shared" si="435"/>
        <v>0</v>
      </c>
      <c r="AC1474" s="55">
        <f t="shared" si="432"/>
        <v>0</v>
      </c>
      <c r="AD1474" s="56">
        <f t="shared" si="433"/>
        <v>823.56000000000006</v>
      </c>
    </row>
    <row r="1475" spans="3:30">
      <c r="C1475" s="43" t="s">
        <v>2702</v>
      </c>
      <c r="D1475" s="44" t="s">
        <v>2703</v>
      </c>
      <c r="E1475" s="44"/>
      <c r="F1475" s="45">
        <v>43258.386377314811</v>
      </c>
      <c r="G1475" s="46">
        <v>3</v>
      </c>
      <c r="H1475" s="47">
        <v>43385</v>
      </c>
      <c r="I1475" s="47">
        <v>43399</v>
      </c>
      <c r="J1475" s="46">
        <v>2969728</v>
      </c>
      <c r="K1475" s="46">
        <v>0</v>
      </c>
      <c r="L1475" s="46">
        <v>0</v>
      </c>
      <c r="M1475" s="46">
        <f t="shared" si="422"/>
        <v>2969728</v>
      </c>
      <c r="N1475" s="46">
        <v>2969728</v>
      </c>
      <c r="O1475" s="48">
        <f t="shared" si="423"/>
        <v>0</v>
      </c>
      <c r="P1475" s="46">
        <v>0</v>
      </c>
      <c r="Q1475" s="46">
        <v>0</v>
      </c>
      <c r="R1475" s="49">
        <f t="shared" si="424"/>
        <v>1</v>
      </c>
      <c r="S1475" s="50">
        <f t="shared" si="425"/>
        <v>0.01</v>
      </c>
      <c r="T1475" s="49">
        <f t="shared" si="426"/>
        <v>29697.279999999999</v>
      </c>
      <c r="U1475" s="51">
        <f t="shared" si="427"/>
        <v>0</v>
      </c>
      <c r="V1475" s="52">
        <f>IF(0&lt;0.8,0,IF(0&lt;1,Sheet3!L561,1))*IF(G1475&lt;3,0.12 - O1475,0.01) *U1475</f>
        <v>0</v>
      </c>
      <c r="W1475" s="52">
        <f t="shared" si="428"/>
        <v>0</v>
      </c>
      <c r="X1475" s="53">
        <f t="shared" si="429"/>
        <v>0</v>
      </c>
      <c r="Y1475" s="53">
        <f t="shared" si="430"/>
        <v>0</v>
      </c>
      <c r="Z1475" s="54">
        <f t="shared" si="434"/>
        <v>0</v>
      </c>
      <c r="AA1475" s="54">
        <f t="shared" si="431"/>
        <v>0</v>
      </c>
      <c r="AB1475" s="55">
        <f t="shared" si="435"/>
        <v>0</v>
      </c>
      <c r="AC1475" s="55">
        <f t="shared" si="432"/>
        <v>0</v>
      </c>
      <c r="AD1475" s="56">
        <f t="shared" si="433"/>
        <v>29697.279999999999</v>
      </c>
    </row>
    <row r="1476" spans="3:30">
      <c r="C1476" s="43" t="s">
        <v>2704</v>
      </c>
      <c r="D1476" s="44" t="s">
        <v>2705</v>
      </c>
      <c r="E1476" s="44"/>
      <c r="F1476" s="45">
        <v>43258.387650462959</v>
      </c>
      <c r="G1476" s="46">
        <v>3</v>
      </c>
      <c r="H1476" s="47">
        <v>43375</v>
      </c>
      <c r="I1476" s="47">
        <v>43393</v>
      </c>
      <c r="J1476" s="46">
        <v>1383360</v>
      </c>
      <c r="K1476" s="46">
        <v>0</v>
      </c>
      <c r="L1476" s="46">
        <v>0</v>
      </c>
      <c r="M1476" s="46">
        <f t="shared" si="422"/>
        <v>1383360</v>
      </c>
      <c r="N1476" s="46">
        <v>1348149</v>
      </c>
      <c r="O1476" s="48">
        <f t="shared" si="423"/>
        <v>0</v>
      </c>
      <c r="P1476" s="46">
        <v>0</v>
      </c>
      <c r="Q1476" s="46">
        <v>0</v>
      </c>
      <c r="R1476" s="49">
        <f t="shared" si="424"/>
        <v>1</v>
      </c>
      <c r="S1476" s="50">
        <f t="shared" si="425"/>
        <v>0.01</v>
      </c>
      <c r="T1476" s="49">
        <f t="shared" si="426"/>
        <v>13833.6</v>
      </c>
      <c r="U1476" s="51">
        <f t="shared" si="427"/>
        <v>0</v>
      </c>
      <c r="V1476" s="52">
        <f>IF(0&lt;0.8,0,IF(0&lt;1,Sheet3!L561,1))*IF(G1476&lt;3,0.12 - O1476,0.01) *U1476</f>
        <v>0</v>
      </c>
      <c r="W1476" s="52">
        <f t="shared" si="428"/>
        <v>0</v>
      </c>
      <c r="X1476" s="53">
        <f t="shared" si="429"/>
        <v>0</v>
      </c>
      <c r="Y1476" s="53">
        <f t="shared" si="430"/>
        <v>0</v>
      </c>
      <c r="Z1476" s="54">
        <f t="shared" si="434"/>
        <v>0</v>
      </c>
      <c r="AA1476" s="54">
        <f t="shared" si="431"/>
        <v>0</v>
      </c>
      <c r="AB1476" s="55">
        <f t="shared" si="435"/>
        <v>0</v>
      </c>
      <c r="AC1476" s="55">
        <f t="shared" si="432"/>
        <v>0</v>
      </c>
      <c r="AD1476" s="56">
        <f t="shared" si="433"/>
        <v>13833.6</v>
      </c>
    </row>
    <row r="1477" spans="3:30">
      <c r="C1477" s="43" t="s">
        <v>2706</v>
      </c>
      <c r="D1477" s="44" t="s">
        <v>2707</v>
      </c>
      <c r="E1477" s="44"/>
      <c r="F1477" s="45">
        <v>43262.086111111108</v>
      </c>
      <c r="G1477" s="46">
        <v>3</v>
      </c>
      <c r="H1477" s="47">
        <v>43379</v>
      </c>
      <c r="I1477" s="47">
        <v>43390</v>
      </c>
      <c r="J1477" s="46">
        <v>1533824</v>
      </c>
      <c r="K1477" s="46">
        <v>0</v>
      </c>
      <c r="L1477" s="46">
        <v>0</v>
      </c>
      <c r="M1477" s="46">
        <f t="shared" si="422"/>
        <v>1533824</v>
      </c>
      <c r="N1477" s="46">
        <v>1533824</v>
      </c>
      <c r="O1477" s="48">
        <f t="shared" si="423"/>
        <v>0</v>
      </c>
      <c r="P1477" s="46">
        <v>0</v>
      </c>
      <c r="Q1477" s="46">
        <v>0</v>
      </c>
      <c r="R1477" s="49">
        <f t="shared" si="424"/>
        <v>1</v>
      </c>
      <c r="S1477" s="50">
        <f t="shared" si="425"/>
        <v>0.01</v>
      </c>
      <c r="T1477" s="49">
        <f t="shared" si="426"/>
        <v>15338.24</v>
      </c>
      <c r="U1477" s="51">
        <f t="shared" si="427"/>
        <v>0</v>
      </c>
      <c r="V1477" s="52">
        <f>IF(0&lt;0.8,0,IF(0&lt;1,Sheet3!L561,1))*IF(G1477&lt;3,0.12 - O1477,0.01) *U1477</f>
        <v>0</v>
      </c>
      <c r="W1477" s="52">
        <f t="shared" si="428"/>
        <v>0</v>
      </c>
      <c r="X1477" s="53">
        <f t="shared" si="429"/>
        <v>0</v>
      </c>
      <c r="Y1477" s="53">
        <f t="shared" si="430"/>
        <v>0</v>
      </c>
      <c r="Z1477" s="54">
        <f t="shared" si="434"/>
        <v>0</v>
      </c>
      <c r="AA1477" s="54">
        <f t="shared" si="431"/>
        <v>0</v>
      </c>
      <c r="AB1477" s="55">
        <f t="shared" si="435"/>
        <v>0</v>
      </c>
      <c r="AC1477" s="55">
        <f t="shared" si="432"/>
        <v>0</v>
      </c>
      <c r="AD1477" s="56">
        <f t="shared" si="433"/>
        <v>15338.24</v>
      </c>
    </row>
    <row r="1478" spans="3:30">
      <c r="C1478" s="43" t="s">
        <v>2708</v>
      </c>
      <c r="D1478" s="44" t="s">
        <v>2709</v>
      </c>
      <c r="E1478" s="44"/>
      <c r="F1478" s="45">
        <v>43263.087210648147</v>
      </c>
      <c r="G1478" s="46">
        <v>3</v>
      </c>
      <c r="H1478" s="47">
        <v>43376</v>
      </c>
      <c r="I1478" s="47">
        <v>43392</v>
      </c>
      <c r="J1478" s="46">
        <v>1468107</v>
      </c>
      <c r="K1478" s="46">
        <v>0</v>
      </c>
      <c r="L1478" s="46">
        <v>0</v>
      </c>
      <c r="M1478" s="46">
        <f t="shared" si="422"/>
        <v>1468107</v>
      </c>
      <c r="N1478" s="46">
        <v>1468107</v>
      </c>
      <c r="O1478" s="48">
        <f t="shared" si="423"/>
        <v>0</v>
      </c>
      <c r="P1478" s="46">
        <v>0</v>
      </c>
      <c r="Q1478" s="46">
        <v>0</v>
      </c>
      <c r="R1478" s="49">
        <f t="shared" si="424"/>
        <v>1</v>
      </c>
      <c r="S1478" s="50">
        <f t="shared" si="425"/>
        <v>0.01</v>
      </c>
      <c r="T1478" s="49">
        <f t="shared" si="426"/>
        <v>14681.07</v>
      </c>
      <c r="U1478" s="51">
        <f t="shared" si="427"/>
        <v>0</v>
      </c>
      <c r="V1478" s="52">
        <f>IF(0&lt;0.8,0,IF(0&lt;1,Sheet3!L561,1))*IF(G1478&lt;3,0.12 - O1478,0.01) *U1478</f>
        <v>0</v>
      </c>
      <c r="W1478" s="52">
        <f t="shared" si="428"/>
        <v>0</v>
      </c>
      <c r="X1478" s="53">
        <f t="shared" si="429"/>
        <v>0</v>
      </c>
      <c r="Y1478" s="53">
        <f t="shared" si="430"/>
        <v>0</v>
      </c>
      <c r="Z1478" s="54">
        <f t="shared" si="434"/>
        <v>0</v>
      </c>
      <c r="AA1478" s="54">
        <f t="shared" si="431"/>
        <v>0</v>
      </c>
      <c r="AB1478" s="55">
        <f t="shared" si="435"/>
        <v>0</v>
      </c>
      <c r="AC1478" s="55">
        <f t="shared" si="432"/>
        <v>0</v>
      </c>
      <c r="AD1478" s="56">
        <f t="shared" si="433"/>
        <v>14681.07</v>
      </c>
    </row>
    <row r="1479" spans="3:30">
      <c r="C1479" s="43" t="s">
        <v>2710</v>
      </c>
      <c r="D1479" s="44" t="s">
        <v>2711</v>
      </c>
      <c r="E1479" s="44"/>
      <c r="F1479" s="45">
        <v>43263.08993055555</v>
      </c>
      <c r="G1479" s="46">
        <v>3</v>
      </c>
      <c r="H1479" s="47">
        <v>43372</v>
      </c>
      <c r="I1479" s="47">
        <v>43434</v>
      </c>
      <c r="J1479" s="46">
        <v>5044959</v>
      </c>
      <c r="K1479" s="46">
        <v>431826</v>
      </c>
      <c r="L1479" s="46">
        <v>0</v>
      </c>
      <c r="M1479" s="46">
        <f t="shared" si="422"/>
        <v>4613133</v>
      </c>
      <c r="N1479" s="46">
        <v>5044959</v>
      </c>
      <c r="O1479" s="48">
        <f t="shared" si="423"/>
        <v>8.5595542005395875E-2</v>
      </c>
      <c r="P1479" s="46">
        <v>0</v>
      </c>
      <c r="Q1479" s="46">
        <v>0</v>
      </c>
      <c r="R1479" s="49">
        <f t="shared" si="424"/>
        <v>1</v>
      </c>
      <c r="S1479" s="50">
        <f t="shared" si="425"/>
        <v>0.01</v>
      </c>
      <c r="T1479" s="49">
        <f t="shared" si="426"/>
        <v>46131.33</v>
      </c>
      <c r="U1479" s="51">
        <f t="shared" si="427"/>
        <v>0</v>
      </c>
      <c r="V1479" s="52">
        <f>IF(0&lt;0.8,0,IF(0&lt;1,Sheet3!L561,1))*IF(G1479&lt;3,0.12 - O1479,0.01) *U1479</f>
        <v>0</v>
      </c>
      <c r="W1479" s="52">
        <f t="shared" si="428"/>
        <v>0</v>
      </c>
      <c r="X1479" s="53">
        <f t="shared" si="429"/>
        <v>0</v>
      </c>
      <c r="Y1479" s="53">
        <f t="shared" si="430"/>
        <v>0</v>
      </c>
      <c r="Z1479" s="54">
        <f t="shared" si="434"/>
        <v>0</v>
      </c>
      <c r="AA1479" s="54">
        <f t="shared" si="431"/>
        <v>0</v>
      </c>
      <c r="AB1479" s="55">
        <f t="shared" si="435"/>
        <v>0</v>
      </c>
      <c r="AC1479" s="55">
        <f t="shared" si="432"/>
        <v>0</v>
      </c>
      <c r="AD1479" s="56">
        <f t="shared" si="433"/>
        <v>46131.33</v>
      </c>
    </row>
    <row r="1480" spans="3:30">
      <c r="C1480" s="43" t="s">
        <v>2712</v>
      </c>
      <c r="D1480" s="44" t="s">
        <v>2713</v>
      </c>
      <c r="E1480" s="44"/>
      <c r="F1480" s="45">
        <v>43266.073842592588</v>
      </c>
      <c r="G1480" s="46">
        <v>3</v>
      </c>
      <c r="H1480" s="47">
        <v>43404</v>
      </c>
      <c r="I1480" s="47">
        <v>43426</v>
      </c>
      <c r="J1480" s="46">
        <v>16947645</v>
      </c>
      <c r="K1480" s="46">
        <v>1540698</v>
      </c>
      <c r="L1480" s="46">
        <v>0</v>
      </c>
      <c r="M1480" s="46">
        <f t="shared" si="422"/>
        <v>15406947</v>
      </c>
      <c r="N1480" s="46">
        <v>16947645</v>
      </c>
      <c r="O1480" s="48">
        <f t="shared" si="423"/>
        <v>9.0909267924835557E-2</v>
      </c>
      <c r="P1480" s="46">
        <v>0</v>
      </c>
      <c r="Q1480" s="46">
        <v>0</v>
      </c>
      <c r="R1480" s="49">
        <f t="shared" si="424"/>
        <v>1</v>
      </c>
      <c r="S1480" s="50">
        <f t="shared" si="425"/>
        <v>0.01</v>
      </c>
      <c r="T1480" s="49">
        <f t="shared" si="426"/>
        <v>154069.47</v>
      </c>
      <c r="U1480" s="51">
        <f t="shared" si="427"/>
        <v>0</v>
      </c>
      <c r="V1480" s="52">
        <f>IF(0&lt;0.8,0,IF(0&lt;1,Sheet3!L561,1))*IF(G1480&lt;3,0.12 - O1480,0.01) *U1480</f>
        <v>0</v>
      </c>
      <c r="W1480" s="52">
        <f t="shared" si="428"/>
        <v>0</v>
      </c>
      <c r="X1480" s="53">
        <f t="shared" si="429"/>
        <v>0</v>
      </c>
      <c r="Y1480" s="53">
        <f t="shared" si="430"/>
        <v>0</v>
      </c>
      <c r="Z1480" s="54">
        <f t="shared" si="434"/>
        <v>0</v>
      </c>
      <c r="AA1480" s="54">
        <f t="shared" si="431"/>
        <v>0</v>
      </c>
      <c r="AB1480" s="55">
        <f t="shared" si="435"/>
        <v>0</v>
      </c>
      <c r="AC1480" s="55">
        <f t="shared" si="432"/>
        <v>0</v>
      </c>
      <c r="AD1480" s="56">
        <f t="shared" si="433"/>
        <v>154069.47</v>
      </c>
    </row>
    <row r="1481" spans="3:30">
      <c r="C1481" s="43" t="s">
        <v>2714</v>
      </c>
      <c r="D1481" s="44" t="s">
        <v>2715</v>
      </c>
      <c r="E1481" s="44"/>
      <c r="F1481" s="45">
        <v>43266.076226851852</v>
      </c>
      <c r="G1481" s="46">
        <v>3</v>
      </c>
      <c r="H1481" s="47">
        <v>43376</v>
      </c>
      <c r="I1481" s="47">
        <v>43406</v>
      </c>
      <c r="J1481" s="46">
        <v>2924041</v>
      </c>
      <c r="K1481" s="46">
        <v>0</v>
      </c>
      <c r="L1481" s="46">
        <v>0</v>
      </c>
      <c r="M1481" s="46">
        <f t="shared" si="422"/>
        <v>2924041</v>
      </c>
      <c r="N1481" s="46">
        <v>2924041</v>
      </c>
      <c r="O1481" s="48">
        <f t="shared" si="423"/>
        <v>0</v>
      </c>
      <c r="P1481" s="46">
        <v>0</v>
      </c>
      <c r="Q1481" s="46">
        <v>0</v>
      </c>
      <c r="R1481" s="49">
        <f t="shared" si="424"/>
        <v>1</v>
      </c>
      <c r="S1481" s="50">
        <f t="shared" si="425"/>
        <v>0.01</v>
      </c>
      <c r="T1481" s="49">
        <f t="shared" si="426"/>
        <v>29240.41</v>
      </c>
      <c r="U1481" s="51">
        <f t="shared" si="427"/>
        <v>0</v>
      </c>
      <c r="V1481" s="52">
        <f>IF(0&lt;0.8,0,IF(0&lt;1,Sheet3!L561,1))*IF(G1481&lt;3,0.12 - O1481,0.01) *U1481</f>
        <v>0</v>
      </c>
      <c r="W1481" s="52">
        <f t="shared" si="428"/>
        <v>0</v>
      </c>
      <c r="X1481" s="53">
        <f t="shared" si="429"/>
        <v>0</v>
      </c>
      <c r="Y1481" s="53">
        <f t="shared" si="430"/>
        <v>0</v>
      </c>
      <c r="Z1481" s="54">
        <f t="shared" si="434"/>
        <v>0</v>
      </c>
      <c r="AA1481" s="54">
        <f t="shared" si="431"/>
        <v>0</v>
      </c>
      <c r="AB1481" s="55">
        <f t="shared" si="435"/>
        <v>0</v>
      </c>
      <c r="AC1481" s="55">
        <f t="shared" si="432"/>
        <v>0</v>
      </c>
      <c r="AD1481" s="56">
        <f t="shared" si="433"/>
        <v>29240.41</v>
      </c>
    </row>
    <row r="1482" spans="3:30">
      <c r="C1482" s="43" t="s">
        <v>2716</v>
      </c>
      <c r="D1482" s="44" t="s">
        <v>2717</v>
      </c>
      <c r="E1482" s="44"/>
      <c r="F1482" s="45">
        <v>43266.079837962963</v>
      </c>
      <c r="G1482" s="46">
        <v>3</v>
      </c>
      <c r="H1482" s="47">
        <v>43376</v>
      </c>
      <c r="I1482" s="47">
        <v>43398</v>
      </c>
      <c r="J1482" s="46">
        <v>476172</v>
      </c>
      <c r="K1482" s="46">
        <v>0</v>
      </c>
      <c r="L1482" s="46">
        <v>0</v>
      </c>
      <c r="M1482" s="46">
        <f t="shared" si="422"/>
        <v>476172</v>
      </c>
      <c r="N1482" s="46">
        <v>476172</v>
      </c>
      <c r="O1482" s="48">
        <f t="shared" si="423"/>
        <v>0</v>
      </c>
      <c r="P1482" s="46">
        <v>0</v>
      </c>
      <c r="Q1482" s="46">
        <v>0</v>
      </c>
      <c r="R1482" s="49">
        <f t="shared" si="424"/>
        <v>1</v>
      </c>
      <c r="S1482" s="50">
        <f t="shared" si="425"/>
        <v>0.01</v>
      </c>
      <c r="T1482" s="49">
        <f t="shared" si="426"/>
        <v>4761.72</v>
      </c>
      <c r="U1482" s="51">
        <f t="shared" si="427"/>
        <v>0</v>
      </c>
      <c r="V1482" s="52">
        <f>IF(0&lt;0.8,0,IF(0&lt;1,Sheet3!L561,1))*IF(G1482&lt;3,0.12 - O1482,0.01) *U1482</f>
        <v>0</v>
      </c>
      <c r="W1482" s="52">
        <f t="shared" si="428"/>
        <v>0</v>
      </c>
      <c r="X1482" s="53">
        <f t="shared" si="429"/>
        <v>0</v>
      </c>
      <c r="Y1482" s="53">
        <f t="shared" si="430"/>
        <v>0</v>
      </c>
      <c r="Z1482" s="54">
        <f t="shared" si="434"/>
        <v>0</v>
      </c>
      <c r="AA1482" s="54">
        <f t="shared" si="431"/>
        <v>0</v>
      </c>
      <c r="AB1482" s="55">
        <f t="shared" si="435"/>
        <v>0</v>
      </c>
      <c r="AC1482" s="55">
        <f t="shared" si="432"/>
        <v>0</v>
      </c>
      <c r="AD1482" s="56">
        <f t="shared" si="433"/>
        <v>4761.72</v>
      </c>
    </row>
    <row r="1483" spans="3:30">
      <c r="C1483" s="43" t="s">
        <v>2718</v>
      </c>
      <c r="D1483" s="44" t="s">
        <v>2143</v>
      </c>
      <c r="E1483" s="44"/>
      <c r="F1483" s="45">
        <v>43267.083252314813</v>
      </c>
      <c r="G1483" s="46">
        <v>3</v>
      </c>
      <c r="H1483" s="47">
        <v>43404</v>
      </c>
      <c r="I1483" s="47">
        <v>43412</v>
      </c>
      <c r="J1483" s="46">
        <v>53295</v>
      </c>
      <c r="K1483" s="46">
        <v>0</v>
      </c>
      <c r="L1483" s="46">
        <v>0</v>
      </c>
      <c r="M1483" s="46">
        <f t="shared" si="422"/>
        <v>53295</v>
      </c>
      <c r="N1483" s="46">
        <v>66220</v>
      </c>
      <c r="O1483" s="48">
        <f t="shared" si="423"/>
        <v>0.19518272425249172</v>
      </c>
      <c r="P1483" s="46">
        <v>0</v>
      </c>
      <c r="Q1483" s="46">
        <v>0</v>
      </c>
      <c r="R1483" s="49">
        <f t="shared" si="424"/>
        <v>1</v>
      </c>
      <c r="S1483" s="50">
        <f t="shared" si="425"/>
        <v>0.01</v>
      </c>
      <c r="T1483" s="49">
        <f t="shared" si="426"/>
        <v>532.95000000000005</v>
      </c>
      <c r="U1483" s="51">
        <f t="shared" si="427"/>
        <v>0</v>
      </c>
      <c r="V1483" s="52">
        <f>IF(0&lt;0.8,0,IF(0&lt;1,Sheet3!L561,1))*IF(G1483&lt;3,0.12 - O1483,0.01) *U1483</f>
        <v>0</v>
      </c>
      <c r="W1483" s="52">
        <f t="shared" si="428"/>
        <v>0</v>
      </c>
      <c r="X1483" s="53">
        <f t="shared" si="429"/>
        <v>0</v>
      </c>
      <c r="Y1483" s="53">
        <f t="shared" si="430"/>
        <v>0</v>
      </c>
      <c r="Z1483" s="54">
        <f t="shared" si="434"/>
        <v>0</v>
      </c>
      <c r="AA1483" s="54">
        <f t="shared" si="431"/>
        <v>0</v>
      </c>
      <c r="AB1483" s="55">
        <f t="shared" si="435"/>
        <v>0</v>
      </c>
      <c r="AC1483" s="55">
        <f t="shared" si="432"/>
        <v>0</v>
      </c>
      <c r="AD1483" s="56">
        <f t="shared" si="433"/>
        <v>532.95000000000005</v>
      </c>
    </row>
    <row r="1484" spans="3:30">
      <c r="C1484" s="43" t="s">
        <v>2719</v>
      </c>
      <c r="D1484" s="44" t="s">
        <v>2720</v>
      </c>
      <c r="E1484" s="44"/>
      <c r="F1484" s="45">
        <v>43270.172071759254</v>
      </c>
      <c r="G1484" s="46">
        <v>3</v>
      </c>
      <c r="H1484" s="47">
        <v>43376</v>
      </c>
      <c r="I1484" s="47">
        <v>43390</v>
      </c>
      <c r="J1484" s="46">
        <v>663415</v>
      </c>
      <c r="K1484" s="46">
        <v>0</v>
      </c>
      <c r="L1484" s="46">
        <v>0</v>
      </c>
      <c r="M1484" s="46">
        <f t="shared" si="422"/>
        <v>663415</v>
      </c>
      <c r="N1484" s="46">
        <v>663415</v>
      </c>
      <c r="O1484" s="48">
        <f t="shared" si="423"/>
        <v>0</v>
      </c>
      <c r="P1484" s="46">
        <v>0</v>
      </c>
      <c r="Q1484" s="46">
        <v>0</v>
      </c>
      <c r="R1484" s="49">
        <f t="shared" si="424"/>
        <v>1</v>
      </c>
      <c r="S1484" s="50">
        <f t="shared" si="425"/>
        <v>0.01</v>
      </c>
      <c r="T1484" s="49">
        <f t="shared" si="426"/>
        <v>6634.1500000000005</v>
      </c>
      <c r="U1484" s="51">
        <f t="shared" si="427"/>
        <v>0</v>
      </c>
      <c r="V1484" s="52">
        <f>IF(0&lt;0.8,0,IF(0&lt;1,Sheet3!L561,1))*IF(G1484&lt;3,0.12 - O1484,0.01) *U1484</f>
        <v>0</v>
      </c>
      <c r="W1484" s="52">
        <f t="shared" si="428"/>
        <v>0</v>
      </c>
      <c r="X1484" s="53">
        <f t="shared" si="429"/>
        <v>0</v>
      </c>
      <c r="Y1484" s="53">
        <f t="shared" si="430"/>
        <v>0</v>
      </c>
      <c r="Z1484" s="54">
        <f t="shared" si="434"/>
        <v>0</v>
      </c>
      <c r="AA1484" s="54">
        <f t="shared" si="431"/>
        <v>0</v>
      </c>
      <c r="AB1484" s="55">
        <f t="shared" si="435"/>
        <v>0</v>
      </c>
      <c r="AC1484" s="55">
        <f t="shared" si="432"/>
        <v>0</v>
      </c>
      <c r="AD1484" s="56">
        <f t="shared" si="433"/>
        <v>6634.1500000000005</v>
      </c>
    </row>
    <row r="1485" spans="3:30">
      <c r="C1485" s="43" t="s">
        <v>2721</v>
      </c>
      <c r="D1485" s="44" t="s">
        <v>2722</v>
      </c>
      <c r="E1485" s="44"/>
      <c r="F1485" s="45">
        <v>43273.162141203698</v>
      </c>
      <c r="G1485" s="46">
        <v>3</v>
      </c>
      <c r="H1485" s="47">
        <v>43372</v>
      </c>
      <c r="I1485" s="47">
        <v>43397</v>
      </c>
      <c r="J1485" s="46">
        <v>726358</v>
      </c>
      <c r="K1485" s="46">
        <v>0</v>
      </c>
      <c r="L1485" s="46">
        <v>0</v>
      </c>
      <c r="M1485" s="46">
        <f t="shared" si="422"/>
        <v>726358</v>
      </c>
      <c r="N1485" s="46">
        <v>726358</v>
      </c>
      <c r="O1485" s="48">
        <f t="shared" si="423"/>
        <v>0</v>
      </c>
      <c r="P1485" s="46">
        <v>0</v>
      </c>
      <c r="Q1485" s="46">
        <v>0</v>
      </c>
      <c r="R1485" s="49">
        <f t="shared" si="424"/>
        <v>1</v>
      </c>
      <c r="S1485" s="50">
        <f t="shared" si="425"/>
        <v>0.01</v>
      </c>
      <c r="T1485" s="49">
        <f t="shared" si="426"/>
        <v>7263.58</v>
      </c>
      <c r="U1485" s="51">
        <f t="shared" si="427"/>
        <v>0</v>
      </c>
      <c r="V1485" s="52">
        <f>IF(0&lt;0.8,0,IF(0&lt;1,Sheet3!L561,1))*IF(G1485&lt;3,0.12 - O1485,0.01) *U1485</f>
        <v>0</v>
      </c>
      <c r="W1485" s="52">
        <f t="shared" si="428"/>
        <v>0</v>
      </c>
      <c r="X1485" s="53">
        <f t="shared" si="429"/>
        <v>0</v>
      </c>
      <c r="Y1485" s="53">
        <f t="shared" si="430"/>
        <v>0</v>
      </c>
      <c r="Z1485" s="54">
        <f t="shared" si="434"/>
        <v>0</v>
      </c>
      <c r="AA1485" s="54">
        <f t="shared" si="431"/>
        <v>0</v>
      </c>
      <c r="AB1485" s="55">
        <f t="shared" si="435"/>
        <v>0</v>
      </c>
      <c r="AC1485" s="55">
        <f t="shared" si="432"/>
        <v>0</v>
      </c>
      <c r="AD1485" s="56">
        <f t="shared" si="433"/>
        <v>7263.58</v>
      </c>
    </row>
    <row r="1486" spans="3:30">
      <c r="C1486" s="43" t="s">
        <v>2723</v>
      </c>
      <c r="D1486" s="44" t="s">
        <v>2724</v>
      </c>
      <c r="E1486" s="44"/>
      <c r="F1486" s="45">
        <v>43276.352268518516</v>
      </c>
      <c r="G1486" s="46">
        <v>3</v>
      </c>
      <c r="H1486" s="47" t="s">
        <v>24</v>
      </c>
      <c r="I1486" s="47" t="s">
        <v>24</v>
      </c>
      <c r="J1486" s="46">
        <v>45894111</v>
      </c>
      <c r="K1486" s="46">
        <v>0</v>
      </c>
      <c r="L1486" s="46">
        <v>0</v>
      </c>
      <c r="M1486" s="46">
        <f t="shared" si="422"/>
        <v>45894111</v>
      </c>
      <c r="N1486" s="46">
        <v>39613603</v>
      </c>
      <c r="O1486" s="48">
        <f t="shared" si="423"/>
        <v>0</v>
      </c>
      <c r="P1486" s="46">
        <v>0</v>
      </c>
      <c r="Q1486" s="46">
        <v>0</v>
      </c>
      <c r="R1486" s="49">
        <f t="shared" si="424"/>
        <v>1</v>
      </c>
      <c r="S1486" s="50">
        <f t="shared" si="425"/>
        <v>0.01</v>
      </c>
      <c r="T1486" s="49">
        <f t="shared" si="426"/>
        <v>458941.11</v>
      </c>
      <c r="U1486" s="51">
        <f t="shared" si="427"/>
        <v>0</v>
      </c>
      <c r="V1486" s="52">
        <f>IF(0&lt;0.8,0,IF(0&lt;1,Sheet3!L561,1))*IF(G1486&lt;3,0.12 - O1486,0.01) *U1486</f>
        <v>0</v>
      </c>
      <c r="W1486" s="52">
        <f t="shared" si="428"/>
        <v>0</v>
      </c>
      <c r="X1486" s="53">
        <f t="shared" si="429"/>
        <v>0</v>
      </c>
      <c r="Y1486" s="53">
        <f t="shared" si="430"/>
        <v>0</v>
      </c>
      <c r="Z1486" s="54">
        <f t="shared" si="434"/>
        <v>0</v>
      </c>
      <c r="AA1486" s="54">
        <f t="shared" si="431"/>
        <v>0</v>
      </c>
      <c r="AB1486" s="55">
        <f t="shared" si="435"/>
        <v>0</v>
      </c>
      <c r="AC1486" s="55">
        <f t="shared" si="432"/>
        <v>0</v>
      </c>
      <c r="AD1486" s="56">
        <f t="shared" si="433"/>
        <v>458941.11</v>
      </c>
    </row>
    <row r="1487" spans="3:30">
      <c r="C1487" s="43" t="s">
        <v>2725</v>
      </c>
      <c r="D1487" s="44" t="s">
        <v>2726</v>
      </c>
      <c r="E1487" s="44"/>
      <c r="F1487" s="45">
        <v>43276.35087962963</v>
      </c>
      <c r="G1487" s="46">
        <v>3</v>
      </c>
      <c r="H1487" s="47">
        <v>43379</v>
      </c>
      <c r="I1487" s="47">
        <v>43398</v>
      </c>
      <c r="J1487" s="46">
        <v>62920</v>
      </c>
      <c r="K1487" s="46">
        <v>0</v>
      </c>
      <c r="L1487" s="46">
        <v>0</v>
      </c>
      <c r="M1487" s="46">
        <f t="shared" si="422"/>
        <v>62920</v>
      </c>
      <c r="N1487" s="46">
        <v>62920</v>
      </c>
      <c r="O1487" s="48">
        <f t="shared" si="423"/>
        <v>0</v>
      </c>
      <c r="P1487" s="46">
        <v>0</v>
      </c>
      <c r="Q1487" s="46">
        <v>0</v>
      </c>
      <c r="R1487" s="49">
        <f t="shared" si="424"/>
        <v>1</v>
      </c>
      <c r="S1487" s="50">
        <f t="shared" si="425"/>
        <v>0.01</v>
      </c>
      <c r="T1487" s="49">
        <f t="shared" si="426"/>
        <v>629.20000000000005</v>
      </c>
      <c r="U1487" s="51">
        <f t="shared" si="427"/>
        <v>0</v>
      </c>
      <c r="V1487" s="52">
        <f>IF(0&lt;0.8,0,IF(0&lt;1,Sheet3!L561,1))*IF(G1487&lt;3,0.12 - O1487,0.01) *U1487</f>
        <v>0</v>
      </c>
      <c r="W1487" s="52">
        <f t="shared" si="428"/>
        <v>0</v>
      </c>
      <c r="X1487" s="53">
        <f t="shared" si="429"/>
        <v>0</v>
      </c>
      <c r="Y1487" s="53">
        <f t="shared" si="430"/>
        <v>0</v>
      </c>
      <c r="Z1487" s="54">
        <f t="shared" si="434"/>
        <v>0</v>
      </c>
      <c r="AA1487" s="54">
        <f t="shared" si="431"/>
        <v>0</v>
      </c>
      <c r="AB1487" s="55">
        <f t="shared" si="435"/>
        <v>0</v>
      </c>
      <c r="AC1487" s="55">
        <f t="shared" si="432"/>
        <v>0</v>
      </c>
      <c r="AD1487" s="56">
        <f t="shared" si="433"/>
        <v>629.20000000000005</v>
      </c>
    </row>
    <row r="1488" spans="3:30">
      <c r="C1488" s="43" t="s">
        <v>2727</v>
      </c>
      <c r="D1488" s="44" t="s">
        <v>2728</v>
      </c>
      <c r="E1488" s="44"/>
      <c r="F1488" s="45">
        <v>43276.349074074074</v>
      </c>
      <c r="G1488" s="46">
        <v>3</v>
      </c>
      <c r="H1488" s="47">
        <v>43382</v>
      </c>
      <c r="I1488" s="47">
        <v>43398</v>
      </c>
      <c r="J1488" s="46">
        <v>1384240</v>
      </c>
      <c r="K1488" s="46">
        <v>0</v>
      </c>
      <c r="L1488" s="46">
        <v>0</v>
      </c>
      <c r="M1488" s="46">
        <f t="shared" si="422"/>
        <v>1384240</v>
      </c>
      <c r="N1488" s="46">
        <v>1384240</v>
      </c>
      <c r="O1488" s="48">
        <f t="shared" si="423"/>
        <v>0</v>
      </c>
      <c r="P1488" s="46">
        <v>0</v>
      </c>
      <c r="Q1488" s="46">
        <v>0</v>
      </c>
      <c r="R1488" s="49">
        <f t="shared" si="424"/>
        <v>1</v>
      </c>
      <c r="S1488" s="50">
        <f t="shared" si="425"/>
        <v>0.01</v>
      </c>
      <c r="T1488" s="49">
        <f t="shared" si="426"/>
        <v>13842.4</v>
      </c>
      <c r="U1488" s="51">
        <f t="shared" si="427"/>
        <v>0</v>
      </c>
      <c r="V1488" s="52">
        <f>IF(0&lt;0.8,0,IF(0&lt;1,Sheet3!L561,1))*IF(G1488&lt;3,0.12 - O1488,0.01) *U1488</f>
        <v>0</v>
      </c>
      <c r="W1488" s="52">
        <f t="shared" si="428"/>
        <v>0</v>
      </c>
      <c r="X1488" s="53">
        <f t="shared" si="429"/>
        <v>0</v>
      </c>
      <c r="Y1488" s="53">
        <f t="shared" si="430"/>
        <v>0</v>
      </c>
      <c r="Z1488" s="54">
        <f t="shared" si="434"/>
        <v>0</v>
      </c>
      <c r="AA1488" s="54">
        <f t="shared" si="431"/>
        <v>0</v>
      </c>
      <c r="AB1488" s="55">
        <f t="shared" si="435"/>
        <v>0</v>
      </c>
      <c r="AC1488" s="55">
        <f t="shared" si="432"/>
        <v>0</v>
      </c>
      <c r="AD1488" s="56">
        <f t="shared" si="433"/>
        <v>13842.4</v>
      </c>
    </row>
    <row r="1489" spans="3:30">
      <c r="C1489" s="43" t="s">
        <v>2729</v>
      </c>
      <c r="D1489" s="44" t="s">
        <v>2730</v>
      </c>
      <c r="E1489" s="44"/>
      <c r="F1489" s="45">
        <v>43280.372013888889</v>
      </c>
      <c r="G1489" s="46">
        <v>3</v>
      </c>
      <c r="H1489" s="47">
        <v>43389</v>
      </c>
      <c r="I1489" s="47">
        <v>43395</v>
      </c>
      <c r="J1489" s="46">
        <v>9022531</v>
      </c>
      <c r="K1489" s="46">
        <v>820216</v>
      </c>
      <c r="L1489" s="46">
        <v>0</v>
      </c>
      <c r="M1489" s="46">
        <f t="shared" si="422"/>
        <v>8202315</v>
      </c>
      <c r="N1489" s="46">
        <v>10047401</v>
      </c>
      <c r="O1489" s="48">
        <f t="shared" si="423"/>
        <v>0.18363813686743469</v>
      </c>
      <c r="P1489" s="46">
        <v>0</v>
      </c>
      <c r="Q1489" s="46">
        <v>0</v>
      </c>
      <c r="R1489" s="49">
        <f t="shared" si="424"/>
        <v>1</v>
      </c>
      <c r="S1489" s="50">
        <f t="shared" si="425"/>
        <v>0.01</v>
      </c>
      <c r="T1489" s="49">
        <f t="shared" si="426"/>
        <v>82023.150000000009</v>
      </c>
      <c r="U1489" s="51">
        <f t="shared" si="427"/>
        <v>0</v>
      </c>
      <c r="V1489" s="52">
        <f>IF(0&lt;0.8,0,IF(0&lt;1,Sheet3!L561,1))*IF(G1489&lt;3,0.12 - O1489,0.01) *U1489</f>
        <v>0</v>
      </c>
      <c r="W1489" s="52">
        <f t="shared" si="428"/>
        <v>0</v>
      </c>
      <c r="X1489" s="53">
        <f t="shared" si="429"/>
        <v>0</v>
      </c>
      <c r="Y1489" s="53">
        <f t="shared" si="430"/>
        <v>0</v>
      </c>
      <c r="Z1489" s="54">
        <f t="shared" si="434"/>
        <v>0</v>
      </c>
      <c r="AA1489" s="54">
        <f t="shared" si="431"/>
        <v>0</v>
      </c>
      <c r="AB1489" s="55">
        <f t="shared" si="435"/>
        <v>0</v>
      </c>
      <c r="AC1489" s="55">
        <f t="shared" si="432"/>
        <v>0</v>
      </c>
      <c r="AD1489" s="56">
        <f t="shared" si="433"/>
        <v>82023.150000000009</v>
      </c>
    </row>
    <row r="1490" spans="3:30">
      <c r="C1490" s="43" t="s">
        <v>2731</v>
      </c>
      <c r="D1490" s="44" t="s">
        <v>2732</v>
      </c>
      <c r="E1490" s="44"/>
      <c r="F1490" s="45">
        <v>43280.370532407404</v>
      </c>
      <c r="G1490" s="46">
        <v>3</v>
      </c>
      <c r="H1490" s="47">
        <v>43375</v>
      </c>
      <c r="I1490" s="47">
        <v>43386</v>
      </c>
      <c r="J1490" s="46">
        <v>2069320</v>
      </c>
      <c r="K1490" s="46">
        <v>0</v>
      </c>
      <c r="L1490" s="46">
        <v>0</v>
      </c>
      <c r="M1490" s="46">
        <f t="shared" si="422"/>
        <v>2069320</v>
      </c>
      <c r="N1490" s="46">
        <v>1945680</v>
      </c>
      <c r="O1490" s="48">
        <f t="shared" si="423"/>
        <v>0</v>
      </c>
      <c r="P1490" s="46">
        <v>0</v>
      </c>
      <c r="Q1490" s="46">
        <v>0</v>
      </c>
      <c r="R1490" s="49">
        <f t="shared" si="424"/>
        <v>1</v>
      </c>
      <c r="S1490" s="50">
        <f t="shared" si="425"/>
        <v>0.01</v>
      </c>
      <c r="T1490" s="49">
        <f t="shared" si="426"/>
        <v>20693.2</v>
      </c>
      <c r="U1490" s="51">
        <f t="shared" si="427"/>
        <v>0</v>
      </c>
      <c r="V1490" s="52">
        <f>IF(0&lt;0.8,0,IF(0&lt;1,Sheet3!L561,1))*IF(G1490&lt;3,0.12 - O1490,0.01) *U1490</f>
        <v>0</v>
      </c>
      <c r="W1490" s="52">
        <f t="shared" si="428"/>
        <v>0</v>
      </c>
      <c r="X1490" s="53">
        <f t="shared" si="429"/>
        <v>0</v>
      </c>
      <c r="Y1490" s="53">
        <f t="shared" si="430"/>
        <v>0</v>
      </c>
      <c r="Z1490" s="54">
        <f t="shared" si="434"/>
        <v>0</v>
      </c>
      <c r="AA1490" s="54">
        <f t="shared" si="431"/>
        <v>0</v>
      </c>
      <c r="AB1490" s="55">
        <f t="shared" si="435"/>
        <v>0</v>
      </c>
      <c r="AC1490" s="55">
        <f t="shared" si="432"/>
        <v>0</v>
      </c>
      <c r="AD1490" s="56">
        <f t="shared" si="433"/>
        <v>20693.2</v>
      </c>
    </row>
    <row r="1491" spans="3:30">
      <c r="C1491" s="43" t="s">
        <v>2733</v>
      </c>
      <c r="D1491" s="44" t="s">
        <v>2734</v>
      </c>
      <c r="E1491" s="44"/>
      <c r="F1491" s="45">
        <v>43287.099247685182</v>
      </c>
      <c r="G1491" s="46">
        <v>2</v>
      </c>
      <c r="H1491" s="47">
        <v>43389</v>
      </c>
      <c r="I1491" s="47">
        <v>43403</v>
      </c>
      <c r="J1491" s="46">
        <v>3776485</v>
      </c>
      <c r="K1491" s="46">
        <v>0</v>
      </c>
      <c r="L1491" s="46">
        <v>0</v>
      </c>
      <c r="M1491" s="46">
        <f t="shared" si="422"/>
        <v>3776485</v>
      </c>
      <c r="N1491" s="46">
        <v>3776485</v>
      </c>
      <c r="O1491" s="48">
        <f t="shared" si="423"/>
        <v>0</v>
      </c>
      <c r="P1491" s="46">
        <v>3776485</v>
      </c>
      <c r="Q1491" s="46">
        <v>0</v>
      </c>
      <c r="R1491" s="49">
        <f t="shared" si="424"/>
        <v>0</v>
      </c>
      <c r="S1491" s="50">
        <f t="shared" si="425"/>
        <v>0</v>
      </c>
      <c r="T1491" s="49">
        <f t="shared" si="426"/>
        <v>0</v>
      </c>
      <c r="U1491" s="51">
        <f t="shared" si="427"/>
        <v>3776485</v>
      </c>
      <c r="V1491" s="52">
        <f>IF(0&lt;0.8,0,IF(0&lt;1,Sheet3!L561,1))*IF(G1491&lt;3,0.12 - O1491,0.01) *U1491</f>
        <v>0</v>
      </c>
      <c r="W1491" s="52">
        <f t="shared" si="428"/>
        <v>0</v>
      </c>
      <c r="X1491" s="53">
        <f t="shared" si="429"/>
        <v>0</v>
      </c>
      <c r="Y1491" s="53">
        <f t="shared" si="430"/>
        <v>0</v>
      </c>
      <c r="Z1491" s="54">
        <f t="shared" si="434"/>
        <v>0</v>
      </c>
      <c r="AA1491" s="54">
        <f t="shared" si="431"/>
        <v>0</v>
      </c>
      <c r="AB1491" s="55">
        <f t="shared" si="435"/>
        <v>0</v>
      </c>
      <c r="AC1491" s="55">
        <f t="shared" si="432"/>
        <v>0</v>
      </c>
      <c r="AD1491" s="56">
        <f t="shared" si="433"/>
        <v>0</v>
      </c>
    </row>
    <row r="1492" spans="3:30">
      <c r="C1492" s="43" t="s">
        <v>2735</v>
      </c>
      <c r="D1492" s="44" t="s">
        <v>2736</v>
      </c>
      <c r="E1492" s="44"/>
      <c r="F1492" s="45">
        <v>43287.100289351853</v>
      </c>
      <c r="G1492" s="46">
        <v>2</v>
      </c>
      <c r="H1492" s="47">
        <v>43376</v>
      </c>
      <c r="I1492" s="47">
        <v>43390</v>
      </c>
      <c r="J1492" s="46">
        <v>572770</v>
      </c>
      <c r="K1492" s="46">
        <v>0</v>
      </c>
      <c r="L1492" s="46">
        <v>0</v>
      </c>
      <c r="M1492" s="46">
        <f t="shared" si="422"/>
        <v>572770</v>
      </c>
      <c r="N1492" s="46">
        <v>733203</v>
      </c>
      <c r="O1492" s="48">
        <f t="shared" si="423"/>
        <v>0.21881116143823742</v>
      </c>
      <c r="P1492" s="46">
        <v>572770</v>
      </c>
      <c r="Q1492" s="46">
        <v>0</v>
      </c>
      <c r="R1492" s="49">
        <f t="shared" si="424"/>
        <v>0</v>
      </c>
      <c r="S1492" s="50">
        <f t="shared" si="425"/>
        <v>0</v>
      </c>
      <c r="T1492" s="49">
        <f t="shared" si="426"/>
        <v>0</v>
      </c>
      <c r="U1492" s="51">
        <f t="shared" si="427"/>
        <v>0</v>
      </c>
      <c r="V1492" s="52">
        <f>IF(0&lt;0.8,0,IF(0&lt;1,Sheet3!L561,1))*IF(G1492&lt;3,0.12 - O1492,0.01) *U1492</f>
        <v>0</v>
      </c>
      <c r="W1492" s="52">
        <f t="shared" si="428"/>
        <v>0</v>
      </c>
      <c r="X1492" s="53">
        <f t="shared" si="429"/>
        <v>0</v>
      </c>
      <c r="Y1492" s="53">
        <f t="shared" si="430"/>
        <v>0</v>
      </c>
      <c r="Z1492" s="54">
        <f t="shared" si="434"/>
        <v>0</v>
      </c>
      <c r="AA1492" s="54">
        <f t="shared" si="431"/>
        <v>0</v>
      </c>
      <c r="AB1492" s="55">
        <f t="shared" si="435"/>
        <v>0</v>
      </c>
      <c r="AC1492" s="55">
        <f t="shared" si="432"/>
        <v>0</v>
      </c>
      <c r="AD1492" s="56">
        <f t="shared" si="433"/>
        <v>0</v>
      </c>
    </row>
    <row r="1493" spans="3:30">
      <c r="C1493" s="43" t="s">
        <v>2737</v>
      </c>
      <c r="D1493" s="44" t="s">
        <v>2738</v>
      </c>
      <c r="E1493" s="44"/>
      <c r="F1493" s="45">
        <v>43293.068356481483</v>
      </c>
      <c r="G1493" s="46">
        <v>2</v>
      </c>
      <c r="H1493" s="47">
        <v>43382</v>
      </c>
      <c r="I1493" s="47">
        <v>43423</v>
      </c>
      <c r="J1493" s="46">
        <v>513252</v>
      </c>
      <c r="K1493" s="46">
        <v>0</v>
      </c>
      <c r="L1493" s="46">
        <v>0</v>
      </c>
      <c r="M1493" s="46">
        <f t="shared" si="422"/>
        <v>513252</v>
      </c>
      <c r="N1493" s="46">
        <v>527188</v>
      </c>
      <c r="O1493" s="48">
        <f t="shared" si="423"/>
        <v>2.6434592593154616E-2</v>
      </c>
      <c r="P1493" s="46">
        <v>513252</v>
      </c>
      <c r="Q1493" s="46">
        <v>0</v>
      </c>
      <c r="R1493" s="49">
        <f t="shared" si="424"/>
        <v>0</v>
      </c>
      <c r="S1493" s="50">
        <f t="shared" si="425"/>
        <v>0</v>
      </c>
      <c r="T1493" s="49">
        <f t="shared" si="426"/>
        <v>0</v>
      </c>
      <c r="U1493" s="51">
        <f t="shared" si="427"/>
        <v>513252</v>
      </c>
      <c r="V1493" s="52">
        <f>IF(0&lt;0.8,0,IF(0&lt;1,Sheet3!L561,1))*IF(G1493&lt;3,0.12 - O1493,0.01) *U1493</f>
        <v>0</v>
      </c>
      <c r="W1493" s="52">
        <f t="shared" si="428"/>
        <v>0</v>
      </c>
      <c r="X1493" s="53">
        <f t="shared" si="429"/>
        <v>0</v>
      </c>
      <c r="Y1493" s="53">
        <f t="shared" si="430"/>
        <v>0</v>
      </c>
      <c r="Z1493" s="54">
        <f t="shared" si="434"/>
        <v>0</v>
      </c>
      <c r="AA1493" s="54">
        <f t="shared" si="431"/>
        <v>0</v>
      </c>
      <c r="AB1493" s="55">
        <f t="shared" si="435"/>
        <v>0</v>
      </c>
      <c r="AC1493" s="55">
        <f t="shared" si="432"/>
        <v>0</v>
      </c>
      <c r="AD1493" s="56">
        <f t="shared" si="433"/>
        <v>0</v>
      </c>
    </row>
    <row r="1494" spans="3:30">
      <c r="C1494" s="43" t="s">
        <v>2739</v>
      </c>
      <c r="D1494" s="44" t="s">
        <v>2740</v>
      </c>
      <c r="E1494" s="44"/>
      <c r="F1494" s="45">
        <v>43293.069930555554</v>
      </c>
      <c r="G1494" s="46">
        <v>2</v>
      </c>
      <c r="H1494" s="47">
        <v>43379</v>
      </c>
      <c r="I1494" s="47">
        <v>43430</v>
      </c>
      <c r="J1494" s="46">
        <v>415490</v>
      </c>
      <c r="K1494" s="46">
        <v>0</v>
      </c>
      <c r="L1494" s="46">
        <v>0</v>
      </c>
      <c r="M1494" s="46">
        <f t="shared" si="422"/>
        <v>415490</v>
      </c>
      <c r="N1494" s="46">
        <v>415490</v>
      </c>
      <c r="O1494" s="48">
        <f t="shared" si="423"/>
        <v>0</v>
      </c>
      <c r="P1494" s="46">
        <v>415490</v>
      </c>
      <c r="Q1494" s="46">
        <v>0</v>
      </c>
      <c r="R1494" s="49">
        <f t="shared" si="424"/>
        <v>0</v>
      </c>
      <c r="S1494" s="50">
        <f t="shared" si="425"/>
        <v>0</v>
      </c>
      <c r="T1494" s="49">
        <f t="shared" si="426"/>
        <v>0</v>
      </c>
      <c r="U1494" s="51">
        <f t="shared" si="427"/>
        <v>415490</v>
      </c>
      <c r="V1494" s="52">
        <f>IF(0&lt;0.8,0,IF(0&lt;1,Sheet3!L561,1))*IF(G1494&lt;3,0.12 - O1494,0.01) *U1494</f>
        <v>0</v>
      </c>
      <c r="W1494" s="52">
        <f t="shared" si="428"/>
        <v>0</v>
      </c>
      <c r="X1494" s="53">
        <f t="shared" si="429"/>
        <v>0</v>
      </c>
      <c r="Y1494" s="53">
        <f t="shared" si="430"/>
        <v>0</v>
      </c>
      <c r="Z1494" s="54">
        <f t="shared" si="434"/>
        <v>0</v>
      </c>
      <c r="AA1494" s="54">
        <f t="shared" si="431"/>
        <v>0</v>
      </c>
      <c r="AB1494" s="55">
        <f t="shared" si="435"/>
        <v>0</v>
      </c>
      <c r="AC1494" s="55">
        <f t="shared" si="432"/>
        <v>0</v>
      </c>
      <c r="AD1494" s="56">
        <f t="shared" si="433"/>
        <v>0</v>
      </c>
    </row>
    <row r="1495" spans="3:30">
      <c r="C1495" s="43" t="s">
        <v>2741</v>
      </c>
      <c r="D1495" s="44" t="s">
        <v>2742</v>
      </c>
      <c r="E1495" s="44"/>
      <c r="F1495" s="45">
        <v>43293.081574074073</v>
      </c>
      <c r="G1495" s="46">
        <v>2</v>
      </c>
      <c r="H1495" s="47">
        <v>43391</v>
      </c>
      <c r="I1495" s="47">
        <v>43398</v>
      </c>
      <c r="J1495" s="46">
        <v>372350</v>
      </c>
      <c r="K1495" s="46">
        <v>0</v>
      </c>
      <c r="L1495" s="46">
        <v>0</v>
      </c>
      <c r="M1495" s="46">
        <f t="shared" si="422"/>
        <v>372350</v>
      </c>
      <c r="N1495" s="46">
        <v>359370</v>
      </c>
      <c r="O1495" s="48">
        <f t="shared" si="423"/>
        <v>0</v>
      </c>
      <c r="P1495" s="46">
        <v>372350</v>
      </c>
      <c r="Q1495" s="46">
        <v>0</v>
      </c>
      <c r="R1495" s="49">
        <f t="shared" si="424"/>
        <v>0</v>
      </c>
      <c r="S1495" s="50">
        <f t="shared" si="425"/>
        <v>0</v>
      </c>
      <c r="T1495" s="49">
        <f t="shared" si="426"/>
        <v>0</v>
      </c>
      <c r="U1495" s="51">
        <f t="shared" si="427"/>
        <v>372350</v>
      </c>
      <c r="V1495" s="52">
        <f>IF(0&lt;0.8,0,IF(0&lt;1,Sheet3!L561,1))*IF(G1495&lt;3,0.12 - O1495,0.01) *U1495</f>
        <v>0</v>
      </c>
      <c r="W1495" s="52">
        <f t="shared" si="428"/>
        <v>0</v>
      </c>
      <c r="X1495" s="53">
        <f t="shared" si="429"/>
        <v>0</v>
      </c>
      <c r="Y1495" s="53">
        <f t="shared" si="430"/>
        <v>0</v>
      </c>
      <c r="Z1495" s="54">
        <f t="shared" si="434"/>
        <v>0</v>
      </c>
      <c r="AA1495" s="54">
        <f t="shared" si="431"/>
        <v>0</v>
      </c>
      <c r="AB1495" s="55">
        <f t="shared" si="435"/>
        <v>0</v>
      </c>
      <c r="AC1495" s="55">
        <f t="shared" si="432"/>
        <v>0</v>
      </c>
      <c r="AD1495" s="56">
        <f t="shared" si="433"/>
        <v>0</v>
      </c>
    </row>
    <row r="1496" spans="3:30">
      <c r="C1496" s="43" t="s">
        <v>2743</v>
      </c>
      <c r="D1496" s="44" t="s">
        <v>2744</v>
      </c>
      <c r="E1496" s="44"/>
      <c r="F1496" s="45">
        <v>43297.359594907408</v>
      </c>
      <c r="G1496" s="46">
        <v>2</v>
      </c>
      <c r="H1496" s="47">
        <v>43375</v>
      </c>
      <c r="I1496" s="47">
        <v>43386</v>
      </c>
      <c r="J1496" s="46">
        <v>176218</v>
      </c>
      <c r="K1496" s="46">
        <v>0</v>
      </c>
      <c r="L1496" s="46">
        <v>0</v>
      </c>
      <c r="M1496" s="46">
        <f t="shared" si="422"/>
        <v>176218</v>
      </c>
      <c r="N1496" s="46">
        <v>176218</v>
      </c>
      <c r="O1496" s="48">
        <f t="shared" si="423"/>
        <v>0</v>
      </c>
      <c r="P1496" s="46">
        <v>176218</v>
      </c>
      <c r="Q1496" s="46">
        <v>0</v>
      </c>
      <c r="R1496" s="49">
        <f t="shared" si="424"/>
        <v>0</v>
      </c>
      <c r="S1496" s="50">
        <f t="shared" si="425"/>
        <v>0</v>
      </c>
      <c r="T1496" s="49">
        <f t="shared" si="426"/>
        <v>0</v>
      </c>
      <c r="U1496" s="51">
        <f t="shared" si="427"/>
        <v>176218</v>
      </c>
      <c r="V1496" s="52">
        <f>IF(0&lt;0.8,0,IF(0&lt;1,Sheet3!L561,1))*IF(G1496&lt;3,0.12 - O1496,0.01) *U1496</f>
        <v>0</v>
      </c>
      <c r="W1496" s="52">
        <f t="shared" si="428"/>
        <v>0</v>
      </c>
      <c r="X1496" s="53">
        <f t="shared" si="429"/>
        <v>0</v>
      </c>
      <c r="Y1496" s="53">
        <f t="shared" si="430"/>
        <v>0</v>
      </c>
      <c r="Z1496" s="54">
        <f t="shared" si="434"/>
        <v>0</v>
      </c>
      <c r="AA1496" s="54">
        <f t="shared" si="431"/>
        <v>0</v>
      </c>
      <c r="AB1496" s="55">
        <f t="shared" si="435"/>
        <v>0</v>
      </c>
      <c r="AC1496" s="55">
        <f t="shared" si="432"/>
        <v>0</v>
      </c>
      <c r="AD1496" s="56">
        <f t="shared" si="433"/>
        <v>0</v>
      </c>
    </row>
    <row r="1497" spans="3:30">
      <c r="C1497" s="43" t="s">
        <v>2745</v>
      </c>
      <c r="D1497" s="44" t="s">
        <v>2746</v>
      </c>
      <c r="E1497" s="44"/>
      <c r="F1497" s="45">
        <v>43297.360763888886</v>
      </c>
      <c r="G1497" s="46">
        <v>2</v>
      </c>
      <c r="H1497" s="47">
        <v>43372</v>
      </c>
      <c r="I1497" s="47">
        <v>43398</v>
      </c>
      <c r="J1497" s="46">
        <v>1887468</v>
      </c>
      <c r="K1497" s="46">
        <v>0</v>
      </c>
      <c r="L1497" s="46">
        <v>0</v>
      </c>
      <c r="M1497" s="46">
        <f t="shared" si="422"/>
        <v>1887468</v>
      </c>
      <c r="N1497" s="46">
        <v>1871991</v>
      </c>
      <c r="O1497" s="48">
        <f t="shared" si="423"/>
        <v>0</v>
      </c>
      <c r="P1497" s="46">
        <v>1887468</v>
      </c>
      <c r="Q1497" s="46">
        <v>0</v>
      </c>
      <c r="R1497" s="49">
        <f t="shared" si="424"/>
        <v>0</v>
      </c>
      <c r="S1497" s="50">
        <f t="shared" si="425"/>
        <v>0</v>
      </c>
      <c r="T1497" s="49">
        <f t="shared" si="426"/>
        <v>0</v>
      </c>
      <c r="U1497" s="51">
        <f t="shared" si="427"/>
        <v>1887468</v>
      </c>
      <c r="V1497" s="52">
        <f>IF(0&lt;0.8,0,IF(0&lt;1,Sheet3!L561,1))*IF(G1497&lt;3,0.12 - O1497,0.01) *U1497</f>
        <v>0</v>
      </c>
      <c r="W1497" s="52">
        <f t="shared" si="428"/>
        <v>0</v>
      </c>
      <c r="X1497" s="53">
        <f t="shared" si="429"/>
        <v>0</v>
      </c>
      <c r="Y1497" s="53">
        <f t="shared" si="430"/>
        <v>0</v>
      </c>
      <c r="Z1497" s="54">
        <f t="shared" si="434"/>
        <v>0</v>
      </c>
      <c r="AA1497" s="54">
        <f t="shared" si="431"/>
        <v>0</v>
      </c>
      <c r="AB1497" s="55">
        <f t="shared" si="435"/>
        <v>0</v>
      </c>
      <c r="AC1497" s="55">
        <f t="shared" si="432"/>
        <v>0</v>
      </c>
      <c r="AD1497" s="56">
        <f t="shared" si="433"/>
        <v>0</v>
      </c>
    </row>
    <row r="1498" spans="3:30">
      <c r="C1498" s="43" t="s">
        <v>2747</v>
      </c>
      <c r="D1498" s="44" t="s">
        <v>2748</v>
      </c>
      <c r="E1498" s="44"/>
      <c r="F1498" s="45">
        <v>43297.357407407406</v>
      </c>
      <c r="G1498" s="46">
        <v>2</v>
      </c>
      <c r="H1498" s="47">
        <v>43382</v>
      </c>
      <c r="I1498" s="47">
        <v>43399</v>
      </c>
      <c r="J1498" s="46">
        <v>6720219</v>
      </c>
      <c r="K1498" s="46">
        <v>0</v>
      </c>
      <c r="L1498" s="46">
        <v>0</v>
      </c>
      <c r="M1498" s="46">
        <f t="shared" si="422"/>
        <v>6720219</v>
      </c>
      <c r="N1498" s="46">
        <v>5499329</v>
      </c>
      <c r="O1498" s="48">
        <f t="shared" si="423"/>
        <v>0</v>
      </c>
      <c r="P1498" s="46">
        <v>6720219</v>
      </c>
      <c r="Q1498" s="46">
        <v>0</v>
      </c>
      <c r="R1498" s="49">
        <f t="shared" si="424"/>
        <v>0</v>
      </c>
      <c r="S1498" s="50">
        <f t="shared" si="425"/>
        <v>0</v>
      </c>
      <c r="T1498" s="49">
        <f t="shared" si="426"/>
        <v>0</v>
      </c>
      <c r="U1498" s="51">
        <f t="shared" si="427"/>
        <v>6720219</v>
      </c>
      <c r="V1498" s="52">
        <f>IF(0&lt;0.8,0,IF(0&lt;1,Sheet3!L561,1))*IF(G1498&lt;3,0.12 - O1498,0.01) *U1498</f>
        <v>0</v>
      </c>
      <c r="W1498" s="52">
        <f t="shared" si="428"/>
        <v>0</v>
      </c>
      <c r="X1498" s="53">
        <f t="shared" si="429"/>
        <v>0</v>
      </c>
      <c r="Y1498" s="53">
        <f t="shared" si="430"/>
        <v>0</v>
      </c>
      <c r="Z1498" s="54">
        <f t="shared" si="434"/>
        <v>0</v>
      </c>
      <c r="AA1498" s="54">
        <f t="shared" si="431"/>
        <v>0</v>
      </c>
      <c r="AB1498" s="55">
        <f t="shared" si="435"/>
        <v>0</v>
      </c>
      <c r="AC1498" s="55">
        <f t="shared" si="432"/>
        <v>0</v>
      </c>
      <c r="AD1498" s="56">
        <f t="shared" si="433"/>
        <v>0</v>
      </c>
    </row>
    <row r="1499" spans="3:30">
      <c r="C1499" s="43" t="s">
        <v>2749</v>
      </c>
      <c r="D1499" s="44" t="s">
        <v>2750</v>
      </c>
      <c r="E1499" s="44"/>
      <c r="F1499" s="45">
        <v>43298.189513888887</v>
      </c>
      <c r="G1499" s="46">
        <v>2</v>
      </c>
      <c r="H1499" s="47">
        <v>43434</v>
      </c>
      <c r="I1499" s="47">
        <v>43463</v>
      </c>
      <c r="J1499" s="46">
        <v>210540</v>
      </c>
      <c r="K1499" s="46">
        <v>0</v>
      </c>
      <c r="L1499" s="46">
        <v>0</v>
      </c>
      <c r="M1499" s="46">
        <f t="shared" si="422"/>
        <v>210540</v>
      </c>
      <c r="N1499" s="46">
        <v>210540</v>
      </c>
      <c r="O1499" s="48">
        <f t="shared" si="423"/>
        <v>0</v>
      </c>
      <c r="P1499" s="46">
        <v>210540</v>
      </c>
      <c r="Q1499" s="46">
        <v>0</v>
      </c>
      <c r="R1499" s="49">
        <f t="shared" si="424"/>
        <v>0</v>
      </c>
      <c r="S1499" s="50">
        <f t="shared" si="425"/>
        <v>0</v>
      </c>
      <c r="T1499" s="49">
        <f t="shared" si="426"/>
        <v>0</v>
      </c>
      <c r="U1499" s="51">
        <f t="shared" si="427"/>
        <v>210540</v>
      </c>
      <c r="V1499" s="52">
        <f>IF(0&lt;0.8,0,IF(0&lt;1,Sheet3!L561,1))*IF(G1499&lt;3,0.12 - O1499,0.01) *U1499</f>
        <v>0</v>
      </c>
      <c r="W1499" s="52">
        <f t="shared" si="428"/>
        <v>0</v>
      </c>
      <c r="X1499" s="53">
        <f t="shared" si="429"/>
        <v>0</v>
      </c>
      <c r="Y1499" s="53">
        <f t="shared" si="430"/>
        <v>0</v>
      </c>
      <c r="Z1499" s="54">
        <f t="shared" si="434"/>
        <v>0</v>
      </c>
      <c r="AA1499" s="54">
        <f t="shared" si="431"/>
        <v>0</v>
      </c>
      <c r="AB1499" s="55">
        <f t="shared" si="435"/>
        <v>0</v>
      </c>
      <c r="AC1499" s="55">
        <f t="shared" si="432"/>
        <v>0</v>
      </c>
      <c r="AD1499" s="56">
        <f t="shared" si="433"/>
        <v>0</v>
      </c>
    </row>
    <row r="1500" spans="3:30">
      <c r="C1500" s="43" t="s">
        <v>2751</v>
      </c>
      <c r="D1500" s="44" t="s">
        <v>2752</v>
      </c>
      <c r="E1500" s="44"/>
      <c r="F1500" s="45">
        <v>43301.075729166667</v>
      </c>
      <c r="G1500" s="46">
        <v>2</v>
      </c>
      <c r="H1500" s="47">
        <v>43379</v>
      </c>
      <c r="I1500" s="47">
        <v>43399</v>
      </c>
      <c r="J1500" s="46">
        <v>2214916</v>
      </c>
      <c r="K1500" s="46">
        <v>0</v>
      </c>
      <c r="L1500" s="46">
        <v>0</v>
      </c>
      <c r="M1500" s="46">
        <f t="shared" si="422"/>
        <v>2214916</v>
      </c>
      <c r="N1500" s="46">
        <v>1485628</v>
      </c>
      <c r="O1500" s="48">
        <f t="shared" si="423"/>
        <v>0</v>
      </c>
      <c r="P1500" s="46">
        <v>2214916</v>
      </c>
      <c r="Q1500" s="46">
        <v>0</v>
      </c>
      <c r="R1500" s="49">
        <f t="shared" si="424"/>
        <v>0</v>
      </c>
      <c r="S1500" s="50">
        <f t="shared" si="425"/>
        <v>0</v>
      </c>
      <c r="T1500" s="49">
        <f t="shared" si="426"/>
        <v>0</v>
      </c>
      <c r="U1500" s="51">
        <f t="shared" si="427"/>
        <v>2214916</v>
      </c>
      <c r="V1500" s="52">
        <f>IF(0&lt;0.8,0,IF(0&lt;1,Sheet3!L561,1))*IF(G1500&lt;3,0.12 - O1500,0.01) *U1500</f>
        <v>0</v>
      </c>
      <c r="W1500" s="52">
        <f t="shared" si="428"/>
        <v>0</v>
      </c>
      <c r="X1500" s="53">
        <f t="shared" si="429"/>
        <v>0</v>
      </c>
      <c r="Y1500" s="53">
        <f t="shared" si="430"/>
        <v>0</v>
      </c>
      <c r="Z1500" s="54">
        <f t="shared" si="434"/>
        <v>0</v>
      </c>
      <c r="AA1500" s="54">
        <f t="shared" si="431"/>
        <v>0</v>
      </c>
      <c r="AB1500" s="55">
        <f>IF(R1500=0,938784,0)</f>
        <v>938784</v>
      </c>
      <c r="AC1500" s="55">
        <f t="shared" si="432"/>
        <v>18775.68</v>
      </c>
      <c r="AD1500" s="56">
        <f t="shared" si="433"/>
        <v>18775.68</v>
      </c>
    </row>
    <row r="1501" spans="3:30">
      <c r="C1501" s="43" t="s">
        <v>2753</v>
      </c>
      <c r="D1501" s="44" t="s">
        <v>2754</v>
      </c>
      <c r="E1501" s="44"/>
      <c r="F1501" s="45">
        <v>43306.06009259259</v>
      </c>
      <c r="G1501" s="46">
        <v>2</v>
      </c>
      <c r="H1501" s="47">
        <v>43409</v>
      </c>
      <c r="I1501" s="47">
        <v>43424</v>
      </c>
      <c r="J1501" s="46">
        <v>13200</v>
      </c>
      <c r="K1501" s="46">
        <v>0</v>
      </c>
      <c r="L1501" s="46">
        <v>0</v>
      </c>
      <c r="M1501" s="46">
        <f t="shared" si="422"/>
        <v>13200</v>
      </c>
      <c r="N1501" s="46">
        <v>15806</v>
      </c>
      <c r="O1501" s="48">
        <f t="shared" si="423"/>
        <v>0.16487409844362899</v>
      </c>
      <c r="P1501" s="46">
        <v>13200</v>
      </c>
      <c r="Q1501" s="46">
        <v>0</v>
      </c>
      <c r="R1501" s="49">
        <f t="shared" si="424"/>
        <v>0</v>
      </c>
      <c r="S1501" s="50">
        <f t="shared" si="425"/>
        <v>0</v>
      </c>
      <c r="T1501" s="49">
        <f t="shared" si="426"/>
        <v>0</v>
      </c>
      <c r="U1501" s="51">
        <f t="shared" si="427"/>
        <v>0</v>
      </c>
      <c r="V1501" s="52">
        <f>IF(0&lt;0.8,0,IF(0&lt;1,Sheet3!L561,1))*IF(G1501&lt;3,0.12 - O1501,0.01) *U1501</f>
        <v>0</v>
      </c>
      <c r="W1501" s="52">
        <f t="shared" si="428"/>
        <v>0</v>
      </c>
      <c r="X1501" s="53">
        <f t="shared" si="429"/>
        <v>0</v>
      </c>
      <c r="Y1501" s="53">
        <f t="shared" si="430"/>
        <v>0</v>
      </c>
      <c r="Z1501" s="54">
        <f t="shared" si="434"/>
        <v>0</v>
      </c>
      <c r="AA1501" s="54">
        <f t="shared" si="431"/>
        <v>0</v>
      </c>
      <c r="AB1501" s="55">
        <f t="shared" ref="AB1501:AB1509" si="436">IF(R1501=0,0,0)</f>
        <v>0</v>
      </c>
      <c r="AC1501" s="55">
        <f t="shared" si="432"/>
        <v>0</v>
      </c>
      <c r="AD1501" s="56">
        <f t="shared" si="433"/>
        <v>0</v>
      </c>
    </row>
    <row r="1502" spans="3:30">
      <c r="C1502" s="43" t="s">
        <v>2755</v>
      </c>
      <c r="D1502" s="44" t="s">
        <v>2756</v>
      </c>
      <c r="E1502" s="44"/>
      <c r="F1502" s="45">
        <v>43308.343043981477</v>
      </c>
      <c r="G1502" s="46">
        <v>2</v>
      </c>
      <c r="H1502" s="47">
        <v>43411</v>
      </c>
      <c r="I1502" s="47">
        <v>43427</v>
      </c>
      <c r="J1502" s="46">
        <v>3646123</v>
      </c>
      <c r="K1502" s="46">
        <v>2450467</v>
      </c>
      <c r="L1502" s="46">
        <v>0</v>
      </c>
      <c r="M1502" s="46">
        <f t="shared" si="422"/>
        <v>1195656</v>
      </c>
      <c r="N1502" s="46">
        <v>3646123</v>
      </c>
      <c r="O1502" s="48">
        <f t="shared" si="423"/>
        <v>0.67207469413401577</v>
      </c>
      <c r="P1502" s="46">
        <v>2100250</v>
      </c>
      <c r="Q1502" s="46">
        <v>0</v>
      </c>
      <c r="R1502" s="49">
        <f t="shared" si="424"/>
        <v>0</v>
      </c>
      <c r="S1502" s="50">
        <f t="shared" si="425"/>
        <v>0</v>
      </c>
      <c r="T1502" s="49">
        <f t="shared" si="426"/>
        <v>0</v>
      </c>
      <c r="U1502" s="51">
        <f t="shared" si="427"/>
        <v>0</v>
      </c>
      <c r="V1502" s="52">
        <f>IF(0&lt;0.8,0,IF(0&lt;1,Sheet3!L561,1))*IF(G1502&lt;3,0.12 - O1502,0.01) *U1502</f>
        <v>0</v>
      </c>
      <c r="W1502" s="52">
        <f t="shared" si="428"/>
        <v>0</v>
      </c>
      <c r="X1502" s="53">
        <f t="shared" si="429"/>
        <v>0</v>
      </c>
      <c r="Y1502" s="53">
        <f t="shared" si="430"/>
        <v>0</v>
      </c>
      <c r="Z1502" s="54">
        <f t="shared" si="434"/>
        <v>0</v>
      </c>
      <c r="AA1502" s="54">
        <f t="shared" si="431"/>
        <v>0</v>
      </c>
      <c r="AB1502" s="55">
        <f t="shared" si="436"/>
        <v>0</v>
      </c>
      <c r="AC1502" s="55">
        <f t="shared" si="432"/>
        <v>0</v>
      </c>
      <c r="AD1502" s="56">
        <f t="shared" si="433"/>
        <v>0</v>
      </c>
    </row>
    <row r="1503" spans="3:30">
      <c r="C1503" s="43" t="s">
        <v>2757</v>
      </c>
      <c r="D1503" s="44" t="s">
        <v>1151</v>
      </c>
      <c r="E1503" s="44"/>
      <c r="F1503" s="45">
        <v>43313.205428240741</v>
      </c>
      <c r="G1503" s="46">
        <v>1</v>
      </c>
      <c r="H1503" s="47">
        <v>43383</v>
      </c>
      <c r="I1503" s="47">
        <v>43434</v>
      </c>
      <c r="J1503" s="46">
        <v>1155749</v>
      </c>
      <c r="K1503" s="46">
        <v>0</v>
      </c>
      <c r="L1503" s="46">
        <v>0</v>
      </c>
      <c r="M1503" s="46">
        <f t="shared" si="422"/>
        <v>1155749</v>
      </c>
      <c r="N1503" s="46">
        <v>1556739</v>
      </c>
      <c r="O1503" s="48">
        <f t="shared" si="423"/>
        <v>0.25758332000418827</v>
      </c>
      <c r="P1503" s="46">
        <v>0</v>
      </c>
      <c r="Q1503" s="46">
        <v>0</v>
      </c>
      <c r="R1503" s="49">
        <f t="shared" si="424"/>
        <v>0</v>
      </c>
      <c r="S1503" s="50">
        <f t="shared" si="425"/>
        <v>0</v>
      </c>
      <c r="T1503" s="49">
        <f t="shared" si="426"/>
        <v>0</v>
      </c>
      <c r="U1503" s="51">
        <f t="shared" si="427"/>
        <v>0</v>
      </c>
      <c r="V1503" s="52">
        <f>IF(0&lt;0.8,0,IF(0&lt;1,Sheet3!L561,1))*IF(G1503&lt;3,0.12 - O1503,0.01) *U1503</f>
        <v>0</v>
      </c>
      <c r="W1503" s="52">
        <f t="shared" si="428"/>
        <v>0</v>
      </c>
      <c r="X1503" s="53">
        <f t="shared" si="429"/>
        <v>0</v>
      </c>
      <c r="Y1503" s="53">
        <f t="shared" si="430"/>
        <v>0</v>
      </c>
      <c r="Z1503" s="54">
        <f t="shared" si="434"/>
        <v>0</v>
      </c>
      <c r="AA1503" s="54">
        <f t="shared" si="431"/>
        <v>0</v>
      </c>
      <c r="AB1503" s="55">
        <f t="shared" si="436"/>
        <v>0</v>
      </c>
      <c r="AC1503" s="55">
        <f t="shared" si="432"/>
        <v>0</v>
      </c>
      <c r="AD1503" s="56">
        <f t="shared" si="433"/>
        <v>0</v>
      </c>
    </row>
    <row r="1504" spans="3:30">
      <c r="C1504" s="43" t="s">
        <v>2758</v>
      </c>
      <c r="D1504" s="44" t="s">
        <v>2759</v>
      </c>
      <c r="E1504" s="44"/>
      <c r="F1504" s="45">
        <v>43316.097384259258</v>
      </c>
      <c r="G1504" s="46">
        <v>1</v>
      </c>
      <c r="H1504" s="47">
        <v>43398</v>
      </c>
      <c r="I1504" s="47">
        <v>43452</v>
      </c>
      <c r="J1504" s="46">
        <v>3917592</v>
      </c>
      <c r="K1504" s="46">
        <v>0</v>
      </c>
      <c r="L1504" s="46">
        <v>0</v>
      </c>
      <c r="M1504" s="46">
        <f t="shared" si="422"/>
        <v>3917592</v>
      </c>
      <c r="N1504" s="46">
        <v>4531375</v>
      </c>
      <c r="O1504" s="48">
        <f t="shared" si="423"/>
        <v>0.13545182201870298</v>
      </c>
      <c r="P1504" s="46">
        <v>0</v>
      </c>
      <c r="Q1504" s="46">
        <v>0</v>
      </c>
      <c r="R1504" s="49">
        <f t="shared" si="424"/>
        <v>0</v>
      </c>
      <c r="S1504" s="50">
        <f t="shared" si="425"/>
        <v>0</v>
      </c>
      <c r="T1504" s="49">
        <f t="shared" si="426"/>
        <v>0</v>
      </c>
      <c r="U1504" s="51">
        <f t="shared" si="427"/>
        <v>0</v>
      </c>
      <c r="V1504" s="52">
        <f>IF(0&lt;0.8,0,IF(0&lt;1,Sheet3!L561,1))*IF(G1504&lt;3,0.12 - O1504,0.01) *U1504</f>
        <v>0</v>
      </c>
      <c r="W1504" s="52">
        <f t="shared" si="428"/>
        <v>0</v>
      </c>
      <c r="X1504" s="53">
        <f t="shared" si="429"/>
        <v>0</v>
      </c>
      <c r="Y1504" s="53">
        <f t="shared" si="430"/>
        <v>0</v>
      </c>
      <c r="Z1504" s="54">
        <f t="shared" si="434"/>
        <v>0</v>
      </c>
      <c r="AA1504" s="54">
        <f t="shared" si="431"/>
        <v>0</v>
      </c>
      <c r="AB1504" s="55">
        <f t="shared" si="436"/>
        <v>0</v>
      </c>
      <c r="AC1504" s="55">
        <f t="shared" si="432"/>
        <v>0</v>
      </c>
      <c r="AD1504" s="56">
        <f t="shared" si="433"/>
        <v>0</v>
      </c>
    </row>
    <row r="1505" spans="3:30">
      <c r="C1505" s="43" t="s">
        <v>2760</v>
      </c>
      <c r="D1505" s="44" t="s">
        <v>2761</v>
      </c>
      <c r="E1505" s="44"/>
      <c r="F1505" s="45">
        <v>43316.09851851852</v>
      </c>
      <c r="G1505" s="46">
        <v>1</v>
      </c>
      <c r="H1505" s="47">
        <v>43372</v>
      </c>
      <c r="I1505" s="47">
        <v>43386</v>
      </c>
      <c r="J1505" s="46">
        <v>1842610</v>
      </c>
      <c r="K1505" s="46">
        <v>0</v>
      </c>
      <c r="L1505" s="46">
        <v>0</v>
      </c>
      <c r="M1505" s="46">
        <f t="shared" si="422"/>
        <v>1842610</v>
      </c>
      <c r="N1505" s="46">
        <v>1823567</v>
      </c>
      <c r="O1505" s="48">
        <f t="shared" si="423"/>
        <v>0</v>
      </c>
      <c r="P1505" s="46">
        <v>0</v>
      </c>
      <c r="Q1505" s="46">
        <v>0</v>
      </c>
      <c r="R1505" s="49">
        <f t="shared" si="424"/>
        <v>0</v>
      </c>
      <c r="S1505" s="50">
        <f t="shared" si="425"/>
        <v>0</v>
      </c>
      <c r="T1505" s="49">
        <f t="shared" si="426"/>
        <v>0</v>
      </c>
      <c r="U1505" s="51">
        <f t="shared" si="427"/>
        <v>1842610</v>
      </c>
      <c r="V1505" s="52">
        <f>IF(0&lt;0.8,0,IF(0&lt;1,Sheet3!L561,1))*IF(G1505&lt;3,0.12 - O1505,0.01) *U1505</f>
        <v>0</v>
      </c>
      <c r="W1505" s="52">
        <f t="shared" si="428"/>
        <v>0</v>
      </c>
      <c r="X1505" s="53">
        <f t="shared" si="429"/>
        <v>0</v>
      </c>
      <c r="Y1505" s="53">
        <f t="shared" si="430"/>
        <v>0</v>
      </c>
      <c r="Z1505" s="54">
        <f t="shared" si="434"/>
        <v>0</v>
      </c>
      <c r="AA1505" s="54">
        <f t="shared" si="431"/>
        <v>0</v>
      </c>
      <c r="AB1505" s="55">
        <f t="shared" si="436"/>
        <v>0</v>
      </c>
      <c r="AC1505" s="55">
        <f t="shared" si="432"/>
        <v>0</v>
      </c>
      <c r="AD1505" s="56">
        <f t="shared" si="433"/>
        <v>0</v>
      </c>
    </row>
    <row r="1506" spans="3:30">
      <c r="C1506" s="43" t="s">
        <v>2762</v>
      </c>
      <c r="D1506" s="44" t="s">
        <v>2763</v>
      </c>
      <c r="E1506" s="44"/>
      <c r="F1506" s="45">
        <v>43316.099918981483</v>
      </c>
      <c r="G1506" s="46">
        <v>1</v>
      </c>
      <c r="H1506" s="47">
        <v>43376</v>
      </c>
      <c r="I1506" s="47">
        <v>43391</v>
      </c>
      <c r="J1506" s="46">
        <v>465850</v>
      </c>
      <c r="K1506" s="46">
        <v>0</v>
      </c>
      <c r="L1506" s="46">
        <v>0</v>
      </c>
      <c r="M1506" s="46">
        <f t="shared" si="422"/>
        <v>465850</v>
      </c>
      <c r="N1506" s="46">
        <v>418710</v>
      </c>
      <c r="O1506" s="48">
        <f t="shared" si="423"/>
        <v>0</v>
      </c>
      <c r="P1506" s="46">
        <v>0</v>
      </c>
      <c r="Q1506" s="46">
        <v>0</v>
      </c>
      <c r="R1506" s="49">
        <f t="shared" si="424"/>
        <v>0</v>
      </c>
      <c r="S1506" s="50">
        <f t="shared" si="425"/>
        <v>0</v>
      </c>
      <c r="T1506" s="49">
        <f t="shared" si="426"/>
        <v>0</v>
      </c>
      <c r="U1506" s="51">
        <f t="shared" si="427"/>
        <v>465850</v>
      </c>
      <c r="V1506" s="52">
        <f>IF(0&lt;0.8,0,IF(0&lt;1,Sheet3!L561,1))*IF(G1506&lt;3,0.12 - O1506,0.01) *U1506</f>
        <v>0</v>
      </c>
      <c r="W1506" s="52">
        <f t="shared" si="428"/>
        <v>0</v>
      </c>
      <c r="X1506" s="53">
        <f t="shared" si="429"/>
        <v>0</v>
      </c>
      <c r="Y1506" s="53">
        <f t="shared" si="430"/>
        <v>0</v>
      </c>
      <c r="Z1506" s="54">
        <f t="shared" si="434"/>
        <v>0</v>
      </c>
      <c r="AA1506" s="54">
        <f t="shared" si="431"/>
        <v>0</v>
      </c>
      <c r="AB1506" s="55">
        <f t="shared" si="436"/>
        <v>0</v>
      </c>
      <c r="AC1506" s="55">
        <f t="shared" si="432"/>
        <v>0</v>
      </c>
      <c r="AD1506" s="56">
        <f t="shared" si="433"/>
        <v>0</v>
      </c>
    </row>
    <row r="1507" spans="3:30">
      <c r="C1507" s="43" t="s">
        <v>2764</v>
      </c>
      <c r="D1507" s="44" t="s">
        <v>2765</v>
      </c>
      <c r="E1507" s="44"/>
      <c r="F1507" s="45">
        <v>43316.106932870367</v>
      </c>
      <c r="G1507" s="46">
        <v>1</v>
      </c>
      <c r="H1507" s="47">
        <v>43388</v>
      </c>
      <c r="I1507" s="47">
        <v>43390</v>
      </c>
      <c r="J1507" s="46">
        <v>1287440</v>
      </c>
      <c r="K1507" s="46">
        <v>0</v>
      </c>
      <c r="L1507" s="46">
        <v>0</v>
      </c>
      <c r="M1507" s="46">
        <f t="shared" si="422"/>
        <v>1287440</v>
      </c>
      <c r="N1507" s="46">
        <v>1287440</v>
      </c>
      <c r="O1507" s="48">
        <f t="shared" si="423"/>
        <v>0</v>
      </c>
      <c r="P1507" s="46">
        <v>0</v>
      </c>
      <c r="Q1507" s="46">
        <v>0</v>
      </c>
      <c r="R1507" s="49">
        <f t="shared" si="424"/>
        <v>0</v>
      </c>
      <c r="S1507" s="50">
        <f t="shared" si="425"/>
        <v>0</v>
      </c>
      <c r="T1507" s="49">
        <f t="shared" si="426"/>
        <v>0</v>
      </c>
      <c r="U1507" s="51">
        <f t="shared" si="427"/>
        <v>1287440</v>
      </c>
      <c r="V1507" s="52">
        <f>IF(0&lt;0.8,0,IF(0&lt;1,Sheet3!L561,1))*IF(G1507&lt;3,0.12 - O1507,0.01) *U1507</f>
        <v>0</v>
      </c>
      <c r="W1507" s="52">
        <f t="shared" si="428"/>
        <v>0</v>
      </c>
      <c r="X1507" s="53">
        <f t="shared" si="429"/>
        <v>0</v>
      </c>
      <c r="Y1507" s="53">
        <f t="shared" si="430"/>
        <v>0</v>
      </c>
      <c r="Z1507" s="54">
        <f t="shared" si="434"/>
        <v>0</v>
      </c>
      <c r="AA1507" s="54">
        <f t="shared" si="431"/>
        <v>0</v>
      </c>
      <c r="AB1507" s="55">
        <f t="shared" si="436"/>
        <v>0</v>
      </c>
      <c r="AC1507" s="55">
        <f t="shared" si="432"/>
        <v>0</v>
      </c>
      <c r="AD1507" s="56">
        <f t="shared" si="433"/>
        <v>0</v>
      </c>
    </row>
    <row r="1508" spans="3:30">
      <c r="C1508" s="43" t="s">
        <v>2766</v>
      </c>
      <c r="D1508" s="44" t="s">
        <v>2767</v>
      </c>
      <c r="E1508" s="44"/>
      <c r="F1508" s="45">
        <v>43319.265740740739</v>
      </c>
      <c r="G1508" s="46">
        <v>1</v>
      </c>
      <c r="H1508" s="47">
        <v>43420</v>
      </c>
      <c r="I1508" s="47">
        <v>43454</v>
      </c>
      <c r="J1508" s="46">
        <v>469601</v>
      </c>
      <c r="K1508" s="46">
        <v>0</v>
      </c>
      <c r="L1508" s="46">
        <v>0</v>
      </c>
      <c r="M1508" s="46">
        <f t="shared" si="422"/>
        <v>469601</v>
      </c>
      <c r="N1508" s="46">
        <v>469601</v>
      </c>
      <c r="O1508" s="48">
        <f t="shared" si="423"/>
        <v>0</v>
      </c>
      <c r="P1508" s="46">
        <v>0</v>
      </c>
      <c r="Q1508" s="46">
        <v>0</v>
      </c>
      <c r="R1508" s="49">
        <f t="shared" si="424"/>
        <v>0</v>
      </c>
      <c r="S1508" s="50">
        <f t="shared" si="425"/>
        <v>0</v>
      </c>
      <c r="T1508" s="49">
        <f t="shared" si="426"/>
        <v>0</v>
      </c>
      <c r="U1508" s="51">
        <f t="shared" si="427"/>
        <v>469601</v>
      </c>
      <c r="V1508" s="52">
        <f>IF(0&lt;0.8,0,IF(0&lt;1,Sheet3!L561,1))*IF(G1508&lt;3,0.12 - O1508,0.01) *U1508</f>
        <v>0</v>
      </c>
      <c r="W1508" s="52">
        <f t="shared" si="428"/>
        <v>0</v>
      </c>
      <c r="X1508" s="53">
        <f t="shared" si="429"/>
        <v>0</v>
      </c>
      <c r="Y1508" s="53">
        <f t="shared" si="430"/>
        <v>0</v>
      </c>
      <c r="Z1508" s="54">
        <f t="shared" si="434"/>
        <v>0</v>
      </c>
      <c r="AA1508" s="54">
        <f t="shared" si="431"/>
        <v>0</v>
      </c>
      <c r="AB1508" s="55">
        <f t="shared" si="436"/>
        <v>0</v>
      </c>
      <c r="AC1508" s="55">
        <f t="shared" si="432"/>
        <v>0</v>
      </c>
      <c r="AD1508" s="56">
        <f t="shared" si="433"/>
        <v>0</v>
      </c>
    </row>
    <row r="1509" spans="3:30">
      <c r="C1509" s="43" t="s">
        <v>2768</v>
      </c>
      <c r="D1509" s="44" t="s">
        <v>2769</v>
      </c>
      <c r="E1509" s="44"/>
      <c r="F1509" s="45">
        <v>43322.154710648145</v>
      </c>
      <c r="G1509" s="46">
        <v>1</v>
      </c>
      <c r="H1509" s="47">
        <v>43372</v>
      </c>
      <c r="I1509" s="47">
        <v>43385</v>
      </c>
      <c r="J1509" s="46">
        <v>3206000</v>
      </c>
      <c r="K1509" s="46">
        <v>0</v>
      </c>
      <c r="L1509" s="46">
        <v>0</v>
      </c>
      <c r="M1509" s="46">
        <f t="shared" si="422"/>
        <v>3206000</v>
      </c>
      <c r="N1509" s="46">
        <v>3206000</v>
      </c>
      <c r="O1509" s="48">
        <f t="shared" si="423"/>
        <v>0</v>
      </c>
      <c r="P1509" s="46">
        <v>0</v>
      </c>
      <c r="Q1509" s="46">
        <v>0</v>
      </c>
      <c r="R1509" s="49">
        <f t="shared" si="424"/>
        <v>0</v>
      </c>
      <c r="S1509" s="50">
        <f t="shared" si="425"/>
        <v>0</v>
      </c>
      <c r="T1509" s="49">
        <f t="shared" si="426"/>
        <v>0</v>
      </c>
      <c r="U1509" s="51">
        <f t="shared" si="427"/>
        <v>3206000</v>
      </c>
      <c r="V1509" s="52">
        <f>IF(0&lt;0.8,0,IF(0&lt;1,Sheet3!L561,1))*IF(G1509&lt;3,0.12 - O1509,0.01) *U1509</f>
        <v>0</v>
      </c>
      <c r="W1509" s="52">
        <f t="shared" si="428"/>
        <v>0</v>
      </c>
      <c r="X1509" s="53">
        <f t="shared" si="429"/>
        <v>0</v>
      </c>
      <c r="Y1509" s="53">
        <f t="shared" si="430"/>
        <v>0</v>
      </c>
      <c r="Z1509" s="54">
        <f t="shared" si="434"/>
        <v>0</v>
      </c>
      <c r="AA1509" s="54">
        <f t="shared" si="431"/>
        <v>0</v>
      </c>
      <c r="AB1509" s="55">
        <f t="shared" si="436"/>
        <v>0</v>
      </c>
      <c r="AC1509" s="55">
        <f t="shared" si="432"/>
        <v>0</v>
      </c>
      <c r="AD1509" s="56">
        <f t="shared" si="433"/>
        <v>0</v>
      </c>
    </row>
    <row r="1510" spans="3:30">
      <c r="C1510" s="43" t="s">
        <v>2770</v>
      </c>
      <c r="D1510" s="44" t="s">
        <v>2771</v>
      </c>
      <c r="E1510" s="44"/>
      <c r="F1510" s="45">
        <v>43322.157835648148</v>
      </c>
      <c r="G1510" s="46">
        <v>1</v>
      </c>
      <c r="H1510" s="47" t="s">
        <v>24</v>
      </c>
      <c r="I1510" s="47" t="s">
        <v>24</v>
      </c>
      <c r="J1510" s="46">
        <v>1527918</v>
      </c>
      <c r="K1510" s="46">
        <v>0</v>
      </c>
      <c r="L1510" s="46">
        <v>0</v>
      </c>
      <c r="M1510" s="46">
        <f t="shared" si="422"/>
        <v>1527918</v>
      </c>
      <c r="N1510" s="46" t="s">
        <v>24</v>
      </c>
      <c r="O1510" s="48">
        <f t="shared" si="423"/>
        <v>0</v>
      </c>
      <c r="P1510" s="46">
        <v>0</v>
      </c>
      <c r="Q1510" s="46">
        <v>0</v>
      </c>
      <c r="R1510" s="49">
        <f t="shared" si="424"/>
        <v>0</v>
      </c>
      <c r="S1510" s="50">
        <f t="shared" si="425"/>
        <v>0</v>
      </c>
      <c r="T1510" s="49">
        <f t="shared" si="426"/>
        <v>0</v>
      </c>
      <c r="U1510" s="51">
        <f t="shared" si="427"/>
        <v>1527918</v>
      </c>
      <c r="V1510" s="52">
        <f>IF(0&lt;0.8,0,IF(0&lt;1,Sheet3!L561,1))*IF(G1510&lt;3,0.12 - O1510,0.01) *U1510</f>
        <v>0</v>
      </c>
      <c r="W1510" s="52">
        <f t="shared" si="428"/>
        <v>0</v>
      </c>
      <c r="X1510" s="53">
        <f t="shared" si="429"/>
        <v>0</v>
      </c>
      <c r="Y1510" s="53">
        <f t="shared" si="430"/>
        <v>0</v>
      </c>
      <c r="Z1510" s="54" t="str">
        <f>IF(R1510=1,0,"")</f>
        <v/>
      </c>
      <c r="AA1510" s="54">
        <f t="shared" si="431"/>
        <v>0</v>
      </c>
      <c r="AB1510" s="55" t="str">
        <f>IF(R1510=0,"",0)</f>
        <v/>
      </c>
      <c r="AC1510" s="55">
        <f t="shared" si="432"/>
        <v>0</v>
      </c>
      <c r="AD1510" s="56">
        <f t="shared" si="433"/>
        <v>0</v>
      </c>
    </row>
    <row r="1511" spans="3:30">
      <c r="C1511" s="43" t="s">
        <v>2772</v>
      </c>
      <c r="D1511" s="44" t="s">
        <v>2773</v>
      </c>
      <c r="E1511" s="44"/>
      <c r="F1511" s="45">
        <v>43322.155740740738</v>
      </c>
      <c r="G1511" s="46">
        <v>1</v>
      </c>
      <c r="H1511" s="47">
        <v>43372</v>
      </c>
      <c r="I1511" s="47">
        <v>43385</v>
      </c>
      <c r="J1511" s="46">
        <v>3010000</v>
      </c>
      <c r="K1511" s="46">
        <v>0</v>
      </c>
      <c r="L1511" s="46">
        <v>0</v>
      </c>
      <c r="M1511" s="46">
        <f t="shared" si="422"/>
        <v>3010000</v>
      </c>
      <c r="N1511" s="46">
        <v>4954950</v>
      </c>
      <c r="O1511" s="48">
        <f t="shared" si="423"/>
        <v>0.39252666525393798</v>
      </c>
      <c r="P1511" s="46">
        <v>0</v>
      </c>
      <c r="Q1511" s="46">
        <v>0</v>
      </c>
      <c r="R1511" s="49">
        <f t="shared" si="424"/>
        <v>0</v>
      </c>
      <c r="S1511" s="50">
        <f t="shared" si="425"/>
        <v>0</v>
      </c>
      <c r="T1511" s="49">
        <f t="shared" si="426"/>
        <v>0</v>
      </c>
      <c r="U1511" s="51">
        <f t="shared" si="427"/>
        <v>0</v>
      </c>
      <c r="V1511" s="52">
        <f>IF(0&lt;0.8,0,IF(0&lt;1,Sheet3!L561,1))*IF(G1511&lt;3,0.12 - O1511,0.01) *U1511</f>
        <v>0</v>
      </c>
      <c r="W1511" s="52">
        <f t="shared" si="428"/>
        <v>0</v>
      </c>
      <c r="X1511" s="53">
        <f t="shared" si="429"/>
        <v>0</v>
      </c>
      <c r="Y1511" s="53">
        <f t="shared" si="430"/>
        <v>0</v>
      </c>
      <c r="Z1511" s="54">
        <f t="shared" ref="Z1511:Z1516" si="437">IF(R1511=1,0,0)</f>
        <v>0</v>
      </c>
      <c r="AA1511" s="54">
        <f t="shared" si="431"/>
        <v>0</v>
      </c>
      <c r="AB1511" s="55">
        <f t="shared" ref="AB1511:AB1516" si="438">IF(R1511=0,0,0)</f>
        <v>0</v>
      </c>
      <c r="AC1511" s="55">
        <f t="shared" si="432"/>
        <v>0</v>
      </c>
      <c r="AD1511" s="56">
        <f t="shared" si="433"/>
        <v>0</v>
      </c>
    </row>
    <row r="1512" spans="3:30">
      <c r="C1512" s="43" t="s">
        <v>2774</v>
      </c>
      <c r="D1512" s="44" t="s">
        <v>2775</v>
      </c>
      <c r="E1512" s="44"/>
      <c r="F1512" s="45">
        <v>43325.339548611111</v>
      </c>
      <c r="G1512" s="46">
        <v>1</v>
      </c>
      <c r="H1512" s="47">
        <v>43372</v>
      </c>
      <c r="I1512" s="47">
        <v>43398</v>
      </c>
      <c r="J1512" s="46">
        <v>42473111</v>
      </c>
      <c r="K1512" s="46">
        <v>0</v>
      </c>
      <c r="L1512" s="46">
        <v>0</v>
      </c>
      <c r="M1512" s="46">
        <f t="shared" si="422"/>
        <v>42473111</v>
      </c>
      <c r="N1512" s="46">
        <v>46399374</v>
      </c>
      <c r="O1512" s="48">
        <f t="shared" si="423"/>
        <v>8.4618878694354804E-2</v>
      </c>
      <c r="P1512" s="46">
        <v>0</v>
      </c>
      <c r="Q1512" s="46">
        <v>0</v>
      </c>
      <c r="R1512" s="49">
        <f t="shared" si="424"/>
        <v>0</v>
      </c>
      <c r="S1512" s="50">
        <f t="shared" si="425"/>
        <v>0</v>
      </c>
      <c r="T1512" s="49">
        <f t="shared" si="426"/>
        <v>0</v>
      </c>
      <c r="U1512" s="51">
        <f t="shared" si="427"/>
        <v>42473111</v>
      </c>
      <c r="V1512" s="52">
        <f>IF(0&lt;0.8,0,IF(0&lt;1,Sheet3!L561,1))*IF(G1512&lt;3,0.12 - O1512,0.01) *U1512</f>
        <v>0</v>
      </c>
      <c r="W1512" s="52">
        <f t="shared" si="428"/>
        <v>0</v>
      </c>
      <c r="X1512" s="53">
        <f t="shared" si="429"/>
        <v>0</v>
      </c>
      <c r="Y1512" s="53">
        <f t="shared" si="430"/>
        <v>0</v>
      </c>
      <c r="Z1512" s="54">
        <f t="shared" si="437"/>
        <v>0</v>
      </c>
      <c r="AA1512" s="54">
        <f t="shared" si="431"/>
        <v>0</v>
      </c>
      <c r="AB1512" s="55">
        <f t="shared" si="438"/>
        <v>0</v>
      </c>
      <c r="AC1512" s="55">
        <f t="shared" si="432"/>
        <v>0</v>
      </c>
      <c r="AD1512" s="56">
        <f t="shared" si="433"/>
        <v>0</v>
      </c>
    </row>
    <row r="1513" spans="3:30">
      <c r="C1513" s="43" t="s">
        <v>2776</v>
      </c>
      <c r="D1513" s="44" t="s">
        <v>1131</v>
      </c>
      <c r="E1513" s="44"/>
      <c r="F1513" s="45">
        <v>43328.29515046296</v>
      </c>
      <c r="G1513" s="46">
        <v>1</v>
      </c>
      <c r="H1513" s="47">
        <v>43398</v>
      </c>
      <c r="I1513" s="47">
        <v>43413</v>
      </c>
      <c r="J1513" s="46">
        <v>7135657</v>
      </c>
      <c r="K1513" s="46">
        <v>0</v>
      </c>
      <c r="L1513" s="46">
        <v>0</v>
      </c>
      <c r="M1513" s="46">
        <f t="shared" si="422"/>
        <v>7135657</v>
      </c>
      <c r="N1513" s="46">
        <v>9676152</v>
      </c>
      <c r="O1513" s="48">
        <f t="shared" si="423"/>
        <v>0.26255220050284456</v>
      </c>
      <c r="P1513" s="46">
        <v>0</v>
      </c>
      <c r="Q1513" s="46">
        <v>0</v>
      </c>
      <c r="R1513" s="49">
        <f t="shared" si="424"/>
        <v>0</v>
      </c>
      <c r="S1513" s="50">
        <f t="shared" si="425"/>
        <v>0</v>
      </c>
      <c r="T1513" s="49">
        <f t="shared" si="426"/>
        <v>0</v>
      </c>
      <c r="U1513" s="51">
        <f t="shared" si="427"/>
        <v>0</v>
      </c>
      <c r="V1513" s="52">
        <f>IF(0&lt;0.8,0,IF(0&lt;1,Sheet3!L561,1))*IF(G1513&lt;3,0.12 - O1513,0.01) *U1513</f>
        <v>0</v>
      </c>
      <c r="W1513" s="52">
        <f t="shared" si="428"/>
        <v>0</v>
      </c>
      <c r="X1513" s="53">
        <f t="shared" si="429"/>
        <v>0</v>
      </c>
      <c r="Y1513" s="53">
        <f t="shared" si="430"/>
        <v>0</v>
      </c>
      <c r="Z1513" s="54">
        <f t="shared" si="437"/>
        <v>0</v>
      </c>
      <c r="AA1513" s="54">
        <f t="shared" si="431"/>
        <v>0</v>
      </c>
      <c r="AB1513" s="55">
        <f t="shared" si="438"/>
        <v>0</v>
      </c>
      <c r="AC1513" s="55">
        <f t="shared" si="432"/>
        <v>0</v>
      </c>
      <c r="AD1513" s="56">
        <f t="shared" si="433"/>
        <v>0</v>
      </c>
    </row>
    <row r="1514" spans="3:30">
      <c r="C1514" s="43" t="s">
        <v>2777</v>
      </c>
      <c r="D1514" s="44" t="s">
        <v>2778</v>
      </c>
      <c r="E1514" s="44"/>
      <c r="F1514" s="45">
        <v>43328.346122685187</v>
      </c>
      <c r="G1514" s="46">
        <v>1</v>
      </c>
      <c r="H1514" s="47">
        <v>43379</v>
      </c>
      <c r="I1514" s="47">
        <v>43438</v>
      </c>
      <c r="J1514" s="46">
        <v>816076</v>
      </c>
      <c r="K1514" s="46">
        <v>0</v>
      </c>
      <c r="L1514" s="46">
        <v>0</v>
      </c>
      <c r="M1514" s="46">
        <f t="shared" si="422"/>
        <v>816076</v>
      </c>
      <c r="N1514" s="46">
        <v>816076</v>
      </c>
      <c r="O1514" s="48">
        <f t="shared" si="423"/>
        <v>0</v>
      </c>
      <c r="P1514" s="46">
        <v>0</v>
      </c>
      <c r="Q1514" s="46">
        <v>0</v>
      </c>
      <c r="R1514" s="49">
        <f t="shared" si="424"/>
        <v>0</v>
      </c>
      <c r="S1514" s="50">
        <f t="shared" si="425"/>
        <v>0</v>
      </c>
      <c r="T1514" s="49">
        <f t="shared" si="426"/>
        <v>0</v>
      </c>
      <c r="U1514" s="51">
        <f t="shared" si="427"/>
        <v>816076</v>
      </c>
      <c r="V1514" s="52">
        <f>IF(0&lt;0.8,0,IF(0&lt;1,Sheet3!L561,1))*IF(G1514&lt;3,0.12 - O1514,0.01) *U1514</f>
        <v>0</v>
      </c>
      <c r="W1514" s="52">
        <f t="shared" si="428"/>
        <v>0</v>
      </c>
      <c r="X1514" s="53">
        <f t="shared" si="429"/>
        <v>0</v>
      </c>
      <c r="Y1514" s="53">
        <f t="shared" si="430"/>
        <v>0</v>
      </c>
      <c r="Z1514" s="54">
        <f t="shared" si="437"/>
        <v>0</v>
      </c>
      <c r="AA1514" s="54">
        <f t="shared" si="431"/>
        <v>0</v>
      </c>
      <c r="AB1514" s="55">
        <f t="shared" si="438"/>
        <v>0</v>
      </c>
      <c r="AC1514" s="55">
        <f t="shared" si="432"/>
        <v>0</v>
      </c>
      <c r="AD1514" s="56">
        <f t="shared" si="433"/>
        <v>0</v>
      </c>
    </row>
    <row r="1515" spans="3:30">
      <c r="C1515" s="43" t="s">
        <v>2779</v>
      </c>
      <c r="D1515" s="44" t="s">
        <v>2780</v>
      </c>
      <c r="E1515" s="44"/>
      <c r="F1515" s="45">
        <v>43328.34778935185</v>
      </c>
      <c r="G1515" s="46">
        <v>1</v>
      </c>
      <c r="H1515" s="47">
        <v>43388</v>
      </c>
      <c r="I1515" s="47">
        <v>43397</v>
      </c>
      <c r="J1515" s="46">
        <v>15806</v>
      </c>
      <c r="K1515" s="46">
        <v>0</v>
      </c>
      <c r="L1515" s="46">
        <v>0</v>
      </c>
      <c r="M1515" s="46">
        <f t="shared" si="422"/>
        <v>15806</v>
      </c>
      <c r="N1515" s="46">
        <v>15806</v>
      </c>
      <c r="O1515" s="48">
        <f t="shared" si="423"/>
        <v>0</v>
      </c>
      <c r="P1515" s="46">
        <v>0</v>
      </c>
      <c r="Q1515" s="46">
        <v>0</v>
      </c>
      <c r="R1515" s="49">
        <f t="shared" si="424"/>
        <v>0</v>
      </c>
      <c r="S1515" s="50">
        <f t="shared" si="425"/>
        <v>0</v>
      </c>
      <c r="T1515" s="49">
        <f t="shared" si="426"/>
        <v>0</v>
      </c>
      <c r="U1515" s="51">
        <f t="shared" si="427"/>
        <v>15806</v>
      </c>
      <c r="V1515" s="52">
        <f>IF(0&lt;0.8,0,IF(0&lt;1,Sheet3!L561,1))*IF(G1515&lt;3,0.12 - O1515,0.01) *U1515</f>
        <v>0</v>
      </c>
      <c r="W1515" s="52">
        <f t="shared" si="428"/>
        <v>0</v>
      </c>
      <c r="X1515" s="53">
        <f t="shared" si="429"/>
        <v>0</v>
      </c>
      <c r="Y1515" s="53">
        <f t="shared" si="430"/>
        <v>0</v>
      </c>
      <c r="Z1515" s="54">
        <f t="shared" si="437"/>
        <v>0</v>
      </c>
      <c r="AA1515" s="54">
        <f t="shared" si="431"/>
        <v>0</v>
      </c>
      <c r="AB1515" s="55">
        <f t="shared" si="438"/>
        <v>0</v>
      </c>
      <c r="AC1515" s="55">
        <f t="shared" si="432"/>
        <v>0</v>
      </c>
      <c r="AD1515" s="56">
        <f t="shared" si="433"/>
        <v>0</v>
      </c>
    </row>
    <row r="1516" spans="3:30">
      <c r="C1516" s="43" t="s">
        <v>2781</v>
      </c>
      <c r="D1516" s="44" t="s">
        <v>2782</v>
      </c>
      <c r="E1516" s="44"/>
      <c r="F1516" s="45">
        <v>43329.147581018515</v>
      </c>
      <c r="G1516" s="46">
        <v>1</v>
      </c>
      <c r="H1516" s="47">
        <v>43379</v>
      </c>
      <c r="I1516" s="47">
        <v>43390</v>
      </c>
      <c r="J1516" s="46">
        <v>319550</v>
      </c>
      <c r="K1516" s="46">
        <v>0</v>
      </c>
      <c r="L1516" s="46">
        <v>0</v>
      </c>
      <c r="M1516" s="46">
        <f t="shared" si="422"/>
        <v>319550</v>
      </c>
      <c r="N1516" s="46">
        <v>381499</v>
      </c>
      <c r="O1516" s="48">
        <f t="shared" si="423"/>
        <v>0.16238312551277989</v>
      </c>
      <c r="P1516" s="46">
        <v>0</v>
      </c>
      <c r="Q1516" s="46">
        <v>0</v>
      </c>
      <c r="R1516" s="49">
        <f t="shared" si="424"/>
        <v>0</v>
      </c>
      <c r="S1516" s="50">
        <f t="shared" si="425"/>
        <v>0</v>
      </c>
      <c r="T1516" s="49">
        <f t="shared" si="426"/>
        <v>0</v>
      </c>
      <c r="U1516" s="51">
        <f t="shared" si="427"/>
        <v>0</v>
      </c>
      <c r="V1516" s="52">
        <f>IF(0&lt;0.8,0,IF(0&lt;1,Sheet3!L561,1))*IF(G1516&lt;3,0.12 - O1516,0.01) *U1516</f>
        <v>0</v>
      </c>
      <c r="W1516" s="52">
        <f t="shared" si="428"/>
        <v>0</v>
      </c>
      <c r="X1516" s="53">
        <f t="shared" si="429"/>
        <v>0</v>
      </c>
      <c r="Y1516" s="53">
        <f t="shared" si="430"/>
        <v>0</v>
      </c>
      <c r="Z1516" s="54">
        <f t="shared" si="437"/>
        <v>0</v>
      </c>
      <c r="AA1516" s="54">
        <f t="shared" si="431"/>
        <v>0</v>
      </c>
      <c r="AB1516" s="55">
        <f t="shared" si="438"/>
        <v>0</v>
      </c>
      <c r="AC1516" s="55">
        <f t="shared" si="432"/>
        <v>0</v>
      </c>
      <c r="AD1516" s="56">
        <f t="shared" si="433"/>
        <v>0</v>
      </c>
    </row>
    <row r="1517" spans="3:30">
      <c r="C1517" s="43" t="s">
        <v>2783</v>
      </c>
      <c r="D1517" s="44" t="s">
        <v>2784</v>
      </c>
      <c r="E1517" s="44"/>
      <c r="F1517" s="45">
        <v>43329.146493055552</v>
      </c>
      <c r="G1517" s="46">
        <v>1</v>
      </c>
      <c r="H1517" s="47" t="s">
        <v>24</v>
      </c>
      <c r="I1517" s="47" t="s">
        <v>24</v>
      </c>
      <c r="J1517" s="46">
        <v>427275</v>
      </c>
      <c r="K1517" s="46">
        <v>0</v>
      </c>
      <c r="L1517" s="46">
        <v>0</v>
      </c>
      <c r="M1517" s="46">
        <f t="shared" si="422"/>
        <v>427275</v>
      </c>
      <c r="N1517" s="46" t="s">
        <v>24</v>
      </c>
      <c r="O1517" s="48">
        <f t="shared" si="423"/>
        <v>0</v>
      </c>
      <c r="P1517" s="46">
        <v>0</v>
      </c>
      <c r="Q1517" s="46">
        <v>0</v>
      </c>
      <c r="R1517" s="49">
        <f t="shared" si="424"/>
        <v>0</v>
      </c>
      <c r="S1517" s="50">
        <f t="shared" si="425"/>
        <v>0</v>
      </c>
      <c r="T1517" s="49">
        <f t="shared" si="426"/>
        <v>0</v>
      </c>
      <c r="U1517" s="51">
        <f t="shared" si="427"/>
        <v>427275</v>
      </c>
      <c r="V1517" s="52">
        <f>IF(0&lt;0.8,0,IF(0&lt;1,Sheet3!L561,1))*IF(G1517&lt;3,0.12 - O1517,0.01) *U1517</f>
        <v>0</v>
      </c>
      <c r="W1517" s="52">
        <f t="shared" si="428"/>
        <v>0</v>
      </c>
      <c r="X1517" s="53">
        <f t="shared" si="429"/>
        <v>0</v>
      </c>
      <c r="Y1517" s="53">
        <f t="shared" si="430"/>
        <v>0</v>
      </c>
      <c r="Z1517" s="54" t="str">
        <f>IF(R1517=1,0,"")</f>
        <v/>
      </c>
      <c r="AA1517" s="54">
        <f t="shared" si="431"/>
        <v>0</v>
      </c>
      <c r="AB1517" s="55" t="str">
        <f>IF(R1517=0,"",0)</f>
        <v/>
      </c>
      <c r="AC1517" s="55">
        <f t="shared" si="432"/>
        <v>0</v>
      </c>
      <c r="AD1517" s="56">
        <f t="shared" si="433"/>
        <v>0</v>
      </c>
    </row>
    <row r="1518" spans="3:30">
      <c r="C1518" s="43" t="s">
        <v>2785</v>
      </c>
      <c r="D1518" s="44" t="s">
        <v>2786</v>
      </c>
      <c r="E1518" s="44"/>
      <c r="F1518" s="45">
        <v>43333.113993055551</v>
      </c>
      <c r="G1518" s="46">
        <v>1</v>
      </c>
      <c r="H1518" s="47">
        <v>43382</v>
      </c>
      <c r="I1518" s="47">
        <v>43437</v>
      </c>
      <c r="J1518" s="46">
        <v>140360</v>
      </c>
      <c r="K1518" s="46">
        <v>0</v>
      </c>
      <c r="L1518" s="46">
        <v>0</v>
      </c>
      <c r="M1518" s="46">
        <f t="shared" si="422"/>
        <v>140360</v>
      </c>
      <c r="N1518" s="46">
        <v>140360</v>
      </c>
      <c r="O1518" s="48">
        <f t="shared" si="423"/>
        <v>0</v>
      </c>
      <c r="P1518" s="46">
        <v>0</v>
      </c>
      <c r="Q1518" s="46">
        <v>0</v>
      </c>
      <c r="R1518" s="49">
        <f t="shared" si="424"/>
        <v>0</v>
      </c>
      <c r="S1518" s="50">
        <f t="shared" si="425"/>
        <v>0</v>
      </c>
      <c r="T1518" s="49">
        <f t="shared" si="426"/>
        <v>0</v>
      </c>
      <c r="U1518" s="51">
        <f t="shared" si="427"/>
        <v>140360</v>
      </c>
      <c r="V1518" s="52">
        <f>IF(0&lt;0.8,0,IF(0&lt;1,Sheet3!L561,1))*IF(G1518&lt;3,0.12 - O1518,0.01) *U1518</f>
        <v>0</v>
      </c>
      <c r="W1518" s="52">
        <f t="shared" si="428"/>
        <v>0</v>
      </c>
      <c r="X1518" s="53">
        <f t="shared" si="429"/>
        <v>0</v>
      </c>
      <c r="Y1518" s="53">
        <f t="shared" si="430"/>
        <v>0</v>
      </c>
      <c r="Z1518" s="54">
        <f t="shared" ref="Z1518:Z1530" si="439">IF(R1518=1,0,0)</f>
        <v>0</v>
      </c>
      <c r="AA1518" s="54">
        <f t="shared" si="431"/>
        <v>0</v>
      </c>
      <c r="AB1518" s="55">
        <f t="shared" ref="AB1518:AB1530" si="440">IF(R1518=0,0,0)</f>
        <v>0</v>
      </c>
      <c r="AC1518" s="55">
        <f t="shared" si="432"/>
        <v>0</v>
      </c>
      <c r="AD1518" s="56">
        <f t="shared" si="433"/>
        <v>0</v>
      </c>
    </row>
    <row r="1519" spans="3:30">
      <c r="C1519" s="43" t="s">
        <v>2787</v>
      </c>
      <c r="D1519" s="44" t="s">
        <v>2788</v>
      </c>
      <c r="E1519" s="44"/>
      <c r="F1519" s="45">
        <v>43339.323229166665</v>
      </c>
      <c r="G1519" s="46">
        <v>1</v>
      </c>
      <c r="H1519" s="47">
        <v>43375</v>
      </c>
      <c r="I1519" s="47">
        <v>43384</v>
      </c>
      <c r="J1519" s="46">
        <v>8458026</v>
      </c>
      <c r="K1519" s="46">
        <v>0</v>
      </c>
      <c r="L1519" s="46">
        <v>0</v>
      </c>
      <c r="M1519" s="46">
        <f t="shared" si="422"/>
        <v>8458026</v>
      </c>
      <c r="N1519" s="46">
        <v>9611393</v>
      </c>
      <c r="O1519" s="48">
        <f t="shared" si="423"/>
        <v>0.11999998335308937</v>
      </c>
      <c r="P1519" s="46">
        <v>0</v>
      </c>
      <c r="Q1519" s="46">
        <v>0</v>
      </c>
      <c r="R1519" s="49">
        <f t="shared" si="424"/>
        <v>0</v>
      </c>
      <c r="S1519" s="50">
        <f t="shared" si="425"/>
        <v>0</v>
      </c>
      <c r="T1519" s="49">
        <f t="shared" si="426"/>
        <v>0</v>
      </c>
      <c r="U1519" s="51">
        <f t="shared" si="427"/>
        <v>8458026</v>
      </c>
      <c r="V1519" s="52">
        <f>IF(0&lt;0.8,0,IF(0&lt;1,Sheet3!L561,1))*IF(G1519&lt;3,0.12 - O1519,0.01) *U1519</f>
        <v>0</v>
      </c>
      <c r="W1519" s="52">
        <f t="shared" si="428"/>
        <v>0</v>
      </c>
      <c r="X1519" s="53">
        <f t="shared" si="429"/>
        <v>0</v>
      </c>
      <c r="Y1519" s="53">
        <f t="shared" si="430"/>
        <v>0</v>
      </c>
      <c r="Z1519" s="54">
        <f t="shared" si="439"/>
        <v>0</v>
      </c>
      <c r="AA1519" s="54">
        <f t="shared" si="431"/>
        <v>0</v>
      </c>
      <c r="AB1519" s="55">
        <f t="shared" si="440"/>
        <v>0</v>
      </c>
      <c r="AC1519" s="55">
        <f t="shared" si="432"/>
        <v>0</v>
      </c>
      <c r="AD1519" s="56">
        <f t="shared" si="433"/>
        <v>0</v>
      </c>
    </row>
    <row r="1520" spans="3:30">
      <c r="C1520" s="43" t="s">
        <v>2789</v>
      </c>
      <c r="D1520" s="44" t="s">
        <v>2790</v>
      </c>
      <c r="E1520" s="44"/>
      <c r="F1520" s="45">
        <v>43339.33966435185</v>
      </c>
      <c r="G1520" s="46">
        <v>1</v>
      </c>
      <c r="H1520" s="47" t="s">
        <v>24</v>
      </c>
      <c r="I1520" s="47" t="s">
        <v>24</v>
      </c>
      <c r="J1520" s="46">
        <v>29563729</v>
      </c>
      <c r="K1520" s="46">
        <v>4192229</v>
      </c>
      <c r="L1520" s="46">
        <v>0</v>
      </c>
      <c r="M1520" s="46">
        <f t="shared" si="422"/>
        <v>25371500</v>
      </c>
      <c r="N1520" s="46">
        <v>37800260</v>
      </c>
      <c r="O1520" s="48">
        <f t="shared" si="423"/>
        <v>0.32880091300959302</v>
      </c>
      <c r="P1520" s="46">
        <v>0</v>
      </c>
      <c r="Q1520" s="46">
        <v>0</v>
      </c>
      <c r="R1520" s="49">
        <f t="shared" si="424"/>
        <v>0</v>
      </c>
      <c r="S1520" s="50">
        <f t="shared" si="425"/>
        <v>0</v>
      </c>
      <c r="T1520" s="49">
        <f t="shared" si="426"/>
        <v>0</v>
      </c>
      <c r="U1520" s="51">
        <f t="shared" si="427"/>
        <v>0</v>
      </c>
      <c r="V1520" s="52">
        <f>IF(0&lt;0.8,0,IF(0&lt;1,Sheet3!L561,1))*IF(G1520&lt;3,0.12 - O1520,0.01) *U1520</f>
        <v>0</v>
      </c>
      <c r="W1520" s="52">
        <f t="shared" si="428"/>
        <v>0</v>
      </c>
      <c r="X1520" s="53">
        <f t="shared" si="429"/>
        <v>0</v>
      </c>
      <c r="Y1520" s="53">
        <f t="shared" si="430"/>
        <v>0</v>
      </c>
      <c r="Z1520" s="54">
        <f t="shared" si="439"/>
        <v>0</v>
      </c>
      <c r="AA1520" s="54">
        <f t="shared" si="431"/>
        <v>0</v>
      </c>
      <c r="AB1520" s="55">
        <f t="shared" si="440"/>
        <v>0</v>
      </c>
      <c r="AC1520" s="55">
        <f t="shared" si="432"/>
        <v>0</v>
      </c>
      <c r="AD1520" s="56">
        <f t="shared" si="433"/>
        <v>0</v>
      </c>
    </row>
    <row r="1521" spans="3:30">
      <c r="C1521" s="43" t="s">
        <v>2791</v>
      </c>
      <c r="D1521" s="44" t="s">
        <v>2792</v>
      </c>
      <c r="E1521" s="44"/>
      <c r="F1521" s="45">
        <v>43339.342592592591</v>
      </c>
      <c r="G1521" s="46">
        <v>1</v>
      </c>
      <c r="H1521" s="47">
        <v>43375</v>
      </c>
      <c r="I1521" s="47">
        <v>43398</v>
      </c>
      <c r="J1521" s="46">
        <v>1234805</v>
      </c>
      <c r="K1521" s="46">
        <v>0</v>
      </c>
      <c r="L1521" s="46">
        <v>0</v>
      </c>
      <c r="M1521" s="46">
        <f t="shared" si="422"/>
        <v>1234805</v>
      </c>
      <c r="N1521" s="46">
        <v>1234805</v>
      </c>
      <c r="O1521" s="48">
        <f t="shared" si="423"/>
        <v>0</v>
      </c>
      <c r="P1521" s="46">
        <v>0</v>
      </c>
      <c r="Q1521" s="46">
        <v>0</v>
      </c>
      <c r="R1521" s="49">
        <f t="shared" si="424"/>
        <v>0</v>
      </c>
      <c r="S1521" s="50">
        <f t="shared" si="425"/>
        <v>0</v>
      </c>
      <c r="T1521" s="49">
        <f t="shared" si="426"/>
        <v>0</v>
      </c>
      <c r="U1521" s="51">
        <f t="shared" si="427"/>
        <v>1234805</v>
      </c>
      <c r="V1521" s="52">
        <f>IF(0&lt;0.8,0,IF(0&lt;1,Sheet3!L561,1))*IF(G1521&lt;3,0.12 - O1521,0.01) *U1521</f>
        <v>0</v>
      </c>
      <c r="W1521" s="52">
        <f t="shared" si="428"/>
        <v>0</v>
      </c>
      <c r="X1521" s="53">
        <f t="shared" si="429"/>
        <v>0</v>
      </c>
      <c r="Y1521" s="53">
        <f t="shared" si="430"/>
        <v>0</v>
      </c>
      <c r="Z1521" s="54">
        <f t="shared" si="439"/>
        <v>0</v>
      </c>
      <c r="AA1521" s="54">
        <f t="shared" si="431"/>
        <v>0</v>
      </c>
      <c r="AB1521" s="55">
        <f t="shared" si="440"/>
        <v>0</v>
      </c>
      <c r="AC1521" s="55">
        <f t="shared" si="432"/>
        <v>0</v>
      </c>
      <c r="AD1521" s="56">
        <f t="shared" si="433"/>
        <v>0</v>
      </c>
    </row>
    <row r="1522" spans="3:30">
      <c r="C1522" s="43" t="s">
        <v>2793</v>
      </c>
      <c r="D1522" s="44" t="s">
        <v>2794</v>
      </c>
      <c r="E1522" s="44"/>
      <c r="F1522" s="45">
        <v>43339.343807870369</v>
      </c>
      <c r="G1522" s="46">
        <v>1</v>
      </c>
      <c r="H1522" s="47">
        <v>43377</v>
      </c>
      <c r="I1522" s="47">
        <v>43381</v>
      </c>
      <c r="J1522" s="46">
        <v>1816721</v>
      </c>
      <c r="K1522" s="46">
        <v>0</v>
      </c>
      <c r="L1522" s="46">
        <v>0</v>
      </c>
      <c r="M1522" s="46">
        <f t="shared" si="422"/>
        <v>1816721</v>
      </c>
      <c r="N1522" s="46">
        <v>1816721</v>
      </c>
      <c r="O1522" s="48">
        <f t="shared" si="423"/>
        <v>0</v>
      </c>
      <c r="P1522" s="46">
        <v>0</v>
      </c>
      <c r="Q1522" s="46">
        <v>0</v>
      </c>
      <c r="R1522" s="49">
        <f t="shared" si="424"/>
        <v>0</v>
      </c>
      <c r="S1522" s="50">
        <f t="shared" si="425"/>
        <v>0</v>
      </c>
      <c r="T1522" s="49">
        <f t="shared" si="426"/>
        <v>0</v>
      </c>
      <c r="U1522" s="51">
        <f t="shared" si="427"/>
        <v>1816721</v>
      </c>
      <c r="V1522" s="52">
        <f>IF(0&lt;0.8,0,IF(0&lt;1,Sheet3!L561,1))*IF(G1522&lt;3,0.12 - O1522,0.01) *U1522</f>
        <v>0</v>
      </c>
      <c r="W1522" s="52">
        <f t="shared" si="428"/>
        <v>0</v>
      </c>
      <c r="X1522" s="53">
        <f t="shared" si="429"/>
        <v>0</v>
      </c>
      <c r="Y1522" s="53">
        <f t="shared" si="430"/>
        <v>0</v>
      </c>
      <c r="Z1522" s="54">
        <f t="shared" si="439"/>
        <v>0</v>
      </c>
      <c r="AA1522" s="54">
        <f t="shared" si="431"/>
        <v>0</v>
      </c>
      <c r="AB1522" s="55">
        <f t="shared" si="440"/>
        <v>0</v>
      </c>
      <c r="AC1522" s="55">
        <f t="shared" si="432"/>
        <v>0</v>
      </c>
      <c r="AD1522" s="56">
        <f t="shared" si="433"/>
        <v>0</v>
      </c>
    </row>
    <row r="1523" spans="3:30">
      <c r="C1523" s="43" t="s">
        <v>2795</v>
      </c>
      <c r="D1523" s="44" t="s">
        <v>2796</v>
      </c>
      <c r="E1523" s="44"/>
      <c r="F1523" s="45">
        <v>43340.34957175926</v>
      </c>
      <c r="G1523" s="46">
        <v>1</v>
      </c>
      <c r="H1523" s="47">
        <v>43398</v>
      </c>
      <c r="I1523" s="47">
        <v>43437</v>
      </c>
      <c r="J1523" s="46">
        <v>4581908</v>
      </c>
      <c r="K1523" s="46">
        <v>0</v>
      </c>
      <c r="L1523" s="46">
        <v>0</v>
      </c>
      <c r="M1523" s="46">
        <f t="shared" ref="M1523:M1586" si="441">IFERROR(J1523-K1523-L1523,0)</f>
        <v>4581908</v>
      </c>
      <c r="N1523" s="46">
        <v>2102137</v>
      </c>
      <c r="O1523" s="48">
        <f t="shared" ref="O1523:O1586" si="442">IFERROR(IF(1 - M1523/N1523&lt;0,0,1-M1523/N1523),0)</f>
        <v>0</v>
      </c>
      <c r="P1523" s="46">
        <v>0</v>
      </c>
      <c r="Q1523" s="46">
        <v>0</v>
      </c>
      <c r="R1523" s="49">
        <f t="shared" ref="R1523:R1586" si="443">IF(F1523&lt;DATEVALUE("2018-07-01"),1,0)</f>
        <v>0</v>
      </c>
      <c r="S1523" s="50">
        <f t="shared" ref="S1523:S1586" si="444">IF(R1523=1,1%,0)</f>
        <v>0</v>
      </c>
      <c r="T1523" s="49">
        <f t="shared" ref="T1523:T1586" si="445">IFERROR(S1523*M1523,0)</f>
        <v>0</v>
      </c>
      <c r="U1523" s="51">
        <f t="shared" ref="U1523:U1586" si="446">IF(O1523&lt;=0.12,1,0)*(1-R1523)*M1523</f>
        <v>4581908</v>
      </c>
      <c r="V1523" s="52">
        <f>IF(0&lt;0.8,0,IF(0&lt;1,Sheet3!L561,1))*IF(G1523&lt;3,0.12 - O1523,0.01) *U1523</f>
        <v>0</v>
      </c>
      <c r="W1523" s="52">
        <f t="shared" ref="W1523:W1586" si="447">IF(0&gt;1,IF(0&lt;=1.1,1,IF(0&lt;=1.2,2,IF(0&lt;=1.5,3,5))),0) * 1000000</f>
        <v>0</v>
      </c>
      <c r="X1523" s="53">
        <f t="shared" ref="X1523:X1586" si="448">IF(AND(P1523&gt;=150000000,P1523&lt;300000000),5000000,IF(AND(P1523&gt;=300000000,P1523&lt;500000000),10000000,IF(AND(P1523&gt;=300000000,P1523&lt;500000000),15000000,IF(AND(P1523&gt;=500000000,P1523&lt;3000000000),20000000,IF(P1523&gt;=30000000000,35000000,0))))) * (1-R1523)</f>
        <v>0</v>
      </c>
      <c r="Y1523" s="53">
        <f t="shared" ref="Y1523:Y1586" si="449">IFERROR(Q1523 * (1-R1523),0)</f>
        <v>0</v>
      </c>
      <c r="Z1523" s="54">
        <f t="shared" si="439"/>
        <v>0</v>
      </c>
      <c r="AA1523" s="54">
        <f t="shared" ref="AA1523:AA1586" si="450">IFERROR((1-R1523) * Z1523 * 2%,0)</f>
        <v>0</v>
      </c>
      <c r="AB1523" s="55">
        <f t="shared" si="440"/>
        <v>0</v>
      </c>
      <c r="AC1523" s="55">
        <f t="shared" ref="AC1523:AC1586" si="451">IFERROR(AB1523 * (1-R1523) * 2%,0)</f>
        <v>0</v>
      </c>
      <c r="AD1523" s="56">
        <f t="shared" ref="AD1523:AD1586" si="452">T1523+V1523+W1523+X1523+AA1523+AC1523</f>
        <v>0</v>
      </c>
    </row>
    <row r="1524" spans="3:30">
      <c r="C1524" s="43" t="s">
        <v>2797</v>
      </c>
      <c r="D1524" s="44" t="s">
        <v>2798</v>
      </c>
      <c r="E1524" s="44"/>
      <c r="F1524" s="45">
        <v>43341.381851851853</v>
      </c>
      <c r="G1524" s="46">
        <v>1</v>
      </c>
      <c r="H1524" s="47">
        <v>43389</v>
      </c>
      <c r="I1524" s="47">
        <v>43391</v>
      </c>
      <c r="J1524" s="46">
        <v>5989461</v>
      </c>
      <c r="K1524" s="46">
        <v>0</v>
      </c>
      <c r="L1524" s="46">
        <v>0</v>
      </c>
      <c r="M1524" s="46">
        <f t="shared" si="441"/>
        <v>5989461</v>
      </c>
      <c r="N1524" s="46">
        <v>5989461</v>
      </c>
      <c r="O1524" s="48">
        <f t="shared" si="442"/>
        <v>0</v>
      </c>
      <c r="P1524" s="46">
        <v>0</v>
      </c>
      <c r="Q1524" s="46">
        <v>0</v>
      </c>
      <c r="R1524" s="49">
        <f t="shared" si="443"/>
        <v>0</v>
      </c>
      <c r="S1524" s="50">
        <f t="shared" si="444"/>
        <v>0</v>
      </c>
      <c r="T1524" s="49">
        <f t="shared" si="445"/>
        <v>0</v>
      </c>
      <c r="U1524" s="51">
        <f t="shared" si="446"/>
        <v>5989461</v>
      </c>
      <c r="V1524" s="52">
        <f>IF(0&lt;0.8,0,IF(0&lt;1,Sheet3!L561,1))*IF(G1524&lt;3,0.12 - O1524,0.01) *U1524</f>
        <v>0</v>
      </c>
      <c r="W1524" s="52">
        <f t="shared" si="447"/>
        <v>0</v>
      </c>
      <c r="X1524" s="53">
        <f t="shared" si="448"/>
        <v>0</v>
      </c>
      <c r="Y1524" s="53">
        <f t="shared" si="449"/>
        <v>0</v>
      </c>
      <c r="Z1524" s="54">
        <f t="shared" si="439"/>
        <v>0</v>
      </c>
      <c r="AA1524" s="54">
        <f t="shared" si="450"/>
        <v>0</v>
      </c>
      <c r="AB1524" s="55">
        <f t="shared" si="440"/>
        <v>0</v>
      </c>
      <c r="AC1524" s="55">
        <f t="shared" si="451"/>
        <v>0</v>
      </c>
      <c r="AD1524" s="56">
        <f t="shared" si="452"/>
        <v>0</v>
      </c>
    </row>
    <row r="1525" spans="3:30">
      <c r="C1525" s="43" t="s">
        <v>2799</v>
      </c>
      <c r="D1525" s="44" t="s">
        <v>2800</v>
      </c>
      <c r="E1525" s="44"/>
      <c r="F1525" s="45">
        <v>43341.380648148144</v>
      </c>
      <c r="G1525" s="46">
        <v>1</v>
      </c>
      <c r="H1525" s="47">
        <v>43418</v>
      </c>
      <c r="I1525" s="47">
        <v>43420</v>
      </c>
      <c r="J1525" s="46">
        <v>22000</v>
      </c>
      <c r="K1525" s="46">
        <v>0</v>
      </c>
      <c r="L1525" s="46">
        <v>0</v>
      </c>
      <c r="M1525" s="46">
        <f t="shared" si="441"/>
        <v>22000</v>
      </c>
      <c r="N1525" s="46">
        <v>27951</v>
      </c>
      <c r="O1525" s="48">
        <f t="shared" si="442"/>
        <v>0.21290830381739467</v>
      </c>
      <c r="P1525" s="46">
        <v>0</v>
      </c>
      <c r="Q1525" s="46">
        <v>0</v>
      </c>
      <c r="R1525" s="49">
        <f t="shared" si="443"/>
        <v>0</v>
      </c>
      <c r="S1525" s="50">
        <f t="shared" si="444"/>
        <v>0</v>
      </c>
      <c r="T1525" s="49">
        <f t="shared" si="445"/>
        <v>0</v>
      </c>
      <c r="U1525" s="51">
        <f t="shared" si="446"/>
        <v>0</v>
      </c>
      <c r="V1525" s="52">
        <f>IF(0&lt;0.8,0,IF(0&lt;1,Sheet3!L561,1))*IF(G1525&lt;3,0.12 - O1525,0.01) *U1525</f>
        <v>0</v>
      </c>
      <c r="W1525" s="52">
        <f t="shared" si="447"/>
        <v>0</v>
      </c>
      <c r="X1525" s="53">
        <f t="shared" si="448"/>
        <v>0</v>
      </c>
      <c r="Y1525" s="53">
        <f t="shared" si="449"/>
        <v>0</v>
      </c>
      <c r="Z1525" s="54">
        <f t="shared" si="439"/>
        <v>0</v>
      </c>
      <c r="AA1525" s="54">
        <f t="shared" si="450"/>
        <v>0</v>
      </c>
      <c r="AB1525" s="55">
        <f t="shared" si="440"/>
        <v>0</v>
      </c>
      <c r="AC1525" s="55">
        <f t="shared" si="451"/>
        <v>0</v>
      </c>
      <c r="AD1525" s="56">
        <f t="shared" si="452"/>
        <v>0</v>
      </c>
    </row>
    <row r="1526" spans="3:30">
      <c r="C1526" s="43" t="s">
        <v>2801</v>
      </c>
      <c r="D1526" s="44" t="s">
        <v>2802</v>
      </c>
      <c r="E1526" s="44"/>
      <c r="F1526" s="45">
        <v>43341.378483796296</v>
      </c>
      <c r="G1526" s="46">
        <v>1</v>
      </c>
      <c r="H1526" s="47">
        <v>43383</v>
      </c>
      <c r="I1526" s="47">
        <v>43395</v>
      </c>
      <c r="J1526" s="46">
        <v>358545</v>
      </c>
      <c r="K1526" s="46">
        <v>0</v>
      </c>
      <c r="L1526" s="46">
        <v>0</v>
      </c>
      <c r="M1526" s="46">
        <f t="shared" si="441"/>
        <v>358545</v>
      </c>
      <c r="N1526" s="46">
        <v>358545</v>
      </c>
      <c r="O1526" s="48">
        <f t="shared" si="442"/>
        <v>0</v>
      </c>
      <c r="P1526" s="46">
        <v>0</v>
      </c>
      <c r="Q1526" s="46">
        <v>0</v>
      </c>
      <c r="R1526" s="49">
        <f t="shared" si="443"/>
        <v>0</v>
      </c>
      <c r="S1526" s="50">
        <f t="shared" si="444"/>
        <v>0</v>
      </c>
      <c r="T1526" s="49">
        <f t="shared" si="445"/>
        <v>0</v>
      </c>
      <c r="U1526" s="51">
        <f t="shared" si="446"/>
        <v>358545</v>
      </c>
      <c r="V1526" s="52">
        <f>IF(0&lt;0.8,0,IF(0&lt;1,Sheet3!L561,1))*IF(G1526&lt;3,0.12 - O1526,0.01) *U1526</f>
        <v>0</v>
      </c>
      <c r="W1526" s="52">
        <f t="shared" si="447"/>
        <v>0</v>
      </c>
      <c r="X1526" s="53">
        <f t="shared" si="448"/>
        <v>0</v>
      </c>
      <c r="Y1526" s="53">
        <f t="shared" si="449"/>
        <v>0</v>
      </c>
      <c r="Z1526" s="54">
        <f t="shared" si="439"/>
        <v>0</v>
      </c>
      <c r="AA1526" s="54">
        <f t="shared" si="450"/>
        <v>0</v>
      </c>
      <c r="AB1526" s="55">
        <f t="shared" si="440"/>
        <v>0</v>
      </c>
      <c r="AC1526" s="55">
        <f t="shared" si="451"/>
        <v>0</v>
      </c>
      <c r="AD1526" s="56">
        <f t="shared" si="452"/>
        <v>0</v>
      </c>
    </row>
    <row r="1527" spans="3:30">
      <c r="C1527" s="43" t="s">
        <v>2803</v>
      </c>
      <c r="D1527" s="44" t="s">
        <v>2804</v>
      </c>
      <c r="E1527" s="44"/>
      <c r="F1527" s="45">
        <v>43343.367245370369</v>
      </c>
      <c r="G1527" s="46">
        <v>1</v>
      </c>
      <c r="H1527" s="47">
        <v>43379</v>
      </c>
      <c r="I1527" s="47">
        <v>43413</v>
      </c>
      <c r="J1527" s="46">
        <v>10093774</v>
      </c>
      <c r="K1527" s="46">
        <v>4781179</v>
      </c>
      <c r="L1527" s="46">
        <v>0</v>
      </c>
      <c r="M1527" s="46">
        <f t="shared" si="441"/>
        <v>5312595</v>
      </c>
      <c r="N1527" s="46">
        <v>10899230</v>
      </c>
      <c r="O1527" s="48">
        <f t="shared" si="442"/>
        <v>0.51257153028241442</v>
      </c>
      <c r="P1527" s="46">
        <v>0</v>
      </c>
      <c r="Q1527" s="46">
        <v>0</v>
      </c>
      <c r="R1527" s="49">
        <f t="shared" si="443"/>
        <v>0</v>
      </c>
      <c r="S1527" s="50">
        <f t="shared" si="444"/>
        <v>0</v>
      </c>
      <c r="T1527" s="49">
        <f t="shared" si="445"/>
        <v>0</v>
      </c>
      <c r="U1527" s="51">
        <f t="shared" si="446"/>
        <v>0</v>
      </c>
      <c r="V1527" s="52">
        <f>IF(0&lt;0.8,0,IF(0&lt;1,Sheet3!L561,1))*IF(G1527&lt;3,0.12 - O1527,0.01) *U1527</f>
        <v>0</v>
      </c>
      <c r="W1527" s="52">
        <f t="shared" si="447"/>
        <v>0</v>
      </c>
      <c r="X1527" s="53">
        <f t="shared" si="448"/>
        <v>0</v>
      </c>
      <c r="Y1527" s="53">
        <f t="shared" si="449"/>
        <v>0</v>
      </c>
      <c r="Z1527" s="54">
        <f t="shared" si="439"/>
        <v>0</v>
      </c>
      <c r="AA1527" s="54">
        <f t="shared" si="450"/>
        <v>0</v>
      </c>
      <c r="AB1527" s="55">
        <f t="shared" si="440"/>
        <v>0</v>
      </c>
      <c r="AC1527" s="55">
        <f t="shared" si="451"/>
        <v>0</v>
      </c>
      <c r="AD1527" s="56">
        <f t="shared" si="452"/>
        <v>0</v>
      </c>
    </row>
    <row r="1528" spans="3:30">
      <c r="C1528" s="43" t="s">
        <v>2805</v>
      </c>
      <c r="D1528" s="44" t="s">
        <v>2806</v>
      </c>
      <c r="E1528" s="44"/>
      <c r="F1528" s="45">
        <v>43343.363194444442</v>
      </c>
      <c r="G1528" s="46">
        <v>1</v>
      </c>
      <c r="H1528" s="47">
        <v>43386</v>
      </c>
      <c r="I1528" s="47">
        <v>43392</v>
      </c>
      <c r="J1528" s="46">
        <v>7429095</v>
      </c>
      <c r="K1528" s="46">
        <v>0</v>
      </c>
      <c r="L1528" s="46">
        <v>0</v>
      </c>
      <c r="M1528" s="46">
        <f t="shared" si="441"/>
        <v>7429095</v>
      </c>
      <c r="N1528" s="46">
        <v>7429095</v>
      </c>
      <c r="O1528" s="48">
        <f t="shared" si="442"/>
        <v>0</v>
      </c>
      <c r="P1528" s="46">
        <v>0</v>
      </c>
      <c r="Q1528" s="46">
        <v>0</v>
      </c>
      <c r="R1528" s="49">
        <f t="shared" si="443"/>
        <v>0</v>
      </c>
      <c r="S1528" s="50">
        <f t="shared" si="444"/>
        <v>0</v>
      </c>
      <c r="T1528" s="49">
        <f t="shared" si="445"/>
        <v>0</v>
      </c>
      <c r="U1528" s="51">
        <f t="shared" si="446"/>
        <v>7429095</v>
      </c>
      <c r="V1528" s="52">
        <f>IF(0&lt;0.8,0,IF(0&lt;1,Sheet3!L561,1))*IF(G1528&lt;3,0.12 - O1528,0.01) *U1528</f>
        <v>0</v>
      </c>
      <c r="W1528" s="52">
        <f t="shared" si="447"/>
        <v>0</v>
      </c>
      <c r="X1528" s="53">
        <f t="shared" si="448"/>
        <v>0</v>
      </c>
      <c r="Y1528" s="53">
        <f t="shared" si="449"/>
        <v>0</v>
      </c>
      <c r="Z1528" s="54">
        <f t="shared" si="439"/>
        <v>0</v>
      </c>
      <c r="AA1528" s="54">
        <f t="shared" si="450"/>
        <v>0</v>
      </c>
      <c r="AB1528" s="55">
        <f t="shared" si="440"/>
        <v>0</v>
      </c>
      <c r="AC1528" s="55">
        <f t="shared" si="451"/>
        <v>0</v>
      </c>
      <c r="AD1528" s="56">
        <f t="shared" si="452"/>
        <v>0</v>
      </c>
    </row>
    <row r="1529" spans="3:30">
      <c r="C1529" s="43" t="s">
        <v>2807</v>
      </c>
      <c r="D1529" s="44" t="s">
        <v>2808</v>
      </c>
      <c r="E1529" s="44"/>
      <c r="F1529" s="45">
        <v>43343.365787037037</v>
      </c>
      <c r="G1529" s="46">
        <v>1</v>
      </c>
      <c r="H1529" s="47">
        <v>43389</v>
      </c>
      <c r="I1529" s="47">
        <v>43393</v>
      </c>
      <c r="J1529" s="46">
        <v>1487235</v>
      </c>
      <c r="K1529" s="46">
        <v>0</v>
      </c>
      <c r="L1529" s="46">
        <v>0</v>
      </c>
      <c r="M1529" s="46">
        <f t="shared" si="441"/>
        <v>1487235</v>
      </c>
      <c r="N1529" s="46">
        <v>1487235</v>
      </c>
      <c r="O1529" s="48">
        <f t="shared" si="442"/>
        <v>0</v>
      </c>
      <c r="P1529" s="46">
        <v>0</v>
      </c>
      <c r="Q1529" s="46">
        <v>0</v>
      </c>
      <c r="R1529" s="49">
        <f t="shared" si="443"/>
        <v>0</v>
      </c>
      <c r="S1529" s="50">
        <f t="shared" si="444"/>
        <v>0</v>
      </c>
      <c r="T1529" s="49">
        <f t="shared" si="445"/>
        <v>0</v>
      </c>
      <c r="U1529" s="51">
        <f t="shared" si="446"/>
        <v>1487235</v>
      </c>
      <c r="V1529" s="52">
        <f>IF(0&lt;0.8,0,IF(0&lt;1,Sheet3!L561,1))*IF(G1529&lt;3,0.12 - O1529,0.01) *U1529</f>
        <v>0</v>
      </c>
      <c r="W1529" s="52">
        <f t="shared" si="447"/>
        <v>0</v>
      </c>
      <c r="X1529" s="53">
        <f t="shared" si="448"/>
        <v>0</v>
      </c>
      <c r="Y1529" s="53">
        <f t="shared" si="449"/>
        <v>0</v>
      </c>
      <c r="Z1529" s="54">
        <f t="shared" si="439"/>
        <v>0</v>
      </c>
      <c r="AA1529" s="54">
        <f t="shared" si="450"/>
        <v>0</v>
      </c>
      <c r="AB1529" s="55">
        <f t="shared" si="440"/>
        <v>0</v>
      </c>
      <c r="AC1529" s="55">
        <f t="shared" si="451"/>
        <v>0</v>
      </c>
      <c r="AD1529" s="56">
        <f t="shared" si="452"/>
        <v>0</v>
      </c>
    </row>
    <row r="1530" spans="3:30">
      <c r="C1530" s="43" t="s">
        <v>2809</v>
      </c>
      <c r="D1530" s="44" t="s">
        <v>2810</v>
      </c>
      <c r="E1530" s="44"/>
      <c r="F1530" s="45">
        <v>43348.06994212963</v>
      </c>
      <c r="G1530" s="46">
        <v>0</v>
      </c>
      <c r="H1530" s="47">
        <v>43389</v>
      </c>
      <c r="I1530" s="47">
        <v>43398</v>
      </c>
      <c r="J1530" s="46">
        <v>1784155</v>
      </c>
      <c r="K1530" s="46">
        <v>0</v>
      </c>
      <c r="L1530" s="46">
        <v>0</v>
      </c>
      <c r="M1530" s="46">
        <f t="shared" si="441"/>
        <v>1784155</v>
      </c>
      <c r="N1530" s="46">
        <v>1784155</v>
      </c>
      <c r="O1530" s="48">
        <f t="shared" si="442"/>
        <v>0</v>
      </c>
      <c r="P1530" s="46">
        <v>0</v>
      </c>
      <c r="Q1530" s="46">
        <v>0</v>
      </c>
      <c r="R1530" s="49">
        <f t="shared" si="443"/>
        <v>0</v>
      </c>
      <c r="S1530" s="50">
        <f t="shared" si="444"/>
        <v>0</v>
      </c>
      <c r="T1530" s="49">
        <f t="shared" si="445"/>
        <v>0</v>
      </c>
      <c r="U1530" s="51">
        <f t="shared" si="446"/>
        <v>1784155</v>
      </c>
      <c r="V1530" s="52">
        <f>IF(0&lt;0.8,0,IF(0&lt;1,Sheet3!L561,1))*IF(G1530&lt;3,0.12 - O1530,0.01) *U1530</f>
        <v>0</v>
      </c>
      <c r="W1530" s="52">
        <f t="shared" si="447"/>
        <v>0</v>
      </c>
      <c r="X1530" s="53">
        <f t="shared" si="448"/>
        <v>0</v>
      </c>
      <c r="Y1530" s="53">
        <f t="shared" si="449"/>
        <v>0</v>
      </c>
      <c r="Z1530" s="54">
        <f t="shared" si="439"/>
        <v>0</v>
      </c>
      <c r="AA1530" s="54">
        <f t="shared" si="450"/>
        <v>0</v>
      </c>
      <c r="AB1530" s="55">
        <f t="shared" si="440"/>
        <v>0</v>
      </c>
      <c r="AC1530" s="55">
        <f t="shared" si="451"/>
        <v>0</v>
      </c>
      <c r="AD1530" s="56">
        <f t="shared" si="452"/>
        <v>0</v>
      </c>
    </row>
    <row r="1531" spans="3:30">
      <c r="C1531" s="43" t="s">
        <v>2811</v>
      </c>
      <c r="D1531" s="44" t="s">
        <v>2812</v>
      </c>
      <c r="E1531" s="44"/>
      <c r="F1531" s="45">
        <v>43348.068067129629</v>
      </c>
      <c r="G1531" s="46">
        <v>0</v>
      </c>
      <c r="H1531" s="47" t="s">
        <v>24</v>
      </c>
      <c r="I1531" s="47" t="s">
        <v>24</v>
      </c>
      <c r="J1531" s="46">
        <v>1939503</v>
      </c>
      <c r="K1531" s="46">
        <v>0</v>
      </c>
      <c r="L1531" s="46">
        <v>0</v>
      </c>
      <c r="M1531" s="46">
        <f t="shared" si="441"/>
        <v>1939503</v>
      </c>
      <c r="N1531" s="46" t="s">
        <v>24</v>
      </c>
      <c r="O1531" s="48">
        <f t="shared" si="442"/>
        <v>0</v>
      </c>
      <c r="P1531" s="46">
        <v>0</v>
      </c>
      <c r="Q1531" s="46">
        <v>0</v>
      </c>
      <c r="R1531" s="49">
        <f t="shared" si="443"/>
        <v>0</v>
      </c>
      <c r="S1531" s="50">
        <f t="shared" si="444"/>
        <v>0</v>
      </c>
      <c r="T1531" s="49">
        <f t="shared" si="445"/>
        <v>0</v>
      </c>
      <c r="U1531" s="51">
        <f t="shared" si="446"/>
        <v>1939503</v>
      </c>
      <c r="V1531" s="52">
        <f>IF(0&lt;0.8,0,IF(0&lt;1,Sheet3!L561,1))*IF(G1531&lt;3,0.12 - O1531,0.01) *U1531</f>
        <v>0</v>
      </c>
      <c r="W1531" s="52">
        <f t="shared" si="447"/>
        <v>0</v>
      </c>
      <c r="X1531" s="53">
        <f t="shared" si="448"/>
        <v>0</v>
      </c>
      <c r="Y1531" s="53">
        <f t="shared" si="449"/>
        <v>0</v>
      </c>
      <c r="Z1531" s="54" t="str">
        <f>IF(R1531=1,0,"")</f>
        <v/>
      </c>
      <c r="AA1531" s="54">
        <f t="shared" si="450"/>
        <v>0</v>
      </c>
      <c r="AB1531" s="55" t="str">
        <f>IF(R1531=0,"",0)</f>
        <v/>
      </c>
      <c r="AC1531" s="55">
        <f t="shared" si="451"/>
        <v>0</v>
      </c>
      <c r="AD1531" s="56">
        <f t="shared" si="452"/>
        <v>0</v>
      </c>
    </row>
    <row r="1532" spans="3:30">
      <c r="C1532" s="43" t="s">
        <v>2813</v>
      </c>
      <c r="D1532" s="44" t="s">
        <v>2814</v>
      </c>
      <c r="E1532" s="44"/>
      <c r="F1532" s="45">
        <v>43348.066840277774</v>
      </c>
      <c r="G1532" s="46">
        <v>0</v>
      </c>
      <c r="H1532" s="47">
        <v>43390</v>
      </c>
      <c r="I1532" s="47">
        <v>43398</v>
      </c>
      <c r="J1532" s="46">
        <v>160885</v>
      </c>
      <c r="K1532" s="46">
        <v>0</v>
      </c>
      <c r="L1532" s="46">
        <v>0</v>
      </c>
      <c r="M1532" s="46">
        <f t="shared" si="441"/>
        <v>160885</v>
      </c>
      <c r="N1532" s="46">
        <v>160885</v>
      </c>
      <c r="O1532" s="48">
        <f t="shared" si="442"/>
        <v>0</v>
      </c>
      <c r="P1532" s="46">
        <v>0</v>
      </c>
      <c r="Q1532" s="46">
        <v>0</v>
      </c>
      <c r="R1532" s="49">
        <f t="shared" si="443"/>
        <v>0</v>
      </c>
      <c r="S1532" s="50">
        <f t="shared" si="444"/>
        <v>0</v>
      </c>
      <c r="T1532" s="49">
        <f t="shared" si="445"/>
        <v>0</v>
      </c>
      <c r="U1532" s="51">
        <f t="shared" si="446"/>
        <v>160885</v>
      </c>
      <c r="V1532" s="52">
        <f>IF(0&lt;0.8,0,IF(0&lt;1,Sheet3!L561,1))*IF(G1532&lt;3,0.12 - O1532,0.01) *U1532</f>
        <v>0</v>
      </c>
      <c r="W1532" s="52">
        <f t="shared" si="447"/>
        <v>0</v>
      </c>
      <c r="X1532" s="53">
        <f t="shared" si="448"/>
        <v>0</v>
      </c>
      <c r="Y1532" s="53">
        <f t="shared" si="449"/>
        <v>0</v>
      </c>
      <c r="Z1532" s="54">
        <f t="shared" ref="Z1532:Z1538" si="453">IF(R1532=1,0,0)</f>
        <v>0</v>
      </c>
      <c r="AA1532" s="54">
        <f t="shared" si="450"/>
        <v>0</v>
      </c>
      <c r="AB1532" s="55">
        <f t="shared" ref="AB1532:AB1538" si="454">IF(R1532=0,0,0)</f>
        <v>0</v>
      </c>
      <c r="AC1532" s="55">
        <f t="shared" si="451"/>
        <v>0</v>
      </c>
      <c r="AD1532" s="56">
        <f t="shared" si="452"/>
        <v>0</v>
      </c>
    </row>
    <row r="1533" spans="3:30">
      <c r="C1533" s="43" t="s">
        <v>2815</v>
      </c>
      <c r="D1533" s="44" t="s">
        <v>2816</v>
      </c>
      <c r="E1533" s="44"/>
      <c r="F1533" s="45">
        <v>43349.08993055555</v>
      </c>
      <c r="G1533" s="46">
        <v>0</v>
      </c>
      <c r="H1533" s="47">
        <v>43388</v>
      </c>
      <c r="I1533" s="47">
        <v>43391</v>
      </c>
      <c r="J1533" s="46">
        <v>1640065</v>
      </c>
      <c r="K1533" s="46">
        <v>0</v>
      </c>
      <c r="L1533" s="46">
        <v>0</v>
      </c>
      <c r="M1533" s="46">
        <f t="shared" si="441"/>
        <v>1640065</v>
      </c>
      <c r="N1533" s="46">
        <v>1640065</v>
      </c>
      <c r="O1533" s="48">
        <f t="shared" si="442"/>
        <v>0</v>
      </c>
      <c r="P1533" s="46">
        <v>0</v>
      </c>
      <c r="Q1533" s="46">
        <v>0</v>
      </c>
      <c r="R1533" s="49">
        <f t="shared" si="443"/>
        <v>0</v>
      </c>
      <c r="S1533" s="50">
        <f t="shared" si="444"/>
        <v>0</v>
      </c>
      <c r="T1533" s="49">
        <f t="shared" si="445"/>
        <v>0</v>
      </c>
      <c r="U1533" s="51">
        <f t="shared" si="446"/>
        <v>1640065</v>
      </c>
      <c r="V1533" s="52">
        <f>IF(0&lt;0.8,0,IF(0&lt;1,Sheet3!L561,1))*IF(G1533&lt;3,0.12 - O1533,0.01) *U1533</f>
        <v>0</v>
      </c>
      <c r="W1533" s="52">
        <f t="shared" si="447"/>
        <v>0</v>
      </c>
      <c r="X1533" s="53">
        <f t="shared" si="448"/>
        <v>0</v>
      </c>
      <c r="Y1533" s="53">
        <f t="shared" si="449"/>
        <v>0</v>
      </c>
      <c r="Z1533" s="54">
        <f t="shared" si="453"/>
        <v>0</v>
      </c>
      <c r="AA1533" s="54">
        <f t="shared" si="450"/>
        <v>0</v>
      </c>
      <c r="AB1533" s="55">
        <f t="shared" si="454"/>
        <v>0</v>
      </c>
      <c r="AC1533" s="55">
        <f t="shared" si="451"/>
        <v>0</v>
      </c>
      <c r="AD1533" s="56">
        <f t="shared" si="452"/>
        <v>0</v>
      </c>
    </row>
    <row r="1534" spans="3:30">
      <c r="C1534" s="43" t="s">
        <v>2817</v>
      </c>
      <c r="D1534" s="44" t="s">
        <v>2818</v>
      </c>
      <c r="E1534" s="44"/>
      <c r="F1534" s="45">
        <v>43350.320868055554</v>
      </c>
      <c r="G1534" s="46">
        <v>0</v>
      </c>
      <c r="H1534" s="47">
        <v>43388</v>
      </c>
      <c r="I1534" s="47">
        <v>43389</v>
      </c>
      <c r="J1534" s="46">
        <v>1169704</v>
      </c>
      <c r="K1534" s="46">
        <v>0</v>
      </c>
      <c r="L1534" s="46">
        <v>0</v>
      </c>
      <c r="M1534" s="46">
        <f t="shared" si="441"/>
        <v>1169704</v>
      </c>
      <c r="N1534" s="46">
        <v>1395116</v>
      </c>
      <c r="O1534" s="48">
        <f t="shared" si="442"/>
        <v>0.16157222768572654</v>
      </c>
      <c r="P1534" s="46">
        <v>0</v>
      </c>
      <c r="Q1534" s="46">
        <v>0</v>
      </c>
      <c r="R1534" s="49">
        <f t="shared" si="443"/>
        <v>0</v>
      </c>
      <c r="S1534" s="50">
        <f t="shared" si="444"/>
        <v>0</v>
      </c>
      <c r="T1534" s="49">
        <f t="shared" si="445"/>
        <v>0</v>
      </c>
      <c r="U1534" s="51">
        <f t="shared" si="446"/>
        <v>0</v>
      </c>
      <c r="V1534" s="52">
        <f>IF(0&lt;0.8,0,IF(0&lt;1,Sheet3!L561,1))*IF(G1534&lt;3,0.12 - O1534,0.01) *U1534</f>
        <v>0</v>
      </c>
      <c r="W1534" s="52">
        <f t="shared" si="447"/>
        <v>0</v>
      </c>
      <c r="X1534" s="53">
        <f t="shared" si="448"/>
        <v>0</v>
      </c>
      <c r="Y1534" s="53">
        <f t="shared" si="449"/>
        <v>0</v>
      </c>
      <c r="Z1534" s="54">
        <f t="shared" si="453"/>
        <v>0</v>
      </c>
      <c r="AA1534" s="54">
        <f t="shared" si="450"/>
        <v>0</v>
      </c>
      <c r="AB1534" s="55">
        <f t="shared" si="454"/>
        <v>0</v>
      </c>
      <c r="AC1534" s="55">
        <f t="shared" si="451"/>
        <v>0</v>
      </c>
      <c r="AD1534" s="56">
        <f t="shared" si="452"/>
        <v>0</v>
      </c>
    </row>
    <row r="1535" spans="3:30">
      <c r="C1535" s="43" t="s">
        <v>2819</v>
      </c>
      <c r="D1535" s="44" t="s">
        <v>2820</v>
      </c>
      <c r="E1535" s="44"/>
      <c r="F1535" s="45">
        <v>43350.321909722217</v>
      </c>
      <c r="G1535" s="46">
        <v>0</v>
      </c>
      <c r="H1535" s="47">
        <v>43388</v>
      </c>
      <c r="I1535" s="47">
        <v>43399</v>
      </c>
      <c r="J1535" s="46">
        <v>3852622</v>
      </c>
      <c r="K1535" s="46">
        <v>0</v>
      </c>
      <c r="L1535" s="46">
        <v>0</v>
      </c>
      <c r="M1535" s="46">
        <f t="shared" si="441"/>
        <v>3852622</v>
      </c>
      <c r="N1535" s="46">
        <v>3852622</v>
      </c>
      <c r="O1535" s="48">
        <f t="shared" si="442"/>
        <v>0</v>
      </c>
      <c r="P1535" s="46">
        <v>0</v>
      </c>
      <c r="Q1535" s="46">
        <v>0</v>
      </c>
      <c r="R1535" s="49">
        <f t="shared" si="443"/>
        <v>0</v>
      </c>
      <c r="S1535" s="50">
        <f t="shared" si="444"/>
        <v>0</v>
      </c>
      <c r="T1535" s="49">
        <f t="shared" si="445"/>
        <v>0</v>
      </c>
      <c r="U1535" s="51">
        <f t="shared" si="446"/>
        <v>3852622</v>
      </c>
      <c r="V1535" s="52">
        <f>IF(0&lt;0.8,0,IF(0&lt;1,Sheet3!L561,1))*IF(G1535&lt;3,0.12 - O1535,0.01) *U1535</f>
        <v>0</v>
      </c>
      <c r="W1535" s="52">
        <f t="shared" si="447"/>
        <v>0</v>
      </c>
      <c r="X1535" s="53">
        <f t="shared" si="448"/>
        <v>0</v>
      </c>
      <c r="Y1535" s="53">
        <f t="shared" si="449"/>
        <v>0</v>
      </c>
      <c r="Z1535" s="54">
        <f t="shared" si="453"/>
        <v>0</v>
      </c>
      <c r="AA1535" s="54">
        <f t="shared" si="450"/>
        <v>0</v>
      </c>
      <c r="AB1535" s="55">
        <f t="shared" si="454"/>
        <v>0</v>
      </c>
      <c r="AC1535" s="55">
        <f t="shared" si="451"/>
        <v>0</v>
      </c>
      <c r="AD1535" s="56">
        <f t="shared" si="452"/>
        <v>0</v>
      </c>
    </row>
    <row r="1536" spans="3:30">
      <c r="C1536" s="43" t="s">
        <v>2821</v>
      </c>
      <c r="D1536" s="44" t="s">
        <v>2822</v>
      </c>
      <c r="E1536" s="44"/>
      <c r="F1536" s="45">
        <v>43350.32304398148</v>
      </c>
      <c r="G1536" s="46">
        <v>0</v>
      </c>
      <c r="H1536" s="47">
        <v>43390</v>
      </c>
      <c r="I1536" s="47">
        <v>43404</v>
      </c>
      <c r="J1536" s="46">
        <v>7098344</v>
      </c>
      <c r="K1536" s="46">
        <v>0</v>
      </c>
      <c r="L1536" s="46">
        <v>0</v>
      </c>
      <c r="M1536" s="46">
        <f t="shared" si="441"/>
        <v>7098344</v>
      </c>
      <c r="N1536" s="46">
        <v>7098344</v>
      </c>
      <c r="O1536" s="48">
        <f t="shared" si="442"/>
        <v>0</v>
      </c>
      <c r="P1536" s="46">
        <v>0</v>
      </c>
      <c r="Q1536" s="46">
        <v>0</v>
      </c>
      <c r="R1536" s="49">
        <f t="shared" si="443"/>
        <v>0</v>
      </c>
      <c r="S1536" s="50">
        <f t="shared" si="444"/>
        <v>0</v>
      </c>
      <c r="T1536" s="49">
        <f t="shared" si="445"/>
        <v>0</v>
      </c>
      <c r="U1536" s="51">
        <f t="shared" si="446"/>
        <v>7098344</v>
      </c>
      <c r="V1536" s="52">
        <f>IF(0&lt;0.8,0,IF(0&lt;1,Sheet3!L561,1))*IF(G1536&lt;3,0.12 - O1536,0.01) *U1536</f>
        <v>0</v>
      </c>
      <c r="W1536" s="52">
        <f t="shared" si="447"/>
        <v>0</v>
      </c>
      <c r="X1536" s="53">
        <f t="shared" si="448"/>
        <v>0</v>
      </c>
      <c r="Y1536" s="53">
        <f t="shared" si="449"/>
        <v>0</v>
      </c>
      <c r="Z1536" s="54">
        <f t="shared" si="453"/>
        <v>0</v>
      </c>
      <c r="AA1536" s="54">
        <f t="shared" si="450"/>
        <v>0</v>
      </c>
      <c r="AB1536" s="55">
        <f t="shared" si="454"/>
        <v>0</v>
      </c>
      <c r="AC1536" s="55">
        <f t="shared" si="451"/>
        <v>0</v>
      </c>
      <c r="AD1536" s="56">
        <f t="shared" si="452"/>
        <v>0</v>
      </c>
    </row>
    <row r="1537" spans="3:30">
      <c r="C1537" s="43" t="s">
        <v>2823</v>
      </c>
      <c r="D1537" s="44" t="s">
        <v>2824</v>
      </c>
      <c r="E1537" s="44"/>
      <c r="F1537" s="45">
        <v>43355.269803240742</v>
      </c>
      <c r="G1537" s="46">
        <v>0</v>
      </c>
      <c r="H1537" s="47">
        <v>43410</v>
      </c>
      <c r="I1537" s="47">
        <v>43425</v>
      </c>
      <c r="J1537" s="46">
        <v>279950</v>
      </c>
      <c r="K1537" s="46">
        <v>0</v>
      </c>
      <c r="L1537" s="46">
        <v>0</v>
      </c>
      <c r="M1537" s="46">
        <f t="shared" si="441"/>
        <v>279950</v>
      </c>
      <c r="N1537" s="46">
        <v>269927</v>
      </c>
      <c r="O1537" s="48">
        <f t="shared" si="442"/>
        <v>0</v>
      </c>
      <c r="P1537" s="46">
        <v>0</v>
      </c>
      <c r="Q1537" s="46">
        <v>0</v>
      </c>
      <c r="R1537" s="49">
        <f t="shared" si="443"/>
        <v>0</v>
      </c>
      <c r="S1537" s="50">
        <f t="shared" si="444"/>
        <v>0</v>
      </c>
      <c r="T1537" s="49">
        <f t="shared" si="445"/>
        <v>0</v>
      </c>
      <c r="U1537" s="51">
        <f t="shared" si="446"/>
        <v>279950</v>
      </c>
      <c r="V1537" s="52">
        <f>IF(0&lt;0.8,0,IF(0&lt;1,Sheet3!L561,1))*IF(G1537&lt;3,0.12 - O1537,0.01) *U1537</f>
        <v>0</v>
      </c>
      <c r="W1537" s="52">
        <f t="shared" si="447"/>
        <v>0</v>
      </c>
      <c r="X1537" s="53">
        <f t="shared" si="448"/>
        <v>0</v>
      </c>
      <c r="Y1537" s="53">
        <f t="shared" si="449"/>
        <v>0</v>
      </c>
      <c r="Z1537" s="54">
        <f t="shared" si="453"/>
        <v>0</v>
      </c>
      <c r="AA1537" s="54">
        <f t="shared" si="450"/>
        <v>0</v>
      </c>
      <c r="AB1537" s="55">
        <f t="shared" si="454"/>
        <v>0</v>
      </c>
      <c r="AC1537" s="55">
        <f t="shared" si="451"/>
        <v>0</v>
      </c>
      <c r="AD1537" s="56">
        <f t="shared" si="452"/>
        <v>0</v>
      </c>
    </row>
    <row r="1538" spans="3:30">
      <c r="C1538" s="43" t="s">
        <v>2825</v>
      </c>
      <c r="D1538" s="44" t="s">
        <v>2826</v>
      </c>
      <c r="E1538" s="44"/>
      <c r="F1538" s="45">
        <v>43355.270798611113</v>
      </c>
      <c r="G1538" s="46">
        <v>0</v>
      </c>
      <c r="H1538" s="47">
        <v>43407</v>
      </c>
      <c r="I1538" s="47">
        <v>43398</v>
      </c>
      <c r="J1538" s="46">
        <v>1361274</v>
      </c>
      <c r="K1538" s="46">
        <v>0</v>
      </c>
      <c r="L1538" s="46">
        <v>0</v>
      </c>
      <c r="M1538" s="46">
        <f t="shared" si="441"/>
        <v>1361274</v>
      </c>
      <c r="N1538" s="46">
        <v>1361274</v>
      </c>
      <c r="O1538" s="48">
        <f t="shared" si="442"/>
        <v>0</v>
      </c>
      <c r="P1538" s="46">
        <v>0</v>
      </c>
      <c r="Q1538" s="46">
        <v>0</v>
      </c>
      <c r="R1538" s="49">
        <f t="shared" si="443"/>
        <v>0</v>
      </c>
      <c r="S1538" s="50">
        <f t="shared" si="444"/>
        <v>0</v>
      </c>
      <c r="T1538" s="49">
        <f t="shared" si="445"/>
        <v>0</v>
      </c>
      <c r="U1538" s="51">
        <f t="shared" si="446"/>
        <v>1361274</v>
      </c>
      <c r="V1538" s="52">
        <f>IF(0&lt;0.8,0,IF(0&lt;1,Sheet3!L561,1))*IF(G1538&lt;3,0.12 - O1538,0.01) *U1538</f>
        <v>0</v>
      </c>
      <c r="W1538" s="52">
        <f t="shared" si="447"/>
        <v>0</v>
      </c>
      <c r="X1538" s="53">
        <f t="shared" si="448"/>
        <v>0</v>
      </c>
      <c r="Y1538" s="53">
        <f t="shared" si="449"/>
        <v>0</v>
      </c>
      <c r="Z1538" s="54">
        <f t="shared" si="453"/>
        <v>0</v>
      </c>
      <c r="AA1538" s="54">
        <f t="shared" si="450"/>
        <v>0</v>
      </c>
      <c r="AB1538" s="55">
        <f t="shared" si="454"/>
        <v>0</v>
      </c>
      <c r="AC1538" s="55">
        <f t="shared" si="451"/>
        <v>0</v>
      </c>
      <c r="AD1538" s="56">
        <f t="shared" si="452"/>
        <v>0</v>
      </c>
    </row>
    <row r="1539" spans="3:30">
      <c r="C1539" s="43" t="s">
        <v>2827</v>
      </c>
      <c r="D1539" s="44" t="s">
        <v>2828</v>
      </c>
      <c r="E1539" s="44"/>
      <c r="F1539" s="45">
        <v>43355.266215277778</v>
      </c>
      <c r="G1539" s="46">
        <v>0</v>
      </c>
      <c r="H1539" s="47" t="s">
        <v>24</v>
      </c>
      <c r="I1539" s="47" t="s">
        <v>24</v>
      </c>
      <c r="J1539" s="46">
        <v>7652999</v>
      </c>
      <c r="K1539" s="46">
        <v>0</v>
      </c>
      <c r="L1539" s="46">
        <v>0</v>
      </c>
      <c r="M1539" s="46">
        <f t="shared" si="441"/>
        <v>7652999</v>
      </c>
      <c r="N1539" s="46" t="s">
        <v>24</v>
      </c>
      <c r="O1539" s="48">
        <f t="shared" si="442"/>
        <v>0</v>
      </c>
      <c r="P1539" s="46">
        <v>0</v>
      </c>
      <c r="Q1539" s="46">
        <v>0</v>
      </c>
      <c r="R1539" s="49">
        <f t="shared" si="443"/>
        <v>0</v>
      </c>
      <c r="S1539" s="50">
        <f t="shared" si="444"/>
        <v>0</v>
      </c>
      <c r="T1539" s="49">
        <f t="shared" si="445"/>
        <v>0</v>
      </c>
      <c r="U1539" s="51">
        <f t="shared" si="446"/>
        <v>7652999</v>
      </c>
      <c r="V1539" s="52">
        <f>IF(0&lt;0.8,0,IF(0&lt;1,Sheet3!L561,1))*IF(G1539&lt;3,0.12 - O1539,0.01) *U1539</f>
        <v>0</v>
      </c>
      <c r="W1539" s="52">
        <f t="shared" si="447"/>
        <v>0</v>
      </c>
      <c r="X1539" s="53">
        <f t="shared" si="448"/>
        <v>0</v>
      </c>
      <c r="Y1539" s="53">
        <f t="shared" si="449"/>
        <v>0</v>
      </c>
      <c r="Z1539" s="54" t="str">
        <f>IF(R1539=1,0,"")</f>
        <v/>
      </c>
      <c r="AA1539" s="54">
        <f t="shared" si="450"/>
        <v>0</v>
      </c>
      <c r="AB1539" s="55" t="str">
        <f>IF(R1539=0,"",0)</f>
        <v/>
      </c>
      <c r="AC1539" s="55">
        <f t="shared" si="451"/>
        <v>0</v>
      </c>
      <c r="AD1539" s="56">
        <f t="shared" si="452"/>
        <v>0</v>
      </c>
    </row>
    <row r="1540" spans="3:30">
      <c r="C1540" s="43" t="s">
        <v>2829</v>
      </c>
      <c r="D1540" s="44" t="s">
        <v>2830</v>
      </c>
      <c r="E1540" s="44"/>
      <c r="F1540" s="45">
        <v>43356.137928240736</v>
      </c>
      <c r="G1540" s="46">
        <v>0</v>
      </c>
      <c r="H1540" s="47">
        <v>43426</v>
      </c>
      <c r="I1540" s="47">
        <v>43433</v>
      </c>
      <c r="J1540" s="46">
        <v>31612</v>
      </c>
      <c r="K1540" s="46">
        <v>0</v>
      </c>
      <c r="L1540" s="46">
        <v>0</v>
      </c>
      <c r="M1540" s="46">
        <f t="shared" si="441"/>
        <v>31612</v>
      </c>
      <c r="N1540" s="46">
        <v>31612</v>
      </c>
      <c r="O1540" s="48">
        <f t="shared" si="442"/>
        <v>0</v>
      </c>
      <c r="P1540" s="46">
        <v>0</v>
      </c>
      <c r="Q1540" s="46">
        <v>0</v>
      </c>
      <c r="R1540" s="49">
        <f t="shared" si="443"/>
        <v>0</v>
      </c>
      <c r="S1540" s="50">
        <f t="shared" si="444"/>
        <v>0</v>
      </c>
      <c r="T1540" s="49">
        <f t="shared" si="445"/>
        <v>0</v>
      </c>
      <c r="U1540" s="51">
        <f t="shared" si="446"/>
        <v>31612</v>
      </c>
      <c r="V1540" s="52">
        <f>IF(0&lt;0.8,0,IF(0&lt;1,Sheet3!L561,1))*IF(G1540&lt;3,0.12 - O1540,0.01) *U1540</f>
        <v>0</v>
      </c>
      <c r="W1540" s="52">
        <f t="shared" si="447"/>
        <v>0</v>
      </c>
      <c r="X1540" s="53">
        <f t="shared" si="448"/>
        <v>0</v>
      </c>
      <c r="Y1540" s="53">
        <f t="shared" si="449"/>
        <v>0</v>
      </c>
      <c r="Z1540" s="54">
        <f t="shared" ref="Z1540:Z1549" si="455">IF(R1540=1,0,0)</f>
        <v>0</v>
      </c>
      <c r="AA1540" s="54">
        <f t="shared" si="450"/>
        <v>0</v>
      </c>
      <c r="AB1540" s="55">
        <f t="shared" ref="AB1540:AB1545" si="456">IF(R1540=0,0,0)</f>
        <v>0</v>
      </c>
      <c r="AC1540" s="55">
        <f t="shared" si="451"/>
        <v>0</v>
      </c>
      <c r="AD1540" s="56">
        <f t="shared" si="452"/>
        <v>0</v>
      </c>
    </row>
    <row r="1541" spans="3:30">
      <c r="C1541" s="43" t="s">
        <v>2831</v>
      </c>
      <c r="D1541" s="44" t="s">
        <v>2832</v>
      </c>
      <c r="E1541" s="44"/>
      <c r="F1541" s="45">
        <v>43356.137094907404</v>
      </c>
      <c r="G1541" s="46">
        <v>0</v>
      </c>
      <c r="H1541" s="47">
        <v>43388</v>
      </c>
      <c r="I1541" s="47">
        <v>43391</v>
      </c>
      <c r="J1541" s="46">
        <v>118027</v>
      </c>
      <c r="K1541" s="46">
        <v>0</v>
      </c>
      <c r="L1541" s="46">
        <v>0</v>
      </c>
      <c r="M1541" s="46">
        <f t="shared" si="441"/>
        <v>118027</v>
      </c>
      <c r="N1541" s="46">
        <v>118027</v>
      </c>
      <c r="O1541" s="48">
        <f t="shared" si="442"/>
        <v>0</v>
      </c>
      <c r="P1541" s="46">
        <v>0</v>
      </c>
      <c r="Q1541" s="46">
        <v>0</v>
      </c>
      <c r="R1541" s="49">
        <f t="shared" si="443"/>
        <v>0</v>
      </c>
      <c r="S1541" s="50">
        <f t="shared" si="444"/>
        <v>0</v>
      </c>
      <c r="T1541" s="49">
        <f t="shared" si="445"/>
        <v>0</v>
      </c>
      <c r="U1541" s="51">
        <f t="shared" si="446"/>
        <v>118027</v>
      </c>
      <c r="V1541" s="52">
        <f>IF(0&lt;0.8,0,IF(0&lt;1,Sheet3!L561,1))*IF(G1541&lt;3,0.12 - O1541,0.01) *U1541</f>
        <v>0</v>
      </c>
      <c r="W1541" s="52">
        <f t="shared" si="447"/>
        <v>0</v>
      </c>
      <c r="X1541" s="53">
        <f t="shared" si="448"/>
        <v>0</v>
      </c>
      <c r="Y1541" s="53">
        <f t="shared" si="449"/>
        <v>0</v>
      </c>
      <c r="Z1541" s="54">
        <f t="shared" si="455"/>
        <v>0</v>
      </c>
      <c r="AA1541" s="54">
        <f t="shared" si="450"/>
        <v>0</v>
      </c>
      <c r="AB1541" s="55">
        <f t="shared" si="456"/>
        <v>0</v>
      </c>
      <c r="AC1541" s="55">
        <f t="shared" si="451"/>
        <v>0</v>
      </c>
      <c r="AD1541" s="56">
        <f t="shared" si="452"/>
        <v>0</v>
      </c>
    </row>
    <row r="1542" spans="3:30">
      <c r="C1542" s="43" t="s">
        <v>2833</v>
      </c>
      <c r="D1542" s="44" t="s">
        <v>2834</v>
      </c>
      <c r="E1542" s="44"/>
      <c r="F1542" s="45">
        <v>43357.296851851846</v>
      </c>
      <c r="G1542" s="46">
        <v>0</v>
      </c>
      <c r="H1542" s="47">
        <v>43397</v>
      </c>
      <c r="I1542" s="47">
        <v>43399</v>
      </c>
      <c r="J1542" s="46">
        <v>482130</v>
      </c>
      <c r="K1542" s="46">
        <v>0</v>
      </c>
      <c r="L1542" s="46">
        <v>0</v>
      </c>
      <c r="M1542" s="46">
        <f t="shared" si="441"/>
        <v>482130</v>
      </c>
      <c r="N1542" s="46">
        <v>478676</v>
      </c>
      <c r="O1542" s="48">
        <f t="shared" si="442"/>
        <v>0</v>
      </c>
      <c r="P1542" s="46">
        <v>0</v>
      </c>
      <c r="Q1542" s="46">
        <v>0</v>
      </c>
      <c r="R1542" s="49">
        <f t="shared" si="443"/>
        <v>0</v>
      </c>
      <c r="S1542" s="50">
        <f t="shared" si="444"/>
        <v>0</v>
      </c>
      <c r="T1542" s="49">
        <f t="shared" si="445"/>
        <v>0</v>
      </c>
      <c r="U1542" s="51">
        <f t="shared" si="446"/>
        <v>482130</v>
      </c>
      <c r="V1542" s="52">
        <f>IF(0&lt;0.8,0,IF(0&lt;1,Sheet3!L561,1))*IF(G1542&lt;3,0.12 - O1542,0.01) *U1542</f>
        <v>0</v>
      </c>
      <c r="W1542" s="52">
        <f t="shared" si="447"/>
        <v>0</v>
      </c>
      <c r="X1542" s="53">
        <f t="shared" si="448"/>
        <v>0</v>
      </c>
      <c r="Y1542" s="53">
        <f t="shared" si="449"/>
        <v>0</v>
      </c>
      <c r="Z1542" s="54">
        <f t="shared" si="455"/>
        <v>0</v>
      </c>
      <c r="AA1542" s="54">
        <f t="shared" si="450"/>
        <v>0</v>
      </c>
      <c r="AB1542" s="55">
        <f t="shared" si="456"/>
        <v>0</v>
      </c>
      <c r="AC1542" s="55">
        <f t="shared" si="451"/>
        <v>0</v>
      </c>
      <c r="AD1542" s="56">
        <f t="shared" si="452"/>
        <v>0</v>
      </c>
    </row>
    <row r="1543" spans="3:30">
      <c r="C1543" s="43" t="s">
        <v>2835</v>
      </c>
      <c r="D1543" s="44" t="s">
        <v>2836</v>
      </c>
      <c r="E1543" s="44"/>
      <c r="F1543" s="45">
        <v>43363.281759259255</v>
      </c>
      <c r="G1543" s="46">
        <v>0</v>
      </c>
      <c r="H1543" s="47">
        <v>43389</v>
      </c>
      <c r="I1543" s="47">
        <v>43434</v>
      </c>
      <c r="J1543" s="46">
        <v>1425864</v>
      </c>
      <c r="K1543" s="46">
        <v>0</v>
      </c>
      <c r="L1543" s="46">
        <v>0</v>
      </c>
      <c r="M1543" s="46">
        <f t="shared" si="441"/>
        <v>1425864</v>
      </c>
      <c r="N1543" s="46">
        <v>1425864</v>
      </c>
      <c r="O1543" s="48">
        <f t="shared" si="442"/>
        <v>0</v>
      </c>
      <c r="P1543" s="46">
        <v>0</v>
      </c>
      <c r="Q1543" s="46">
        <v>0</v>
      </c>
      <c r="R1543" s="49">
        <f t="shared" si="443"/>
        <v>0</v>
      </c>
      <c r="S1543" s="50">
        <f t="shared" si="444"/>
        <v>0</v>
      </c>
      <c r="T1543" s="49">
        <f t="shared" si="445"/>
        <v>0</v>
      </c>
      <c r="U1543" s="51">
        <f t="shared" si="446"/>
        <v>1425864</v>
      </c>
      <c r="V1543" s="52">
        <f>IF(0&lt;0.8,0,IF(0&lt;1,Sheet3!L561,1))*IF(G1543&lt;3,0.12 - O1543,0.01) *U1543</f>
        <v>0</v>
      </c>
      <c r="W1543" s="52">
        <f t="shared" si="447"/>
        <v>0</v>
      </c>
      <c r="X1543" s="53">
        <f t="shared" si="448"/>
        <v>0</v>
      </c>
      <c r="Y1543" s="53">
        <f t="shared" si="449"/>
        <v>0</v>
      </c>
      <c r="Z1543" s="54">
        <f t="shared" si="455"/>
        <v>0</v>
      </c>
      <c r="AA1543" s="54">
        <f t="shared" si="450"/>
        <v>0</v>
      </c>
      <c r="AB1543" s="55">
        <f t="shared" si="456"/>
        <v>0</v>
      </c>
      <c r="AC1543" s="55">
        <f t="shared" si="451"/>
        <v>0</v>
      </c>
      <c r="AD1543" s="56">
        <f t="shared" si="452"/>
        <v>0</v>
      </c>
    </row>
    <row r="1544" spans="3:30">
      <c r="C1544" s="43" t="s">
        <v>2837</v>
      </c>
      <c r="D1544" s="44" t="s">
        <v>2838</v>
      </c>
      <c r="E1544" s="44"/>
      <c r="F1544" s="45">
        <v>40130.410474537035</v>
      </c>
      <c r="G1544" s="46">
        <v>106</v>
      </c>
      <c r="H1544" s="47">
        <v>43377</v>
      </c>
      <c r="I1544" s="47">
        <v>43398</v>
      </c>
      <c r="J1544" s="46">
        <v>7936838</v>
      </c>
      <c r="K1544" s="46">
        <v>0</v>
      </c>
      <c r="L1544" s="46">
        <v>0</v>
      </c>
      <c r="M1544" s="46">
        <f t="shared" si="441"/>
        <v>7936838</v>
      </c>
      <c r="N1544" s="46">
        <v>16081194</v>
      </c>
      <c r="O1544" s="48">
        <f t="shared" si="442"/>
        <v>0.50645219502979688</v>
      </c>
      <c r="P1544" s="46">
        <v>0</v>
      </c>
      <c r="Q1544" s="46">
        <v>7936838</v>
      </c>
      <c r="R1544" s="49">
        <f t="shared" si="443"/>
        <v>1</v>
      </c>
      <c r="S1544" s="50">
        <f t="shared" si="444"/>
        <v>0.01</v>
      </c>
      <c r="T1544" s="49">
        <f t="shared" si="445"/>
        <v>79368.38</v>
      </c>
      <c r="U1544" s="51">
        <f t="shared" si="446"/>
        <v>0</v>
      </c>
      <c r="V1544" s="52">
        <f>IF(0&lt;0.8,0,IF(0&lt;1,Sheet3!L561,1))*IF(G1544&lt;3,0.12 - O1544,0.01) *U1544</f>
        <v>0</v>
      </c>
      <c r="W1544" s="52">
        <f t="shared" si="447"/>
        <v>0</v>
      </c>
      <c r="X1544" s="53">
        <f t="shared" si="448"/>
        <v>0</v>
      </c>
      <c r="Y1544" s="53">
        <f t="shared" si="449"/>
        <v>0</v>
      </c>
      <c r="Z1544" s="54">
        <f t="shared" si="455"/>
        <v>0</v>
      </c>
      <c r="AA1544" s="54">
        <f t="shared" si="450"/>
        <v>0</v>
      </c>
      <c r="AB1544" s="55">
        <f t="shared" si="456"/>
        <v>0</v>
      </c>
      <c r="AC1544" s="55">
        <f t="shared" si="451"/>
        <v>0</v>
      </c>
      <c r="AD1544" s="56">
        <f t="shared" si="452"/>
        <v>79368.38</v>
      </c>
    </row>
    <row r="1545" spans="3:30">
      <c r="C1545" s="43" t="s">
        <v>2839</v>
      </c>
      <c r="D1545" s="44" t="s">
        <v>2840</v>
      </c>
      <c r="E1545" s="44"/>
      <c r="F1545" s="45">
        <v>43119</v>
      </c>
      <c r="G1545" s="46">
        <v>8</v>
      </c>
      <c r="H1545" s="47">
        <v>43430</v>
      </c>
      <c r="I1545" s="47">
        <v>43454</v>
      </c>
      <c r="J1545" s="46">
        <v>39093386</v>
      </c>
      <c r="K1545" s="46">
        <v>0</v>
      </c>
      <c r="L1545" s="46">
        <v>0</v>
      </c>
      <c r="M1545" s="46">
        <f t="shared" si="441"/>
        <v>39093386</v>
      </c>
      <c r="N1545" s="46">
        <v>39048066</v>
      </c>
      <c r="O1545" s="48">
        <f t="shared" si="442"/>
        <v>0</v>
      </c>
      <c r="P1545" s="46">
        <v>0</v>
      </c>
      <c r="Q1545" s="46">
        <v>39181795</v>
      </c>
      <c r="R1545" s="49">
        <f t="shared" si="443"/>
        <v>1</v>
      </c>
      <c r="S1545" s="50">
        <f t="shared" si="444"/>
        <v>0.01</v>
      </c>
      <c r="T1545" s="49">
        <f t="shared" si="445"/>
        <v>390933.86</v>
      </c>
      <c r="U1545" s="51">
        <f t="shared" si="446"/>
        <v>0</v>
      </c>
      <c r="V1545" s="52">
        <f>IF(0&lt;0.8,0,IF(0&lt;1,Sheet3!L561,1))*IF(G1545&lt;3,0.12 - O1545,0.01) *U1545</f>
        <v>0</v>
      </c>
      <c r="W1545" s="52">
        <f t="shared" si="447"/>
        <v>0</v>
      </c>
      <c r="X1545" s="53">
        <f t="shared" si="448"/>
        <v>0</v>
      </c>
      <c r="Y1545" s="53">
        <f t="shared" si="449"/>
        <v>0</v>
      </c>
      <c r="Z1545" s="54">
        <f t="shared" si="455"/>
        <v>0</v>
      </c>
      <c r="AA1545" s="54">
        <f t="shared" si="450"/>
        <v>0</v>
      </c>
      <c r="AB1545" s="55">
        <f t="shared" si="456"/>
        <v>0</v>
      </c>
      <c r="AC1545" s="55">
        <f t="shared" si="451"/>
        <v>0</v>
      </c>
      <c r="AD1545" s="56">
        <f t="shared" si="452"/>
        <v>390933.86</v>
      </c>
    </row>
    <row r="1546" spans="3:30">
      <c r="C1546" s="43" t="s">
        <v>2841</v>
      </c>
      <c r="D1546" s="44" t="s">
        <v>2842</v>
      </c>
      <c r="E1546" s="44"/>
      <c r="F1546" s="45">
        <v>43119</v>
      </c>
      <c r="G1546" s="46">
        <v>8</v>
      </c>
      <c r="H1546" s="47">
        <v>43434</v>
      </c>
      <c r="I1546" s="47">
        <v>43445</v>
      </c>
      <c r="J1546" s="46">
        <v>30748676</v>
      </c>
      <c r="K1546" s="46">
        <v>0</v>
      </c>
      <c r="L1546" s="46">
        <v>0</v>
      </c>
      <c r="M1546" s="46">
        <f t="shared" si="441"/>
        <v>30748676</v>
      </c>
      <c r="N1546" s="46">
        <v>28267977</v>
      </c>
      <c r="O1546" s="48">
        <f t="shared" si="442"/>
        <v>0</v>
      </c>
      <c r="P1546" s="46">
        <v>0</v>
      </c>
      <c r="Q1546" s="46">
        <v>30779676</v>
      </c>
      <c r="R1546" s="49">
        <f t="shared" si="443"/>
        <v>1</v>
      </c>
      <c r="S1546" s="50">
        <f t="shared" si="444"/>
        <v>0.01</v>
      </c>
      <c r="T1546" s="49">
        <f t="shared" si="445"/>
        <v>307486.76</v>
      </c>
      <c r="U1546" s="51">
        <f t="shared" si="446"/>
        <v>0</v>
      </c>
      <c r="V1546" s="52">
        <f>IF(0&lt;0.8,0,IF(0&lt;1,Sheet3!L561,1))*IF(G1546&lt;3,0.12 - O1546,0.01) *U1546</f>
        <v>0</v>
      </c>
      <c r="W1546" s="52">
        <f t="shared" si="447"/>
        <v>0</v>
      </c>
      <c r="X1546" s="53">
        <f t="shared" si="448"/>
        <v>0</v>
      </c>
      <c r="Y1546" s="53">
        <f t="shared" si="449"/>
        <v>0</v>
      </c>
      <c r="Z1546" s="54">
        <f t="shared" si="455"/>
        <v>0</v>
      </c>
      <c r="AA1546" s="54">
        <f t="shared" si="450"/>
        <v>0</v>
      </c>
      <c r="AB1546" s="55">
        <f>IF(R1546=0,1600000,0)</f>
        <v>0</v>
      </c>
      <c r="AC1546" s="55">
        <f t="shared" si="451"/>
        <v>0</v>
      </c>
      <c r="AD1546" s="56">
        <f t="shared" si="452"/>
        <v>307486.76</v>
      </c>
    </row>
    <row r="1547" spans="3:30">
      <c r="C1547" s="43" t="s">
        <v>2843</v>
      </c>
      <c r="D1547" s="44" t="s">
        <v>2844</v>
      </c>
      <c r="E1547" s="44"/>
      <c r="F1547" s="45">
        <v>43119</v>
      </c>
      <c r="G1547" s="46">
        <v>8</v>
      </c>
      <c r="H1547" s="47">
        <v>43430</v>
      </c>
      <c r="I1547" s="47">
        <v>43426</v>
      </c>
      <c r="J1547" s="46">
        <v>77002212</v>
      </c>
      <c r="K1547" s="46">
        <v>0</v>
      </c>
      <c r="L1547" s="46">
        <v>0</v>
      </c>
      <c r="M1547" s="46">
        <f t="shared" si="441"/>
        <v>77002212</v>
      </c>
      <c r="N1547" s="46">
        <v>106117006</v>
      </c>
      <c r="O1547" s="48">
        <f t="shared" si="442"/>
        <v>0.27436501553766035</v>
      </c>
      <c r="P1547" s="46">
        <v>0</v>
      </c>
      <c r="Q1547" s="46">
        <v>82344783</v>
      </c>
      <c r="R1547" s="49">
        <f t="shared" si="443"/>
        <v>1</v>
      </c>
      <c r="S1547" s="50">
        <f t="shared" si="444"/>
        <v>0.01</v>
      </c>
      <c r="T1547" s="49">
        <f t="shared" si="445"/>
        <v>770022.12</v>
      </c>
      <c r="U1547" s="51">
        <f t="shared" si="446"/>
        <v>0</v>
      </c>
      <c r="V1547" s="52">
        <f>IF(0&lt;0.8,0,IF(0&lt;1,Sheet3!L561,1))*IF(G1547&lt;3,0.12 - O1547,0.01) *U1547</f>
        <v>0</v>
      </c>
      <c r="W1547" s="52">
        <f t="shared" si="447"/>
        <v>0</v>
      </c>
      <c r="X1547" s="53">
        <f t="shared" si="448"/>
        <v>0</v>
      </c>
      <c r="Y1547" s="53">
        <f t="shared" si="449"/>
        <v>0</v>
      </c>
      <c r="Z1547" s="54">
        <f t="shared" si="455"/>
        <v>0</v>
      </c>
      <c r="AA1547" s="54">
        <f t="shared" si="450"/>
        <v>0</v>
      </c>
      <c r="AB1547" s="55">
        <f>IF(R1547=0,0,0)</f>
        <v>0</v>
      </c>
      <c r="AC1547" s="55">
        <f t="shared" si="451"/>
        <v>0</v>
      </c>
      <c r="AD1547" s="56">
        <f t="shared" si="452"/>
        <v>770022.12</v>
      </c>
    </row>
    <row r="1548" spans="3:30">
      <c r="C1548" s="43" t="s">
        <v>2845</v>
      </c>
      <c r="D1548" s="44" t="s">
        <v>2846</v>
      </c>
      <c r="E1548" s="44"/>
      <c r="F1548" s="45">
        <v>43119</v>
      </c>
      <c r="G1548" s="46">
        <v>8</v>
      </c>
      <c r="H1548" s="47">
        <v>43420</v>
      </c>
      <c r="I1548" s="47">
        <v>43430</v>
      </c>
      <c r="J1548" s="46">
        <v>5736326</v>
      </c>
      <c r="K1548" s="46">
        <v>0</v>
      </c>
      <c r="L1548" s="46">
        <v>0</v>
      </c>
      <c r="M1548" s="46">
        <f t="shared" si="441"/>
        <v>5736326</v>
      </c>
      <c r="N1548" s="46">
        <v>5752909</v>
      </c>
      <c r="O1548" s="48">
        <f t="shared" si="442"/>
        <v>2.8825416845633667E-3</v>
      </c>
      <c r="P1548" s="46">
        <v>0</v>
      </c>
      <c r="Q1548" s="46">
        <v>5879248</v>
      </c>
      <c r="R1548" s="49">
        <f t="shared" si="443"/>
        <v>1</v>
      </c>
      <c r="S1548" s="50">
        <f t="shared" si="444"/>
        <v>0.01</v>
      </c>
      <c r="T1548" s="49">
        <f t="shared" si="445"/>
        <v>57363.26</v>
      </c>
      <c r="U1548" s="51">
        <f t="shared" si="446"/>
        <v>0</v>
      </c>
      <c r="V1548" s="52">
        <f>IF(0&lt;0.8,0,IF(0&lt;1,Sheet3!L561,1))*IF(G1548&lt;3,0.12 - O1548,0.01) *U1548</f>
        <v>0</v>
      </c>
      <c r="W1548" s="52">
        <f t="shared" si="447"/>
        <v>0</v>
      </c>
      <c r="X1548" s="53">
        <f t="shared" si="448"/>
        <v>0</v>
      </c>
      <c r="Y1548" s="53">
        <f t="shared" si="449"/>
        <v>0</v>
      </c>
      <c r="Z1548" s="54">
        <f t="shared" si="455"/>
        <v>0</v>
      </c>
      <c r="AA1548" s="54">
        <f t="shared" si="450"/>
        <v>0</v>
      </c>
      <c r="AB1548" s="55">
        <f>IF(R1548=0,0,0)</f>
        <v>0</v>
      </c>
      <c r="AC1548" s="55">
        <f t="shared" si="451"/>
        <v>0</v>
      </c>
      <c r="AD1548" s="56">
        <f t="shared" si="452"/>
        <v>57363.26</v>
      </c>
    </row>
    <row r="1549" spans="3:30">
      <c r="C1549" s="43" t="s">
        <v>2847</v>
      </c>
      <c r="D1549" s="44" t="s">
        <v>2848</v>
      </c>
      <c r="E1549" s="44"/>
      <c r="F1549" s="45">
        <v>43119</v>
      </c>
      <c r="G1549" s="46">
        <v>8</v>
      </c>
      <c r="H1549" s="47">
        <v>43398</v>
      </c>
      <c r="I1549" s="47">
        <v>43391</v>
      </c>
      <c r="J1549" s="46">
        <v>2982000</v>
      </c>
      <c r="K1549" s="46">
        <v>0</v>
      </c>
      <c r="L1549" s="46">
        <v>0</v>
      </c>
      <c r="M1549" s="46">
        <f t="shared" si="441"/>
        <v>2982000</v>
      </c>
      <c r="N1549" s="46">
        <v>2890153</v>
      </c>
      <c r="O1549" s="48">
        <f t="shared" si="442"/>
        <v>0</v>
      </c>
      <c r="P1549" s="46">
        <v>0</v>
      </c>
      <c r="Q1549" s="46">
        <v>3027000</v>
      </c>
      <c r="R1549" s="49">
        <f t="shared" si="443"/>
        <v>1</v>
      </c>
      <c r="S1549" s="50">
        <f t="shared" si="444"/>
        <v>0.01</v>
      </c>
      <c r="T1549" s="49">
        <f t="shared" si="445"/>
        <v>29820</v>
      </c>
      <c r="U1549" s="51">
        <f t="shared" si="446"/>
        <v>0</v>
      </c>
      <c r="V1549" s="52">
        <f>IF(0&lt;0.8,0,IF(0&lt;1,Sheet3!L561,1))*IF(G1549&lt;3,0.12 - O1549,0.01) *U1549</f>
        <v>0</v>
      </c>
      <c r="W1549" s="52">
        <f t="shared" si="447"/>
        <v>0</v>
      </c>
      <c r="X1549" s="53">
        <f t="shared" si="448"/>
        <v>0</v>
      </c>
      <c r="Y1549" s="53">
        <f t="shared" si="449"/>
        <v>0</v>
      </c>
      <c r="Z1549" s="54">
        <f t="shared" si="455"/>
        <v>0</v>
      </c>
      <c r="AA1549" s="54">
        <f t="shared" si="450"/>
        <v>0</v>
      </c>
      <c r="AB1549" s="55">
        <f>IF(R1549=0,0,0)</f>
        <v>0</v>
      </c>
      <c r="AC1549" s="55">
        <f t="shared" si="451"/>
        <v>0</v>
      </c>
      <c r="AD1549" s="56">
        <f t="shared" si="452"/>
        <v>29820</v>
      </c>
    </row>
    <row r="1550" spans="3:30">
      <c r="C1550" s="43" t="s">
        <v>2849</v>
      </c>
      <c r="D1550" s="44" t="s">
        <v>2850</v>
      </c>
      <c r="E1550" s="44"/>
      <c r="F1550" s="45">
        <v>39288</v>
      </c>
      <c r="G1550" s="46">
        <v>134</v>
      </c>
      <c r="H1550" s="47" t="s">
        <v>24</v>
      </c>
      <c r="I1550" s="47" t="s">
        <v>24</v>
      </c>
      <c r="J1550" s="46">
        <v>54000</v>
      </c>
      <c r="K1550" s="46">
        <v>0</v>
      </c>
      <c r="L1550" s="46">
        <v>0</v>
      </c>
      <c r="M1550" s="46">
        <f t="shared" si="441"/>
        <v>54000</v>
      </c>
      <c r="N1550" s="46" t="s">
        <v>24</v>
      </c>
      <c r="O1550" s="48">
        <f t="shared" si="442"/>
        <v>0</v>
      </c>
      <c r="P1550" s="46">
        <v>0</v>
      </c>
      <c r="Q1550" s="46">
        <v>0</v>
      </c>
      <c r="R1550" s="49">
        <f t="shared" si="443"/>
        <v>1</v>
      </c>
      <c r="S1550" s="50">
        <f t="shared" si="444"/>
        <v>0.01</v>
      </c>
      <c r="T1550" s="49">
        <f t="shared" si="445"/>
        <v>540</v>
      </c>
      <c r="U1550" s="51">
        <f t="shared" si="446"/>
        <v>0</v>
      </c>
      <c r="V1550" s="52">
        <f>IF(0&lt;0.8,0,IF(0&lt;1,Sheet3!L561,1))*IF(G1550&lt;3,0.12 - O1550,0.01) *U1550</f>
        <v>0</v>
      </c>
      <c r="W1550" s="52">
        <f t="shared" si="447"/>
        <v>0</v>
      </c>
      <c r="X1550" s="53">
        <f t="shared" si="448"/>
        <v>0</v>
      </c>
      <c r="Y1550" s="53">
        <f t="shared" si="449"/>
        <v>0</v>
      </c>
      <c r="Z1550" s="54">
        <f>IF(R1550=1,0,"")</f>
        <v>0</v>
      </c>
      <c r="AA1550" s="54">
        <f t="shared" si="450"/>
        <v>0</v>
      </c>
      <c r="AB1550" s="55">
        <f>IF(R1550=0,"",0)</f>
        <v>0</v>
      </c>
      <c r="AC1550" s="55">
        <f t="shared" si="451"/>
        <v>0</v>
      </c>
      <c r="AD1550" s="56">
        <f t="shared" si="452"/>
        <v>540</v>
      </c>
    </row>
    <row r="1551" spans="3:30">
      <c r="C1551" s="43" t="s">
        <v>2851</v>
      </c>
      <c r="D1551" s="44" t="s">
        <v>24</v>
      </c>
      <c r="E1551" s="44"/>
      <c r="F1551" s="45" t="s">
        <v>24</v>
      </c>
      <c r="G1551" s="46" t="s">
        <v>24</v>
      </c>
      <c r="H1551" s="47" t="s">
        <v>24</v>
      </c>
      <c r="I1551" s="47" t="s">
        <v>24</v>
      </c>
      <c r="J1551" s="46">
        <v>54000</v>
      </c>
      <c r="K1551" s="46">
        <v>0</v>
      </c>
      <c r="L1551" s="46">
        <v>0</v>
      </c>
      <c r="M1551" s="46">
        <f t="shared" si="441"/>
        <v>54000</v>
      </c>
      <c r="N1551" s="46" t="s">
        <v>24</v>
      </c>
      <c r="O1551" s="48">
        <f t="shared" si="442"/>
        <v>0</v>
      </c>
      <c r="P1551" s="46">
        <v>0</v>
      </c>
      <c r="Q1551" s="46">
        <v>0</v>
      </c>
      <c r="R1551" s="49">
        <f t="shared" si="443"/>
        <v>0</v>
      </c>
      <c r="S1551" s="50">
        <f t="shared" si="444"/>
        <v>0</v>
      </c>
      <c r="T1551" s="49">
        <f t="shared" si="445"/>
        <v>0</v>
      </c>
      <c r="U1551" s="51">
        <f t="shared" si="446"/>
        <v>54000</v>
      </c>
      <c r="V1551" s="52">
        <f>IF(0&lt;0.8,0,IF(0&lt;1,Sheet3!L561,1))*IF(G1551&lt;3,0.12 - O1551,0.01) *U1551</f>
        <v>0</v>
      </c>
      <c r="W1551" s="52">
        <f t="shared" si="447"/>
        <v>0</v>
      </c>
      <c r="X1551" s="53">
        <f t="shared" si="448"/>
        <v>0</v>
      </c>
      <c r="Y1551" s="53">
        <f t="shared" si="449"/>
        <v>0</v>
      </c>
      <c r="Z1551" s="54" t="str">
        <f>IF(R1551=1,0,"")</f>
        <v/>
      </c>
      <c r="AA1551" s="54">
        <f t="shared" si="450"/>
        <v>0</v>
      </c>
      <c r="AB1551" s="55" t="str">
        <f>IF(R1551=0,"",0)</f>
        <v/>
      </c>
      <c r="AC1551" s="55">
        <f t="shared" si="451"/>
        <v>0</v>
      </c>
      <c r="AD1551" s="56">
        <f t="shared" si="452"/>
        <v>0</v>
      </c>
    </row>
    <row r="1552" spans="3:30">
      <c r="C1552" s="43" t="s">
        <v>2852</v>
      </c>
      <c r="D1552" s="44" t="s">
        <v>2853</v>
      </c>
      <c r="E1552" s="44"/>
      <c r="F1552" s="45">
        <v>43119</v>
      </c>
      <c r="G1552" s="46">
        <v>8</v>
      </c>
      <c r="H1552" s="47">
        <v>43405</v>
      </c>
      <c r="I1552" s="47">
        <v>43430</v>
      </c>
      <c r="J1552" s="46">
        <v>9252093</v>
      </c>
      <c r="K1552" s="46">
        <v>0</v>
      </c>
      <c r="L1552" s="46">
        <v>0</v>
      </c>
      <c r="M1552" s="46">
        <f t="shared" si="441"/>
        <v>9252093</v>
      </c>
      <c r="N1552" s="46">
        <v>8891050</v>
      </c>
      <c r="O1552" s="48">
        <f t="shared" si="442"/>
        <v>0</v>
      </c>
      <c r="P1552" s="46">
        <v>0</v>
      </c>
      <c r="Q1552" s="46">
        <v>9252093</v>
      </c>
      <c r="R1552" s="49">
        <f t="shared" si="443"/>
        <v>1</v>
      </c>
      <c r="S1552" s="50">
        <f t="shared" si="444"/>
        <v>0.01</v>
      </c>
      <c r="T1552" s="49">
        <f t="shared" si="445"/>
        <v>92520.930000000008</v>
      </c>
      <c r="U1552" s="51">
        <f t="shared" si="446"/>
        <v>0</v>
      </c>
      <c r="V1552" s="52">
        <f>IF(0&lt;0.8,0,IF(0&lt;1,Sheet3!L561,1))*IF(G1552&lt;3,0.12 - O1552,0.01) *U1552</f>
        <v>0</v>
      </c>
      <c r="W1552" s="52">
        <f t="shared" si="447"/>
        <v>0</v>
      </c>
      <c r="X1552" s="53">
        <f t="shared" si="448"/>
        <v>0</v>
      </c>
      <c r="Y1552" s="53">
        <f t="shared" si="449"/>
        <v>0</v>
      </c>
      <c r="Z1552" s="54">
        <f>IF(R1552=1,0,0)</f>
        <v>0</v>
      </c>
      <c r="AA1552" s="54">
        <f t="shared" si="450"/>
        <v>0</v>
      </c>
      <c r="AB1552" s="55">
        <f>IF(R1552=0,0,0)</f>
        <v>0</v>
      </c>
      <c r="AC1552" s="55">
        <f t="shared" si="451"/>
        <v>0</v>
      </c>
      <c r="AD1552" s="56">
        <f t="shared" si="452"/>
        <v>92520.930000000008</v>
      </c>
    </row>
    <row r="1553" spans="3:30">
      <c r="C1553" s="43" t="s">
        <v>2854</v>
      </c>
      <c r="D1553" s="44" t="s">
        <v>2855</v>
      </c>
      <c r="E1553" s="44"/>
      <c r="F1553" s="45">
        <v>43119</v>
      </c>
      <c r="G1553" s="46">
        <v>8</v>
      </c>
      <c r="H1553" s="47">
        <v>43393</v>
      </c>
      <c r="I1553" s="47">
        <v>43381</v>
      </c>
      <c r="J1553" s="46">
        <v>3180806</v>
      </c>
      <c r="K1553" s="46">
        <v>0</v>
      </c>
      <c r="L1553" s="46">
        <v>0</v>
      </c>
      <c r="M1553" s="46">
        <f t="shared" si="441"/>
        <v>3180806</v>
      </c>
      <c r="N1553" s="46">
        <v>3931675</v>
      </c>
      <c r="O1553" s="48">
        <f t="shared" si="442"/>
        <v>0.19097941716952693</v>
      </c>
      <c r="P1553" s="46">
        <v>0</v>
      </c>
      <c r="Q1553" s="46">
        <v>3180806</v>
      </c>
      <c r="R1553" s="49">
        <f t="shared" si="443"/>
        <v>1</v>
      </c>
      <c r="S1553" s="50">
        <f t="shared" si="444"/>
        <v>0.01</v>
      </c>
      <c r="T1553" s="49">
        <f t="shared" si="445"/>
        <v>31808.06</v>
      </c>
      <c r="U1553" s="51">
        <f t="shared" si="446"/>
        <v>0</v>
      </c>
      <c r="V1553" s="52">
        <f>IF(0&lt;0.8,0,IF(0&lt;1,Sheet3!L561,1))*IF(G1553&lt;3,0.12 - O1553,0.01) *U1553</f>
        <v>0</v>
      </c>
      <c r="W1553" s="52">
        <f t="shared" si="447"/>
        <v>0</v>
      </c>
      <c r="X1553" s="53">
        <f t="shared" si="448"/>
        <v>0</v>
      </c>
      <c r="Y1553" s="53">
        <f t="shared" si="449"/>
        <v>0</v>
      </c>
      <c r="Z1553" s="54">
        <f>IF(R1553=1,0,0)</f>
        <v>0</v>
      </c>
      <c r="AA1553" s="54">
        <f t="shared" si="450"/>
        <v>0</v>
      </c>
      <c r="AB1553" s="55">
        <f>IF(R1553=0,0,0)</f>
        <v>0</v>
      </c>
      <c r="AC1553" s="55">
        <f t="shared" si="451"/>
        <v>0</v>
      </c>
      <c r="AD1553" s="56">
        <f t="shared" si="452"/>
        <v>31808.06</v>
      </c>
    </row>
    <row r="1554" spans="3:30">
      <c r="C1554" s="43" t="s">
        <v>2856</v>
      </c>
      <c r="D1554" s="44" t="s">
        <v>2857</v>
      </c>
      <c r="E1554" s="44"/>
      <c r="F1554" s="45">
        <v>43119</v>
      </c>
      <c r="G1554" s="46">
        <v>8</v>
      </c>
      <c r="H1554" s="47">
        <v>43406</v>
      </c>
      <c r="I1554" s="47">
        <v>43419</v>
      </c>
      <c r="J1554" s="46">
        <v>3262456</v>
      </c>
      <c r="K1554" s="46">
        <v>0</v>
      </c>
      <c r="L1554" s="46">
        <v>0</v>
      </c>
      <c r="M1554" s="46">
        <f t="shared" si="441"/>
        <v>3262456</v>
      </c>
      <c r="N1554" s="46">
        <v>3278922</v>
      </c>
      <c r="O1554" s="48">
        <f t="shared" si="442"/>
        <v>5.0217723995874541E-3</v>
      </c>
      <c r="P1554" s="46">
        <v>0</v>
      </c>
      <c r="Q1554" s="46">
        <v>3421218</v>
      </c>
      <c r="R1554" s="49">
        <f t="shared" si="443"/>
        <v>1</v>
      </c>
      <c r="S1554" s="50">
        <f t="shared" si="444"/>
        <v>0.01</v>
      </c>
      <c r="T1554" s="49">
        <f t="shared" si="445"/>
        <v>32624.560000000001</v>
      </c>
      <c r="U1554" s="51">
        <f t="shared" si="446"/>
        <v>0</v>
      </c>
      <c r="V1554" s="52">
        <f>IF(0&lt;0.8,0,IF(0&lt;1,Sheet3!L561,1))*IF(G1554&lt;3,0.12 - O1554,0.01) *U1554</f>
        <v>0</v>
      </c>
      <c r="W1554" s="52">
        <f t="shared" si="447"/>
        <v>0</v>
      </c>
      <c r="X1554" s="53">
        <f t="shared" si="448"/>
        <v>0</v>
      </c>
      <c r="Y1554" s="53">
        <f t="shared" si="449"/>
        <v>0</v>
      </c>
      <c r="Z1554" s="54">
        <f>IF(R1554=1,0,0)</f>
        <v>0</v>
      </c>
      <c r="AA1554" s="54">
        <f t="shared" si="450"/>
        <v>0</v>
      </c>
      <c r="AB1554" s="55">
        <f>IF(R1554=0,0,0)</f>
        <v>0</v>
      </c>
      <c r="AC1554" s="55">
        <f t="shared" si="451"/>
        <v>0</v>
      </c>
      <c r="AD1554" s="56">
        <f t="shared" si="452"/>
        <v>32624.560000000001</v>
      </c>
    </row>
    <row r="1555" spans="3:30">
      <c r="C1555" s="43" t="s">
        <v>2858</v>
      </c>
      <c r="D1555" s="44" t="s">
        <v>2859</v>
      </c>
      <c r="E1555" s="44"/>
      <c r="F1555" s="45">
        <v>43119</v>
      </c>
      <c r="G1555" s="46">
        <v>8</v>
      </c>
      <c r="H1555" s="47">
        <v>43393</v>
      </c>
      <c r="I1555" s="47">
        <v>43389</v>
      </c>
      <c r="J1555" s="46">
        <v>556000</v>
      </c>
      <c r="K1555" s="46">
        <v>0</v>
      </c>
      <c r="L1555" s="46">
        <v>0</v>
      </c>
      <c r="M1555" s="46">
        <f t="shared" si="441"/>
        <v>556000</v>
      </c>
      <c r="N1555" s="46">
        <v>550313</v>
      </c>
      <c r="O1555" s="48">
        <f t="shared" si="442"/>
        <v>0</v>
      </c>
      <c r="P1555" s="46">
        <v>0</v>
      </c>
      <c r="Q1555" s="46">
        <v>556000</v>
      </c>
      <c r="R1555" s="49">
        <f t="shared" si="443"/>
        <v>1</v>
      </c>
      <c r="S1555" s="50">
        <f t="shared" si="444"/>
        <v>0.01</v>
      </c>
      <c r="T1555" s="49">
        <f t="shared" si="445"/>
        <v>5560</v>
      </c>
      <c r="U1555" s="51">
        <f t="shared" si="446"/>
        <v>0</v>
      </c>
      <c r="V1555" s="52">
        <f>IF(0&lt;0.8,0,IF(0&lt;1,Sheet3!L561,1))*IF(G1555&lt;3,0.12 - O1555,0.01) *U1555</f>
        <v>0</v>
      </c>
      <c r="W1555" s="52">
        <f t="shared" si="447"/>
        <v>0</v>
      </c>
      <c r="X1555" s="53">
        <f t="shared" si="448"/>
        <v>0</v>
      </c>
      <c r="Y1555" s="53">
        <f t="shared" si="449"/>
        <v>0</v>
      </c>
      <c r="Z1555" s="54">
        <f>IF(R1555=1,0,0)</f>
        <v>0</v>
      </c>
      <c r="AA1555" s="54">
        <f t="shared" si="450"/>
        <v>0</v>
      </c>
      <c r="AB1555" s="55">
        <f>IF(R1555=0,0,0)</f>
        <v>0</v>
      </c>
      <c r="AC1555" s="55">
        <f t="shared" si="451"/>
        <v>0</v>
      </c>
      <c r="AD1555" s="56">
        <f t="shared" si="452"/>
        <v>5560</v>
      </c>
    </row>
    <row r="1556" spans="3:30">
      <c r="C1556" s="43" t="s">
        <v>2860</v>
      </c>
      <c r="D1556" s="44" t="s">
        <v>2861</v>
      </c>
      <c r="E1556" s="44"/>
      <c r="F1556" s="45">
        <v>42522.064097222217</v>
      </c>
      <c r="G1556" s="46">
        <v>27</v>
      </c>
      <c r="H1556" s="47" t="s">
        <v>24</v>
      </c>
      <c r="I1556" s="47" t="s">
        <v>24</v>
      </c>
      <c r="J1556" s="46">
        <v>0</v>
      </c>
      <c r="K1556" s="46">
        <v>0</v>
      </c>
      <c r="L1556" s="46">
        <v>0</v>
      </c>
      <c r="M1556" s="46">
        <f t="shared" si="441"/>
        <v>0</v>
      </c>
      <c r="N1556" s="46">
        <v>86834640</v>
      </c>
      <c r="O1556" s="48">
        <f t="shared" si="442"/>
        <v>1</v>
      </c>
      <c r="P1556" s="46">
        <v>0</v>
      </c>
      <c r="Q1556" s="46">
        <v>0</v>
      </c>
      <c r="R1556" s="49">
        <f t="shared" si="443"/>
        <v>1</v>
      </c>
      <c r="S1556" s="50">
        <f t="shared" si="444"/>
        <v>0.01</v>
      </c>
      <c r="T1556" s="49">
        <f t="shared" si="445"/>
        <v>0</v>
      </c>
      <c r="U1556" s="51">
        <f t="shared" si="446"/>
        <v>0</v>
      </c>
      <c r="V1556" s="52">
        <f>IF(0&lt;0.8,0,IF(0&lt;1,Sheet3!L561,1))*IF(G1556&lt;3,0.12 - O1556,0.01) *U1556</f>
        <v>0</v>
      </c>
      <c r="W1556" s="52">
        <f t="shared" si="447"/>
        <v>0</v>
      </c>
      <c r="X1556" s="53">
        <f t="shared" si="448"/>
        <v>0</v>
      </c>
      <c r="Y1556" s="53">
        <f t="shared" si="449"/>
        <v>0</v>
      </c>
      <c r="Z1556" s="54">
        <f>IF(R1556=1,0,"")</f>
        <v>0</v>
      </c>
      <c r="AA1556" s="54">
        <f t="shared" si="450"/>
        <v>0</v>
      </c>
      <c r="AB1556" s="55">
        <f>IF(R1556=0,"",0)</f>
        <v>0</v>
      </c>
      <c r="AC1556" s="55">
        <f t="shared" si="451"/>
        <v>0</v>
      </c>
      <c r="AD1556" s="56">
        <f t="shared" si="452"/>
        <v>0</v>
      </c>
    </row>
    <row r="1557" spans="3:30">
      <c r="C1557" s="43" t="s">
        <v>2862</v>
      </c>
      <c r="D1557" s="44" t="s">
        <v>2863</v>
      </c>
      <c r="E1557" s="44"/>
      <c r="F1557" s="45">
        <v>40123</v>
      </c>
      <c r="G1557" s="46">
        <v>106</v>
      </c>
      <c r="H1557" s="47">
        <v>43398</v>
      </c>
      <c r="I1557" s="47">
        <v>43391</v>
      </c>
      <c r="J1557" s="46">
        <v>2357000</v>
      </c>
      <c r="K1557" s="46">
        <v>0</v>
      </c>
      <c r="L1557" s="46">
        <v>0</v>
      </c>
      <c r="M1557" s="46">
        <f t="shared" si="441"/>
        <v>2357000</v>
      </c>
      <c r="N1557" s="46">
        <v>2101649</v>
      </c>
      <c r="O1557" s="48">
        <f t="shared" si="442"/>
        <v>0</v>
      </c>
      <c r="P1557" s="46">
        <v>0</v>
      </c>
      <c r="Q1557" s="46">
        <v>2585000</v>
      </c>
      <c r="R1557" s="49">
        <f t="shared" si="443"/>
        <v>1</v>
      </c>
      <c r="S1557" s="50">
        <f t="shared" si="444"/>
        <v>0.01</v>
      </c>
      <c r="T1557" s="49">
        <f t="shared" si="445"/>
        <v>23570</v>
      </c>
      <c r="U1557" s="51">
        <f t="shared" si="446"/>
        <v>0</v>
      </c>
      <c r="V1557" s="52">
        <f>IF(0&lt;0.8,0,IF(0&lt;1,Sheet3!L561,1))*IF(G1557&lt;3,0.12 - O1557,0.01) *U1557</f>
        <v>0</v>
      </c>
      <c r="W1557" s="52">
        <f t="shared" si="447"/>
        <v>0</v>
      </c>
      <c r="X1557" s="53">
        <f t="shared" si="448"/>
        <v>0</v>
      </c>
      <c r="Y1557" s="53">
        <f t="shared" si="449"/>
        <v>0</v>
      </c>
      <c r="Z1557" s="54">
        <f t="shared" ref="Z1557:Z1571" si="457">IF(R1557=1,0,0)</f>
        <v>0</v>
      </c>
      <c r="AA1557" s="54">
        <f t="shared" si="450"/>
        <v>0</v>
      </c>
      <c r="AB1557" s="55">
        <f t="shared" ref="AB1557:AB1571" si="458">IF(R1557=0,0,0)</f>
        <v>0</v>
      </c>
      <c r="AC1557" s="55">
        <f t="shared" si="451"/>
        <v>0</v>
      </c>
      <c r="AD1557" s="56">
        <f t="shared" si="452"/>
        <v>23570</v>
      </c>
    </row>
    <row r="1558" spans="3:30">
      <c r="C1558" s="43" t="s">
        <v>2864</v>
      </c>
      <c r="D1558" s="44" t="s">
        <v>995</v>
      </c>
      <c r="E1558" s="44"/>
      <c r="F1558" s="45">
        <v>43322.410393518519</v>
      </c>
      <c r="G1558" s="46">
        <v>1</v>
      </c>
      <c r="H1558" s="47">
        <v>43434</v>
      </c>
      <c r="I1558" s="47">
        <v>43476</v>
      </c>
      <c r="J1558" s="46">
        <v>51213267</v>
      </c>
      <c r="K1558" s="46">
        <v>0</v>
      </c>
      <c r="L1558" s="46">
        <v>0</v>
      </c>
      <c r="M1558" s="46">
        <f t="shared" si="441"/>
        <v>51213267</v>
      </c>
      <c r="N1558" s="46">
        <v>77652281</v>
      </c>
      <c r="O1558" s="48">
        <f t="shared" si="442"/>
        <v>0.34047955397472485</v>
      </c>
      <c r="P1558" s="46">
        <v>0</v>
      </c>
      <c r="Q1558" s="46">
        <v>0</v>
      </c>
      <c r="R1558" s="49">
        <f t="shared" si="443"/>
        <v>0</v>
      </c>
      <c r="S1558" s="50">
        <f t="shared" si="444"/>
        <v>0</v>
      </c>
      <c r="T1558" s="49">
        <f t="shared" si="445"/>
        <v>0</v>
      </c>
      <c r="U1558" s="51">
        <f t="shared" si="446"/>
        <v>0</v>
      </c>
      <c r="V1558" s="52">
        <f>IF(0&lt;0.8,0,IF(0&lt;1,Sheet3!L561,1))*IF(G1558&lt;3,0.12 - O1558,0.01) *U1558</f>
        <v>0</v>
      </c>
      <c r="W1558" s="52">
        <f t="shared" si="447"/>
        <v>0</v>
      </c>
      <c r="X1558" s="53">
        <f t="shared" si="448"/>
        <v>0</v>
      </c>
      <c r="Y1558" s="53">
        <f t="shared" si="449"/>
        <v>0</v>
      </c>
      <c r="Z1558" s="54">
        <f t="shared" si="457"/>
        <v>0</v>
      </c>
      <c r="AA1558" s="54">
        <f t="shared" si="450"/>
        <v>0</v>
      </c>
      <c r="AB1558" s="55">
        <f t="shared" si="458"/>
        <v>0</v>
      </c>
      <c r="AC1558" s="55">
        <f t="shared" si="451"/>
        <v>0</v>
      </c>
      <c r="AD1558" s="56">
        <f t="shared" si="452"/>
        <v>0</v>
      </c>
    </row>
    <row r="1559" spans="3:30">
      <c r="C1559" s="43" t="s">
        <v>2865</v>
      </c>
      <c r="D1559" s="44" t="s">
        <v>995</v>
      </c>
      <c r="E1559" s="44"/>
      <c r="F1559" s="45">
        <v>43316.359375</v>
      </c>
      <c r="G1559" s="46">
        <v>1</v>
      </c>
      <c r="H1559" s="47">
        <v>43404</v>
      </c>
      <c r="I1559" s="47">
        <v>43430</v>
      </c>
      <c r="J1559" s="46">
        <v>1908466</v>
      </c>
      <c r="K1559" s="46">
        <v>0</v>
      </c>
      <c r="L1559" s="46">
        <v>0</v>
      </c>
      <c r="M1559" s="46">
        <f t="shared" si="441"/>
        <v>1908466</v>
      </c>
      <c r="N1559" s="46">
        <v>2048175</v>
      </c>
      <c r="O1559" s="48">
        <f t="shared" si="442"/>
        <v>6.8211456540578808E-2</v>
      </c>
      <c r="P1559" s="46">
        <v>0</v>
      </c>
      <c r="Q1559" s="46">
        <v>0</v>
      </c>
      <c r="R1559" s="49">
        <f t="shared" si="443"/>
        <v>0</v>
      </c>
      <c r="S1559" s="50">
        <f t="shared" si="444"/>
        <v>0</v>
      </c>
      <c r="T1559" s="49">
        <f t="shared" si="445"/>
        <v>0</v>
      </c>
      <c r="U1559" s="51">
        <f t="shared" si="446"/>
        <v>1908466</v>
      </c>
      <c r="V1559" s="52">
        <f>IF(0&lt;0.8,0,IF(0&lt;1,Sheet3!L561,1))*IF(G1559&lt;3,0.12 - O1559,0.01) *U1559</f>
        <v>0</v>
      </c>
      <c r="W1559" s="52">
        <f t="shared" si="447"/>
        <v>0</v>
      </c>
      <c r="X1559" s="53">
        <f t="shared" si="448"/>
        <v>0</v>
      </c>
      <c r="Y1559" s="53">
        <f t="shared" si="449"/>
        <v>0</v>
      </c>
      <c r="Z1559" s="54">
        <f t="shared" si="457"/>
        <v>0</v>
      </c>
      <c r="AA1559" s="54">
        <f t="shared" si="450"/>
        <v>0</v>
      </c>
      <c r="AB1559" s="55">
        <f t="shared" si="458"/>
        <v>0</v>
      </c>
      <c r="AC1559" s="55">
        <f t="shared" si="451"/>
        <v>0</v>
      </c>
      <c r="AD1559" s="56">
        <f t="shared" si="452"/>
        <v>0</v>
      </c>
    </row>
    <row r="1560" spans="3:30">
      <c r="C1560" s="43" t="s">
        <v>2866</v>
      </c>
      <c r="D1560" s="44" t="s">
        <v>2867</v>
      </c>
      <c r="E1560" s="44"/>
      <c r="F1560" s="45">
        <v>42535.126759259256</v>
      </c>
      <c r="G1560" s="46">
        <v>27</v>
      </c>
      <c r="H1560" s="47" t="s">
        <v>24</v>
      </c>
      <c r="I1560" s="47" t="s">
        <v>24</v>
      </c>
      <c r="J1560" s="46">
        <v>11920690</v>
      </c>
      <c r="K1560" s="46">
        <v>245870</v>
      </c>
      <c r="L1560" s="46">
        <v>0</v>
      </c>
      <c r="M1560" s="46">
        <f t="shared" si="441"/>
        <v>11674820</v>
      </c>
      <c r="N1560" s="46">
        <v>29238000</v>
      </c>
      <c r="O1560" s="48">
        <f t="shared" si="442"/>
        <v>0.60069703810110131</v>
      </c>
      <c r="P1560" s="46">
        <v>0</v>
      </c>
      <c r="Q1560" s="46">
        <v>11674820</v>
      </c>
      <c r="R1560" s="49">
        <f t="shared" si="443"/>
        <v>1</v>
      </c>
      <c r="S1560" s="50">
        <f t="shared" si="444"/>
        <v>0.01</v>
      </c>
      <c r="T1560" s="49">
        <f t="shared" si="445"/>
        <v>116748.2</v>
      </c>
      <c r="U1560" s="51">
        <f t="shared" si="446"/>
        <v>0</v>
      </c>
      <c r="V1560" s="52">
        <f>IF(0&lt;0.8,0,IF(0&lt;1,Sheet3!L561,1))*IF(G1560&lt;3,0.12 - O1560,0.01) *U1560</f>
        <v>0</v>
      </c>
      <c r="W1560" s="52">
        <f t="shared" si="447"/>
        <v>0</v>
      </c>
      <c r="X1560" s="53">
        <f t="shared" si="448"/>
        <v>0</v>
      </c>
      <c r="Y1560" s="53">
        <f t="shared" si="449"/>
        <v>0</v>
      </c>
      <c r="Z1560" s="54">
        <f t="shared" si="457"/>
        <v>0</v>
      </c>
      <c r="AA1560" s="54">
        <f t="shared" si="450"/>
        <v>0</v>
      </c>
      <c r="AB1560" s="55">
        <f t="shared" si="458"/>
        <v>0</v>
      </c>
      <c r="AC1560" s="55">
        <f t="shared" si="451"/>
        <v>0</v>
      </c>
      <c r="AD1560" s="56">
        <f t="shared" si="452"/>
        <v>116748.2</v>
      </c>
    </row>
    <row r="1561" spans="3:30">
      <c r="C1561" s="43" t="s">
        <v>2868</v>
      </c>
      <c r="D1561" s="44" t="s">
        <v>2413</v>
      </c>
      <c r="E1561" s="44"/>
      <c r="F1561" s="45">
        <v>42779.289907407408</v>
      </c>
      <c r="G1561" s="46">
        <v>19</v>
      </c>
      <c r="H1561" s="47" t="s">
        <v>24</v>
      </c>
      <c r="I1561" s="47" t="s">
        <v>24</v>
      </c>
      <c r="J1561" s="46">
        <v>247500</v>
      </c>
      <c r="K1561" s="46">
        <v>0</v>
      </c>
      <c r="L1561" s="46">
        <v>0</v>
      </c>
      <c r="M1561" s="46">
        <f t="shared" si="441"/>
        <v>247500</v>
      </c>
      <c r="N1561" s="46">
        <v>247500</v>
      </c>
      <c r="O1561" s="48">
        <f t="shared" si="442"/>
        <v>0</v>
      </c>
      <c r="P1561" s="46">
        <v>0</v>
      </c>
      <c r="Q1561" s="46">
        <v>247500</v>
      </c>
      <c r="R1561" s="49">
        <f t="shared" si="443"/>
        <v>1</v>
      </c>
      <c r="S1561" s="50">
        <f t="shared" si="444"/>
        <v>0.01</v>
      </c>
      <c r="T1561" s="49">
        <f t="shared" si="445"/>
        <v>2475</v>
      </c>
      <c r="U1561" s="51">
        <f t="shared" si="446"/>
        <v>0</v>
      </c>
      <c r="V1561" s="52">
        <f>IF(0&lt;0.8,0,IF(0&lt;1,Sheet3!L561,1))*IF(G1561&lt;3,0.12 - O1561,0.01) *U1561</f>
        <v>0</v>
      </c>
      <c r="W1561" s="52">
        <f t="shared" si="447"/>
        <v>0</v>
      </c>
      <c r="X1561" s="53">
        <f t="shared" si="448"/>
        <v>0</v>
      </c>
      <c r="Y1561" s="53">
        <f t="shared" si="449"/>
        <v>0</v>
      </c>
      <c r="Z1561" s="54">
        <f t="shared" si="457"/>
        <v>0</v>
      </c>
      <c r="AA1561" s="54">
        <f t="shared" si="450"/>
        <v>0</v>
      </c>
      <c r="AB1561" s="55">
        <f t="shared" si="458"/>
        <v>0</v>
      </c>
      <c r="AC1561" s="55">
        <f t="shared" si="451"/>
        <v>0</v>
      </c>
      <c r="AD1561" s="56">
        <f t="shared" si="452"/>
        <v>2475</v>
      </c>
    </row>
    <row r="1562" spans="3:30">
      <c r="C1562" s="43" t="s">
        <v>2869</v>
      </c>
      <c r="D1562" s="44" t="s">
        <v>2870</v>
      </c>
      <c r="E1562" s="44"/>
      <c r="F1562" s="45">
        <v>42955.106724537036</v>
      </c>
      <c r="G1562" s="46">
        <v>13</v>
      </c>
      <c r="H1562" s="47" t="s">
        <v>24</v>
      </c>
      <c r="I1562" s="47" t="s">
        <v>24</v>
      </c>
      <c r="J1562" s="46">
        <v>65494</v>
      </c>
      <c r="K1562" s="46">
        <v>0</v>
      </c>
      <c r="L1562" s="46">
        <v>0</v>
      </c>
      <c r="M1562" s="46">
        <f t="shared" si="441"/>
        <v>65494</v>
      </c>
      <c r="N1562" s="46">
        <v>66000</v>
      </c>
      <c r="O1562" s="48">
        <f t="shared" si="442"/>
        <v>7.6666666666667105E-3</v>
      </c>
      <c r="P1562" s="46">
        <v>0</v>
      </c>
      <c r="Q1562" s="46">
        <v>65494</v>
      </c>
      <c r="R1562" s="49">
        <f t="shared" si="443"/>
        <v>1</v>
      </c>
      <c r="S1562" s="50">
        <f t="shared" si="444"/>
        <v>0.01</v>
      </c>
      <c r="T1562" s="49">
        <f t="shared" si="445"/>
        <v>654.94000000000005</v>
      </c>
      <c r="U1562" s="51">
        <f t="shared" si="446"/>
        <v>0</v>
      </c>
      <c r="V1562" s="52">
        <f>IF(0&lt;0.8,0,IF(0&lt;1,Sheet3!L561,1))*IF(G1562&lt;3,0.12 - O1562,0.01) *U1562</f>
        <v>0</v>
      </c>
      <c r="W1562" s="52">
        <f t="shared" si="447"/>
        <v>0</v>
      </c>
      <c r="X1562" s="53">
        <f t="shared" si="448"/>
        <v>0</v>
      </c>
      <c r="Y1562" s="53">
        <f t="shared" si="449"/>
        <v>0</v>
      </c>
      <c r="Z1562" s="54">
        <f t="shared" si="457"/>
        <v>0</v>
      </c>
      <c r="AA1562" s="54">
        <f t="shared" si="450"/>
        <v>0</v>
      </c>
      <c r="AB1562" s="55">
        <f t="shared" si="458"/>
        <v>0</v>
      </c>
      <c r="AC1562" s="55">
        <f t="shared" si="451"/>
        <v>0</v>
      </c>
      <c r="AD1562" s="56">
        <f t="shared" si="452"/>
        <v>654.94000000000005</v>
      </c>
    </row>
    <row r="1563" spans="3:30">
      <c r="C1563" s="43" t="s">
        <v>2871</v>
      </c>
      <c r="D1563" s="44" t="s">
        <v>2872</v>
      </c>
      <c r="E1563" s="44"/>
      <c r="F1563" s="45">
        <v>43053.393576388888</v>
      </c>
      <c r="G1563" s="46">
        <v>10</v>
      </c>
      <c r="H1563" s="47" t="s">
        <v>24</v>
      </c>
      <c r="I1563" s="47" t="s">
        <v>24</v>
      </c>
      <c r="J1563" s="46">
        <v>16500</v>
      </c>
      <c r="K1563" s="46">
        <v>0</v>
      </c>
      <c r="L1563" s="46">
        <v>0</v>
      </c>
      <c r="M1563" s="46">
        <f t="shared" si="441"/>
        <v>16500</v>
      </c>
      <c r="N1563" s="46">
        <v>3184500</v>
      </c>
      <c r="O1563" s="48">
        <f t="shared" si="442"/>
        <v>0.99481865284974091</v>
      </c>
      <c r="P1563" s="46">
        <v>0</v>
      </c>
      <c r="Q1563" s="46">
        <v>16500</v>
      </c>
      <c r="R1563" s="49">
        <f t="shared" si="443"/>
        <v>1</v>
      </c>
      <c r="S1563" s="50">
        <f t="shared" si="444"/>
        <v>0.01</v>
      </c>
      <c r="T1563" s="49">
        <f t="shared" si="445"/>
        <v>165</v>
      </c>
      <c r="U1563" s="51">
        <f t="shared" si="446"/>
        <v>0</v>
      </c>
      <c r="V1563" s="52">
        <f>IF(0&lt;0.8,0,IF(0&lt;1,Sheet3!L561,1))*IF(G1563&lt;3,0.12 - O1563,0.01) *U1563</f>
        <v>0</v>
      </c>
      <c r="W1563" s="52">
        <f t="shared" si="447"/>
        <v>0</v>
      </c>
      <c r="X1563" s="53">
        <f t="shared" si="448"/>
        <v>0</v>
      </c>
      <c r="Y1563" s="53">
        <f t="shared" si="449"/>
        <v>0</v>
      </c>
      <c r="Z1563" s="54">
        <f t="shared" si="457"/>
        <v>0</v>
      </c>
      <c r="AA1563" s="54">
        <f t="shared" si="450"/>
        <v>0</v>
      </c>
      <c r="AB1563" s="55">
        <f t="shared" si="458"/>
        <v>0</v>
      </c>
      <c r="AC1563" s="55">
        <f t="shared" si="451"/>
        <v>0</v>
      </c>
      <c r="AD1563" s="56">
        <f t="shared" si="452"/>
        <v>165</v>
      </c>
    </row>
    <row r="1564" spans="3:30">
      <c r="C1564" s="43" t="s">
        <v>2873</v>
      </c>
      <c r="D1564" s="44" t="s">
        <v>2874</v>
      </c>
      <c r="E1564" s="44"/>
      <c r="F1564" s="45">
        <v>43096.123217592591</v>
      </c>
      <c r="G1564" s="46">
        <v>9</v>
      </c>
      <c r="H1564" s="47" t="s">
        <v>24</v>
      </c>
      <c r="I1564" s="47" t="s">
        <v>24</v>
      </c>
      <c r="J1564" s="46">
        <v>34642</v>
      </c>
      <c r="K1564" s="46">
        <v>0</v>
      </c>
      <c r="L1564" s="46">
        <v>0</v>
      </c>
      <c r="M1564" s="46">
        <f t="shared" si="441"/>
        <v>34642</v>
      </c>
      <c r="N1564" s="46">
        <v>16500</v>
      </c>
      <c r="O1564" s="48">
        <f t="shared" si="442"/>
        <v>0</v>
      </c>
      <c r="P1564" s="46">
        <v>0</v>
      </c>
      <c r="Q1564" s="46">
        <v>34642</v>
      </c>
      <c r="R1564" s="49">
        <f t="shared" si="443"/>
        <v>1</v>
      </c>
      <c r="S1564" s="50">
        <f t="shared" si="444"/>
        <v>0.01</v>
      </c>
      <c r="T1564" s="49">
        <f t="shared" si="445"/>
        <v>346.42</v>
      </c>
      <c r="U1564" s="51">
        <f t="shared" si="446"/>
        <v>0</v>
      </c>
      <c r="V1564" s="52">
        <f>IF(0&lt;0.8,0,IF(0&lt;1,Sheet3!L561,1))*IF(G1564&lt;3,0.12 - O1564,0.01) *U1564</f>
        <v>0</v>
      </c>
      <c r="W1564" s="52">
        <f t="shared" si="447"/>
        <v>0</v>
      </c>
      <c r="X1564" s="53">
        <f t="shared" si="448"/>
        <v>0</v>
      </c>
      <c r="Y1564" s="53">
        <f t="shared" si="449"/>
        <v>0</v>
      </c>
      <c r="Z1564" s="54">
        <f t="shared" si="457"/>
        <v>0</v>
      </c>
      <c r="AA1564" s="54">
        <f t="shared" si="450"/>
        <v>0</v>
      </c>
      <c r="AB1564" s="55">
        <f t="shared" si="458"/>
        <v>0</v>
      </c>
      <c r="AC1564" s="55">
        <f t="shared" si="451"/>
        <v>0</v>
      </c>
      <c r="AD1564" s="56">
        <f t="shared" si="452"/>
        <v>346.42</v>
      </c>
    </row>
    <row r="1565" spans="3:30">
      <c r="C1565" s="43" t="s">
        <v>2875</v>
      </c>
      <c r="D1565" s="44" t="s">
        <v>2876</v>
      </c>
      <c r="E1565" s="44"/>
      <c r="F1565" s="45">
        <v>40406</v>
      </c>
      <c r="G1565" s="46">
        <v>97</v>
      </c>
      <c r="H1565" s="47">
        <v>43393</v>
      </c>
      <c r="I1565" s="47">
        <v>43384</v>
      </c>
      <c r="J1565" s="46">
        <v>1355000</v>
      </c>
      <c r="K1565" s="46">
        <v>0</v>
      </c>
      <c r="L1565" s="46">
        <v>0</v>
      </c>
      <c r="M1565" s="46">
        <f t="shared" si="441"/>
        <v>1355000</v>
      </c>
      <c r="N1565" s="46">
        <v>1331912</v>
      </c>
      <c r="O1565" s="48">
        <f t="shared" si="442"/>
        <v>0</v>
      </c>
      <c r="P1565" s="46">
        <v>0</v>
      </c>
      <c r="Q1565" s="46">
        <v>1355000</v>
      </c>
      <c r="R1565" s="49">
        <f t="shared" si="443"/>
        <v>1</v>
      </c>
      <c r="S1565" s="50">
        <f t="shared" si="444"/>
        <v>0.01</v>
      </c>
      <c r="T1565" s="49">
        <f t="shared" si="445"/>
        <v>13550</v>
      </c>
      <c r="U1565" s="51">
        <f t="shared" si="446"/>
        <v>0</v>
      </c>
      <c r="V1565" s="52">
        <f>IF(0&lt;0.8,0,IF(0&lt;1,Sheet3!L561,1))*IF(G1565&lt;3,0.12 - O1565,0.01) *U1565</f>
        <v>0</v>
      </c>
      <c r="W1565" s="52">
        <f t="shared" si="447"/>
        <v>0</v>
      </c>
      <c r="X1565" s="53">
        <f t="shared" si="448"/>
        <v>0</v>
      </c>
      <c r="Y1565" s="53">
        <f t="shared" si="449"/>
        <v>0</v>
      </c>
      <c r="Z1565" s="54">
        <f t="shared" si="457"/>
        <v>0</v>
      </c>
      <c r="AA1565" s="54">
        <f t="shared" si="450"/>
        <v>0</v>
      </c>
      <c r="AB1565" s="55">
        <f t="shared" si="458"/>
        <v>0</v>
      </c>
      <c r="AC1565" s="55">
        <f t="shared" si="451"/>
        <v>0</v>
      </c>
      <c r="AD1565" s="56">
        <f t="shared" si="452"/>
        <v>13550</v>
      </c>
    </row>
    <row r="1566" spans="3:30">
      <c r="C1566" s="43" t="s">
        <v>2877</v>
      </c>
      <c r="D1566" s="44" t="s">
        <v>2878</v>
      </c>
      <c r="E1566" s="44"/>
      <c r="F1566" s="45">
        <v>40513</v>
      </c>
      <c r="G1566" s="46">
        <v>93</v>
      </c>
      <c r="H1566" s="47">
        <v>43396</v>
      </c>
      <c r="I1566" s="47">
        <v>43412</v>
      </c>
      <c r="J1566" s="46">
        <v>5234395</v>
      </c>
      <c r="K1566" s="46">
        <v>0</v>
      </c>
      <c r="L1566" s="46">
        <v>0</v>
      </c>
      <c r="M1566" s="46">
        <f t="shared" si="441"/>
        <v>5234395</v>
      </c>
      <c r="N1566" s="46">
        <v>5293575</v>
      </c>
      <c r="O1566" s="48">
        <f t="shared" si="442"/>
        <v>1.1179590352455526E-2</v>
      </c>
      <c r="P1566" s="46">
        <v>0</v>
      </c>
      <c r="Q1566" s="46">
        <v>5234395</v>
      </c>
      <c r="R1566" s="49">
        <f t="shared" si="443"/>
        <v>1</v>
      </c>
      <c r="S1566" s="50">
        <f t="shared" si="444"/>
        <v>0.01</v>
      </c>
      <c r="T1566" s="49">
        <f t="shared" si="445"/>
        <v>52343.950000000004</v>
      </c>
      <c r="U1566" s="51">
        <f t="shared" si="446"/>
        <v>0</v>
      </c>
      <c r="V1566" s="52">
        <f>IF(0&lt;0.8,0,IF(0&lt;1,Sheet3!L561,1))*IF(G1566&lt;3,0.12 - O1566,0.01) *U1566</f>
        <v>0</v>
      </c>
      <c r="W1566" s="52">
        <f t="shared" si="447"/>
        <v>0</v>
      </c>
      <c r="X1566" s="53">
        <f t="shared" si="448"/>
        <v>0</v>
      </c>
      <c r="Y1566" s="53">
        <f t="shared" si="449"/>
        <v>0</v>
      </c>
      <c r="Z1566" s="54">
        <f t="shared" si="457"/>
        <v>0</v>
      </c>
      <c r="AA1566" s="54">
        <f t="shared" si="450"/>
        <v>0</v>
      </c>
      <c r="AB1566" s="55">
        <f t="shared" si="458"/>
        <v>0</v>
      </c>
      <c r="AC1566" s="55">
        <f t="shared" si="451"/>
        <v>0</v>
      </c>
      <c r="AD1566" s="56">
        <f t="shared" si="452"/>
        <v>52343.950000000004</v>
      </c>
    </row>
    <row r="1567" spans="3:30">
      <c r="C1567" s="43" t="s">
        <v>2879</v>
      </c>
      <c r="D1567" s="44" t="s">
        <v>2880</v>
      </c>
      <c r="E1567" s="44"/>
      <c r="F1567" s="45">
        <v>40522</v>
      </c>
      <c r="G1567" s="46">
        <v>93</v>
      </c>
      <c r="H1567" s="47">
        <v>43398</v>
      </c>
      <c r="I1567" s="47">
        <v>43412</v>
      </c>
      <c r="J1567" s="46">
        <v>3928137</v>
      </c>
      <c r="K1567" s="46">
        <v>0</v>
      </c>
      <c r="L1567" s="46">
        <v>0</v>
      </c>
      <c r="M1567" s="46">
        <f t="shared" si="441"/>
        <v>3928137</v>
      </c>
      <c r="N1567" s="46">
        <v>4065599</v>
      </c>
      <c r="O1567" s="48">
        <f t="shared" si="442"/>
        <v>3.3811007922817771E-2</v>
      </c>
      <c r="P1567" s="46">
        <v>0</v>
      </c>
      <c r="Q1567" s="46">
        <v>4058323</v>
      </c>
      <c r="R1567" s="49">
        <f t="shared" si="443"/>
        <v>1</v>
      </c>
      <c r="S1567" s="50">
        <f t="shared" si="444"/>
        <v>0.01</v>
      </c>
      <c r="T1567" s="49">
        <f t="shared" si="445"/>
        <v>39281.370000000003</v>
      </c>
      <c r="U1567" s="51">
        <f t="shared" si="446"/>
        <v>0</v>
      </c>
      <c r="V1567" s="52">
        <f>IF(0&lt;0.8,0,IF(0&lt;1,Sheet3!L561,1))*IF(G1567&lt;3,0.12 - O1567,0.01) *U1567</f>
        <v>0</v>
      </c>
      <c r="W1567" s="52">
        <f t="shared" si="447"/>
        <v>0</v>
      </c>
      <c r="X1567" s="53">
        <f t="shared" si="448"/>
        <v>0</v>
      </c>
      <c r="Y1567" s="53">
        <f t="shared" si="449"/>
        <v>0</v>
      </c>
      <c r="Z1567" s="54">
        <f t="shared" si="457"/>
        <v>0</v>
      </c>
      <c r="AA1567" s="54">
        <f t="shared" si="450"/>
        <v>0</v>
      </c>
      <c r="AB1567" s="55">
        <f t="shared" si="458"/>
        <v>0</v>
      </c>
      <c r="AC1567" s="55">
        <f t="shared" si="451"/>
        <v>0</v>
      </c>
      <c r="AD1567" s="56">
        <f t="shared" si="452"/>
        <v>39281.370000000003</v>
      </c>
    </row>
    <row r="1568" spans="3:30">
      <c r="C1568" s="43" t="s">
        <v>2881</v>
      </c>
      <c r="D1568" s="44" t="s">
        <v>2882</v>
      </c>
      <c r="E1568" s="44"/>
      <c r="F1568" s="45">
        <v>40632</v>
      </c>
      <c r="G1568" s="46">
        <v>90</v>
      </c>
      <c r="H1568" s="47">
        <v>43398</v>
      </c>
      <c r="I1568" s="47">
        <v>43412</v>
      </c>
      <c r="J1568" s="46">
        <v>1484450</v>
      </c>
      <c r="K1568" s="46">
        <v>0</v>
      </c>
      <c r="L1568" s="46">
        <v>0</v>
      </c>
      <c r="M1568" s="46">
        <f t="shared" si="441"/>
        <v>1484450</v>
      </c>
      <c r="N1568" s="46">
        <v>1476479</v>
      </c>
      <c r="O1568" s="48">
        <f t="shared" si="442"/>
        <v>0</v>
      </c>
      <c r="P1568" s="46">
        <v>0</v>
      </c>
      <c r="Q1568" s="46">
        <v>1494900</v>
      </c>
      <c r="R1568" s="49">
        <f t="shared" si="443"/>
        <v>1</v>
      </c>
      <c r="S1568" s="50">
        <f t="shared" si="444"/>
        <v>0.01</v>
      </c>
      <c r="T1568" s="49">
        <f t="shared" si="445"/>
        <v>14844.5</v>
      </c>
      <c r="U1568" s="51">
        <f t="shared" si="446"/>
        <v>0</v>
      </c>
      <c r="V1568" s="52">
        <f>IF(0&lt;0.8,0,IF(0&lt;1,Sheet3!L561,1))*IF(G1568&lt;3,0.12 - O1568,0.01) *U1568</f>
        <v>0</v>
      </c>
      <c r="W1568" s="52">
        <f t="shared" si="447"/>
        <v>0</v>
      </c>
      <c r="X1568" s="53">
        <f t="shared" si="448"/>
        <v>0</v>
      </c>
      <c r="Y1568" s="53">
        <f t="shared" si="449"/>
        <v>0</v>
      </c>
      <c r="Z1568" s="54">
        <f t="shared" si="457"/>
        <v>0</v>
      </c>
      <c r="AA1568" s="54">
        <f t="shared" si="450"/>
        <v>0</v>
      </c>
      <c r="AB1568" s="55">
        <f t="shared" si="458"/>
        <v>0</v>
      </c>
      <c r="AC1568" s="55">
        <f t="shared" si="451"/>
        <v>0</v>
      </c>
      <c r="AD1568" s="56">
        <f t="shared" si="452"/>
        <v>14844.5</v>
      </c>
    </row>
    <row r="1569" spans="3:30">
      <c r="C1569" s="43" t="s">
        <v>2883</v>
      </c>
      <c r="D1569" s="44" t="s">
        <v>2884</v>
      </c>
      <c r="E1569" s="44"/>
      <c r="F1569" s="45">
        <v>41017</v>
      </c>
      <c r="G1569" s="46">
        <v>77</v>
      </c>
      <c r="H1569" s="47">
        <v>43398</v>
      </c>
      <c r="I1569" s="47">
        <v>43444</v>
      </c>
      <c r="J1569" s="46">
        <v>27618156</v>
      </c>
      <c r="K1569" s="46">
        <v>0</v>
      </c>
      <c r="L1569" s="46">
        <v>0</v>
      </c>
      <c r="M1569" s="46">
        <f t="shared" si="441"/>
        <v>27618156</v>
      </c>
      <c r="N1569" s="46">
        <v>29575248</v>
      </c>
      <c r="O1569" s="48">
        <f t="shared" si="442"/>
        <v>6.6173308166342371E-2</v>
      </c>
      <c r="P1569" s="46">
        <v>0</v>
      </c>
      <c r="Q1569" s="46">
        <v>30249760</v>
      </c>
      <c r="R1569" s="49">
        <f t="shared" si="443"/>
        <v>1</v>
      </c>
      <c r="S1569" s="50">
        <f t="shared" si="444"/>
        <v>0.01</v>
      </c>
      <c r="T1569" s="49">
        <f t="shared" si="445"/>
        <v>276181.56</v>
      </c>
      <c r="U1569" s="51">
        <f t="shared" si="446"/>
        <v>0</v>
      </c>
      <c r="V1569" s="52">
        <f>IF(0&lt;0.8,0,IF(0&lt;1,Sheet3!L561,1))*IF(G1569&lt;3,0.12 - O1569,0.01) *U1569</f>
        <v>0</v>
      </c>
      <c r="W1569" s="52">
        <f t="shared" si="447"/>
        <v>0</v>
      </c>
      <c r="X1569" s="53">
        <f t="shared" si="448"/>
        <v>0</v>
      </c>
      <c r="Y1569" s="53">
        <f t="shared" si="449"/>
        <v>0</v>
      </c>
      <c r="Z1569" s="54">
        <f t="shared" si="457"/>
        <v>0</v>
      </c>
      <c r="AA1569" s="54">
        <f t="shared" si="450"/>
        <v>0</v>
      </c>
      <c r="AB1569" s="55">
        <f t="shared" si="458"/>
        <v>0</v>
      </c>
      <c r="AC1569" s="55">
        <f t="shared" si="451"/>
        <v>0</v>
      </c>
      <c r="AD1569" s="56">
        <f t="shared" si="452"/>
        <v>276181.56</v>
      </c>
    </row>
    <row r="1570" spans="3:30">
      <c r="C1570" s="43" t="s">
        <v>2885</v>
      </c>
      <c r="D1570" s="44" t="s">
        <v>2886</v>
      </c>
      <c r="E1570" s="44"/>
      <c r="F1570" s="45">
        <v>41214</v>
      </c>
      <c r="G1570" s="46">
        <v>70</v>
      </c>
      <c r="H1570" s="47">
        <v>43393</v>
      </c>
      <c r="I1570" s="47">
        <v>43385</v>
      </c>
      <c r="J1570" s="46">
        <v>1568000</v>
      </c>
      <c r="K1570" s="46">
        <v>0</v>
      </c>
      <c r="L1570" s="46">
        <v>0</v>
      </c>
      <c r="M1570" s="46">
        <f t="shared" si="441"/>
        <v>1568000</v>
      </c>
      <c r="N1570" s="46">
        <v>1130515</v>
      </c>
      <c r="O1570" s="48">
        <f t="shared" si="442"/>
        <v>0</v>
      </c>
      <c r="P1570" s="46">
        <v>0</v>
      </c>
      <c r="Q1570" s="46">
        <v>1568000</v>
      </c>
      <c r="R1570" s="49">
        <f t="shared" si="443"/>
        <v>1</v>
      </c>
      <c r="S1570" s="50">
        <f t="shared" si="444"/>
        <v>0.01</v>
      </c>
      <c r="T1570" s="49">
        <f t="shared" si="445"/>
        <v>15680</v>
      </c>
      <c r="U1570" s="51">
        <f t="shared" si="446"/>
        <v>0</v>
      </c>
      <c r="V1570" s="52">
        <f>IF(0&lt;0.8,0,IF(0&lt;1,Sheet3!L561,1))*IF(G1570&lt;3,0.12 - O1570,0.01) *U1570</f>
        <v>0</v>
      </c>
      <c r="W1570" s="52">
        <f t="shared" si="447"/>
        <v>0</v>
      </c>
      <c r="X1570" s="53">
        <f t="shared" si="448"/>
        <v>0</v>
      </c>
      <c r="Y1570" s="53">
        <f t="shared" si="449"/>
        <v>0</v>
      </c>
      <c r="Z1570" s="54">
        <f t="shared" si="457"/>
        <v>0</v>
      </c>
      <c r="AA1570" s="54">
        <f t="shared" si="450"/>
        <v>0</v>
      </c>
      <c r="AB1570" s="55">
        <f t="shared" si="458"/>
        <v>0</v>
      </c>
      <c r="AC1570" s="55">
        <f t="shared" si="451"/>
        <v>0</v>
      </c>
      <c r="AD1570" s="56">
        <f t="shared" si="452"/>
        <v>15680</v>
      </c>
    </row>
    <row r="1571" spans="3:30">
      <c r="C1571" s="43" t="s">
        <v>2887</v>
      </c>
      <c r="D1571" s="44" t="s">
        <v>2888</v>
      </c>
      <c r="E1571" s="44"/>
      <c r="F1571" s="45">
        <v>41577</v>
      </c>
      <c r="G1571" s="46">
        <v>59</v>
      </c>
      <c r="H1571" s="47">
        <v>43393</v>
      </c>
      <c r="I1571" s="47">
        <v>43391</v>
      </c>
      <c r="J1571" s="46">
        <v>4510000</v>
      </c>
      <c r="K1571" s="46">
        <v>0</v>
      </c>
      <c r="L1571" s="46">
        <v>0</v>
      </c>
      <c r="M1571" s="46">
        <f t="shared" si="441"/>
        <v>4510000</v>
      </c>
      <c r="N1571" s="46">
        <v>4343680</v>
      </c>
      <c r="O1571" s="48">
        <f t="shared" si="442"/>
        <v>0</v>
      </c>
      <c r="P1571" s="46">
        <v>0</v>
      </c>
      <c r="Q1571" s="46">
        <v>4510000</v>
      </c>
      <c r="R1571" s="49">
        <f t="shared" si="443"/>
        <v>1</v>
      </c>
      <c r="S1571" s="50">
        <f t="shared" si="444"/>
        <v>0.01</v>
      </c>
      <c r="T1571" s="49">
        <f t="shared" si="445"/>
        <v>45100</v>
      </c>
      <c r="U1571" s="51">
        <f t="shared" si="446"/>
        <v>0</v>
      </c>
      <c r="V1571" s="52">
        <f>IF(0&lt;0.8,0,IF(0&lt;1,Sheet3!L561,1))*IF(G1571&lt;3,0.12 - O1571,0.01) *U1571</f>
        <v>0</v>
      </c>
      <c r="W1571" s="52">
        <f t="shared" si="447"/>
        <v>0</v>
      </c>
      <c r="X1571" s="53">
        <f t="shared" si="448"/>
        <v>0</v>
      </c>
      <c r="Y1571" s="53">
        <f t="shared" si="449"/>
        <v>0</v>
      </c>
      <c r="Z1571" s="54">
        <f t="shared" si="457"/>
        <v>0</v>
      </c>
      <c r="AA1571" s="54">
        <f t="shared" si="450"/>
        <v>0</v>
      </c>
      <c r="AB1571" s="55">
        <f t="shared" si="458"/>
        <v>0</v>
      </c>
      <c r="AC1571" s="55">
        <f t="shared" si="451"/>
        <v>0</v>
      </c>
      <c r="AD1571" s="56">
        <f t="shared" si="452"/>
        <v>45100</v>
      </c>
    </row>
    <row r="1572" spans="3:30">
      <c r="C1572" s="43" t="s">
        <v>2889</v>
      </c>
      <c r="D1572" s="44" t="s">
        <v>2890</v>
      </c>
      <c r="E1572" s="44"/>
      <c r="F1572" s="45">
        <v>42303</v>
      </c>
      <c r="G1572" s="46">
        <v>35</v>
      </c>
      <c r="H1572" s="47" t="s">
        <v>24</v>
      </c>
      <c r="I1572" s="47" t="s">
        <v>24</v>
      </c>
      <c r="J1572" s="46">
        <v>0</v>
      </c>
      <c r="K1572" s="46">
        <v>0</v>
      </c>
      <c r="L1572" s="46">
        <v>0</v>
      </c>
      <c r="M1572" s="46">
        <f t="shared" si="441"/>
        <v>0</v>
      </c>
      <c r="N1572" s="46" t="s">
        <v>24</v>
      </c>
      <c r="O1572" s="48">
        <f t="shared" si="442"/>
        <v>0</v>
      </c>
      <c r="P1572" s="46">
        <v>0</v>
      </c>
      <c r="Q1572" s="46">
        <v>0</v>
      </c>
      <c r="R1572" s="49">
        <f t="shared" si="443"/>
        <v>1</v>
      </c>
      <c r="S1572" s="50">
        <f t="shared" si="444"/>
        <v>0.01</v>
      </c>
      <c r="T1572" s="49">
        <f t="shared" si="445"/>
        <v>0</v>
      </c>
      <c r="U1572" s="51">
        <f t="shared" si="446"/>
        <v>0</v>
      </c>
      <c r="V1572" s="52">
        <f>IF(0&lt;0.8,0,IF(0&lt;1,Sheet3!L561,1))*IF(G1572&lt;3,0.12 - O1572,0.01) *U1572</f>
        <v>0</v>
      </c>
      <c r="W1572" s="52">
        <f t="shared" si="447"/>
        <v>0</v>
      </c>
      <c r="X1572" s="53">
        <f t="shared" si="448"/>
        <v>0</v>
      </c>
      <c r="Y1572" s="53">
        <f t="shared" si="449"/>
        <v>0</v>
      </c>
      <c r="Z1572" s="54">
        <f>IF(R1572=1,0,"")</f>
        <v>0</v>
      </c>
      <c r="AA1572" s="54">
        <f t="shared" si="450"/>
        <v>0</v>
      </c>
      <c r="AB1572" s="55">
        <f>IF(R1572=0,"",0)</f>
        <v>0</v>
      </c>
      <c r="AC1572" s="55">
        <f t="shared" si="451"/>
        <v>0</v>
      </c>
      <c r="AD1572" s="56">
        <f t="shared" si="452"/>
        <v>0</v>
      </c>
    </row>
    <row r="1573" spans="3:30">
      <c r="C1573" s="43" t="s">
        <v>2891</v>
      </c>
      <c r="D1573" s="44" t="s">
        <v>24</v>
      </c>
      <c r="E1573" s="44"/>
      <c r="F1573" s="45" t="s">
        <v>24</v>
      </c>
      <c r="G1573" s="46" t="s">
        <v>24</v>
      </c>
      <c r="H1573" s="47" t="s">
        <v>24</v>
      </c>
      <c r="I1573" s="47" t="s">
        <v>24</v>
      </c>
      <c r="J1573" s="46">
        <v>0</v>
      </c>
      <c r="K1573" s="46">
        <v>0</v>
      </c>
      <c r="L1573" s="46">
        <v>0</v>
      </c>
      <c r="M1573" s="46">
        <f t="shared" si="441"/>
        <v>0</v>
      </c>
      <c r="N1573" s="46" t="s">
        <v>24</v>
      </c>
      <c r="O1573" s="48">
        <f t="shared" si="442"/>
        <v>0</v>
      </c>
      <c r="P1573" s="46">
        <v>0</v>
      </c>
      <c r="Q1573" s="46">
        <v>0</v>
      </c>
      <c r="R1573" s="49">
        <f t="shared" si="443"/>
        <v>0</v>
      </c>
      <c r="S1573" s="50">
        <f t="shared" si="444"/>
        <v>0</v>
      </c>
      <c r="T1573" s="49">
        <f t="shared" si="445"/>
        <v>0</v>
      </c>
      <c r="U1573" s="51">
        <f t="shared" si="446"/>
        <v>0</v>
      </c>
      <c r="V1573" s="52">
        <f>IF(0&lt;0.8,0,IF(0&lt;1,Sheet3!L561,1))*IF(G1573&lt;3,0.12 - O1573,0.01) *U1573</f>
        <v>0</v>
      </c>
      <c r="W1573" s="52">
        <f t="shared" si="447"/>
        <v>0</v>
      </c>
      <c r="X1573" s="53">
        <f t="shared" si="448"/>
        <v>0</v>
      </c>
      <c r="Y1573" s="53">
        <f t="shared" si="449"/>
        <v>0</v>
      </c>
      <c r="Z1573" s="54" t="str">
        <f>IF(R1573=1,0,"")</f>
        <v/>
      </c>
      <c r="AA1573" s="54">
        <f t="shared" si="450"/>
        <v>0</v>
      </c>
      <c r="AB1573" s="55" t="str">
        <f>IF(R1573=0,"",0)</f>
        <v/>
      </c>
      <c r="AC1573" s="55">
        <f t="shared" si="451"/>
        <v>0</v>
      </c>
      <c r="AD1573" s="56">
        <f t="shared" si="452"/>
        <v>0</v>
      </c>
    </row>
    <row r="1574" spans="3:30">
      <c r="C1574" s="43" t="s">
        <v>2892</v>
      </c>
      <c r="D1574" s="44" t="s">
        <v>2893</v>
      </c>
      <c r="E1574" s="44"/>
      <c r="F1574" s="45">
        <v>42007</v>
      </c>
      <c r="G1574" s="46">
        <v>44</v>
      </c>
      <c r="H1574" s="47" t="s">
        <v>24</v>
      </c>
      <c r="I1574" s="47" t="s">
        <v>24</v>
      </c>
      <c r="J1574" s="46">
        <v>741000</v>
      </c>
      <c r="K1574" s="46">
        <v>0</v>
      </c>
      <c r="L1574" s="46">
        <v>0</v>
      </c>
      <c r="M1574" s="46">
        <f t="shared" si="441"/>
        <v>741000</v>
      </c>
      <c r="N1574" s="46" t="s">
        <v>24</v>
      </c>
      <c r="O1574" s="48">
        <f t="shared" si="442"/>
        <v>0</v>
      </c>
      <c r="P1574" s="46">
        <v>0</v>
      </c>
      <c r="Q1574" s="46">
        <v>0</v>
      </c>
      <c r="R1574" s="49">
        <f t="shared" si="443"/>
        <v>1</v>
      </c>
      <c r="S1574" s="50">
        <f t="shared" si="444"/>
        <v>0.01</v>
      </c>
      <c r="T1574" s="49">
        <f t="shared" si="445"/>
        <v>7410</v>
      </c>
      <c r="U1574" s="51">
        <f t="shared" si="446"/>
        <v>0</v>
      </c>
      <c r="V1574" s="52">
        <f>IF(0&lt;0.8,0,IF(0&lt;1,Sheet3!L561,1))*IF(G1574&lt;3,0.12 - O1574,0.01) *U1574</f>
        <v>0</v>
      </c>
      <c r="W1574" s="52">
        <f t="shared" si="447"/>
        <v>0</v>
      </c>
      <c r="X1574" s="53">
        <f t="shared" si="448"/>
        <v>0</v>
      </c>
      <c r="Y1574" s="53">
        <f t="shared" si="449"/>
        <v>0</v>
      </c>
      <c r="Z1574" s="54">
        <f>IF(R1574=1,0,"")</f>
        <v>0</v>
      </c>
      <c r="AA1574" s="54">
        <f t="shared" si="450"/>
        <v>0</v>
      </c>
      <c r="AB1574" s="55">
        <f>IF(R1574=0,"",0)</f>
        <v>0</v>
      </c>
      <c r="AC1574" s="55">
        <f t="shared" si="451"/>
        <v>0</v>
      </c>
      <c r="AD1574" s="56">
        <f t="shared" si="452"/>
        <v>7410</v>
      </c>
    </row>
    <row r="1575" spans="3:30">
      <c r="C1575" s="43" t="s">
        <v>2894</v>
      </c>
      <c r="D1575" s="44" t="s">
        <v>24</v>
      </c>
      <c r="E1575" s="44"/>
      <c r="F1575" s="45" t="s">
        <v>24</v>
      </c>
      <c r="G1575" s="46" t="s">
        <v>24</v>
      </c>
      <c r="H1575" s="47" t="s">
        <v>24</v>
      </c>
      <c r="I1575" s="47" t="s">
        <v>24</v>
      </c>
      <c r="J1575" s="46">
        <v>741000</v>
      </c>
      <c r="K1575" s="46">
        <v>0</v>
      </c>
      <c r="L1575" s="46">
        <v>0</v>
      </c>
      <c r="M1575" s="46">
        <f t="shared" si="441"/>
        <v>741000</v>
      </c>
      <c r="N1575" s="46" t="s">
        <v>24</v>
      </c>
      <c r="O1575" s="48">
        <f t="shared" si="442"/>
        <v>0</v>
      </c>
      <c r="P1575" s="46">
        <v>0</v>
      </c>
      <c r="Q1575" s="46">
        <v>0</v>
      </c>
      <c r="R1575" s="49">
        <f t="shared" si="443"/>
        <v>0</v>
      </c>
      <c r="S1575" s="50">
        <f t="shared" si="444"/>
        <v>0</v>
      </c>
      <c r="T1575" s="49">
        <f t="shared" si="445"/>
        <v>0</v>
      </c>
      <c r="U1575" s="51">
        <f t="shared" si="446"/>
        <v>741000</v>
      </c>
      <c r="V1575" s="52">
        <f>IF(0&lt;0.8,0,IF(0&lt;1,Sheet3!L561,1))*IF(G1575&lt;3,0.12 - O1575,0.01) *U1575</f>
        <v>0</v>
      </c>
      <c r="W1575" s="52">
        <f t="shared" si="447"/>
        <v>0</v>
      </c>
      <c r="X1575" s="53">
        <f t="shared" si="448"/>
        <v>0</v>
      </c>
      <c r="Y1575" s="53">
        <f t="shared" si="449"/>
        <v>0</v>
      </c>
      <c r="Z1575" s="54" t="str">
        <f>IF(R1575=1,0,"")</f>
        <v/>
      </c>
      <c r="AA1575" s="54">
        <f t="shared" si="450"/>
        <v>0</v>
      </c>
      <c r="AB1575" s="55" t="str">
        <f>IF(R1575=0,"",0)</f>
        <v/>
      </c>
      <c r="AC1575" s="55">
        <f t="shared" si="451"/>
        <v>0</v>
      </c>
      <c r="AD1575" s="56">
        <f t="shared" si="452"/>
        <v>0</v>
      </c>
    </row>
    <row r="1576" spans="3:30">
      <c r="C1576" s="43" t="s">
        <v>2895</v>
      </c>
      <c r="D1576" s="44" t="s">
        <v>2896</v>
      </c>
      <c r="E1576" s="44"/>
      <c r="F1576" s="45">
        <v>42089</v>
      </c>
      <c r="G1576" s="46">
        <v>42</v>
      </c>
      <c r="H1576" s="47">
        <v>43393</v>
      </c>
      <c r="I1576" s="47">
        <v>43426</v>
      </c>
      <c r="J1576" s="46">
        <v>213000</v>
      </c>
      <c r="K1576" s="46">
        <v>0</v>
      </c>
      <c r="L1576" s="46">
        <v>0</v>
      </c>
      <c r="M1576" s="46">
        <f t="shared" si="441"/>
        <v>213000</v>
      </c>
      <c r="N1576" s="46">
        <v>171350</v>
      </c>
      <c r="O1576" s="48">
        <f t="shared" si="442"/>
        <v>0</v>
      </c>
      <c r="P1576" s="46">
        <v>0</v>
      </c>
      <c r="Q1576" s="46">
        <v>213000</v>
      </c>
      <c r="R1576" s="49">
        <f t="shared" si="443"/>
        <v>1</v>
      </c>
      <c r="S1576" s="50">
        <f t="shared" si="444"/>
        <v>0.01</v>
      </c>
      <c r="T1576" s="49">
        <f t="shared" si="445"/>
        <v>2130</v>
      </c>
      <c r="U1576" s="51">
        <f t="shared" si="446"/>
        <v>0</v>
      </c>
      <c r="V1576" s="52">
        <f>IF(0&lt;0.8,0,IF(0&lt;1,Sheet3!L561,1))*IF(G1576&lt;3,0.12 - O1576,0.01) *U1576</f>
        <v>0</v>
      </c>
      <c r="W1576" s="52">
        <f t="shared" si="447"/>
        <v>0</v>
      </c>
      <c r="X1576" s="53">
        <f t="shared" si="448"/>
        <v>0</v>
      </c>
      <c r="Y1576" s="53">
        <f t="shared" si="449"/>
        <v>0</v>
      </c>
      <c r="Z1576" s="54">
        <f t="shared" ref="Z1576:Z1593" si="459">IF(R1576=1,0,0)</f>
        <v>0</v>
      </c>
      <c r="AA1576" s="54">
        <f t="shared" si="450"/>
        <v>0</v>
      </c>
      <c r="AB1576" s="55">
        <f t="shared" ref="AB1576:AB1593" si="460">IF(R1576=0,0,0)</f>
        <v>0</v>
      </c>
      <c r="AC1576" s="55">
        <f t="shared" si="451"/>
        <v>0</v>
      </c>
      <c r="AD1576" s="56">
        <f t="shared" si="452"/>
        <v>2130</v>
      </c>
    </row>
    <row r="1577" spans="3:30">
      <c r="C1577" s="43" t="s">
        <v>2897</v>
      </c>
      <c r="D1577" s="44" t="s">
        <v>2898</v>
      </c>
      <c r="E1577" s="44"/>
      <c r="F1577" s="45">
        <v>42146</v>
      </c>
      <c r="G1577" s="46">
        <v>40</v>
      </c>
      <c r="H1577" s="47">
        <v>43388</v>
      </c>
      <c r="I1577" s="47">
        <v>43360</v>
      </c>
      <c r="J1577" s="46">
        <v>973000</v>
      </c>
      <c r="K1577" s="46">
        <v>0</v>
      </c>
      <c r="L1577" s="46">
        <v>0</v>
      </c>
      <c r="M1577" s="46">
        <f t="shared" si="441"/>
        <v>973000</v>
      </c>
      <c r="N1577" s="46">
        <v>971940</v>
      </c>
      <c r="O1577" s="48">
        <f t="shared" si="442"/>
        <v>0</v>
      </c>
      <c r="P1577" s="46">
        <v>0</v>
      </c>
      <c r="Q1577" s="46">
        <v>973000</v>
      </c>
      <c r="R1577" s="49">
        <f t="shared" si="443"/>
        <v>1</v>
      </c>
      <c r="S1577" s="50">
        <f t="shared" si="444"/>
        <v>0.01</v>
      </c>
      <c r="T1577" s="49">
        <f t="shared" si="445"/>
        <v>9730</v>
      </c>
      <c r="U1577" s="51">
        <f t="shared" si="446"/>
        <v>0</v>
      </c>
      <c r="V1577" s="52">
        <f>IF(0&lt;0.8,0,IF(0&lt;1,Sheet3!L561,1))*IF(G1577&lt;3,0.12 - O1577,0.01) *U1577</f>
        <v>0</v>
      </c>
      <c r="W1577" s="52">
        <f t="shared" si="447"/>
        <v>0</v>
      </c>
      <c r="X1577" s="53">
        <f t="shared" si="448"/>
        <v>0</v>
      </c>
      <c r="Y1577" s="53">
        <f t="shared" si="449"/>
        <v>0</v>
      </c>
      <c r="Z1577" s="54">
        <f t="shared" si="459"/>
        <v>0</v>
      </c>
      <c r="AA1577" s="54">
        <f t="shared" si="450"/>
        <v>0</v>
      </c>
      <c r="AB1577" s="55">
        <f t="shared" si="460"/>
        <v>0</v>
      </c>
      <c r="AC1577" s="55">
        <f t="shared" si="451"/>
        <v>0</v>
      </c>
      <c r="AD1577" s="56">
        <f t="shared" si="452"/>
        <v>9730</v>
      </c>
    </row>
    <row r="1578" spans="3:30">
      <c r="C1578" s="43" t="s">
        <v>2899</v>
      </c>
      <c r="D1578" s="44" t="s">
        <v>2900</v>
      </c>
      <c r="E1578" s="44"/>
      <c r="F1578" s="45">
        <v>42503</v>
      </c>
      <c r="G1578" s="46">
        <v>28</v>
      </c>
      <c r="H1578" s="47">
        <v>43427</v>
      </c>
      <c r="I1578" s="47">
        <v>43538</v>
      </c>
      <c r="J1578" s="46">
        <v>3234339</v>
      </c>
      <c r="K1578" s="46">
        <v>0</v>
      </c>
      <c r="L1578" s="46">
        <v>0</v>
      </c>
      <c r="M1578" s="46">
        <f t="shared" si="441"/>
        <v>3234339</v>
      </c>
      <c r="N1578" s="46">
        <v>3029926</v>
      </c>
      <c r="O1578" s="48">
        <f t="shared" si="442"/>
        <v>0</v>
      </c>
      <c r="P1578" s="46">
        <v>0</v>
      </c>
      <c r="Q1578" s="46">
        <v>3314678</v>
      </c>
      <c r="R1578" s="49">
        <f t="shared" si="443"/>
        <v>1</v>
      </c>
      <c r="S1578" s="50">
        <f t="shared" si="444"/>
        <v>0.01</v>
      </c>
      <c r="T1578" s="49">
        <f t="shared" si="445"/>
        <v>32343.39</v>
      </c>
      <c r="U1578" s="51">
        <f t="shared" si="446"/>
        <v>0</v>
      </c>
      <c r="V1578" s="52">
        <f>IF(0&lt;0.8,0,IF(0&lt;1,Sheet3!L561,1))*IF(G1578&lt;3,0.12 - O1578,0.01) *U1578</f>
        <v>0</v>
      </c>
      <c r="W1578" s="52">
        <f t="shared" si="447"/>
        <v>0</v>
      </c>
      <c r="X1578" s="53">
        <f t="shared" si="448"/>
        <v>0</v>
      </c>
      <c r="Y1578" s="53">
        <f t="shared" si="449"/>
        <v>0</v>
      </c>
      <c r="Z1578" s="54">
        <f t="shared" si="459"/>
        <v>0</v>
      </c>
      <c r="AA1578" s="54">
        <f t="shared" si="450"/>
        <v>0</v>
      </c>
      <c r="AB1578" s="55">
        <f t="shared" si="460"/>
        <v>0</v>
      </c>
      <c r="AC1578" s="55">
        <f t="shared" si="451"/>
        <v>0</v>
      </c>
      <c r="AD1578" s="56">
        <f t="shared" si="452"/>
        <v>32343.39</v>
      </c>
    </row>
    <row r="1579" spans="3:30">
      <c r="C1579" s="43" t="s">
        <v>2901</v>
      </c>
      <c r="D1579" s="44" t="s">
        <v>2902</v>
      </c>
      <c r="E1579" s="44"/>
      <c r="F1579" s="45">
        <v>42535</v>
      </c>
      <c r="G1579" s="46">
        <v>27</v>
      </c>
      <c r="H1579" s="47">
        <v>43395</v>
      </c>
      <c r="I1579" s="47">
        <v>43412</v>
      </c>
      <c r="J1579" s="46">
        <v>9236496</v>
      </c>
      <c r="K1579" s="46">
        <v>0</v>
      </c>
      <c r="L1579" s="46">
        <v>0</v>
      </c>
      <c r="M1579" s="46">
        <f t="shared" si="441"/>
        <v>9236496</v>
      </c>
      <c r="N1579" s="46">
        <v>9142048</v>
      </c>
      <c r="O1579" s="48">
        <f t="shared" si="442"/>
        <v>0</v>
      </c>
      <c r="P1579" s="46">
        <v>0</v>
      </c>
      <c r="Q1579" s="46">
        <v>9236496</v>
      </c>
      <c r="R1579" s="49">
        <f t="shared" si="443"/>
        <v>1</v>
      </c>
      <c r="S1579" s="50">
        <f t="shared" si="444"/>
        <v>0.01</v>
      </c>
      <c r="T1579" s="49">
        <f t="shared" si="445"/>
        <v>92364.96</v>
      </c>
      <c r="U1579" s="51">
        <f t="shared" si="446"/>
        <v>0</v>
      </c>
      <c r="V1579" s="52">
        <f>IF(0&lt;0.8,0,IF(0&lt;1,Sheet3!L561,1))*IF(G1579&lt;3,0.12 - O1579,0.01) *U1579</f>
        <v>0</v>
      </c>
      <c r="W1579" s="52">
        <f t="shared" si="447"/>
        <v>0</v>
      </c>
      <c r="X1579" s="53">
        <f t="shared" si="448"/>
        <v>0</v>
      </c>
      <c r="Y1579" s="53">
        <f t="shared" si="449"/>
        <v>0</v>
      </c>
      <c r="Z1579" s="54">
        <f t="shared" si="459"/>
        <v>0</v>
      </c>
      <c r="AA1579" s="54">
        <f t="shared" si="450"/>
        <v>0</v>
      </c>
      <c r="AB1579" s="55">
        <f t="shared" si="460"/>
        <v>0</v>
      </c>
      <c r="AC1579" s="55">
        <f t="shared" si="451"/>
        <v>0</v>
      </c>
      <c r="AD1579" s="56">
        <f t="shared" si="452"/>
        <v>92364.96</v>
      </c>
    </row>
    <row r="1580" spans="3:30">
      <c r="C1580" s="43" t="s">
        <v>2903</v>
      </c>
      <c r="D1580" s="44" t="s">
        <v>2904</v>
      </c>
      <c r="E1580" s="44"/>
      <c r="F1580" s="45">
        <v>42814</v>
      </c>
      <c r="G1580" s="46">
        <v>18</v>
      </c>
      <c r="H1580" s="47">
        <v>43383</v>
      </c>
      <c r="I1580" s="47">
        <v>43427</v>
      </c>
      <c r="J1580" s="46">
        <v>16539000</v>
      </c>
      <c r="K1580" s="46">
        <v>0</v>
      </c>
      <c r="L1580" s="46">
        <v>0</v>
      </c>
      <c r="M1580" s="46">
        <f t="shared" si="441"/>
        <v>16539000</v>
      </c>
      <c r="N1580" s="46">
        <v>15580703</v>
      </c>
      <c r="O1580" s="48">
        <f t="shared" si="442"/>
        <v>0</v>
      </c>
      <c r="P1580" s="46">
        <v>0</v>
      </c>
      <c r="Q1580" s="46">
        <v>16539000</v>
      </c>
      <c r="R1580" s="49">
        <f t="shared" si="443"/>
        <v>1</v>
      </c>
      <c r="S1580" s="50">
        <f t="shared" si="444"/>
        <v>0.01</v>
      </c>
      <c r="T1580" s="49">
        <f t="shared" si="445"/>
        <v>165390</v>
      </c>
      <c r="U1580" s="51">
        <f t="shared" si="446"/>
        <v>0</v>
      </c>
      <c r="V1580" s="52">
        <f>IF(0&lt;0.8,0,IF(0&lt;1,Sheet3!L561,1))*IF(G1580&lt;3,0.12 - O1580,0.01) *U1580</f>
        <v>0</v>
      </c>
      <c r="W1580" s="52">
        <f t="shared" si="447"/>
        <v>0</v>
      </c>
      <c r="X1580" s="53">
        <f t="shared" si="448"/>
        <v>0</v>
      </c>
      <c r="Y1580" s="53">
        <f t="shared" si="449"/>
        <v>0</v>
      </c>
      <c r="Z1580" s="54">
        <f t="shared" si="459"/>
        <v>0</v>
      </c>
      <c r="AA1580" s="54">
        <f t="shared" si="450"/>
        <v>0</v>
      </c>
      <c r="AB1580" s="55">
        <f t="shared" si="460"/>
        <v>0</v>
      </c>
      <c r="AC1580" s="55">
        <f t="shared" si="451"/>
        <v>0</v>
      </c>
      <c r="AD1580" s="56">
        <f t="shared" si="452"/>
        <v>165390</v>
      </c>
    </row>
    <row r="1581" spans="3:30">
      <c r="C1581" s="43" t="s">
        <v>2905</v>
      </c>
      <c r="D1581" s="44" t="s">
        <v>2906</v>
      </c>
      <c r="E1581" s="44"/>
      <c r="F1581" s="45">
        <v>43025</v>
      </c>
      <c r="G1581" s="46">
        <v>11</v>
      </c>
      <c r="H1581" s="47">
        <v>43393</v>
      </c>
      <c r="I1581" s="47">
        <v>43381</v>
      </c>
      <c r="J1581" s="46">
        <v>105938</v>
      </c>
      <c r="K1581" s="46">
        <v>0</v>
      </c>
      <c r="L1581" s="46">
        <v>0</v>
      </c>
      <c r="M1581" s="46">
        <f t="shared" si="441"/>
        <v>105938</v>
      </c>
      <c r="N1581" s="46">
        <v>99327</v>
      </c>
      <c r="O1581" s="48">
        <f t="shared" si="442"/>
        <v>0</v>
      </c>
      <c r="P1581" s="46">
        <v>0</v>
      </c>
      <c r="Q1581" s="46">
        <v>105938</v>
      </c>
      <c r="R1581" s="49">
        <f t="shared" si="443"/>
        <v>1</v>
      </c>
      <c r="S1581" s="50">
        <f t="shared" si="444"/>
        <v>0.01</v>
      </c>
      <c r="T1581" s="49">
        <f t="shared" si="445"/>
        <v>1059.3800000000001</v>
      </c>
      <c r="U1581" s="51">
        <f t="shared" si="446"/>
        <v>0</v>
      </c>
      <c r="V1581" s="52">
        <f>IF(0&lt;0.8,0,IF(0&lt;1,Sheet3!L561,1))*IF(G1581&lt;3,0.12 - O1581,0.01) *U1581</f>
        <v>0</v>
      </c>
      <c r="W1581" s="52">
        <f t="shared" si="447"/>
        <v>0</v>
      </c>
      <c r="X1581" s="53">
        <f t="shared" si="448"/>
        <v>0</v>
      </c>
      <c r="Y1581" s="53">
        <f t="shared" si="449"/>
        <v>0</v>
      </c>
      <c r="Z1581" s="54">
        <f t="shared" si="459"/>
        <v>0</v>
      </c>
      <c r="AA1581" s="54">
        <f t="shared" si="450"/>
        <v>0</v>
      </c>
      <c r="AB1581" s="55">
        <f t="shared" si="460"/>
        <v>0</v>
      </c>
      <c r="AC1581" s="55">
        <f t="shared" si="451"/>
        <v>0</v>
      </c>
      <c r="AD1581" s="56">
        <f t="shared" si="452"/>
        <v>1059.3800000000001</v>
      </c>
    </row>
    <row r="1582" spans="3:30">
      <c r="C1582" s="43" t="s">
        <v>2907</v>
      </c>
      <c r="D1582" s="44" t="s">
        <v>2908</v>
      </c>
      <c r="E1582" s="44"/>
      <c r="F1582" s="45">
        <v>41947.462812500002</v>
      </c>
      <c r="G1582" s="46">
        <v>46</v>
      </c>
      <c r="H1582" s="47">
        <v>43396</v>
      </c>
      <c r="I1582" s="47">
        <v>43412</v>
      </c>
      <c r="J1582" s="46">
        <v>1232998</v>
      </c>
      <c r="K1582" s="46">
        <v>0</v>
      </c>
      <c r="L1582" s="46">
        <v>0</v>
      </c>
      <c r="M1582" s="46">
        <f t="shared" si="441"/>
        <v>1232998</v>
      </c>
      <c r="N1582" s="46">
        <v>1533666</v>
      </c>
      <c r="O1582" s="48">
        <f t="shared" si="442"/>
        <v>0.19604529278213123</v>
      </c>
      <c r="P1582" s="46">
        <v>0</v>
      </c>
      <c r="Q1582" s="46">
        <v>1232998</v>
      </c>
      <c r="R1582" s="49">
        <f t="shared" si="443"/>
        <v>1</v>
      </c>
      <c r="S1582" s="50">
        <f t="shared" si="444"/>
        <v>0.01</v>
      </c>
      <c r="T1582" s="49">
        <f t="shared" si="445"/>
        <v>12329.98</v>
      </c>
      <c r="U1582" s="51">
        <f t="shared" si="446"/>
        <v>0</v>
      </c>
      <c r="V1582" s="52">
        <f>IF(0&lt;0.8,0,IF(0&lt;1,Sheet3!L561,1))*IF(G1582&lt;3,0.12 - O1582,0.01) *U1582</f>
        <v>0</v>
      </c>
      <c r="W1582" s="52">
        <f t="shared" si="447"/>
        <v>0</v>
      </c>
      <c r="X1582" s="53">
        <f t="shared" si="448"/>
        <v>0</v>
      </c>
      <c r="Y1582" s="53">
        <f t="shared" si="449"/>
        <v>0</v>
      </c>
      <c r="Z1582" s="54">
        <f t="shared" si="459"/>
        <v>0</v>
      </c>
      <c r="AA1582" s="54">
        <f t="shared" si="450"/>
        <v>0</v>
      </c>
      <c r="AB1582" s="55">
        <f t="shared" si="460"/>
        <v>0</v>
      </c>
      <c r="AC1582" s="55">
        <f t="shared" si="451"/>
        <v>0</v>
      </c>
      <c r="AD1582" s="56">
        <f t="shared" si="452"/>
        <v>12329.98</v>
      </c>
    </row>
    <row r="1583" spans="3:30">
      <c r="C1583" s="43" t="s">
        <v>2909</v>
      </c>
      <c r="D1583" s="44" t="s">
        <v>2910</v>
      </c>
      <c r="E1583" s="44"/>
      <c r="F1583" s="45">
        <v>42181.36782407407</v>
      </c>
      <c r="G1583" s="46">
        <v>39</v>
      </c>
      <c r="H1583" s="47">
        <v>43396</v>
      </c>
      <c r="I1583" s="47">
        <v>43412</v>
      </c>
      <c r="J1583" s="46">
        <v>78375</v>
      </c>
      <c r="K1583" s="46">
        <v>0</v>
      </c>
      <c r="L1583" s="46">
        <v>0</v>
      </c>
      <c r="M1583" s="46">
        <f t="shared" si="441"/>
        <v>78375</v>
      </c>
      <c r="N1583" s="46">
        <v>102221</v>
      </c>
      <c r="O1583" s="48">
        <f t="shared" si="442"/>
        <v>0.23327887616047582</v>
      </c>
      <c r="P1583" s="46">
        <v>0</v>
      </c>
      <c r="Q1583" s="46">
        <v>78375</v>
      </c>
      <c r="R1583" s="49">
        <f t="shared" si="443"/>
        <v>1</v>
      </c>
      <c r="S1583" s="50">
        <f t="shared" si="444"/>
        <v>0.01</v>
      </c>
      <c r="T1583" s="49">
        <f t="shared" si="445"/>
        <v>783.75</v>
      </c>
      <c r="U1583" s="51">
        <f t="shared" si="446"/>
        <v>0</v>
      </c>
      <c r="V1583" s="52">
        <f>IF(0&lt;0.8,0,IF(0&lt;1,Sheet3!L561,1))*IF(G1583&lt;3,0.12 - O1583,0.01) *U1583</f>
        <v>0</v>
      </c>
      <c r="W1583" s="52">
        <f t="shared" si="447"/>
        <v>0</v>
      </c>
      <c r="X1583" s="53">
        <f t="shared" si="448"/>
        <v>0</v>
      </c>
      <c r="Y1583" s="53">
        <f t="shared" si="449"/>
        <v>0</v>
      </c>
      <c r="Z1583" s="54">
        <f t="shared" si="459"/>
        <v>0</v>
      </c>
      <c r="AA1583" s="54">
        <f t="shared" si="450"/>
        <v>0</v>
      </c>
      <c r="AB1583" s="55">
        <f t="shared" si="460"/>
        <v>0</v>
      </c>
      <c r="AC1583" s="55">
        <f t="shared" si="451"/>
        <v>0</v>
      </c>
      <c r="AD1583" s="56">
        <f t="shared" si="452"/>
        <v>783.75</v>
      </c>
    </row>
    <row r="1584" spans="3:30">
      <c r="C1584" s="43" t="s">
        <v>2911</v>
      </c>
      <c r="D1584" s="44" t="s">
        <v>2912</v>
      </c>
      <c r="E1584" s="44"/>
      <c r="F1584" s="45">
        <v>42497.184791666667</v>
      </c>
      <c r="G1584" s="46">
        <v>28</v>
      </c>
      <c r="H1584" s="47">
        <v>43396</v>
      </c>
      <c r="I1584" s="47">
        <v>43412</v>
      </c>
      <c r="J1584" s="46">
        <v>330473</v>
      </c>
      <c r="K1584" s="46">
        <v>0</v>
      </c>
      <c r="L1584" s="46">
        <v>0</v>
      </c>
      <c r="M1584" s="46">
        <f t="shared" si="441"/>
        <v>330473</v>
      </c>
      <c r="N1584" s="46">
        <v>596166</v>
      </c>
      <c r="O1584" s="48">
        <f t="shared" si="442"/>
        <v>0.44566949473804274</v>
      </c>
      <c r="P1584" s="46">
        <v>0</v>
      </c>
      <c r="Q1584" s="46">
        <v>330473</v>
      </c>
      <c r="R1584" s="49">
        <f t="shared" si="443"/>
        <v>1</v>
      </c>
      <c r="S1584" s="50">
        <f t="shared" si="444"/>
        <v>0.01</v>
      </c>
      <c r="T1584" s="49">
        <f t="shared" si="445"/>
        <v>3304.73</v>
      </c>
      <c r="U1584" s="51">
        <f t="shared" si="446"/>
        <v>0</v>
      </c>
      <c r="V1584" s="52">
        <f>IF(0&lt;0.8,0,IF(0&lt;1,Sheet3!L561,1))*IF(G1584&lt;3,0.12 - O1584,0.01) *U1584</f>
        <v>0</v>
      </c>
      <c r="W1584" s="52">
        <f t="shared" si="447"/>
        <v>0</v>
      </c>
      <c r="X1584" s="53">
        <f t="shared" si="448"/>
        <v>0</v>
      </c>
      <c r="Y1584" s="53">
        <f t="shared" si="449"/>
        <v>0</v>
      </c>
      <c r="Z1584" s="54">
        <f t="shared" si="459"/>
        <v>0</v>
      </c>
      <c r="AA1584" s="54">
        <f t="shared" si="450"/>
        <v>0</v>
      </c>
      <c r="AB1584" s="55">
        <f t="shared" si="460"/>
        <v>0</v>
      </c>
      <c r="AC1584" s="55">
        <f t="shared" si="451"/>
        <v>0</v>
      </c>
      <c r="AD1584" s="56">
        <f t="shared" si="452"/>
        <v>3304.73</v>
      </c>
    </row>
    <row r="1585" spans="3:30">
      <c r="C1585" s="43" t="s">
        <v>2913</v>
      </c>
      <c r="D1585" s="44" t="s">
        <v>2914</v>
      </c>
      <c r="E1585" s="44"/>
      <c r="F1585" s="45">
        <v>42507.140625</v>
      </c>
      <c r="G1585" s="46">
        <v>28</v>
      </c>
      <c r="H1585" s="47">
        <v>43396</v>
      </c>
      <c r="I1585" s="47">
        <v>43412</v>
      </c>
      <c r="J1585" s="46">
        <v>321118</v>
      </c>
      <c r="K1585" s="46">
        <v>0</v>
      </c>
      <c r="L1585" s="46">
        <v>0</v>
      </c>
      <c r="M1585" s="46">
        <f t="shared" si="441"/>
        <v>321118</v>
      </c>
      <c r="N1585" s="46">
        <v>460404</v>
      </c>
      <c r="O1585" s="48">
        <f t="shared" si="442"/>
        <v>0.30252995195523935</v>
      </c>
      <c r="P1585" s="46">
        <v>0</v>
      </c>
      <c r="Q1585" s="46">
        <v>321118</v>
      </c>
      <c r="R1585" s="49">
        <f t="shared" si="443"/>
        <v>1</v>
      </c>
      <c r="S1585" s="50">
        <f t="shared" si="444"/>
        <v>0.01</v>
      </c>
      <c r="T1585" s="49">
        <f t="shared" si="445"/>
        <v>3211.1800000000003</v>
      </c>
      <c r="U1585" s="51">
        <f t="shared" si="446"/>
        <v>0</v>
      </c>
      <c r="V1585" s="52">
        <f>IF(0&lt;0.8,0,IF(0&lt;1,Sheet3!L561,1))*IF(G1585&lt;3,0.12 - O1585,0.01) *U1585</f>
        <v>0</v>
      </c>
      <c r="W1585" s="52">
        <f t="shared" si="447"/>
        <v>0</v>
      </c>
      <c r="X1585" s="53">
        <f t="shared" si="448"/>
        <v>0</v>
      </c>
      <c r="Y1585" s="53">
        <f t="shared" si="449"/>
        <v>0</v>
      </c>
      <c r="Z1585" s="54">
        <f t="shared" si="459"/>
        <v>0</v>
      </c>
      <c r="AA1585" s="54">
        <f t="shared" si="450"/>
        <v>0</v>
      </c>
      <c r="AB1585" s="55">
        <f t="shared" si="460"/>
        <v>0</v>
      </c>
      <c r="AC1585" s="55">
        <f t="shared" si="451"/>
        <v>0</v>
      </c>
      <c r="AD1585" s="56">
        <f t="shared" si="452"/>
        <v>3211.1800000000003</v>
      </c>
    </row>
    <row r="1586" spans="3:30">
      <c r="C1586" s="43" t="s">
        <v>2915</v>
      </c>
      <c r="D1586" s="44" t="s">
        <v>2916</v>
      </c>
      <c r="E1586" s="44"/>
      <c r="F1586" s="45">
        <v>42530.331956018519</v>
      </c>
      <c r="G1586" s="46">
        <v>27</v>
      </c>
      <c r="H1586" s="47">
        <v>43418</v>
      </c>
      <c r="I1586" s="47">
        <v>43476</v>
      </c>
      <c r="J1586" s="46">
        <v>1793816</v>
      </c>
      <c r="K1586" s="46">
        <v>0</v>
      </c>
      <c r="L1586" s="46">
        <v>0</v>
      </c>
      <c r="M1586" s="46">
        <f t="shared" si="441"/>
        <v>1793816</v>
      </c>
      <c r="N1586" s="46">
        <v>1945647</v>
      </c>
      <c r="O1586" s="48">
        <f t="shared" si="442"/>
        <v>7.8036252208134371E-2</v>
      </c>
      <c r="P1586" s="46">
        <v>0</v>
      </c>
      <c r="Q1586" s="46">
        <v>1845516</v>
      </c>
      <c r="R1586" s="49">
        <f t="shared" si="443"/>
        <v>1</v>
      </c>
      <c r="S1586" s="50">
        <f t="shared" si="444"/>
        <v>0.01</v>
      </c>
      <c r="T1586" s="49">
        <f t="shared" si="445"/>
        <v>17938.16</v>
      </c>
      <c r="U1586" s="51">
        <f t="shared" si="446"/>
        <v>0</v>
      </c>
      <c r="V1586" s="52">
        <f>IF(0&lt;0.8,0,IF(0&lt;1,Sheet3!L561,1))*IF(G1586&lt;3,0.12 - O1586,0.01) *U1586</f>
        <v>0</v>
      </c>
      <c r="W1586" s="52">
        <f t="shared" si="447"/>
        <v>0</v>
      </c>
      <c r="X1586" s="53">
        <f t="shared" si="448"/>
        <v>0</v>
      </c>
      <c r="Y1586" s="53">
        <f t="shared" si="449"/>
        <v>0</v>
      </c>
      <c r="Z1586" s="54">
        <f t="shared" si="459"/>
        <v>0</v>
      </c>
      <c r="AA1586" s="54">
        <f t="shared" si="450"/>
        <v>0</v>
      </c>
      <c r="AB1586" s="55">
        <f t="shared" si="460"/>
        <v>0</v>
      </c>
      <c r="AC1586" s="55">
        <f t="shared" si="451"/>
        <v>0</v>
      </c>
      <c r="AD1586" s="56">
        <f t="shared" si="452"/>
        <v>17938.16</v>
      </c>
    </row>
    <row r="1587" spans="3:30">
      <c r="C1587" s="43" t="s">
        <v>2917</v>
      </c>
      <c r="D1587" s="44" t="s">
        <v>2910</v>
      </c>
      <c r="E1587" s="44"/>
      <c r="F1587" s="45">
        <v>42591.276724537034</v>
      </c>
      <c r="G1587" s="46">
        <v>25</v>
      </c>
      <c r="H1587" s="47">
        <v>43396</v>
      </c>
      <c r="I1587" s="47">
        <v>43412</v>
      </c>
      <c r="J1587" s="46">
        <v>266063</v>
      </c>
      <c r="K1587" s="46">
        <v>0</v>
      </c>
      <c r="L1587" s="46">
        <v>0</v>
      </c>
      <c r="M1587" s="46">
        <f t="shared" ref="M1587:M1650" si="461">IFERROR(J1587-K1587-L1587,0)</f>
        <v>266063</v>
      </c>
      <c r="N1587" s="46">
        <v>370805</v>
      </c>
      <c r="O1587" s="48">
        <f t="shared" ref="O1587:O1650" si="462">IFERROR(IF(1 - M1587/N1587&lt;0,0,1-M1587/N1587),0)</f>
        <v>0.28247191920281545</v>
      </c>
      <c r="P1587" s="46">
        <v>0</v>
      </c>
      <c r="Q1587" s="46">
        <v>266063</v>
      </c>
      <c r="R1587" s="49">
        <f t="shared" ref="R1587:R1650" si="463">IF(F1587&lt;DATEVALUE("2018-07-01"),1,0)</f>
        <v>1</v>
      </c>
      <c r="S1587" s="50">
        <f t="shared" ref="S1587:S1650" si="464">IF(R1587=1,1%,0)</f>
        <v>0.01</v>
      </c>
      <c r="T1587" s="49">
        <f t="shared" ref="T1587:T1650" si="465">IFERROR(S1587*M1587,0)</f>
        <v>2660.63</v>
      </c>
      <c r="U1587" s="51">
        <f t="shared" ref="U1587:U1650" si="466">IF(O1587&lt;=0.12,1,0)*(1-R1587)*M1587</f>
        <v>0</v>
      </c>
      <c r="V1587" s="52">
        <f>IF(0&lt;0.8,0,IF(0&lt;1,Sheet3!L561,1))*IF(G1587&lt;3,0.12 - O1587,0.01) *U1587</f>
        <v>0</v>
      </c>
      <c r="W1587" s="52">
        <f t="shared" ref="W1587:W1650" si="467">IF(0&gt;1,IF(0&lt;=1.1,1,IF(0&lt;=1.2,2,IF(0&lt;=1.5,3,5))),0) * 1000000</f>
        <v>0</v>
      </c>
      <c r="X1587" s="53">
        <f t="shared" ref="X1587:X1650" si="468">IF(AND(P1587&gt;=150000000,P1587&lt;300000000),5000000,IF(AND(P1587&gt;=300000000,P1587&lt;500000000),10000000,IF(AND(P1587&gt;=300000000,P1587&lt;500000000),15000000,IF(AND(P1587&gt;=500000000,P1587&lt;3000000000),20000000,IF(P1587&gt;=30000000000,35000000,0))))) * (1-R1587)</f>
        <v>0</v>
      </c>
      <c r="Y1587" s="53">
        <f t="shared" ref="Y1587:Y1650" si="469">IFERROR(Q1587 * (1-R1587),0)</f>
        <v>0</v>
      </c>
      <c r="Z1587" s="54">
        <f t="shared" si="459"/>
        <v>0</v>
      </c>
      <c r="AA1587" s="54">
        <f t="shared" ref="AA1587:AA1650" si="470">IFERROR((1-R1587) * Z1587 * 2%,0)</f>
        <v>0</v>
      </c>
      <c r="AB1587" s="55">
        <f t="shared" si="460"/>
        <v>0</v>
      </c>
      <c r="AC1587" s="55">
        <f t="shared" ref="AC1587:AC1650" si="471">IFERROR(AB1587 * (1-R1587) * 2%,0)</f>
        <v>0</v>
      </c>
      <c r="AD1587" s="56">
        <f t="shared" ref="AD1587:AD1650" si="472">T1587+V1587+W1587+X1587+AA1587+AC1587</f>
        <v>2660.63</v>
      </c>
    </row>
    <row r="1588" spans="3:30">
      <c r="C1588" s="43" t="s">
        <v>2918</v>
      </c>
      <c r="D1588" s="44" t="s">
        <v>1131</v>
      </c>
      <c r="E1588" s="44"/>
      <c r="F1588" s="45">
        <v>42601.293368055551</v>
      </c>
      <c r="G1588" s="46">
        <v>25</v>
      </c>
      <c r="H1588" s="47">
        <v>43398</v>
      </c>
      <c r="I1588" s="47">
        <v>43413</v>
      </c>
      <c r="J1588" s="46">
        <v>3038522</v>
      </c>
      <c r="K1588" s="46">
        <v>0</v>
      </c>
      <c r="L1588" s="46">
        <v>0</v>
      </c>
      <c r="M1588" s="46">
        <f t="shared" si="461"/>
        <v>3038522</v>
      </c>
      <c r="N1588" s="46">
        <v>3377666</v>
      </c>
      <c r="O1588" s="48">
        <f t="shared" si="462"/>
        <v>0.10040779638957786</v>
      </c>
      <c r="P1588" s="46">
        <v>0</v>
      </c>
      <c r="Q1588" s="46">
        <v>3038522</v>
      </c>
      <c r="R1588" s="49">
        <f t="shared" si="463"/>
        <v>1</v>
      </c>
      <c r="S1588" s="50">
        <f t="shared" si="464"/>
        <v>0.01</v>
      </c>
      <c r="T1588" s="49">
        <f t="shared" si="465"/>
        <v>30385.22</v>
      </c>
      <c r="U1588" s="51">
        <f t="shared" si="466"/>
        <v>0</v>
      </c>
      <c r="V1588" s="52">
        <f>IF(0&lt;0.8,0,IF(0&lt;1,Sheet3!L561,1))*IF(G1588&lt;3,0.12 - O1588,0.01) *U1588</f>
        <v>0</v>
      </c>
      <c r="W1588" s="52">
        <f t="shared" si="467"/>
        <v>0</v>
      </c>
      <c r="X1588" s="53">
        <f t="shared" si="468"/>
        <v>0</v>
      </c>
      <c r="Y1588" s="53">
        <f t="shared" si="469"/>
        <v>0</v>
      </c>
      <c r="Z1588" s="54">
        <f t="shared" si="459"/>
        <v>0</v>
      </c>
      <c r="AA1588" s="54">
        <f t="shared" si="470"/>
        <v>0</v>
      </c>
      <c r="AB1588" s="55">
        <f t="shared" si="460"/>
        <v>0</v>
      </c>
      <c r="AC1588" s="55">
        <f t="shared" si="471"/>
        <v>0</v>
      </c>
      <c r="AD1588" s="56">
        <f t="shared" si="472"/>
        <v>30385.22</v>
      </c>
    </row>
    <row r="1589" spans="3:30">
      <c r="C1589" s="43" t="s">
        <v>2919</v>
      </c>
      <c r="D1589" s="44" t="s">
        <v>2920</v>
      </c>
      <c r="E1589" s="44"/>
      <c r="F1589" s="45">
        <v>42658.068969907406</v>
      </c>
      <c r="G1589" s="46">
        <v>23</v>
      </c>
      <c r="H1589" s="47">
        <v>43396</v>
      </c>
      <c r="I1589" s="47">
        <v>43412</v>
      </c>
      <c r="J1589" s="46">
        <v>1779310</v>
      </c>
      <c r="K1589" s="46">
        <v>0</v>
      </c>
      <c r="L1589" s="46">
        <v>0</v>
      </c>
      <c r="M1589" s="46">
        <f t="shared" si="461"/>
        <v>1779310</v>
      </c>
      <c r="N1589" s="46">
        <v>2430223</v>
      </c>
      <c r="O1589" s="48">
        <f t="shared" si="462"/>
        <v>0.26784085246497957</v>
      </c>
      <c r="P1589" s="46">
        <v>0</v>
      </c>
      <c r="Q1589" s="46">
        <v>1779310</v>
      </c>
      <c r="R1589" s="49">
        <f t="shared" si="463"/>
        <v>1</v>
      </c>
      <c r="S1589" s="50">
        <f t="shared" si="464"/>
        <v>0.01</v>
      </c>
      <c r="T1589" s="49">
        <f t="shared" si="465"/>
        <v>17793.100000000002</v>
      </c>
      <c r="U1589" s="51">
        <f t="shared" si="466"/>
        <v>0</v>
      </c>
      <c r="V1589" s="52">
        <f>IF(0&lt;0.8,0,IF(0&lt;1,Sheet3!L561,1))*IF(G1589&lt;3,0.12 - O1589,0.01) *U1589</f>
        <v>0</v>
      </c>
      <c r="W1589" s="52">
        <f t="shared" si="467"/>
        <v>0</v>
      </c>
      <c r="X1589" s="53">
        <f t="shared" si="468"/>
        <v>0</v>
      </c>
      <c r="Y1589" s="53">
        <f t="shared" si="469"/>
        <v>0</v>
      </c>
      <c r="Z1589" s="54">
        <f t="shared" si="459"/>
        <v>0</v>
      </c>
      <c r="AA1589" s="54">
        <f t="shared" si="470"/>
        <v>0</v>
      </c>
      <c r="AB1589" s="55">
        <f t="shared" si="460"/>
        <v>0</v>
      </c>
      <c r="AC1589" s="55">
        <f t="shared" si="471"/>
        <v>0</v>
      </c>
      <c r="AD1589" s="56">
        <f t="shared" si="472"/>
        <v>17793.100000000002</v>
      </c>
    </row>
    <row r="1590" spans="3:30">
      <c r="C1590" s="43" t="s">
        <v>2921</v>
      </c>
      <c r="D1590" s="44" t="s">
        <v>2920</v>
      </c>
      <c r="E1590" s="44"/>
      <c r="F1590" s="45">
        <v>42843.324861111112</v>
      </c>
      <c r="G1590" s="46">
        <v>17</v>
      </c>
      <c r="H1590" s="47">
        <v>43396</v>
      </c>
      <c r="I1590" s="47">
        <v>43412</v>
      </c>
      <c r="J1590" s="46">
        <v>368418</v>
      </c>
      <c r="K1590" s="46">
        <v>0</v>
      </c>
      <c r="L1590" s="46">
        <v>0</v>
      </c>
      <c r="M1590" s="46">
        <f t="shared" si="461"/>
        <v>368418</v>
      </c>
      <c r="N1590" s="46">
        <v>497759</v>
      </c>
      <c r="O1590" s="48">
        <f t="shared" si="462"/>
        <v>0.25984663260734608</v>
      </c>
      <c r="P1590" s="46">
        <v>0</v>
      </c>
      <c r="Q1590" s="46">
        <v>368418</v>
      </c>
      <c r="R1590" s="49">
        <f t="shared" si="463"/>
        <v>1</v>
      </c>
      <c r="S1590" s="50">
        <f t="shared" si="464"/>
        <v>0.01</v>
      </c>
      <c r="T1590" s="49">
        <f t="shared" si="465"/>
        <v>3684.1800000000003</v>
      </c>
      <c r="U1590" s="51">
        <f t="shared" si="466"/>
        <v>0</v>
      </c>
      <c r="V1590" s="52">
        <f>IF(0&lt;0.8,0,IF(0&lt;1,Sheet3!L561,1))*IF(G1590&lt;3,0.12 - O1590,0.01) *U1590</f>
        <v>0</v>
      </c>
      <c r="W1590" s="52">
        <f t="shared" si="467"/>
        <v>0</v>
      </c>
      <c r="X1590" s="53">
        <f t="shared" si="468"/>
        <v>0</v>
      </c>
      <c r="Y1590" s="53">
        <f t="shared" si="469"/>
        <v>0</v>
      </c>
      <c r="Z1590" s="54">
        <f t="shared" si="459"/>
        <v>0</v>
      </c>
      <c r="AA1590" s="54">
        <f t="shared" si="470"/>
        <v>0</v>
      </c>
      <c r="AB1590" s="55">
        <f t="shared" si="460"/>
        <v>0</v>
      </c>
      <c r="AC1590" s="55">
        <f t="shared" si="471"/>
        <v>0</v>
      </c>
      <c r="AD1590" s="56">
        <f t="shared" si="472"/>
        <v>3684.1800000000003</v>
      </c>
    </row>
    <row r="1591" spans="3:30">
      <c r="C1591" s="43" t="s">
        <v>2922</v>
      </c>
      <c r="D1591" s="44" t="s">
        <v>2920</v>
      </c>
      <c r="E1591" s="44"/>
      <c r="F1591" s="45">
        <v>43088.185231481482</v>
      </c>
      <c r="G1591" s="46">
        <v>9</v>
      </c>
      <c r="H1591" s="47">
        <v>43396</v>
      </c>
      <c r="I1591" s="47">
        <v>43412</v>
      </c>
      <c r="J1591" s="46">
        <v>479356</v>
      </c>
      <c r="K1591" s="46">
        <v>0</v>
      </c>
      <c r="L1591" s="46">
        <v>0</v>
      </c>
      <c r="M1591" s="46">
        <f t="shared" si="461"/>
        <v>479356</v>
      </c>
      <c r="N1591" s="46">
        <v>674406</v>
      </c>
      <c r="O1591" s="48">
        <f t="shared" si="462"/>
        <v>0.28921747434038247</v>
      </c>
      <c r="P1591" s="46">
        <v>0</v>
      </c>
      <c r="Q1591" s="46">
        <v>479356</v>
      </c>
      <c r="R1591" s="49">
        <f t="shared" si="463"/>
        <v>1</v>
      </c>
      <c r="S1591" s="50">
        <f t="shared" si="464"/>
        <v>0.01</v>
      </c>
      <c r="T1591" s="49">
        <f t="shared" si="465"/>
        <v>4793.5600000000004</v>
      </c>
      <c r="U1591" s="51">
        <f t="shared" si="466"/>
        <v>0</v>
      </c>
      <c r="V1591" s="52">
        <f>IF(0&lt;0.8,0,IF(0&lt;1,Sheet3!L561,1))*IF(G1591&lt;3,0.12 - O1591,0.01) *U1591</f>
        <v>0</v>
      </c>
      <c r="W1591" s="52">
        <f t="shared" si="467"/>
        <v>0</v>
      </c>
      <c r="X1591" s="53">
        <f t="shared" si="468"/>
        <v>0</v>
      </c>
      <c r="Y1591" s="53">
        <f t="shared" si="469"/>
        <v>0</v>
      </c>
      <c r="Z1591" s="54">
        <f t="shared" si="459"/>
        <v>0</v>
      </c>
      <c r="AA1591" s="54">
        <f t="shared" si="470"/>
        <v>0</v>
      </c>
      <c r="AB1591" s="55">
        <f t="shared" si="460"/>
        <v>0</v>
      </c>
      <c r="AC1591" s="55">
        <f t="shared" si="471"/>
        <v>0</v>
      </c>
      <c r="AD1591" s="56">
        <f t="shared" si="472"/>
        <v>4793.5600000000004</v>
      </c>
    </row>
    <row r="1592" spans="3:30">
      <c r="C1592" s="43" t="s">
        <v>2923</v>
      </c>
      <c r="D1592" s="44" t="s">
        <v>2924</v>
      </c>
      <c r="E1592" s="44"/>
      <c r="F1592" s="45">
        <v>43276.353993055556</v>
      </c>
      <c r="G1592" s="46">
        <v>3</v>
      </c>
      <c r="H1592" s="47" t="s">
        <v>24</v>
      </c>
      <c r="I1592" s="47" t="s">
        <v>24</v>
      </c>
      <c r="J1592" s="46">
        <v>4433350</v>
      </c>
      <c r="K1592" s="46">
        <v>0</v>
      </c>
      <c r="L1592" s="46">
        <v>0</v>
      </c>
      <c r="M1592" s="46">
        <f t="shared" si="461"/>
        <v>4433350</v>
      </c>
      <c r="N1592" s="46">
        <v>4878423</v>
      </c>
      <c r="O1592" s="48">
        <f t="shared" si="462"/>
        <v>9.1232966063008458E-2</v>
      </c>
      <c r="P1592" s="46">
        <v>0</v>
      </c>
      <c r="Q1592" s="46">
        <v>0</v>
      </c>
      <c r="R1592" s="49">
        <f t="shared" si="463"/>
        <v>1</v>
      </c>
      <c r="S1592" s="50">
        <f t="shared" si="464"/>
        <v>0.01</v>
      </c>
      <c r="T1592" s="49">
        <f t="shared" si="465"/>
        <v>44333.5</v>
      </c>
      <c r="U1592" s="51">
        <f t="shared" si="466"/>
        <v>0</v>
      </c>
      <c r="V1592" s="52">
        <f>IF(0&lt;0.8,0,IF(0&lt;1,Sheet3!L561,1))*IF(G1592&lt;3,0.12 - O1592,0.01) *U1592</f>
        <v>0</v>
      </c>
      <c r="W1592" s="52">
        <f t="shared" si="467"/>
        <v>0</v>
      </c>
      <c r="X1592" s="53">
        <f t="shared" si="468"/>
        <v>0</v>
      </c>
      <c r="Y1592" s="53">
        <f t="shared" si="469"/>
        <v>0</v>
      </c>
      <c r="Z1592" s="54">
        <f t="shared" si="459"/>
        <v>0</v>
      </c>
      <c r="AA1592" s="54">
        <f t="shared" si="470"/>
        <v>0</v>
      </c>
      <c r="AB1592" s="55">
        <f t="shared" si="460"/>
        <v>0</v>
      </c>
      <c r="AC1592" s="55">
        <f t="shared" si="471"/>
        <v>0</v>
      </c>
      <c r="AD1592" s="56">
        <f t="shared" si="472"/>
        <v>44333.5</v>
      </c>
    </row>
    <row r="1593" spans="3:30">
      <c r="C1593" s="43" t="s">
        <v>2925</v>
      </c>
      <c r="D1593" s="44" t="s">
        <v>2920</v>
      </c>
      <c r="E1593" s="44"/>
      <c r="F1593" s="45">
        <v>43327.27512731481</v>
      </c>
      <c r="G1593" s="46">
        <v>1</v>
      </c>
      <c r="H1593" s="47">
        <v>43396</v>
      </c>
      <c r="I1593" s="47">
        <v>43412</v>
      </c>
      <c r="J1593" s="46">
        <v>296989</v>
      </c>
      <c r="K1593" s="46">
        <v>0</v>
      </c>
      <c r="L1593" s="46">
        <v>0</v>
      </c>
      <c r="M1593" s="46">
        <f t="shared" si="461"/>
        <v>296989</v>
      </c>
      <c r="N1593" s="46">
        <v>414966</v>
      </c>
      <c r="O1593" s="48">
        <f t="shared" si="462"/>
        <v>0.28430522018671411</v>
      </c>
      <c r="P1593" s="46">
        <v>0</v>
      </c>
      <c r="Q1593" s="46">
        <v>0</v>
      </c>
      <c r="R1593" s="49">
        <f t="shared" si="463"/>
        <v>0</v>
      </c>
      <c r="S1593" s="50">
        <f t="shared" si="464"/>
        <v>0</v>
      </c>
      <c r="T1593" s="49">
        <f t="shared" si="465"/>
        <v>0</v>
      </c>
      <c r="U1593" s="51">
        <f t="shared" si="466"/>
        <v>0</v>
      </c>
      <c r="V1593" s="52">
        <f>IF(0&lt;0.8,0,IF(0&lt;1,Sheet3!L561,1))*IF(G1593&lt;3,0.12 - O1593,0.01) *U1593</f>
        <v>0</v>
      </c>
      <c r="W1593" s="52">
        <f t="shared" si="467"/>
        <v>0</v>
      </c>
      <c r="X1593" s="53">
        <f t="shared" si="468"/>
        <v>0</v>
      </c>
      <c r="Y1593" s="53">
        <f t="shared" si="469"/>
        <v>0</v>
      </c>
      <c r="Z1593" s="54">
        <f t="shared" si="459"/>
        <v>0</v>
      </c>
      <c r="AA1593" s="54">
        <f t="shared" si="470"/>
        <v>0</v>
      </c>
      <c r="AB1593" s="55">
        <f t="shared" si="460"/>
        <v>0</v>
      </c>
      <c r="AC1593" s="55">
        <f t="shared" si="471"/>
        <v>0</v>
      </c>
      <c r="AD1593" s="56">
        <f t="shared" si="472"/>
        <v>0</v>
      </c>
    </row>
    <row r="1594" spans="3:30">
      <c r="C1594" s="43" t="s">
        <v>2926</v>
      </c>
      <c r="D1594" s="44" t="s">
        <v>2927</v>
      </c>
      <c r="E1594" s="44"/>
      <c r="F1594" s="45">
        <v>43367.087592592594</v>
      </c>
      <c r="G1594" s="46">
        <v>0</v>
      </c>
      <c r="H1594" s="47" t="s">
        <v>24</v>
      </c>
      <c r="I1594" s="47" t="s">
        <v>24</v>
      </c>
      <c r="J1594" s="46">
        <v>6412516</v>
      </c>
      <c r="K1594" s="46">
        <v>0</v>
      </c>
      <c r="L1594" s="46">
        <v>0</v>
      </c>
      <c r="M1594" s="46">
        <f t="shared" si="461"/>
        <v>6412516</v>
      </c>
      <c r="N1594" s="46" t="s">
        <v>24</v>
      </c>
      <c r="O1594" s="48">
        <f t="shared" si="462"/>
        <v>0</v>
      </c>
      <c r="P1594" s="46">
        <v>0</v>
      </c>
      <c r="Q1594" s="46">
        <v>0</v>
      </c>
      <c r="R1594" s="49">
        <f t="shared" si="463"/>
        <v>0</v>
      </c>
      <c r="S1594" s="50">
        <f t="shared" si="464"/>
        <v>0</v>
      </c>
      <c r="T1594" s="49">
        <f t="shared" si="465"/>
        <v>0</v>
      </c>
      <c r="U1594" s="51">
        <f t="shared" si="466"/>
        <v>6412516</v>
      </c>
      <c r="V1594" s="52">
        <f>IF(0&lt;0.8,0,IF(0&lt;1,Sheet3!L561,1))*IF(G1594&lt;3,0.12 - O1594,0.01) *U1594</f>
        <v>0</v>
      </c>
      <c r="W1594" s="52">
        <f t="shared" si="467"/>
        <v>0</v>
      </c>
      <c r="X1594" s="53">
        <f t="shared" si="468"/>
        <v>0</v>
      </c>
      <c r="Y1594" s="53">
        <f t="shared" si="469"/>
        <v>0</v>
      </c>
      <c r="Z1594" s="54" t="str">
        <f>IF(R1594=1,0,"")</f>
        <v/>
      </c>
      <c r="AA1594" s="54">
        <f t="shared" si="470"/>
        <v>0</v>
      </c>
      <c r="AB1594" s="55" t="str">
        <f>IF(R1594=0,"",0)</f>
        <v/>
      </c>
      <c r="AC1594" s="55">
        <f t="shared" si="471"/>
        <v>0</v>
      </c>
      <c r="AD1594" s="56">
        <f t="shared" si="472"/>
        <v>0</v>
      </c>
    </row>
    <row r="1595" spans="3:30">
      <c r="C1595" s="43" t="s">
        <v>2928</v>
      </c>
      <c r="D1595" s="44" t="s">
        <v>2929</v>
      </c>
      <c r="E1595" s="44"/>
      <c r="F1595" s="45">
        <v>43245.283078703702</v>
      </c>
      <c r="G1595" s="46">
        <v>4</v>
      </c>
      <c r="H1595" s="47" t="s">
        <v>24</v>
      </c>
      <c r="I1595" s="47" t="s">
        <v>24</v>
      </c>
      <c r="J1595" s="46">
        <v>0</v>
      </c>
      <c r="K1595" s="46">
        <v>0</v>
      </c>
      <c r="L1595" s="46">
        <v>0</v>
      </c>
      <c r="M1595" s="46">
        <f t="shared" si="461"/>
        <v>0</v>
      </c>
      <c r="N1595" s="46">
        <v>1904238</v>
      </c>
      <c r="O1595" s="48">
        <f t="shared" si="462"/>
        <v>1</v>
      </c>
      <c r="P1595" s="46">
        <v>0</v>
      </c>
      <c r="Q1595" s="46">
        <v>0</v>
      </c>
      <c r="R1595" s="49">
        <f t="shared" si="463"/>
        <v>1</v>
      </c>
      <c r="S1595" s="50">
        <f t="shared" si="464"/>
        <v>0.01</v>
      </c>
      <c r="T1595" s="49">
        <f t="shared" si="465"/>
        <v>0</v>
      </c>
      <c r="U1595" s="51">
        <f t="shared" si="466"/>
        <v>0</v>
      </c>
      <c r="V1595" s="52">
        <f>IF(0&lt;0.8,0,IF(0&lt;1,Sheet3!L561,1))*IF(G1595&lt;3,0.12 - O1595,0.01) *U1595</f>
        <v>0</v>
      </c>
      <c r="W1595" s="52">
        <f t="shared" si="467"/>
        <v>0</v>
      </c>
      <c r="X1595" s="53">
        <f t="shared" si="468"/>
        <v>0</v>
      </c>
      <c r="Y1595" s="53">
        <f t="shared" si="469"/>
        <v>0</v>
      </c>
      <c r="Z1595" s="54">
        <f>IF(R1595=1,0,"")</f>
        <v>0</v>
      </c>
      <c r="AA1595" s="54">
        <f t="shared" si="470"/>
        <v>0</v>
      </c>
      <c r="AB1595" s="55">
        <f>IF(R1595=0,"",0)</f>
        <v>0</v>
      </c>
      <c r="AC1595" s="55">
        <f t="shared" si="471"/>
        <v>0</v>
      </c>
      <c r="AD1595" s="56">
        <f t="shared" si="472"/>
        <v>0</v>
      </c>
    </row>
    <row r="1596" spans="3:30">
      <c r="C1596" s="43" t="s">
        <v>2930</v>
      </c>
      <c r="D1596" s="44" t="s">
        <v>995</v>
      </c>
      <c r="E1596" s="44"/>
      <c r="F1596" s="45">
        <v>43316.360763888886</v>
      </c>
      <c r="G1596" s="46">
        <v>1</v>
      </c>
      <c r="H1596" s="47">
        <v>43404</v>
      </c>
      <c r="I1596" s="47">
        <v>43430</v>
      </c>
      <c r="J1596" s="46">
        <v>2331924</v>
      </c>
      <c r="K1596" s="46">
        <v>0</v>
      </c>
      <c r="L1596" s="46">
        <v>0</v>
      </c>
      <c r="M1596" s="46">
        <f t="shared" si="461"/>
        <v>2331924</v>
      </c>
      <c r="N1596" s="46">
        <v>2419982</v>
      </c>
      <c r="O1596" s="48">
        <f t="shared" si="462"/>
        <v>3.6387873959393136E-2</v>
      </c>
      <c r="P1596" s="46">
        <v>0</v>
      </c>
      <c r="Q1596" s="46">
        <v>0</v>
      </c>
      <c r="R1596" s="49">
        <f t="shared" si="463"/>
        <v>0</v>
      </c>
      <c r="S1596" s="50">
        <f t="shared" si="464"/>
        <v>0</v>
      </c>
      <c r="T1596" s="49">
        <f t="shared" si="465"/>
        <v>0</v>
      </c>
      <c r="U1596" s="51">
        <f t="shared" si="466"/>
        <v>2331924</v>
      </c>
      <c r="V1596" s="52">
        <f>IF(0&lt;0.8,0,IF(0&lt;1,Sheet3!L561,1))*IF(G1596&lt;3,0.12 - O1596,0.01) *U1596</f>
        <v>0</v>
      </c>
      <c r="W1596" s="52">
        <f t="shared" si="467"/>
        <v>0</v>
      </c>
      <c r="X1596" s="53">
        <f t="shared" si="468"/>
        <v>0</v>
      </c>
      <c r="Y1596" s="53">
        <f t="shared" si="469"/>
        <v>0</v>
      </c>
      <c r="Z1596" s="54">
        <f t="shared" ref="Z1596:Z1602" si="473">IF(R1596=1,0,0)</f>
        <v>0</v>
      </c>
      <c r="AA1596" s="54">
        <f t="shared" si="470"/>
        <v>0</v>
      </c>
      <c r="AB1596" s="55">
        <f t="shared" ref="AB1596:AB1602" si="474">IF(R1596=0,0,0)</f>
        <v>0</v>
      </c>
      <c r="AC1596" s="55">
        <f t="shared" si="471"/>
        <v>0</v>
      </c>
      <c r="AD1596" s="56">
        <f t="shared" si="472"/>
        <v>0</v>
      </c>
    </row>
    <row r="1597" spans="3:30">
      <c r="C1597" s="43" t="s">
        <v>2931</v>
      </c>
      <c r="D1597" s="44" t="s">
        <v>2932</v>
      </c>
      <c r="E1597" s="44"/>
      <c r="F1597" s="45">
        <v>41286.64340277778</v>
      </c>
      <c r="G1597" s="46">
        <v>68</v>
      </c>
      <c r="H1597" s="47">
        <v>43396</v>
      </c>
      <c r="I1597" s="47">
        <v>43412</v>
      </c>
      <c r="J1597" s="46">
        <v>1055177</v>
      </c>
      <c r="K1597" s="46">
        <v>0</v>
      </c>
      <c r="L1597" s="46">
        <v>0</v>
      </c>
      <c r="M1597" s="46">
        <f t="shared" si="461"/>
        <v>1055177</v>
      </c>
      <c r="N1597" s="46">
        <v>1438598</v>
      </c>
      <c r="O1597" s="48">
        <f t="shared" si="462"/>
        <v>0.26652407413328816</v>
      </c>
      <c r="P1597" s="46">
        <v>0</v>
      </c>
      <c r="Q1597" s="46">
        <v>1055177</v>
      </c>
      <c r="R1597" s="49">
        <f t="shared" si="463"/>
        <v>1</v>
      </c>
      <c r="S1597" s="50">
        <f t="shared" si="464"/>
        <v>0.01</v>
      </c>
      <c r="T1597" s="49">
        <f t="shared" si="465"/>
        <v>10551.77</v>
      </c>
      <c r="U1597" s="51">
        <f t="shared" si="466"/>
        <v>0</v>
      </c>
      <c r="V1597" s="52">
        <f>IF(0&lt;0.8,0,IF(0&lt;1,Sheet3!L561,1))*IF(G1597&lt;3,0.12 - O1597,0.01) *U1597</f>
        <v>0</v>
      </c>
      <c r="W1597" s="52">
        <f t="shared" si="467"/>
        <v>0</v>
      </c>
      <c r="X1597" s="53">
        <f t="shared" si="468"/>
        <v>0</v>
      </c>
      <c r="Y1597" s="53">
        <f t="shared" si="469"/>
        <v>0</v>
      </c>
      <c r="Z1597" s="54">
        <f t="shared" si="473"/>
        <v>0</v>
      </c>
      <c r="AA1597" s="54">
        <f t="shared" si="470"/>
        <v>0</v>
      </c>
      <c r="AB1597" s="55">
        <f t="shared" si="474"/>
        <v>0</v>
      </c>
      <c r="AC1597" s="55">
        <f t="shared" si="471"/>
        <v>0</v>
      </c>
      <c r="AD1597" s="56">
        <f t="shared" si="472"/>
        <v>10551.77</v>
      </c>
    </row>
    <row r="1598" spans="3:30">
      <c r="C1598" s="43" t="s">
        <v>2933</v>
      </c>
      <c r="D1598" s="44" t="s">
        <v>2934</v>
      </c>
      <c r="E1598" s="44"/>
      <c r="F1598" s="45">
        <v>42081.356608796297</v>
      </c>
      <c r="G1598" s="46">
        <v>42</v>
      </c>
      <c r="H1598" s="47">
        <v>43396</v>
      </c>
      <c r="I1598" s="47">
        <v>43412</v>
      </c>
      <c r="J1598" s="46">
        <v>191345</v>
      </c>
      <c r="K1598" s="46">
        <v>0</v>
      </c>
      <c r="L1598" s="46">
        <v>0</v>
      </c>
      <c r="M1598" s="46">
        <f t="shared" si="461"/>
        <v>191345</v>
      </c>
      <c r="N1598" s="46">
        <v>245650</v>
      </c>
      <c r="O1598" s="48">
        <f t="shared" si="462"/>
        <v>0.22106655811113374</v>
      </c>
      <c r="P1598" s="46">
        <v>0</v>
      </c>
      <c r="Q1598" s="46">
        <v>191345</v>
      </c>
      <c r="R1598" s="49">
        <f t="shared" si="463"/>
        <v>1</v>
      </c>
      <c r="S1598" s="50">
        <f t="shared" si="464"/>
        <v>0.01</v>
      </c>
      <c r="T1598" s="49">
        <f t="shared" si="465"/>
        <v>1913.45</v>
      </c>
      <c r="U1598" s="51">
        <f t="shared" si="466"/>
        <v>0</v>
      </c>
      <c r="V1598" s="52">
        <f>IF(0&lt;0.8,0,IF(0&lt;1,Sheet3!L561,1))*IF(G1598&lt;3,0.12 - O1598,0.01) *U1598</f>
        <v>0</v>
      </c>
      <c r="W1598" s="52">
        <f t="shared" si="467"/>
        <v>0</v>
      </c>
      <c r="X1598" s="53">
        <f t="shared" si="468"/>
        <v>0</v>
      </c>
      <c r="Y1598" s="53">
        <f t="shared" si="469"/>
        <v>0</v>
      </c>
      <c r="Z1598" s="54">
        <f t="shared" si="473"/>
        <v>0</v>
      </c>
      <c r="AA1598" s="54">
        <f t="shared" si="470"/>
        <v>0</v>
      </c>
      <c r="AB1598" s="55">
        <f t="shared" si="474"/>
        <v>0</v>
      </c>
      <c r="AC1598" s="55">
        <f t="shared" si="471"/>
        <v>0</v>
      </c>
      <c r="AD1598" s="56">
        <f t="shared" si="472"/>
        <v>1913.45</v>
      </c>
    </row>
    <row r="1599" spans="3:30">
      <c r="C1599" s="43" t="s">
        <v>2935</v>
      </c>
      <c r="D1599" s="44" t="s">
        <v>2936</v>
      </c>
      <c r="E1599" s="44"/>
      <c r="F1599" s="45">
        <v>42550.183877314812</v>
      </c>
      <c r="G1599" s="46">
        <v>27</v>
      </c>
      <c r="H1599" s="47">
        <v>43396</v>
      </c>
      <c r="I1599" s="47">
        <v>43412</v>
      </c>
      <c r="J1599" s="46">
        <v>559735</v>
      </c>
      <c r="K1599" s="46">
        <v>0</v>
      </c>
      <c r="L1599" s="46">
        <v>0</v>
      </c>
      <c r="M1599" s="46">
        <f t="shared" si="461"/>
        <v>559735</v>
      </c>
      <c r="N1599" s="46">
        <v>623772</v>
      </c>
      <c r="O1599" s="48">
        <f t="shared" si="462"/>
        <v>0.10266090815233775</v>
      </c>
      <c r="P1599" s="46">
        <v>0</v>
      </c>
      <c r="Q1599" s="46">
        <v>559735</v>
      </c>
      <c r="R1599" s="49">
        <f t="shared" si="463"/>
        <v>1</v>
      </c>
      <c r="S1599" s="50">
        <f t="shared" si="464"/>
        <v>0.01</v>
      </c>
      <c r="T1599" s="49">
        <f t="shared" si="465"/>
        <v>5597.35</v>
      </c>
      <c r="U1599" s="51">
        <f t="shared" si="466"/>
        <v>0</v>
      </c>
      <c r="V1599" s="52">
        <f>IF(0&lt;0.8,0,IF(0&lt;1,Sheet3!L561,1))*IF(G1599&lt;3,0.12 - O1599,0.01) *U1599</f>
        <v>0</v>
      </c>
      <c r="W1599" s="52">
        <f t="shared" si="467"/>
        <v>0</v>
      </c>
      <c r="X1599" s="53">
        <f t="shared" si="468"/>
        <v>0</v>
      </c>
      <c r="Y1599" s="53">
        <f t="shared" si="469"/>
        <v>0</v>
      </c>
      <c r="Z1599" s="54">
        <f t="shared" si="473"/>
        <v>0</v>
      </c>
      <c r="AA1599" s="54">
        <f t="shared" si="470"/>
        <v>0</v>
      </c>
      <c r="AB1599" s="55">
        <f t="shared" si="474"/>
        <v>0</v>
      </c>
      <c r="AC1599" s="55">
        <f t="shared" si="471"/>
        <v>0</v>
      </c>
      <c r="AD1599" s="56">
        <f t="shared" si="472"/>
        <v>5597.35</v>
      </c>
    </row>
    <row r="1600" spans="3:30">
      <c r="C1600" s="43" t="s">
        <v>2937</v>
      </c>
      <c r="D1600" s="44" t="s">
        <v>2936</v>
      </c>
      <c r="E1600" s="44"/>
      <c r="F1600" s="45">
        <v>42697.147187499999</v>
      </c>
      <c r="G1600" s="46">
        <v>22</v>
      </c>
      <c r="H1600" s="47">
        <v>43396</v>
      </c>
      <c r="I1600" s="47">
        <v>43412</v>
      </c>
      <c r="J1600" s="46">
        <v>170720</v>
      </c>
      <c r="K1600" s="46">
        <v>0</v>
      </c>
      <c r="L1600" s="46">
        <v>0</v>
      </c>
      <c r="M1600" s="46">
        <f t="shared" si="461"/>
        <v>170720</v>
      </c>
      <c r="N1600" s="46">
        <v>226028</v>
      </c>
      <c r="O1600" s="48">
        <f t="shared" si="462"/>
        <v>0.2446953474790734</v>
      </c>
      <c r="P1600" s="46">
        <v>0</v>
      </c>
      <c r="Q1600" s="46">
        <v>170720</v>
      </c>
      <c r="R1600" s="49">
        <f t="shared" si="463"/>
        <v>1</v>
      </c>
      <c r="S1600" s="50">
        <f t="shared" si="464"/>
        <v>0.01</v>
      </c>
      <c r="T1600" s="49">
        <f t="shared" si="465"/>
        <v>1707.2</v>
      </c>
      <c r="U1600" s="51">
        <f t="shared" si="466"/>
        <v>0</v>
      </c>
      <c r="V1600" s="52">
        <f>IF(0&lt;0.8,0,IF(0&lt;1,Sheet3!L561,1))*IF(G1600&lt;3,0.12 - O1600,0.01) *U1600</f>
        <v>0</v>
      </c>
      <c r="W1600" s="52">
        <f t="shared" si="467"/>
        <v>0</v>
      </c>
      <c r="X1600" s="53">
        <f t="shared" si="468"/>
        <v>0</v>
      </c>
      <c r="Y1600" s="53">
        <f t="shared" si="469"/>
        <v>0</v>
      </c>
      <c r="Z1600" s="54">
        <f t="shared" si="473"/>
        <v>0</v>
      </c>
      <c r="AA1600" s="54">
        <f t="shared" si="470"/>
        <v>0</v>
      </c>
      <c r="AB1600" s="55">
        <f t="shared" si="474"/>
        <v>0</v>
      </c>
      <c r="AC1600" s="55">
        <f t="shared" si="471"/>
        <v>0</v>
      </c>
      <c r="AD1600" s="56">
        <f t="shared" si="472"/>
        <v>1707.2</v>
      </c>
    </row>
    <row r="1601" spans="3:30">
      <c r="C1601" s="43" t="s">
        <v>2938</v>
      </c>
      <c r="D1601" s="44" t="s">
        <v>2936</v>
      </c>
      <c r="E1601" s="44"/>
      <c r="F1601" s="45">
        <v>42746.081666666665</v>
      </c>
      <c r="G1601" s="46">
        <v>20</v>
      </c>
      <c r="H1601" s="47">
        <v>43396</v>
      </c>
      <c r="I1601" s="47">
        <v>43412</v>
      </c>
      <c r="J1601" s="46">
        <v>86213</v>
      </c>
      <c r="K1601" s="46">
        <v>0</v>
      </c>
      <c r="L1601" s="46">
        <v>0</v>
      </c>
      <c r="M1601" s="46">
        <f t="shared" si="461"/>
        <v>86213</v>
      </c>
      <c r="N1601" s="46">
        <v>137976</v>
      </c>
      <c r="O1601" s="48">
        <f t="shared" si="462"/>
        <v>0.3751594480199455</v>
      </c>
      <c r="P1601" s="46">
        <v>0</v>
      </c>
      <c r="Q1601" s="46">
        <v>86213</v>
      </c>
      <c r="R1601" s="49">
        <f t="shared" si="463"/>
        <v>1</v>
      </c>
      <c r="S1601" s="50">
        <f t="shared" si="464"/>
        <v>0.01</v>
      </c>
      <c r="T1601" s="49">
        <f t="shared" si="465"/>
        <v>862.13</v>
      </c>
      <c r="U1601" s="51">
        <f t="shared" si="466"/>
        <v>0</v>
      </c>
      <c r="V1601" s="52">
        <f>IF(0&lt;0.8,0,IF(0&lt;1,Sheet3!L561,1))*IF(G1601&lt;3,0.12 - O1601,0.01) *U1601</f>
        <v>0</v>
      </c>
      <c r="W1601" s="52">
        <f t="shared" si="467"/>
        <v>0</v>
      </c>
      <c r="X1601" s="53">
        <f t="shared" si="468"/>
        <v>0</v>
      </c>
      <c r="Y1601" s="53">
        <f t="shared" si="469"/>
        <v>0</v>
      </c>
      <c r="Z1601" s="54">
        <f t="shared" si="473"/>
        <v>0</v>
      </c>
      <c r="AA1601" s="54">
        <f t="shared" si="470"/>
        <v>0</v>
      </c>
      <c r="AB1601" s="55">
        <f t="shared" si="474"/>
        <v>0</v>
      </c>
      <c r="AC1601" s="55">
        <f t="shared" si="471"/>
        <v>0</v>
      </c>
      <c r="AD1601" s="56">
        <f t="shared" si="472"/>
        <v>862.13</v>
      </c>
    </row>
    <row r="1602" spans="3:30">
      <c r="C1602" s="43" t="s">
        <v>2939</v>
      </c>
      <c r="D1602" s="44" t="s">
        <v>2936</v>
      </c>
      <c r="E1602" s="44"/>
      <c r="F1602" s="45">
        <v>42783.296377314815</v>
      </c>
      <c r="G1602" s="46">
        <v>19</v>
      </c>
      <c r="H1602" s="47">
        <v>43396</v>
      </c>
      <c r="I1602" s="47">
        <v>43412</v>
      </c>
      <c r="J1602" s="46">
        <v>326535</v>
      </c>
      <c r="K1602" s="46">
        <v>0</v>
      </c>
      <c r="L1602" s="46">
        <v>0</v>
      </c>
      <c r="M1602" s="46">
        <f t="shared" si="461"/>
        <v>326535</v>
      </c>
      <c r="N1602" s="46">
        <v>425271</v>
      </c>
      <c r="O1602" s="48">
        <f t="shared" si="462"/>
        <v>0.23217195623496545</v>
      </c>
      <c r="P1602" s="46">
        <v>0</v>
      </c>
      <c r="Q1602" s="46">
        <v>326535</v>
      </c>
      <c r="R1602" s="49">
        <f t="shared" si="463"/>
        <v>1</v>
      </c>
      <c r="S1602" s="50">
        <f t="shared" si="464"/>
        <v>0.01</v>
      </c>
      <c r="T1602" s="49">
        <f t="shared" si="465"/>
        <v>3265.35</v>
      </c>
      <c r="U1602" s="51">
        <f t="shared" si="466"/>
        <v>0</v>
      </c>
      <c r="V1602" s="52">
        <f>IF(0&lt;0.8,0,IF(0&lt;1,Sheet3!L561,1))*IF(G1602&lt;3,0.12 - O1602,0.01) *U1602</f>
        <v>0</v>
      </c>
      <c r="W1602" s="52">
        <f t="shared" si="467"/>
        <v>0</v>
      </c>
      <c r="X1602" s="53">
        <f t="shared" si="468"/>
        <v>0</v>
      </c>
      <c r="Y1602" s="53">
        <f t="shared" si="469"/>
        <v>0</v>
      </c>
      <c r="Z1602" s="54">
        <f t="shared" si="473"/>
        <v>0</v>
      </c>
      <c r="AA1602" s="54">
        <f t="shared" si="470"/>
        <v>0</v>
      </c>
      <c r="AB1602" s="55">
        <f t="shared" si="474"/>
        <v>0</v>
      </c>
      <c r="AC1602" s="55">
        <f t="shared" si="471"/>
        <v>0</v>
      </c>
      <c r="AD1602" s="56">
        <f t="shared" si="472"/>
        <v>3265.35</v>
      </c>
    </row>
    <row r="1603" spans="3:30">
      <c r="C1603" s="43" t="s">
        <v>2940</v>
      </c>
      <c r="D1603" s="44" t="s">
        <v>2941</v>
      </c>
      <c r="E1603" s="44"/>
      <c r="F1603" s="45">
        <v>43245.283599537033</v>
      </c>
      <c r="G1603" s="46">
        <v>4</v>
      </c>
      <c r="H1603" s="47" t="s">
        <v>24</v>
      </c>
      <c r="I1603" s="47" t="s">
        <v>24</v>
      </c>
      <c r="J1603" s="46">
        <v>399300</v>
      </c>
      <c r="K1603" s="46">
        <v>399300</v>
      </c>
      <c r="L1603" s="46">
        <v>0</v>
      </c>
      <c r="M1603" s="46">
        <f t="shared" si="461"/>
        <v>0</v>
      </c>
      <c r="N1603" s="46">
        <v>1840223</v>
      </c>
      <c r="O1603" s="48">
        <f t="shared" si="462"/>
        <v>1</v>
      </c>
      <c r="P1603" s="46">
        <v>0</v>
      </c>
      <c r="Q1603" s="46">
        <v>0</v>
      </c>
      <c r="R1603" s="49">
        <f t="shared" si="463"/>
        <v>1</v>
      </c>
      <c r="S1603" s="50">
        <f t="shared" si="464"/>
        <v>0.01</v>
      </c>
      <c r="T1603" s="49">
        <f t="shared" si="465"/>
        <v>0</v>
      </c>
      <c r="U1603" s="51">
        <f t="shared" si="466"/>
        <v>0</v>
      </c>
      <c r="V1603" s="52">
        <f>IF(0&lt;0.8,0,IF(0&lt;1,Sheet3!L561,1))*IF(G1603&lt;3,0.12 - O1603,0.01) *U1603</f>
        <v>0</v>
      </c>
      <c r="W1603" s="52">
        <f t="shared" si="467"/>
        <v>0</v>
      </c>
      <c r="X1603" s="53">
        <f t="shared" si="468"/>
        <v>0</v>
      </c>
      <c r="Y1603" s="53">
        <f t="shared" si="469"/>
        <v>0</v>
      </c>
      <c r="Z1603" s="54">
        <f>IF(R1603=1,0,"")</f>
        <v>0</v>
      </c>
      <c r="AA1603" s="54">
        <f t="shared" si="470"/>
        <v>0</v>
      </c>
      <c r="AB1603" s="55">
        <f>IF(R1603=0,"",0)</f>
        <v>0</v>
      </c>
      <c r="AC1603" s="55">
        <f t="shared" si="471"/>
        <v>0</v>
      </c>
      <c r="AD1603" s="56">
        <f t="shared" si="472"/>
        <v>0</v>
      </c>
    </row>
    <row r="1604" spans="3:30">
      <c r="C1604" s="43" t="s">
        <v>2942</v>
      </c>
      <c r="D1604" s="44" t="s">
        <v>995</v>
      </c>
      <c r="E1604" s="44"/>
      <c r="F1604" s="45">
        <v>43316.367465277777</v>
      </c>
      <c r="G1604" s="46">
        <v>1</v>
      </c>
      <c r="H1604" s="47">
        <v>43404</v>
      </c>
      <c r="I1604" s="47">
        <v>43430</v>
      </c>
      <c r="J1604" s="46">
        <v>695835</v>
      </c>
      <c r="K1604" s="46">
        <v>0</v>
      </c>
      <c r="L1604" s="46">
        <v>0</v>
      </c>
      <c r="M1604" s="46">
        <f t="shared" si="461"/>
        <v>695835</v>
      </c>
      <c r="N1604" s="46">
        <v>761832</v>
      </c>
      <c r="O1604" s="48">
        <f t="shared" si="462"/>
        <v>8.662933560154995E-2</v>
      </c>
      <c r="P1604" s="46">
        <v>0</v>
      </c>
      <c r="Q1604" s="46">
        <v>0</v>
      </c>
      <c r="R1604" s="49">
        <f t="shared" si="463"/>
        <v>0</v>
      </c>
      <c r="S1604" s="50">
        <f t="shared" si="464"/>
        <v>0</v>
      </c>
      <c r="T1604" s="49">
        <f t="shared" si="465"/>
        <v>0</v>
      </c>
      <c r="U1604" s="51">
        <f t="shared" si="466"/>
        <v>695835</v>
      </c>
      <c r="V1604" s="52">
        <f>IF(0&lt;0.8,0,IF(0&lt;1,Sheet3!L561,1))*IF(G1604&lt;3,0.12 - O1604,0.01) *U1604</f>
        <v>0</v>
      </c>
      <c r="W1604" s="52">
        <f t="shared" si="467"/>
        <v>0</v>
      </c>
      <c r="X1604" s="53">
        <f t="shared" si="468"/>
        <v>0</v>
      </c>
      <c r="Y1604" s="53">
        <f t="shared" si="469"/>
        <v>0</v>
      </c>
      <c r="Z1604" s="54">
        <f t="shared" ref="Z1604:Z1635" si="475">IF(R1604=1,0,0)</f>
        <v>0</v>
      </c>
      <c r="AA1604" s="54">
        <f t="shared" si="470"/>
        <v>0</v>
      </c>
      <c r="AB1604" s="55">
        <f>IF(R1604=0,0,0)</f>
        <v>0</v>
      </c>
      <c r="AC1604" s="55">
        <f t="shared" si="471"/>
        <v>0</v>
      </c>
      <c r="AD1604" s="56">
        <f t="shared" si="472"/>
        <v>0</v>
      </c>
    </row>
    <row r="1605" spans="3:30">
      <c r="C1605" s="43" t="s">
        <v>2943</v>
      </c>
      <c r="D1605" s="44" t="s">
        <v>2944</v>
      </c>
      <c r="E1605" s="44"/>
      <c r="F1605" s="45">
        <v>40472.693819444445</v>
      </c>
      <c r="G1605" s="46">
        <v>95</v>
      </c>
      <c r="H1605" s="47">
        <v>43396</v>
      </c>
      <c r="I1605" s="47">
        <v>43412</v>
      </c>
      <c r="J1605" s="46">
        <v>3033597</v>
      </c>
      <c r="K1605" s="46">
        <v>0</v>
      </c>
      <c r="L1605" s="46">
        <v>0</v>
      </c>
      <c r="M1605" s="46">
        <f t="shared" si="461"/>
        <v>3033597</v>
      </c>
      <c r="N1605" s="46">
        <v>4108309</v>
      </c>
      <c r="O1605" s="48">
        <f t="shared" si="462"/>
        <v>0.26159473398909383</v>
      </c>
      <c r="P1605" s="46">
        <v>0</v>
      </c>
      <c r="Q1605" s="46">
        <v>3033597</v>
      </c>
      <c r="R1605" s="49">
        <f t="shared" si="463"/>
        <v>1</v>
      </c>
      <c r="S1605" s="50">
        <f t="shared" si="464"/>
        <v>0.01</v>
      </c>
      <c r="T1605" s="49">
        <f t="shared" si="465"/>
        <v>30335.97</v>
      </c>
      <c r="U1605" s="51">
        <f t="shared" si="466"/>
        <v>0</v>
      </c>
      <c r="V1605" s="52">
        <f>IF(0&lt;0.8,0,IF(0&lt;1,Sheet3!L561,1))*IF(G1605&lt;3,0.12 - O1605,0.01) *U1605</f>
        <v>0</v>
      </c>
      <c r="W1605" s="52">
        <f t="shared" si="467"/>
        <v>0</v>
      </c>
      <c r="X1605" s="53">
        <f t="shared" si="468"/>
        <v>0</v>
      </c>
      <c r="Y1605" s="53">
        <f t="shared" si="469"/>
        <v>0</v>
      </c>
      <c r="Z1605" s="54">
        <f t="shared" si="475"/>
        <v>0</v>
      </c>
      <c r="AA1605" s="54">
        <f t="shared" si="470"/>
        <v>0</v>
      </c>
      <c r="AB1605" s="55">
        <f>IF(R1605=0,0,0)</f>
        <v>0</v>
      </c>
      <c r="AC1605" s="55">
        <f t="shared" si="471"/>
        <v>0</v>
      </c>
      <c r="AD1605" s="56">
        <f t="shared" si="472"/>
        <v>30335.97</v>
      </c>
    </row>
    <row r="1606" spans="3:30">
      <c r="C1606" s="43" t="s">
        <v>2945</v>
      </c>
      <c r="D1606" s="44" t="s">
        <v>2946</v>
      </c>
      <c r="E1606" s="44"/>
      <c r="F1606" s="45">
        <v>41740.467928240738</v>
      </c>
      <c r="G1606" s="46">
        <v>53</v>
      </c>
      <c r="H1606" s="47">
        <v>43404</v>
      </c>
      <c r="I1606" s="47">
        <v>43430</v>
      </c>
      <c r="J1606" s="46">
        <v>69295662</v>
      </c>
      <c r="K1606" s="46">
        <v>0</v>
      </c>
      <c r="L1606" s="46">
        <v>0</v>
      </c>
      <c r="M1606" s="46">
        <f t="shared" si="461"/>
        <v>69295662</v>
      </c>
      <c r="N1606" s="46">
        <v>20145092</v>
      </c>
      <c r="O1606" s="48">
        <f t="shared" si="462"/>
        <v>0</v>
      </c>
      <c r="P1606" s="46">
        <v>0</v>
      </c>
      <c r="Q1606" s="46">
        <v>69295662</v>
      </c>
      <c r="R1606" s="49">
        <f t="shared" si="463"/>
        <v>1</v>
      </c>
      <c r="S1606" s="50">
        <f t="shared" si="464"/>
        <v>0.01</v>
      </c>
      <c r="T1606" s="49">
        <f t="shared" si="465"/>
        <v>692956.62</v>
      </c>
      <c r="U1606" s="51">
        <f t="shared" si="466"/>
        <v>0</v>
      </c>
      <c r="V1606" s="52">
        <f>IF(0&lt;0.8,0,IF(0&lt;1,Sheet3!L561,1))*IF(G1606&lt;3,0.12 - O1606,0.01) *U1606</f>
        <v>0</v>
      </c>
      <c r="W1606" s="52">
        <f t="shared" si="467"/>
        <v>0</v>
      </c>
      <c r="X1606" s="53">
        <f t="shared" si="468"/>
        <v>0</v>
      </c>
      <c r="Y1606" s="53">
        <f t="shared" si="469"/>
        <v>0</v>
      </c>
      <c r="Z1606" s="54">
        <f t="shared" si="475"/>
        <v>0</v>
      </c>
      <c r="AA1606" s="54">
        <f t="shared" si="470"/>
        <v>0</v>
      </c>
      <c r="AB1606" s="55">
        <f>IF(R1606=0,49564149,0)</f>
        <v>0</v>
      </c>
      <c r="AC1606" s="55">
        <f t="shared" si="471"/>
        <v>0</v>
      </c>
      <c r="AD1606" s="56">
        <f t="shared" si="472"/>
        <v>692956.62</v>
      </c>
    </row>
    <row r="1607" spans="3:30">
      <c r="C1607" s="43" t="s">
        <v>2947</v>
      </c>
      <c r="D1607" s="44" t="s">
        <v>2948</v>
      </c>
      <c r="E1607" s="44"/>
      <c r="F1607" s="45">
        <v>41806.648912037039</v>
      </c>
      <c r="G1607" s="46">
        <v>51</v>
      </c>
      <c r="H1607" s="47">
        <v>43374</v>
      </c>
      <c r="I1607" s="47">
        <v>43392</v>
      </c>
      <c r="J1607" s="46">
        <v>780473</v>
      </c>
      <c r="K1607" s="46">
        <v>0</v>
      </c>
      <c r="L1607" s="46">
        <v>0</v>
      </c>
      <c r="M1607" s="46">
        <f t="shared" si="461"/>
        <v>780473</v>
      </c>
      <c r="N1607" s="46">
        <v>780473</v>
      </c>
      <c r="O1607" s="48">
        <f t="shared" si="462"/>
        <v>0</v>
      </c>
      <c r="P1607" s="46">
        <v>0</v>
      </c>
      <c r="Q1607" s="46">
        <v>780473</v>
      </c>
      <c r="R1607" s="49">
        <f t="shared" si="463"/>
        <v>1</v>
      </c>
      <c r="S1607" s="50">
        <f t="shared" si="464"/>
        <v>0.01</v>
      </c>
      <c r="T1607" s="49">
        <f t="shared" si="465"/>
        <v>7804.7300000000005</v>
      </c>
      <c r="U1607" s="51">
        <f t="shared" si="466"/>
        <v>0</v>
      </c>
      <c r="V1607" s="52">
        <f>IF(0&lt;0.8,0,IF(0&lt;1,Sheet3!L561,1))*IF(G1607&lt;3,0.12 - O1607,0.01) *U1607</f>
        <v>0</v>
      </c>
      <c r="W1607" s="52">
        <f t="shared" si="467"/>
        <v>0</v>
      </c>
      <c r="X1607" s="53">
        <f t="shared" si="468"/>
        <v>0</v>
      </c>
      <c r="Y1607" s="53">
        <f t="shared" si="469"/>
        <v>0</v>
      </c>
      <c r="Z1607" s="54">
        <f t="shared" si="475"/>
        <v>0</v>
      </c>
      <c r="AA1607" s="54">
        <f t="shared" si="470"/>
        <v>0</v>
      </c>
      <c r="AB1607" s="55">
        <f t="shared" ref="AB1607:AB1635" si="476">IF(R1607=0,0,0)</f>
        <v>0</v>
      </c>
      <c r="AC1607" s="55">
        <f t="shared" si="471"/>
        <v>0</v>
      </c>
      <c r="AD1607" s="56">
        <f t="shared" si="472"/>
        <v>7804.7300000000005</v>
      </c>
    </row>
    <row r="1608" spans="3:30">
      <c r="C1608" s="43" t="s">
        <v>2949</v>
      </c>
      <c r="D1608" s="44" t="s">
        <v>2950</v>
      </c>
      <c r="E1608" s="44"/>
      <c r="F1608" s="45">
        <v>41947.46907407407</v>
      </c>
      <c r="G1608" s="46">
        <v>46</v>
      </c>
      <c r="H1608" s="47">
        <v>43396</v>
      </c>
      <c r="I1608" s="47">
        <v>43412</v>
      </c>
      <c r="J1608" s="46">
        <v>719235</v>
      </c>
      <c r="K1608" s="46">
        <v>0</v>
      </c>
      <c r="L1608" s="46">
        <v>0</v>
      </c>
      <c r="M1608" s="46">
        <f t="shared" si="461"/>
        <v>719235</v>
      </c>
      <c r="N1608" s="46">
        <v>801993</v>
      </c>
      <c r="O1608" s="48">
        <f t="shared" si="462"/>
        <v>0.10319042684911217</v>
      </c>
      <c r="P1608" s="46">
        <v>0</v>
      </c>
      <c r="Q1608" s="46">
        <v>719235</v>
      </c>
      <c r="R1608" s="49">
        <f t="shared" si="463"/>
        <v>1</v>
      </c>
      <c r="S1608" s="50">
        <f t="shared" si="464"/>
        <v>0.01</v>
      </c>
      <c r="T1608" s="49">
        <f t="shared" si="465"/>
        <v>7192.35</v>
      </c>
      <c r="U1608" s="51">
        <f t="shared" si="466"/>
        <v>0</v>
      </c>
      <c r="V1608" s="52">
        <f>IF(0&lt;0.8,0,IF(0&lt;1,Sheet3!L561,1))*IF(G1608&lt;3,0.12 - O1608,0.01) *U1608</f>
        <v>0</v>
      </c>
      <c r="W1608" s="52">
        <f t="shared" si="467"/>
        <v>0</v>
      </c>
      <c r="X1608" s="53">
        <f t="shared" si="468"/>
        <v>0</v>
      </c>
      <c r="Y1608" s="53">
        <f t="shared" si="469"/>
        <v>0</v>
      </c>
      <c r="Z1608" s="54">
        <f t="shared" si="475"/>
        <v>0</v>
      </c>
      <c r="AA1608" s="54">
        <f t="shared" si="470"/>
        <v>0</v>
      </c>
      <c r="AB1608" s="55">
        <f t="shared" si="476"/>
        <v>0</v>
      </c>
      <c r="AC1608" s="55">
        <f t="shared" si="471"/>
        <v>0</v>
      </c>
      <c r="AD1608" s="56">
        <f t="shared" si="472"/>
        <v>7192.35</v>
      </c>
    </row>
    <row r="1609" spans="3:30">
      <c r="C1609" s="43" t="s">
        <v>2951</v>
      </c>
      <c r="D1609" s="44" t="s">
        <v>2952</v>
      </c>
      <c r="E1609" s="44"/>
      <c r="F1609" s="45">
        <v>41991.388356481482</v>
      </c>
      <c r="G1609" s="46">
        <v>45</v>
      </c>
      <c r="H1609" s="47">
        <v>43396</v>
      </c>
      <c r="I1609" s="47">
        <v>43412</v>
      </c>
      <c r="J1609" s="46">
        <v>439396</v>
      </c>
      <c r="K1609" s="46">
        <v>0</v>
      </c>
      <c r="L1609" s="46">
        <v>0</v>
      </c>
      <c r="M1609" s="46">
        <f t="shared" si="461"/>
        <v>439396</v>
      </c>
      <c r="N1609" s="46">
        <v>622619</v>
      </c>
      <c r="O1609" s="48">
        <f t="shared" si="462"/>
        <v>0.29427788101551666</v>
      </c>
      <c r="P1609" s="46">
        <v>0</v>
      </c>
      <c r="Q1609" s="46">
        <v>439396</v>
      </c>
      <c r="R1609" s="49">
        <f t="shared" si="463"/>
        <v>1</v>
      </c>
      <c r="S1609" s="50">
        <f t="shared" si="464"/>
        <v>0.01</v>
      </c>
      <c r="T1609" s="49">
        <f t="shared" si="465"/>
        <v>4393.96</v>
      </c>
      <c r="U1609" s="51">
        <f t="shared" si="466"/>
        <v>0</v>
      </c>
      <c r="V1609" s="52">
        <f>IF(0&lt;0.8,0,IF(0&lt;1,Sheet3!L561,1))*IF(G1609&lt;3,0.12 - O1609,0.01) *U1609</f>
        <v>0</v>
      </c>
      <c r="W1609" s="52">
        <f t="shared" si="467"/>
        <v>0</v>
      </c>
      <c r="X1609" s="53">
        <f t="shared" si="468"/>
        <v>0</v>
      </c>
      <c r="Y1609" s="53">
        <f t="shared" si="469"/>
        <v>0</v>
      </c>
      <c r="Z1609" s="54">
        <f t="shared" si="475"/>
        <v>0</v>
      </c>
      <c r="AA1609" s="54">
        <f t="shared" si="470"/>
        <v>0</v>
      </c>
      <c r="AB1609" s="55">
        <f t="shared" si="476"/>
        <v>0</v>
      </c>
      <c r="AC1609" s="55">
        <f t="shared" si="471"/>
        <v>0</v>
      </c>
      <c r="AD1609" s="56">
        <f t="shared" si="472"/>
        <v>4393.96</v>
      </c>
    </row>
    <row r="1610" spans="3:30">
      <c r="C1610" s="43" t="s">
        <v>2953</v>
      </c>
      <c r="D1610" s="44" t="s">
        <v>2954</v>
      </c>
      <c r="E1610" s="44"/>
      <c r="F1610" s="45">
        <v>41991.391122685185</v>
      </c>
      <c r="G1610" s="46">
        <v>45</v>
      </c>
      <c r="H1610" s="47">
        <v>43396</v>
      </c>
      <c r="I1610" s="47">
        <v>43412</v>
      </c>
      <c r="J1610" s="46">
        <v>665995</v>
      </c>
      <c r="K1610" s="46">
        <v>0</v>
      </c>
      <c r="L1610" s="46">
        <v>0</v>
      </c>
      <c r="M1610" s="46">
        <f t="shared" si="461"/>
        <v>665995</v>
      </c>
      <c r="N1610" s="46">
        <v>777056</v>
      </c>
      <c r="O1610" s="48">
        <f t="shared" si="462"/>
        <v>0.14292534900959519</v>
      </c>
      <c r="P1610" s="46">
        <v>0</v>
      </c>
      <c r="Q1610" s="46">
        <v>665995</v>
      </c>
      <c r="R1610" s="49">
        <f t="shared" si="463"/>
        <v>1</v>
      </c>
      <c r="S1610" s="50">
        <f t="shared" si="464"/>
        <v>0.01</v>
      </c>
      <c r="T1610" s="49">
        <f t="shared" si="465"/>
        <v>6659.95</v>
      </c>
      <c r="U1610" s="51">
        <f t="shared" si="466"/>
        <v>0</v>
      </c>
      <c r="V1610" s="52">
        <f>IF(0&lt;0.8,0,IF(0&lt;1,Sheet3!L561,1))*IF(G1610&lt;3,0.12 - O1610,0.01) *U1610</f>
        <v>0</v>
      </c>
      <c r="W1610" s="52">
        <f t="shared" si="467"/>
        <v>0</v>
      </c>
      <c r="X1610" s="53">
        <f t="shared" si="468"/>
        <v>0</v>
      </c>
      <c r="Y1610" s="53">
        <f t="shared" si="469"/>
        <v>0</v>
      </c>
      <c r="Z1610" s="54">
        <f t="shared" si="475"/>
        <v>0</v>
      </c>
      <c r="AA1610" s="54">
        <f t="shared" si="470"/>
        <v>0</v>
      </c>
      <c r="AB1610" s="55">
        <f t="shared" si="476"/>
        <v>0</v>
      </c>
      <c r="AC1610" s="55">
        <f t="shared" si="471"/>
        <v>0</v>
      </c>
      <c r="AD1610" s="56">
        <f t="shared" si="472"/>
        <v>6659.95</v>
      </c>
    </row>
    <row r="1611" spans="3:30">
      <c r="C1611" s="43" t="s">
        <v>2955</v>
      </c>
      <c r="D1611" s="44" t="s">
        <v>2956</v>
      </c>
      <c r="E1611" s="44"/>
      <c r="F1611" s="45">
        <v>42025.595729166664</v>
      </c>
      <c r="G1611" s="46">
        <v>44</v>
      </c>
      <c r="H1611" s="47">
        <v>43396</v>
      </c>
      <c r="I1611" s="47">
        <v>43412</v>
      </c>
      <c r="J1611" s="46">
        <v>331188</v>
      </c>
      <c r="K1611" s="46">
        <v>0</v>
      </c>
      <c r="L1611" s="46">
        <v>0</v>
      </c>
      <c r="M1611" s="46">
        <f t="shared" si="461"/>
        <v>331188</v>
      </c>
      <c r="N1611" s="46">
        <v>383313</v>
      </c>
      <c r="O1611" s="48">
        <f t="shared" si="462"/>
        <v>0.13598547401209982</v>
      </c>
      <c r="P1611" s="46">
        <v>0</v>
      </c>
      <c r="Q1611" s="46">
        <v>331188</v>
      </c>
      <c r="R1611" s="49">
        <f t="shared" si="463"/>
        <v>1</v>
      </c>
      <c r="S1611" s="50">
        <f t="shared" si="464"/>
        <v>0.01</v>
      </c>
      <c r="T1611" s="49">
        <f t="shared" si="465"/>
        <v>3311.88</v>
      </c>
      <c r="U1611" s="51">
        <f t="shared" si="466"/>
        <v>0</v>
      </c>
      <c r="V1611" s="52">
        <f>IF(0&lt;0.8,0,IF(0&lt;1,Sheet3!L561,1))*IF(G1611&lt;3,0.12 - O1611,0.01) *U1611</f>
        <v>0</v>
      </c>
      <c r="W1611" s="52">
        <f t="shared" si="467"/>
        <v>0</v>
      </c>
      <c r="X1611" s="53">
        <f t="shared" si="468"/>
        <v>0</v>
      </c>
      <c r="Y1611" s="53">
        <f t="shared" si="469"/>
        <v>0</v>
      </c>
      <c r="Z1611" s="54">
        <f t="shared" si="475"/>
        <v>0</v>
      </c>
      <c r="AA1611" s="54">
        <f t="shared" si="470"/>
        <v>0</v>
      </c>
      <c r="AB1611" s="55">
        <f t="shared" si="476"/>
        <v>0</v>
      </c>
      <c r="AC1611" s="55">
        <f t="shared" si="471"/>
        <v>0</v>
      </c>
      <c r="AD1611" s="56">
        <f t="shared" si="472"/>
        <v>3311.88</v>
      </c>
    </row>
    <row r="1612" spans="3:30">
      <c r="C1612" s="43" t="s">
        <v>2957</v>
      </c>
      <c r="D1612" s="44" t="s">
        <v>2956</v>
      </c>
      <c r="E1612" s="44"/>
      <c r="F1612" s="45">
        <v>42163.576307870368</v>
      </c>
      <c r="G1612" s="46">
        <v>39</v>
      </c>
      <c r="H1612" s="47">
        <v>43396</v>
      </c>
      <c r="I1612" s="47">
        <v>43412</v>
      </c>
      <c r="J1612" s="46">
        <v>2752256</v>
      </c>
      <c r="K1612" s="46">
        <v>0</v>
      </c>
      <c r="L1612" s="46">
        <v>0</v>
      </c>
      <c r="M1612" s="46">
        <f t="shared" si="461"/>
        <v>2752256</v>
      </c>
      <c r="N1612" s="46">
        <v>3126700</v>
      </c>
      <c r="O1612" s="48">
        <f t="shared" si="462"/>
        <v>0.11975693222886752</v>
      </c>
      <c r="P1612" s="46">
        <v>0</v>
      </c>
      <c r="Q1612" s="46">
        <v>2806706</v>
      </c>
      <c r="R1612" s="49">
        <f t="shared" si="463"/>
        <v>1</v>
      </c>
      <c r="S1612" s="50">
        <f t="shared" si="464"/>
        <v>0.01</v>
      </c>
      <c r="T1612" s="49">
        <f t="shared" si="465"/>
        <v>27522.560000000001</v>
      </c>
      <c r="U1612" s="51">
        <f t="shared" si="466"/>
        <v>0</v>
      </c>
      <c r="V1612" s="52">
        <f>IF(0&lt;0.8,0,IF(0&lt;1,Sheet3!L561,1))*IF(G1612&lt;3,0.12 - O1612,0.01) *U1612</f>
        <v>0</v>
      </c>
      <c r="W1612" s="52">
        <f t="shared" si="467"/>
        <v>0</v>
      </c>
      <c r="X1612" s="53">
        <f t="shared" si="468"/>
        <v>0</v>
      </c>
      <c r="Y1612" s="53">
        <f t="shared" si="469"/>
        <v>0</v>
      </c>
      <c r="Z1612" s="54">
        <f t="shared" si="475"/>
        <v>0</v>
      </c>
      <c r="AA1612" s="54">
        <f t="shared" si="470"/>
        <v>0</v>
      </c>
      <c r="AB1612" s="55">
        <f t="shared" si="476"/>
        <v>0</v>
      </c>
      <c r="AC1612" s="55">
        <f t="shared" si="471"/>
        <v>0</v>
      </c>
      <c r="AD1612" s="56">
        <f t="shared" si="472"/>
        <v>27522.560000000001</v>
      </c>
    </row>
    <row r="1613" spans="3:30">
      <c r="C1613" s="43" t="s">
        <v>2958</v>
      </c>
      <c r="D1613" s="44" t="s">
        <v>2956</v>
      </c>
      <c r="E1613" s="44"/>
      <c r="F1613" s="45">
        <v>42163.578217592592</v>
      </c>
      <c r="G1613" s="46">
        <v>39</v>
      </c>
      <c r="H1613" s="47">
        <v>43396</v>
      </c>
      <c r="I1613" s="47">
        <v>43412</v>
      </c>
      <c r="J1613" s="46">
        <v>320034</v>
      </c>
      <c r="K1613" s="46">
        <v>0</v>
      </c>
      <c r="L1613" s="46">
        <v>0</v>
      </c>
      <c r="M1613" s="46">
        <f t="shared" si="461"/>
        <v>320034</v>
      </c>
      <c r="N1613" s="46">
        <v>427335</v>
      </c>
      <c r="O1613" s="48">
        <f t="shared" si="462"/>
        <v>0.25109340447190143</v>
      </c>
      <c r="P1613" s="46">
        <v>0</v>
      </c>
      <c r="Q1613" s="46">
        <v>320034</v>
      </c>
      <c r="R1613" s="49">
        <f t="shared" si="463"/>
        <v>1</v>
      </c>
      <c r="S1613" s="50">
        <f t="shared" si="464"/>
        <v>0.01</v>
      </c>
      <c r="T1613" s="49">
        <f t="shared" si="465"/>
        <v>3200.34</v>
      </c>
      <c r="U1613" s="51">
        <f t="shared" si="466"/>
        <v>0</v>
      </c>
      <c r="V1613" s="52">
        <f>IF(0&lt;0.8,0,IF(0&lt;1,Sheet3!L561,1))*IF(G1613&lt;3,0.12 - O1613,0.01) *U1613</f>
        <v>0</v>
      </c>
      <c r="W1613" s="52">
        <f t="shared" si="467"/>
        <v>0</v>
      </c>
      <c r="X1613" s="53">
        <f t="shared" si="468"/>
        <v>0</v>
      </c>
      <c r="Y1613" s="53">
        <f t="shared" si="469"/>
        <v>0</v>
      </c>
      <c r="Z1613" s="54">
        <f t="shared" si="475"/>
        <v>0</v>
      </c>
      <c r="AA1613" s="54">
        <f t="shared" si="470"/>
        <v>0</v>
      </c>
      <c r="AB1613" s="55">
        <f t="shared" si="476"/>
        <v>0</v>
      </c>
      <c r="AC1613" s="55">
        <f t="shared" si="471"/>
        <v>0</v>
      </c>
      <c r="AD1613" s="56">
        <f t="shared" si="472"/>
        <v>3200.34</v>
      </c>
    </row>
    <row r="1614" spans="3:30">
      <c r="C1614" s="43" t="s">
        <v>2959</v>
      </c>
      <c r="D1614" s="44" t="s">
        <v>2960</v>
      </c>
      <c r="E1614" s="44"/>
      <c r="F1614" s="45">
        <v>42205.572048611109</v>
      </c>
      <c r="G1614" s="46">
        <v>38</v>
      </c>
      <c r="H1614" s="47">
        <v>43374</v>
      </c>
      <c r="I1614" s="47">
        <v>43385</v>
      </c>
      <c r="J1614" s="46">
        <v>374346</v>
      </c>
      <c r="K1614" s="46">
        <v>0</v>
      </c>
      <c r="L1614" s="46">
        <v>0</v>
      </c>
      <c r="M1614" s="46">
        <f t="shared" si="461"/>
        <v>374346</v>
      </c>
      <c r="N1614" s="46">
        <v>374346</v>
      </c>
      <c r="O1614" s="48">
        <f t="shared" si="462"/>
        <v>0</v>
      </c>
      <c r="P1614" s="46">
        <v>0</v>
      </c>
      <c r="Q1614" s="46">
        <v>374346</v>
      </c>
      <c r="R1614" s="49">
        <f t="shared" si="463"/>
        <v>1</v>
      </c>
      <c r="S1614" s="50">
        <f t="shared" si="464"/>
        <v>0.01</v>
      </c>
      <c r="T1614" s="49">
        <f t="shared" si="465"/>
        <v>3743.46</v>
      </c>
      <c r="U1614" s="51">
        <f t="shared" si="466"/>
        <v>0</v>
      </c>
      <c r="V1614" s="52">
        <f>IF(0&lt;0.8,0,IF(0&lt;1,Sheet3!L561,1))*IF(G1614&lt;3,0.12 - O1614,0.01) *U1614</f>
        <v>0</v>
      </c>
      <c r="W1614" s="52">
        <f t="shared" si="467"/>
        <v>0</v>
      </c>
      <c r="X1614" s="53">
        <f t="shared" si="468"/>
        <v>0</v>
      </c>
      <c r="Y1614" s="53">
        <f t="shared" si="469"/>
        <v>0</v>
      </c>
      <c r="Z1614" s="54">
        <f t="shared" si="475"/>
        <v>0</v>
      </c>
      <c r="AA1614" s="54">
        <f t="shared" si="470"/>
        <v>0</v>
      </c>
      <c r="AB1614" s="55">
        <f t="shared" si="476"/>
        <v>0</v>
      </c>
      <c r="AC1614" s="55">
        <f t="shared" si="471"/>
        <v>0</v>
      </c>
      <c r="AD1614" s="56">
        <f t="shared" si="472"/>
        <v>3743.46</v>
      </c>
    </row>
    <row r="1615" spans="3:30">
      <c r="C1615" s="43" t="s">
        <v>2961</v>
      </c>
      <c r="D1615" s="44" t="s">
        <v>2962</v>
      </c>
      <c r="E1615" s="44"/>
      <c r="F1615" s="45">
        <v>42205.5703125</v>
      </c>
      <c r="G1615" s="46">
        <v>38</v>
      </c>
      <c r="H1615" s="47" t="s">
        <v>24</v>
      </c>
      <c r="I1615" s="47" t="s">
        <v>24</v>
      </c>
      <c r="J1615" s="46">
        <v>22960</v>
      </c>
      <c r="K1615" s="46">
        <v>0</v>
      </c>
      <c r="L1615" s="46">
        <v>0</v>
      </c>
      <c r="M1615" s="46">
        <f t="shared" si="461"/>
        <v>22960</v>
      </c>
      <c r="N1615" s="46">
        <v>22960</v>
      </c>
      <c r="O1615" s="48">
        <f t="shared" si="462"/>
        <v>0</v>
      </c>
      <c r="P1615" s="46">
        <v>0</v>
      </c>
      <c r="Q1615" s="46">
        <v>22960</v>
      </c>
      <c r="R1615" s="49">
        <f t="shared" si="463"/>
        <v>1</v>
      </c>
      <c r="S1615" s="50">
        <f t="shared" si="464"/>
        <v>0.01</v>
      </c>
      <c r="T1615" s="49">
        <f t="shared" si="465"/>
        <v>229.6</v>
      </c>
      <c r="U1615" s="51">
        <f t="shared" si="466"/>
        <v>0</v>
      </c>
      <c r="V1615" s="52">
        <f>IF(0&lt;0.8,0,IF(0&lt;1,Sheet3!L561,1))*IF(G1615&lt;3,0.12 - O1615,0.01) *U1615</f>
        <v>0</v>
      </c>
      <c r="W1615" s="52">
        <f t="shared" si="467"/>
        <v>0</v>
      </c>
      <c r="X1615" s="53">
        <f t="shared" si="468"/>
        <v>0</v>
      </c>
      <c r="Y1615" s="53">
        <f t="shared" si="469"/>
        <v>0</v>
      </c>
      <c r="Z1615" s="54">
        <f t="shared" si="475"/>
        <v>0</v>
      </c>
      <c r="AA1615" s="54">
        <f t="shared" si="470"/>
        <v>0</v>
      </c>
      <c r="AB1615" s="55">
        <f t="shared" si="476"/>
        <v>0</v>
      </c>
      <c r="AC1615" s="55">
        <f t="shared" si="471"/>
        <v>0</v>
      </c>
      <c r="AD1615" s="56">
        <f t="shared" si="472"/>
        <v>229.6</v>
      </c>
    </row>
    <row r="1616" spans="3:30">
      <c r="C1616" s="43" t="s">
        <v>2963</v>
      </c>
      <c r="D1616" s="44" t="s">
        <v>2964</v>
      </c>
      <c r="E1616" s="44"/>
      <c r="F1616" s="45">
        <v>42226.67763888889</v>
      </c>
      <c r="G1616" s="46">
        <v>37</v>
      </c>
      <c r="H1616" s="47">
        <v>43396</v>
      </c>
      <c r="I1616" s="47">
        <v>43412</v>
      </c>
      <c r="J1616" s="46">
        <v>275160</v>
      </c>
      <c r="K1616" s="46">
        <v>0</v>
      </c>
      <c r="L1616" s="46">
        <v>0</v>
      </c>
      <c r="M1616" s="46">
        <f t="shared" si="461"/>
        <v>275160</v>
      </c>
      <c r="N1616" s="46">
        <v>373322</v>
      </c>
      <c r="O1616" s="48">
        <f t="shared" si="462"/>
        <v>0.26294191073657591</v>
      </c>
      <c r="P1616" s="46">
        <v>0</v>
      </c>
      <c r="Q1616" s="46">
        <v>275160</v>
      </c>
      <c r="R1616" s="49">
        <f t="shared" si="463"/>
        <v>1</v>
      </c>
      <c r="S1616" s="50">
        <f t="shared" si="464"/>
        <v>0.01</v>
      </c>
      <c r="T1616" s="49">
        <f t="shared" si="465"/>
        <v>2751.6</v>
      </c>
      <c r="U1616" s="51">
        <f t="shared" si="466"/>
        <v>0</v>
      </c>
      <c r="V1616" s="52">
        <f>IF(0&lt;0.8,0,IF(0&lt;1,Sheet3!L561,1))*IF(G1616&lt;3,0.12 - O1616,0.01) *U1616</f>
        <v>0</v>
      </c>
      <c r="W1616" s="52">
        <f t="shared" si="467"/>
        <v>0</v>
      </c>
      <c r="X1616" s="53">
        <f t="shared" si="468"/>
        <v>0</v>
      </c>
      <c r="Y1616" s="53">
        <f t="shared" si="469"/>
        <v>0</v>
      </c>
      <c r="Z1616" s="54">
        <f t="shared" si="475"/>
        <v>0</v>
      </c>
      <c r="AA1616" s="54">
        <f t="shared" si="470"/>
        <v>0</v>
      </c>
      <c r="AB1616" s="55">
        <f t="shared" si="476"/>
        <v>0</v>
      </c>
      <c r="AC1616" s="55">
        <f t="shared" si="471"/>
        <v>0</v>
      </c>
      <c r="AD1616" s="56">
        <f t="shared" si="472"/>
        <v>2751.6</v>
      </c>
    </row>
    <row r="1617" spans="3:30">
      <c r="C1617" s="43" t="s">
        <v>2965</v>
      </c>
      <c r="D1617" s="44" t="s">
        <v>2964</v>
      </c>
      <c r="E1617" s="44"/>
      <c r="F1617" s="45">
        <v>42226.676840277774</v>
      </c>
      <c r="G1617" s="46">
        <v>37</v>
      </c>
      <c r="H1617" s="47">
        <v>43396</v>
      </c>
      <c r="I1617" s="47">
        <v>43412</v>
      </c>
      <c r="J1617" s="46">
        <v>284680</v>
      </c>
      <c r="K1617" s="46">
        <v>0</v>
      </c>
      <c r="L1617" s="46">
        <v>0</v>
      </c>
      <c r="M1617" s="46">
        <f t="shared" si="461"/>
        <v>284680</v>
      </c>
      <c r="N1617" s="46">
        <v>346295</v>
      </c>
      <c r="O1617" s="48">
        <f t="shared" si="462"/>
        <v>0.17792633448360506</v>
      </c>
      <c r="P1617" s="46">
        <v>0</v>
      </c>
      <c r="Q1617" s="46">
        <v>284680</v>
      </c>
      <c r="R1617" s="49">
        <f t="shared" si="463"/>
        <v>1</v>
      </c>
      <c r="S1617" s="50">
        <f t="shared" si="464"/>
        <v>0.01</v>
      </c>
      <c r="T1617" s="49">
        <f t="shared" si="465"/>
        <v>2846.8</v>
      </c>
      <c r="U1617" s="51">
        <f t="shared" si="466"/>
        <v>0</v>
      </c>
      <c r="V1617" s="52">
        <f>IF(0&lt;0.8,0,IF(0&lt;1,Sheet3!L561,1))*IF(G1617&lt;3,0.12 - O1617,0.01) *U1617</f>
        <v>0</v>
      </c>
      <c r="W1617" s="52">
        <f t="shared" si="467"/>
        <v>0</v>
      </c>
      <c r="X1617" s="53">
        <f t="shared" si="468"/>
        <v>0</v>
      </c>
      <c r="Y1617" s="53">
        <f t="shared" si="469"/>
        <v>0</v>
      </c>
      <c r="Z1617" s="54">
        <f t="shared" si="475"/>
        <v>0</v>
      </c>
      <c r="AA1617" s="54">
        <f t="shared" si="470"/>
        <v>0</v>
      </c>
      <c r="AB1617" s="55">
        <f t="shared" si="476"/>
        <v>0</v>
      </c>
      <c r="AC1617" s="55">
        <f t="shared" si="471"/>
        <v>0</v>
      </c>
      <c r="AD1617" s="56">
        <f t="shared" si="472"/>
        <v>2846.8</v>
      </c>
    </row>
    <row r="1618" spans="3:30">
      <c r="C1618" s="43" t="s">
        <v>2966</v>
      </c>
      <c r="D1618" s="44" t="s">
        <v>2967</v>
      </c>
      <c r="E1618" s="44"/>
      <c r="F1618" s="45">
        <v>42359.647175925922</v>
      </c>
      <c r="G1618" s="46">
        <v>33</v>
      </c>
      <c r="H1618" s="47">
        <v>43374</v>
      </c>
      <c r="I1618" s="47">
        <v>43413</v>
      </c>
      <c r="J1618" s="46">
        <v>15536846</v>
      </c>
      <c r="K1618" s="46">
        <v>0</v>
      </c>
      <c r="L1618" s="46">
        <v>0</v>
      </c>
      <c r="M1618" s="46">
        <f t="shared" si="461"/>
        <v>15536846</v>
      </c>
      <c r="N1618" s="46">
        <v>25191464</v>
      </c>
      <c r="O1618" s="48">
        <f t="shared" si="462"/>
        <v>0.38324958009586108</v>
      </c>
      <c r="P1618" s="46">
        <v>0</v>
      </c>
      <c r="Q1618" s="46">
        <v>15536846</v>
      </c>
      <c r="R1618" s="49">
        <f t="shared" si="463"/>
        <v>1</v>
      </c>
      <c r="S1618" s="50">
        <f t="shared" si="464"/>
        <v>0.01</v>
      </c>
      <c r="T1618" s="49">
        <f t="shared" si="465"/>
        <v>155368.46</v>
      </c>
      <c r="U1618" s="51">
        <f t="shared" si="466"/>
        <v>0</v>
      </c>
      <c r="V1618" s="52">
        <f>IF(0&lt;0.8,0,IF(0&lt;1,Sheet3!L561,1))*IF(G1618&lt;3,0.12 - O1618,0.01) *U1618</f>
        <v>0</v>
      </c>
      <c r="W1618" s="52">
        <f t="shared" si="467"/>
        <v>0</v>
      </c>
      <c r="X1618" s="53">
        <f t="shared" si="468"/>
        <v>0</v>
      </c>
      <c r="Y1618" s="53">
        <f t="shared" si="469"/>
        <v>0</v>
      </c>
      <c r="Z1618" s="54">
        <f t="shared" si="475"/>
        <v>0</v>
      </c>
      <c r="AA1618" s="54">
        <f t="shared" si="470"/>
        <v>0</v>
      </c>
      <c r="AB1618" s="55">
        <f t="shared" si="476"/>
        <v>0</v>
      </c>
      <c r="AC1618" s="55">
        <f t="shared" si="471"/>
        <v>0</v>
      </c>
      <c r="AD1618" s="56">
        <f t="shared" si="472"/>
        <v>155368.46</v>
      </c>
    </row>
    <row r="1619" spans="3:30">
      <c r="C1619" s="43" t="s">
        <v>2968</v>
      </c>
      <c r="D1619" s="44" t="s">
        <v>2969</v>
      </c>
      <c r="E1619" s="44"/>
      <c r="F1619" s="45">
        <v>42441.433854166666</v>
      </c>
      <c r="G1619" s="46">
        <v>30</v>
      </c>
      <c r="H1619" s="47">
        <v>43396</v>
      </c>
      <c r="I1619" s="47">
        <v>43412</v>
      </c>
      <c r="J1619" s="46">
        <v>117948</v>
      </c>
      <c r="K1619" s="46">
        <v>0</v>
      </c>
      <c r="L1619" s="46">
        <v>0</v>
      </c>
      <c r="M1619" s="46">
        <f t="shared" si="461"/>
        <v>117948</v>
      </c>
      <c r="N1619" s="46">
        <v>166443</v>
      </c>
      <c r="O1619" s="48">
        <f t="shared" si="462"/>
        <v>0.29136100647068364</v>
      </c>
      <c r="P1619" s="46">
        <v>0</v>
      </c>
      <c r="Q1619" s="46">
        <v>117948</v>
      </c>
      <c r="R1619" s="49">
        <f t="shared" si="463"/>
        <v>1</v>
      </c>
      <c r="S1619" s="50">
        <f t="shared" si="464"/>
        <v>0.01</v>
      </c>
      <c r="T1619" s="49">
        <f t="shared" si="465"/>
        <v>1179.48</v>
      </c>
      <c r="U1619" s="51">
        <f t="shared" si="466"/>
        <v>0</v>
      </c>
      <c r="V1619" s="52">
        <f>IF(0&lt;0.8,0,IF(0&lt;1,Sheet3!L561,1))*IF(G1619&lt;3,0.12 - O1619,0.01) *U1619</f>
        <v>0</v>
      </c>
      <c r="W1619" s="52">
        <f t="shared" si="467"/>
        <v>0</v>
      </c>
      <c r="X1619" s="53">
        <f t="shared" si="468"/>
        <v>0</v>
      </c>
      <c r="Y1619" s="53">
        <f t="shared" si="469"/>
        <v>0</v>
      </c>
      <c r="Z1619" s="54">
        <f t="shared" si="475"/>
        <v>0</v>
      </c>
      <c r="AA1619" s="54">
        <f t="shared" si="470"/>
        <v>0</v>
      </c>
      <c r="AB1619" s="55">
        <f t="shared" si="476"/>
        <v>0</v>
      </c>
      <c r="AC1619" s="55">
        <f t="shared" si="471"/>
        <v>0</v>
      </c>
      <c r="AD1619" s="56">
        <f t="shared" si="472"/>
        <v>1179.48</v>
      </c>
    </row>
    <row r="1620" spans="3:30">
      <c r="C1620" s="43" t="s">
        <v>2970</v>
      </c>
      <c r="D1620" s="44" t="s">
        <v>2971</v>
      </c>
      <c r="E1620" s="44"/>
      <c r="F1620" s="45">
        <v>42496.294444444444</v>
      </c>
      <c r="G1620" s="46">
        <v>28</v>
      </c>
      <c r="H1620" s="47">
        <v>43396</v>
      </c>
      <c r="I1620" s="47">
        <v>43412</v>
      </c>
      <c r="J1620" s="46">
        <v>283514</v>
      </c>
      <c r="K1620" s="46">
        <v>0</v>
      </c>
      <c r="L1620" s="46">
        <v>0</v>
      </c>
      <c r="M1620" s="46">
        <f t="shared" si="461"/>
        <v>283514</v>
      </c>
      <c r="N1620" s="46">
        <v>381701</v>
      </c>
      <c r="O1620" s="48">
        <f t="shared" si="462"/>
        <v>0.25723537533304863</v>
      </c>
      <c r="P1620" s="46">
        <v>0</v>
      </c>
      <c r="Q1620" s="46">
        <v>283514</v>
      </c>
      <c r="R1620" s="49">
        <f t="shared" si="463"/>
        <v>1</v>
      </c>
      <c r="S1620" s="50">
        <f t="shared" si="464"/>
        <v>0.01</v>
      </c>
      <c r="T1620" s="49">
        <f t="shared" si="465"/>
        <v>2835.14</v>
      </c>
      <c r="U1620" s="51">
        <f t="shared" si="466"/>
        <v>0</v>
      </c>
      <c r="V1620" s="52">
        <f>IF(0&lt;0.8,0,IF(0&lt;1,Sheet3!L561,1))*IF(G1620&lt;3,0.12 - O1620,0.01) *U1620</f>
        <v>0</v>
      </c>
      <c r="W1620" s="52">
        <f t="shared" si="467"/>
        <v>0</v>
      </c>
      <c r="X1620" s="53">
        <f t="shared" si="468"/>
        <v>0</v>
      </c>
      <c r="Y1620" s="53">
        <f t="shared" si="469"/>
        <v>0</v>
      </c>
      <c r="Z1620" s="54">
        <f t="shared" si="475"/>
        <v>0</v>
      </c>
      <c r="AA1620" s="54">
        <f t="shared" si="470"/>
        <v>0</v>
      </c>
      <c r="AB1620" s="55">
        <f t="shared" si="476"/>
        <v>0</v>
      </c>
      <c r="AC1620" s="55">
        <f t="shared" si="471"/>
        <v>0</v>
      </c>
      <c r="AD1620" s="56">
        <f t="shared" si="472"/>
        <v>2835.14</v>
      </c>
    </row>
    <row r="1621" spans="3:30">
      <c r="C1621" s="43" t="s">
        <v>2972</v>
      </c>
      <c r="D1621" s="44" t="s">
        <v>2969</v>
      </c>
      <c r="E1621" s="44"/>
      <c r="F1621" s="45">
        <v>42507.142407407402</v>
      </c>
      <c r="G1621" s="46">
        <v>28</v>
      </c>
      <c r="H1621" s="47">
        <v>43396</v>
      </c>
      <c r="I1621" s="47">
        <v>43412</v>
      </c>
      <c r="J1621" s="46">
        <v>260854</v>
      </c>
      <c r="K1621" s="46">
        <v>0</v>
      </c>
      <c r="L1621" s="46">
        <v>0</v>
      </c>
      <c r="M1621" s="46">
        <f t="shared" si="461"/>
        <v>260854</v>
      </c>
      <c r="N1621" s="46">
        <v>291850</v>
      </c>
      <c r="O1621" s="48">
        <f t="shared" si="462"/>
        <v>0.10620524241905083</v>
      </c>
      <c r="P1621" s="46">
        <v>0</v>
      </c>
      <c r="Q1621" s="46">
        <v>260854</v>
      </c>
      <c r="R1621" s="49">
        <f t="shared" si="463"/>
        <v>1</v>
      </c>
      <c r="S1621" s="50">
        <f t="shared" si="464"/>
        <v>0.01</v>
      </c>
      <c r="T1621" s="49">
        <f t="shared" si="465"/>
        <v>2608.54</v>
      </c>
      <c r="U1621" s="51">
        <f t="shared" si="466"/>
        <v>0</v>
      </c>
      <c r="V1621" s="52">
        <f>IF(0&lt;0.8,0,IF(0&lt;1,Sheet3!L561,1))*IF(G1621&lt;3,0.12 - O1621,0.01) *U1621</f>
        <v>0</v>
      </c>
      <c r="W1621" s="52">
        <f t="shared" si="467"/>
        <v>0</v>
      </c>
      <c r="X1621" s="53">
        <f t="shared" si="468"/>
        <v>0</v>
      </c>
      <c r="Y1621" s="53">
        <f t="shared" si="469"/>
        <v>0</v>
      </c>
      <c r="Z1621" s="54">
        <f t="shared" si="475"/>
        <v>0</v>
      </c>
      <c r="AA1621" s="54">
        <f t="shared" si="470"/>
        <v>0</v>
      </c>
      <c r="AB1621" s="55">
        <f t="shared" si="476"/>
        <v>0</v>
      </c>
      <c r="AC1621" s="55">
        <f t="shared" si="471"/>
        <v>0</v>
      </c>
      <c r="AD1621" s="56">
        <f t="shared" si="472"/>
        <v>2608.54</v>
      </c>
    </row>
    <row r="1622" spans="3:30">
      <c r="C1622" s="43" t="s">
        <v>2973</v>
      </c>
      <c r="D1622" s="44" t="s">
        <v>2974</v>
      </c>
      <c r="E1622" s="44"/>
      <c r="F1622" s="45">
        <v>42514.381898148145</v>
      </c>
      <c r="G1622" s="46">
        <v>28</v>
      </c>
      <c r="H1622" s="47">
        <v>43396</v>
      </c>
      <c r="I1622" s="47">
        <v>43412</v>
      </c>
      <c r="J1622" s="46">
        <v>567215</v>
      </c>
      <c r="K1622" s="46">
        <v>0</v>
      </c>
      <c r="L1622" s="46">
        <v>0</v>
      </c>
      <c r="M1622" s="46">
        <f t="shared" si="461"/>
        <v>567215</v>
      </c>
      <c r="N1622" s="46">
        <v>669924</v>
      </c>
      <c r="O1622" s="48">
        <f t="shared" si="462"/>
        <v>0.15331440581319677</v>
      </c>
      <c r="P1622" s="46">
        <v>0</v>
      </c>
      <c r="Q1622" s="46">
        <v>567215</v>
      </c>
      <c r="R1622" s="49">
        <f t="shared" si="463"/>
        <v>1</v>
      </c>
      <c r="S1622" s="50">
        <f t="shared" si="464"/>
        <v>0.01</v>
      </c>
      <c r="T1622" s="49">
        <f t="shared" si="465"/>
        <v>5672.1500000000005</v>
      </c>
      <c r="U1622" s="51">
        <f t="shared" si="466"/>
        <v>0</v>
      </c>
      <c r="V1622" s="52">
        <f>IF(0&lt;0.8,0,IF(0&lt;1,Sheet3!L561,1))*IF(G1622&lt;3,0.12 - O1622,0.01) *U1622</f>
        <v>0</v>
      </c>
      <c r="W1622" s="52">
        <f t="shared" si="467"/>
        <v>0</v>
      </c>
      <c r="X1622" s="53">
        <f t="shared" si="468"/>
        <v>0</v>
      </c>
      <c r="Y1622" s="53">
        <f t="shared" si="469"/>
        <v>0</v>
      </c>
      <c r="Z1622" s="54">
        <f t="shared" si="475"/>
        <v>0</v>
      </c>
      <c r="AA1622" s="54">
        <f t="shared" si="470"/>
        <v>0</v>
      </c>
      <c r="AB1622" s="55">
        <f t="shared" si="476"/>
        <v>0</v>
      </c>
      <c r="AC1622" s="55">
        <f t="shared" si="471"/>
        <v>0</v>
      </c>
      <c r="AD1622" s="56">
        <f t="shared" si="472"/>
        <v>5672.1500000000005</v>
      </c>
    </row>
    <row r="1623" spans="3:30">
      <c r="C1623" s="43" t="s">
        <v>2975</v>
      </c>
      <c r="D1623" s="44" t="s">
        <v>2969</v>
      </c>
      <c r="E1623" s="44"/>
      <c r="F1623" s="45">
        <v>42537.414791666662</v>
      </c>
      <c r="G1623" s="46">
        <v>27</v>
      </c>
      <c r="H1623" s="47">
        <v>43396</v>
      </c>
      <c r="I1623" s="47">
        <v>43412</v>
      </c>
      <c r="J1623" s="46">
        <v>207240</v>
      </c>
      <c r="K1623" s="46">
        <v>0</v>
      </c>
      <c r="L1623" s="46">
        <v>0</v>
      </c>
      <c r="M1623" s="46">
        <f t="shared" si="461"/>
        <v>207240</v>
      </c>
      <c r="N1623" s="46">
        <v>264168</v>
      </c>
      <c r="O1623" s="48">
        <f t="shared" si="462"/>
        <v>0.21549922776415009</v>
      </c>
      <c r="P1623" s="46">
        <v>0</v>
      </c>
      <c r="Q1623" s="46">
        <v>207240</v>
      </c>
      <c r="R1623" s="49">
        <f t="shared" si="463"/>
        <v>1</v>
      </c>
      <c r="S1623" s="50">
        <f t="shared" si="464"/>
        <v>0.01</v>
      </c>
      <c r="T1623" s="49">
        <f t="shared" si="465"/>
        <v>2072.4</v>
      </c>
      <c r="U1623" s="51">
        <f t="shared" si="466"/>
        <v>0</v>
      </c>
      <c r="V1623" s="52">
        <f>IF(0&lt;0.8,0,IF(0&lt;1,Sheet3!L561,1))*IF(G1623&lt;3,0.12 - O1623,0.01) *U1623</f>
        <v>0</v>
      </c>
      <c r="W1623" s="52">
        <f t="shared" si="467"/>
        <v>0</v>
      </c>
      <c r="X1623" s="53">
        <f t="shared" si="468"/>
        <v>0</v>
      </c>
      <c r="Y1623" s="53">
        <f t="shared" si="469"/>
        <v>0</v>
      </c>
      <c r="Z1623" s="54">
        <f t="shared" si="475"/>
        <v>0</v>
      </c>
      <c r="AA1623" s="54">
        <f t="shared" si="470"/>
        <v>0</v>
      </c>
      <c r="AB1623" s="55">
        <f t="shared" si="476"/>
        <v>0</v>
      </c>
      <c r="AC1623" s="55">
        <f t="shared" si="471"/>
        <v>0</v>
      </c>
      <c r="AD1623" s="56">
        <f t="shared" si="472"/>
        <v>2072.4</v>
      </c>
    </row>
    <row r="1624" spans="3:30">
      <c r="C1624" s="43" t="s">
        <v>2976</v>
      </c>
      <c r="D1624" s="44" t="s">
        <v>2977</v>
      </c>
      <c r="E1624" s="44"/>
      <c r="F1624" s="45">
        <v>42538.311180555553</v>
      </c>
      <c r="G1624" s="46">
        <v>27</v>
      </c>
      <c r="H1624" s="47">
        <v>43378</v>
      </c>
      <c r="I1624" s="47">
        <v>43430</v>
      </c>
      <c r="J1624" s="46">
        <v>6716966</v>
      </c>
      <c r="K1624" s="46">
        <v>602426</v>
      </c>
      <c r="L1624" s="46">
        <v>0</v>
      </c>
      <c r="M1624" s="46">
        <f t="shared" si="461"/>
        <v>6114540</v>
      </c>
      <c r="N1624" s="46">
        <v>6716966</v>
      </c>
      <c r="O1624" s="48">
        <f t="shared" si="462"/>
        <v>8.9687218902105514E-2</v>
      </c>
      <c r="P1624" s="46">
        <v>0</v>
      </c>
      <c r="Q1624" s="46">
        <v>6716966</v>
      </c>
      <c r="R1624" s="49">
        <f t="shared" si="463"/>
        <v>1</v>
      </c>
      <c r="S1624" s="50">
        <f t="shared" si="464"/>
        <v>0.01</v>
      </c>
      <c r="T1624" s="49">
        <f t="shared" si="465"/>
        <v>61145.4</v>
      </c>
      <c r="U1624" s="51">
        <f t="shared" si="466"/>
        <v>0</v>
      </c>
      <c r="V1624" s="52">
        <f>IF(0&lt;0.8,0,IF(0&lt;1,Sheet3!L561,1))*IF(G1624&lt;3,0.12 - O1624,0.01) *U1624</f>
        <v>0</v>
      </c>
      <c r="W1624" s="52">
        <f t="shared" si="467"/>
        <v>0</v>
      </c>
      <c r="X1624" s="53">
        <f t="shared" si="468"/>
        <v>0</v>
      </c>
      <c r="Y1624" s="53">
        <f t="shared" si="469"/>
        <v>0</v>
      </c>
      <c r="Z1624" s="54">
        <f t="shared" si="475"/>
        <v>0</v>
      </c>
      <c r="AA1624" s="54">
        <f t="shared" si="470"/>
        <v>0</v>
      </c>
      <c r="AB1624" s="55">
        <f t="shared" si="476"/>
        <v>0</v>
      </c>
      <c r="AC1624" s="55">
        <f t="shared" si="471"/>
        <v>0</v>
      </c>
      <c r="AD1624" s="56">
        <f t="shared" si="472"/>
        <v>61145.4</v>
      </c>
    </row>
    <row r="1625" spans="3:30">
      <c r="C1625" s="43" t="s">
        <v>2978</v>
      </c>
      <c r="D1625" s="44" t="s">
        <v>2969</v>
      </c>
      <c r="E1625" s="44"/>
      <c r="F1625" s="45">
        <v>42658.067615740736</v>
      </c>
      <c r="G1625" s="46">
        <v>23</v>
      </c>
      <c r="H1625" s="47">
        <v>43396</v>
      </c>
      <c r="I1625" s="47">
        <v>43412</v>
      </c>
      <c r="J1625" s="46">
        <v>269940</v>
      </c>
      <c r="K1625" s="46">
        <v>0</v>
      </c>
      <c r="L1625" s="46">
        <v>0</v>
      </c>
      <c r="M1625" s="46">
        <f t="shared" si="461"/>
        <v>269940</v>
      </c>
      <c r="N1625" s="46">
        <v>323366</v>
      </c>
      <c r="O1625" s="48">
        <f t="shared" si="462"/>
        <v>0.16521835938224794</v>
      </c>
      <c r="P1625" s="46">
        <v>0</v>
      </c>
      <c r="Q1625" s="46">
        <v>269940</v>
      </c>
      <c r="R1625" s="49">
        <f t="shared" si="463"/>
        <v>1</v>
      </c>
      <c r="S1625" s="50">
        <f t="shared" si="464"/>
        <v>0.01</v>
      </c>
      <c r="T1625" s="49">
        <f t="shared" si="465"/>
        <v>2699.4</v>
      </c>
      <c r="U1625" s="51">
        <f t="shared" si="466"/>
        <v>0</v>
      </c>
      <c r="V1625" s="52">
        <f>IF(0&lt;0.8,0,IF(0&lt;1,Sheet3!L561,1))*IF(G1625&lt;3,0.12 - O1625,0.01) *U1625</f>
        <v>0</v>
      </c>
      <c r="W1625" s="52">
        <f t="shared" si="467"/>
        <v>0</v>
      </c>
      <c r="X1625" s="53">
        <f t="shared" si="468"/>
        <v>0</v>
      </c>
      <c r="Y1625" s="53">
        <f t="shared" si="469"/>
        <v>0</v>
      </c>
      <c r="Z1625" s="54">
        <f t="shared" si="475"/>
        <v>0</v>
      </c>
      <c r="AA1625" s="54">
        <f t="shared" si="470"/>
        <v>0</v>
      </c>
      <c r="AB1625" s="55">
        <f t="shared" si="476"/>
        <v>0</v>
      </c>
      <c r="AC1625" s="55">
        <f t="shared" si="471"/>
        <v>0</v>
      </c>
      <c r="AD1625" s="56">
        <f t="shared" si="472"/>
        <v>2699.4</v>
      </c>
    </row>
    <row r="1626" spans="3:30">
      <c r="C1626" s="43" t="s">
        <v>2979</v>
      </c>
      <c r="D1626" s="44" t="s">
        <v>2980</v>
      </c>
      <c r="E1626" s="44"/>
      <c r="F1626" s="45">
        <v>42712.414201388885</v>
      </c>
      <c r="G1626" s="46">
        <v>21</v>
      </c>
      <c r="H1626" s="47">
        <v>43372</v>
      </c>
      <c r="I1626" s="47">
        <v>43390</v>
      </c>
      <c r="J1626" s="46">
        <v>1557971</v>
      </c>
      <c r="K1626" s="46">
        <v>0</v>
      </c>
      <c r="L1626" s="46">
        <v>0</v>
      </c>
      <c r="M1626" s="46">
        <f t="shared" si="461"/>
        <v>1557971</v>
      </c>
      <c r="N1626" s="46">
        <v>1557971</v>
      </c>
      <c r="O1626" s="48">
        <f t="shared" si="462"/>
        <v>0</v>
      </c>
      <c r="P1626" s="46">
        <v>0</v>
      </c>
      <c r="Q1626" s="46">
        <v>1557971</v>
      </c>
      <c r="R1626" s="49">
        <f t="shared" si="463"/>
        <v>1</v>
      </c>
      <c r="S1626" s="50">
        <f t="shared" si="464"/>
        <v>0.01</v>
      </c>
      <c r="T1626" s="49">
        <f t="shared" si="465"/>
        <v>15579.710000000001</v>
      </c>
      <c r="U1626" s="51">
        <f t="shared" si="466"/>
        <v>0</v>
      </c>
      <c r="V1626" s="52">
        <f>IF(0&lt;0.8,0,IF(0&lt;1,Sheet3!L561,1))*IF(G1626&lt;3,0.12 - O1626,0.01) *U1626</f>
        <v>0</v>
      </c>
      <c r="W1626" s="52">
        <f t="shared" si="467"/>
        <v>0</v>
      </c>
      <c r="X1626" s="53">
        <f t="shared" si="468"/>
        <v>0</v>
      </c>
      <c r="Y1626" s="53">
        <f t="shared" si="469"/>
        <v>0</v>
      </c>
      <c r="Z1626" s="54">
        <f t="shared" si="475"/>
        <v>0</v>
      </c>
      <c r="AA1626" s="54">
        <f t="shared" si="470"/>
        <v>0</v>
      </c>
      <c r="AB1626" s="55">
        <f t="shared" si="476"/>
        <v>0</v>
      </c>
      <c r="AC1626" s="55">
        <f t="shared" si="471"/>
        <v>0</v>
      </c>
      <c r="AD1626" s="56">
        <f t="shared" si="472"/>
        <v>15579.710000000001</v>
      </c>
    </row>
    <row r="1627" spans="3:30">
      <c r="C1627" s="43" t="s">
        <v>2981</v>
      </c>
      <c r="D1627" s="44" t="s">
        <v>2969</v>
      </c>
      <c r="E1627" s="44"/>
      <c r="F1627" s="45">
        <v>42835.070648148147</v>
      </c>
      <c r="G1627" s="46">
        <v>17</v>
      </c>
      <c r="H1627" s="47">
        <v>43396</v>
      </c>
      <c r="I1627" s="47">
        <v>43412</v>
      </c>
      <c r="J1627" s="46">
        <v>147950</v>
      </c>
      <c r="K1627" s="46">
        <v>0</v>
      </c>
      <c r="L1627" s="46">
        <v>0</v>
      </c>
      <c r="M1627" s="46">
        <f t="shared" si="461"/>
        <v>147950</v>
      </c>
      <c r="N1627" s="46">
        <v>195631</v>
      </c>
      <c r="O1627" s="48">
        <f t="shared" si="462"/>
        <v>0.24372926581165566</v>
      </c>
      <c r="P1627" s="46">
        <v>0</v>
      </c>
      <c r="Q1627" s="46">
        <v>147950</v>
      </c>
      <c r="R1627" s="49">
        <f t="shared" si="463"/>
        <v>1</v>
      </c>
      <c r="S1627" s="50">
        <f t="shared" si="464"/>
        <v>0.01</v>
      </c>
      <c r="T1627" s="49">
        <f t="shared" si="465"/>
        <v>1479.5</v>
      </c>
      <c r="U1627" s="51">
        <f t="shared" si="466"/>
        <v>0</v>
      </c>
      <c r="V1627" s="52">
        <f>IF(0&lt;0.8,0,IF(0&lt;1,Sheet3!L561,1))*IF(G1627&lt;3,0.12 - O1627,0.01) *U1627</f>
        <v>0</v>
      </c>
      <c r="W1627" s="52">
        <f t="shared" si="467"/>
        <v>0</v>
      </c>
      <c r="X1627" s="53">
        <f t="shared" si="468"/>
        <v>0</v>
      </c>
      <c r="Y1627" s="53">
        <f t="shared" si="469"/>
        <v>0</v>
      </c>
      <c r="Z1627" s="54">
        <f t="shared" si="475"/>
        <v>0</v>
      </c>
      <c r="AA1627" s="54">
        <f t="shared" si="470"/>
        <v>0</v>
      </c>
      <c r="AB1627" s="55">
        <f t="shared" si="476"/>
        <v>0</v>
      </c>
      <c r="AC1627" s="55">
        <f t="shared" si="471"/>
        <v>0</v>
      </c>
      <c r="AD1627" s="56">
        <f t="shared" si="472"/>
        <v>1479.5</v>
      </c>
    </row>
    <row r="1628" spans="3:30">
      <c r="C1628" s="43" t="s">
        <v>2982</v>
      </c>
      <c r="D1628" s="44" t="s">
        <v>2983</v>
      </c>
      <c r="E1628" s="44"/>
      <c r="F1628" s="45">
        <v>42843.319374999999</v>
      </c>
      <c r="G1628" s="46">
        <v>17</v>
      </c>
      <c r="H1628" s="47">
        <v>43396</v>
      </c>
      <c r="I1628" s="47">
        <v>43412</v>
      </c>
      <c r="J1628" s="46">
        <v>467995</v>
      </c>
      <c r="K1628" s="46">
        <v>0</v>
      </c>
      <c r="L1628" s="46">
        <v>0</v>
      </c>
      <c r="M1628" s="46">
        <f t="shared" si="461"/>
        <v>467995</v>
      </c>
      <c r="N1628" s="46">
        <v>518773</v>
      </c>
      <c r="O1628" s="48">
        <f t="shared" si="462"/>
        <v>9.7880961422433299E-2</v>
      </c>
      <c r="P1628" s="46">
        <v>0</v>
      </c>
      <c r="Q1628" s="46">
        <v>467995</v>
      </c>
      <c r="R1628" s="49">
        <f t="shared" si="463"/>
        <v>1</v>
      </c>
      <c r="S1628" s="50">
        <f t="shared" si="464"/>
        <v>0.01</v>
      </c>
      <c r="T1628" s="49">
        <f t="shared" si="465"/>
        <v>4679.95</v>
      </c>
      <c r="U1628" s="51">
        <f t="shared" si="466"/>
        <v>0</v>
      </c>
      <c r="V1628" s="52">
        <f>IF(0&lt;0.8,0,IF(0&lt;1,Sheet3!L561,1))*IF(G1628&lt;3,0.12 - O1628,0.01) *U1628</f>
        <v>0</v>
      </c>
      <c r="W1628" s="52">
        <f t="shared" si="467"/>
        <v>0</v>
      </c>
      <c r="X1628" s="53">
        <f t="shared" si="468"/>
        <v>0</v>
      </c>
      <c r="Y1628" s="53">
        <f t="shared" si="469"/>
        <v>0</v>
      </c>
      <c r="Z1628" s="54">
        <f t="shared" si="475"/>
        <v>0</v>
      </c>
      <c r="AA1628" s="54">
        <f t="shared" si="470"/>
        <v>0</v>
      </c>
      <c r="AB1628" s="55">
        <f t="shared" si="476"/>
        <v>0</v>
      </c>
      <c r="AC1628" s="55">
        <f t="shared" si="471"/>
        <v>0</v>
      </c>
      <c r="AD1628" s="56">
        <f t="shared" si="472"/>
        <v>4679.95</v>
      </c>
    </row>
    <row r="1629" spans="3:30">
      <c r="C1629" s="43" t="s">
        <v>2984</v>
      </c>
      <c r="D1629" s="44" t="s">
        <v>2983</v>
      </c>
      <c r="E1629" s="44"/>
      <c r="F1629" s="45">
        <v>42843.32571759259</v>
      </c>
      <c r="G1629" s="46">
        <v>17</v>
      </c>
      <c r="H1629" s="47">
        <v>43396</v>
      </c>
      <c r="I1629" s="47">
        <v>43412</v>
      </c>
      <c r="J1629" s="46">
        <v>119515</v>
      </c>
      <c r="K1629" s="46">
        <v>0</v>
      </c>
      <c r="L1629" s="46">
        <v>0</v>
      </c>
      <c r="M1629" s="46">
        <f t="shared" si="461"/>
        <v>119515</v>
      </c>
      <c r="N1629" s="46">
        <v>174855</v>
      </c>
      <c r="O1629" s="48">
        <f t="shared" si="462"/>
        <v>0.31649080666838236</v>
      </c>
      <c r="P1629" s="46">
        <v>0</v>
      </c>
      <c r="Q1629" s="46">
        <v>119515</v>
      </c>
      <c r="R1629" s="49">
        <f t="shared" si="463"/>
        <v>1</v>
      </c>
      <c r="S1629" s="50">
        <f t="shared" si="464"/>
        <v>0.01</v>
      </c>
      <c r="T1629" s="49">
        <f t="shared" si="465"/>
        <v>1195.1500000000001</v>
      </c>
      <c r="U1629" s="51">
        <f t="shared" si="466"/>
        <v>0</v>
      </c>
      <c r="V1629" s="52">
        <f>IF(0&lt;0.8,0,IF(0&lt;1,Sheet3!L561,1))*IF(G1629&lt;3,0.12 - O1629,0.01) *U1629</f>
        <v>0</v>
      </c>
      <c r="W1629" s="52">
        <f t="shared" si="467"/>
        <v>0</v>
      </c>
      <c r="X1629" s="53">
        <f t="shared" si="468"/>
        <v>0</v>
      </c>
      <c r="Y1629" s="53">
        <f t="shared" si="469"/>
        <v>0</v>
      </c>
      <c r="Z1629" s="54">
        <f t="shared" si="475"/>
        <v>0</v>
      </c>
      <c r="AA1629" s="54">
        <f t="shared" si="470"/>
        <v>0</v>
      </c>
      <c r="AB1629" s="55">
        <f t="shared" si="476"/>
        <v>0</v>
      </c>
      <c r="AC1629" s="55">
        <f t="shared" si="471"/>
        <v>0</v>
      </c>
      <c r="AD1629" s="56">
        <f t="shared" si="472"/>
        <v>1195.1500000000001</v>
      </c>
    </row>
    <row r="1630" spans="3:30">
      <c r="C1630" s="43" t="s">
        <v>2985</v>
      </c>
      <c r="D1630" s="44" t="s">
        <v>2986</v>
      </c>
      <c r="E1630" s="44"/>
      <c r="F1630" s="45">
        <v>42873.192974537036</v>
      </c>
      <c r="G1630" s="46">
        <v>16</v>
      </c>
      <c r="H1630" s="47">
        <v>43374</v>
      </c>
      <c r="I1630" s="47">
        <v>43432</v>
      </c>
      <c r="J1630" s="46">
        <v>192464</v>
      </c>
      <c r="K1630" s="46">
        <v>0</v>
      </c>
      <c r="L1630" s="46">
        <v>0</v>
      </c>
      <c r="M1630" s="46">
        <f t="shared" si="461"/>
        <v>192464</v>
      </c>
      <c r="N1630" s="46">
        <v>192464</v>
      </c>
      <c r="O1630" s="48">
        <f t="shared" si="462"/>
        <v>0</v>
      </c>
      <c r="P1630" s="46">
        <v>0</v>
      </c>
      <c r="Q1630" s="46">
        <v>192464</v>
      </c>
      <c r="R1630" s="49">
        <f t="shared" si="463"/>
        <v>1</v>
      </c>
      <c r="S1630" s="50">
        <f t="shared" si="464"/>
        <v>0.01</v>
      </c>
      <c r="T1630" s="49">
        <f t="shared" si="465"/>
        <v>1924.64</v>
      </c>
      <c r="U1630" s="51">
        <f t="shared" si="466"/>
        <v>0</v>
      </c>
      <c r="V1630" s="52">
        <f>IF(0&lt;0.8,0,IF(0&lt;1,Sheet3!L561,1))*IF(G1630&lt;3,0.12 - O1630,0.01) *U1630</f>
        <v>0</v>
      </c>
      <c r="W1630" s="52">
        <f t="shared" si="467"/>
        <v>0</v>
      </c>
      <c r="X1630" s="53">
        <f t="shared" si="468"/>
        <v>0</v>
      </c>
      <c r="Y1630" s="53">
        <f t="shared" si="469"/>
        <v>0</v>
      </c>
      <c r="Z1630" s="54">
        <f t="shared" si="475"/>
        <v>0</v>
      </c>
      <c r="AA1630" s="54">
        <f t="shared" si="470"/>
        <v>0</v>
      </c>
      <c r="AB1630" s="55">
        <f t="shared" si="476"/>
        <v>0</v>
      </c>
      <c r="AC1630" s="55">
        <f t="shared" si="471"/>
        <v>0</v>
      </c>
      <c r="AD1630" s="56">
        <f t="shared" si="472"/>
        <v>1924.64</v>
      </c>
    </row>
    <row r="1631" spans="3:30">
      <c r="C1631" s="43" t="s">
        <v>2987</v>
      </c>
      <c r="D1631" s="44" t="s">
        <v>2988</v>
      </c>
      <c r="E1631" s="44"/>
      <c r="F1631" s="45">
        <v>42992.273298611108</v>
      </c>
      <c r="G1631" s="46">
        <v>12</v>
      </c>
      <c r="H1631" s="47">
        <v>43374</v>
      </c>
      <c r="I1631" s="47">
        <v>43390</v>
      </c>
      <c r="J1631" s="46">
        <v>159987</v>
      </c>
      <c r="K1631" s="46">
        <v>0</v>
      </c>
      <c r="L1631" s="46">
        <v>0</v>
      </c>
      <c r="M1631" s="46">
        <f t="shared" si="461"/>
        <v>159987</v>
      </c>
      <c r="N1631" s="46">
        <v>159987</v>
      </c>
      <c r="O1631" s="48">
        <f t="shared" si="462"/>
        <v>0</v>
      </c>
      <c r="P1631" s="46">
        <v>0</v>
      </c>
      <c r="Q1631" s="46">
        <v>159987</v>
      </c>
      <c r="R1631" s="49">
        <f t="shared" si="463"/>
        <v>1</v>
      </c>
      <c r="S1631" s="50">
        <f t="shared" si="464"/>
        <v>0.01</v>
      </c>
      <c r="T1631" s="49">
        <f t="shared" si="465"/>
        <v>1599.8700000000001</v>
      </c>
      <c r="U1631" s="51">
        <f t="shared" si="466"/>
        <v>0</v>
      </c>
      <c r="V1631" s="52">
        <f>IF(0&lt;0.8,0,IF(0&lt;1,Sheet3!L561,1))*IF(G1631&lt;3,0.12 - O1631,0.01) *U1631</f>
        <v>0</v>
      </c>
      <c r="W1631" s="52">
        <f t="shared" si="467"/>
        <v>0</v>
      </c>
      <c r="X1631" s="53">
        <f t="shared" si="468"/>
        <v>0</v>
      </c>
      <c r="Y1631" s="53">
        <f t="shared" si="469"/>
        <v>0</v>
      </c>
      <c r="Z1631" s="54">
        <f t="shared" si="475"/>
        <v>0</v>
      </c>
      <c r="AA1631" s="54">
        <f t="shared" si="470"/>
        <v>0</v>
      </c>
      <c r="AB1631" s="55">
        <f t="shared" si="476"/>
        <v>0</v>
      </c>
      <c r="AC1631" s="55">
        <f t="shared" si="471"/>
        <v>0</v>
      </c>
      <c r="AD1631" s="56">
        <f t="shared" si="472"/>
        <v>1599.8700000000001</v>
      </c>
    </row>
    <row r="1632" spans="3:30">
      <c r="C1632" s="43" t="s">
        <v>2989</v>
      </c>
      <c r="D1632" s="44" t="s">
        <v>2990</v>
      </c>
      <c r="E1632" s="44"/>
      <c r="F1632" s="45">
        <v>43003.132048611107</v>
      </c>
      <c r="G1632" s="46">
        <v>12</v>
      </c>
      <c r="H1632" s="47">
        <v>43372</v>
      </c>
      <c r="I1632" s="47">
        <v>43390</v>
      </c>
      <c r="J1632" s="46">
        <v>998839</v>
      </c>
      <c r="K1632" s="46">
        <v>0</v>
      </c>
      <c r="L1632" s="46">
        <v>0</v>
      </c>
      <c r="M1632" s="46">
        <f t="shared" si="461"/>
        <v>998839</v>
      </c>
      <c r="N1632" s="46">
        <v>998839</v>
      </c>
      <c r="O1632" s="48">
        <f t="shared" si="462"/>
        <v>0</v>
      </c>
      <c r="P1632" s="46">
        <v>0</v>
      </c>
      <c r="Q1632" s="46">
        <v>998839</v>
      </c>
      <c r="R1632" s="49">
        <f t="shared" si="463"/>
        <v>1</v>
      </c>
      <c r="S1632" s="50">
        <f t="shared" si="464"/>
        <v>0.01</v>
      </c>
      <c r="T1632" s="49">
        <f t="shared" si="465"/>
        <v>9988.39</v>
      </c>
      <c r="U1632" s="51">
        <f t="shared" si="466"/>
        <v>0</v>
      </c>
      <c r="V1632" s="52">
        <f>IF(0&lt;0.8,0,IF(0&lt;1,Sheet3!L561,1))*IF(G1632&lt;3,0.12 - O1632,0.01) *U1632</f>
        <v>0</v>
      </c>
      <c r="W1632" s="52">
        <f t="shared" si="467"/>
        <v>0</v>
      </c>
      <c r="X1632" s="53">
        <f t="shared" si="468"/>
        <v>0</v>
      </c>
      <c r="Y1632" s="53">
        <f t="shared" si="469"/>
        <v>0</v>
      </c>
      <c r="Z1632" s="54">
        <f t="shared" si="475"/>
        <v>0</v>
      </c>
      <c r="AA1632" s="54">
        <f t="shared" si="470"/>
        <v>0</v>
      </c>
      <c r="AB1632" s="55">
        <f t="shared" si="476"/>
        <v>0</v>
      </c>
      <c r="AC1632" s="55">
        <f t="shared" si="471"/>
        <v>0</v>
      </c>
      <c r="AD1632" s="56">
        <f t="shared" si="472"/>
        <v>9988.39</v>
      </c>
    </row>
    <row r="1633" spans="3:30">
      <c r="C1633" s="43" t="s">
        <v>2991</v>
      </c>
      <c r="D1633" s="44" t="s">
        <v>2992</v>
      </c>
      <c r="E1633" s="44"/>
      <c r="F1633" s="45">
        <v>43003.128425925926</v>
      </c>
      <c r="G1633" s="46">
        <v>12</v>
      </c>
      <c r="H1633" s="47">
        <v>43420</v>
      </c>
      <c r="I1633" s="47">
        <v>43430</v>
      </c>
      <c r="J1633" s="46">
        <v>443253</v>
      </c>
      <c r="K1633" s="46">
        <v>0</v>
      </c>
      <c r="L1633" s="46">
        <v>0</v>
      </c>
      <c r="M1633" s="46">
        <f t="shared" si="461"/>
        <v>443253</v>
      </c>
      <c r="N1633" s="46">
        <v>443253</v>
      </c>
      <c r="O1633" s="48">
        <f t="shared" si="462"/>
        <v>0</v>
      </c>
      <c r="P1633" s="46">
        <v>0</v>
      </c>
      <c r="Q1633" s="46">
        <v>443253</v>
      </c>
      <c r="R1633" s="49">
        <f t="shared" si="463"/>
        <v>1</v>
      </c>
      <c r="S1633" s="50">
        <f t="shared" si="464"/>
        <v>0.01</v>
      </c>
      <c r="T1633" s="49">
        <f t="shared" si="465"/>
        <v>4432.53</v>
      </c>
      <c r="U1633" s="51">
        <f t="shared" si="466"/>
        <v>0</v>
      </c>
      <c r="V1633" s="52">
        <f>IF(0&lt;0.8,0,IF(0&lt;1,Sheet3!L561,1))*IF(G1633&lt;3,0.12 - O1633,0.01) *U1633</f>
        <v>0</v>
      </c>
      <c r="W1633" s="52">
        <f t="shared" si="467"/>
        <v>0</v>
      </c>
      <c r="X1633" s="53">
        <f t="shared" si="468"/>
        <v>0</v>
      </c>
      <c r="Y1633" s="53">
        <f t="shared" si="469"/>
        <v>0</v>
      </c>
      <c r="Z1633" s="54">
        <f t="shared" si="475"/>
        <v>0</v>
      </c>
      <c r="AA1633" s="54">
        <f t="shared" si="470"/>
        <v>0</v>
      </c>
      <c r="AB1633" s="55">
        <f t="shared" si="476"/>
        <v>0</v>
      </c>
      <c r="AC1633" s="55">
        <f t="shared" si="471"/>
        <v>0</v>
      </c>
      <c r="AD1633" s="56">
        <f t="shared" si="472"/>
        <v>4432.53</v>
      </c>
    </row>
    <row r="1634" spans="3:30">
      <c r="C1634" s="43" t="s">
        <v>2993</v>
      </c>
      <c r="D1634" s="44" t="s">
        <v>2969</v>
      </c>
      <c r="E1634" s="44"/>
      <c r="F1634" s="45">
        <v>43090.152303240742</v>
      </c>
      <c r="G1634" s="46">
        <v>9</v>
      </c>
      <c r="H1634" s="47">
        <v>43396</v>
      </c>
      <c r="I1634" s="47">
        <v>43412</v>
      </c>
      <c r="J1634" s="46">
        <v>149232</v>
      </c>
      <c r="K1634" s="46">
        <v>0</v>
      </c>
      <c r="L1634" s="46">
        <v>0</v>
      </c>
      <c r="M1634" s="46">
        <f t="shared" si="461"/>
        <v>149232</v>
      </c>
      <c r="N1634" s="46">
        <v>200815</v>
      </c>
      <c r="O1634" s="48">
        <f t="shared" si="462"/>
        <v>0.25686826183303035</v>
      </c>
      <c r="P1634" s="46">
        <v>0</v>
      </c>
      <c r="Q1634" s="46">
        <v>149232</v>
      </c>
      <c r="R1634" s="49">
        <f t="shared" si="463"/>
        <v>1</v>
      </c>
      <c r="S1634" s="50">
        <f t="shared" si="464"/>
        <v>0.01</v>
      </c>
      <c r="T1634" s="49">
        <f t="shared" si="465"/>
        <v>1492.32</v>
      </c>
      <c r="U1634" s="51">
        <f t="shared" si="466"/>
        <v>0</v>
      </c>
      <c r="V1634" s="52">
        <f>IF(0&lt;0.8,0,IF(0&lt;1,Sheet3!L561,1))*IF(G1634&lt;3,0.12 - O1634,0.01) *U1634</f>
        <v>0</v>
      </c>
      <c r="W1634" s="52">
        <f t="shared" si="467"/>
        <v>0</v>
      </c>
      <c r="X1634" s="53">
        <f t="shared" si="468"/>
        <v>0</v>
      </c>
      <c r="Y1634" s="53">
        <f t="shared" si="469"/>
        <v>0</v>
      </c>
      <c r="Z1634" s="54">
        <f t="shared" si="475"/>
        <v>0</v>
      </c>
      <c r="AA1634" s="54">
        <f t="shared" si="470"/>
        <v>0</v>
      </c>
      <c r="AB1634" s="55">
        <f t="shared" si="476"/>
        <v>0</v>
      </c>
      <c r="AC1634" s="55">
        <f t="shared" si="471"/>
        <v>0</v>
      </c>
      <c r="AD1634" s="56">
        <f t="shared" si="472"/>
        <v>1492.32</v>
      </c>
    </row>
    <row r="1635" spans="3:30">
      <c r="C1635" s="43" t="s">
        <v>2994</v>
      </c>
      <c r="D1635" s="44" t="s">
        <v>2995</v>
      </c>
      <c r="E1635" s="44"/>
      <c r="F1635" s="45">
        <v>43196.090844907405</v>
      </c>
      <c r="G1635" s="46">
        <v>5</v>
      </c>
      <c r="H1635" s="47">
        <v>43404</v>
      </c>
      <c r="I1635" s="47">
        <v>43383</v>
      </c>
      <c r="J1635" s="46">
        <v>3727800</v>
      </c>
      <c r="K1635" s="46">
        <v>0</v>
      </c>
      <c r="L1635" s="46">
        <v>0</v>
      </c>
      <c r="M1635" s="46">
        <f t="shared" si="461"/>
        <v>3727800</v>
      </c>
      <c r="N1635" s="46">
        <v>4152720</v>
      </c>
      <c r="O1635" s="48">
        <f t="shared" si="462"/>
        <v>0.10232329653817263</v>
      </c>
      <c r="P1635" s="46">
        <v>0</v>
      </c>
      <c r="Q1635" s="46">
        <v>3727800</v>
      </c>
      <c r="R1635" s="49">
        <f t="shared" si="463"/>
        <v>1</v>
      </c>
      <c r="S1635" s="50">
        <f t="shared" si="464"/>
        <v>0.01</v>
      </c>
      <c r="T1635" s="49">
        <f t="shared" si="465"/>
        <v>37278</v>
      </c>
      <c r="U1635" s="51">
        <f t="shared" si="466"/>
        <v>0</v>
      </c>
      <c r="V1635" s="52">
        <f>IF(0&lt;0.8,0,IF(0&lt;1,Sheet3!L561,1))*IF(G1635&lt;3,0.12 - O1635,0.01) *U1635</f>
        <v>0</v>
      </c>
      <c r="W1635" s="52">
        <f t="shared" si="467"/>
        <v>0</v>
      </c>
      <c r="X1635" s="53">
        <f t="shared" si="468"/>
        <v>0</v>
      </c>
      <c r="Y1635" s="53">
        <f t="shared" si="469"/>
        <v>0</v>
      </c>
      <c r="Z1635" s="54">
        <f t="shared" si="475"/>
        <v>0</v>
      </c>
      <c r="AA1635" s="54">
        <f t="shared" si="470"/>
        <v>0</v>
      </c>
      <c r="AB1635" s="55">
        <f t="shared" si="476"/>
        <v>0</v>
      </c>
      <c r="AC1635" s="55">
        <f t="shared" si="471"/>
        <v>0</v>
      </c>
      <c r="AD1635" s="56">
        <f t="shared" si="472"/>
        <v>37278</v>
      </c>
    </row>
    <row r="1636" spans="3:30">
      <c r="C1636" s="43" t="s">
        <v>2996</v>
      </c>
      <c r="D1636" s="44" t="s">
        <v>24</v>
      </c>
      <c r="E1636" s="44"/>
      <c r="F1636" s="45" t="s">
        <v>24</v>
      </c>
      <c r="G1636" s="46" t="s">
        <v>24</v>
      </c>
      <c r="H1636" s="47" t="s">
        <v>24</v>
      </c>
      <c r="I1636" s="47" t="s">
        <v>24</v>
      </c>
      <c r="J1636" s="46">
        <v>297418</v>
      </c>
      <c r="K1636" s="46">
        <v>0</v>
      </c>
      <c r="L1636" s="46">
        <v>0</v>
      </c>
      <c r="M1636" s="46">
        <f t="shared" si="461"/>
        <v>297418</v>
      </c>
      <c r="N1636" s="46" t="s">
        <v>24</v>
      </c>
      <c r="O1636" s="48">
        <f t="shared" si="462"/>
        <v>0</v>
      </c>
      <c r="P1636" s="46">
        <v>0</v>
      </c>
      <c r="Q1636" s="46">
        <v>0</v>
      </c>
      <c r="R1636" s="49">
        <f t="shared" si="463"/>
        <v>0</v>
      </c>
      <c r="S1636" s="50">
        <f t="shared" si="464"/>
        <v>0</v>
      </c>
      <c r="T1636" s="49">
        <f t="shared" si="465"/>
        <v>0</v>
      </c>
      <c r="U1636" s="51">
        <f t="shared" si="466"/>
        <v>297418</v>
      </c>
      <c r="V1636" s="52">
        <f>IF(0&lt;0.8,0,IF(0&lt;1,Sheet3!L561,1))*IF(G1636&lt;3,0.12 - O1636,0.01) *U1636</f>
        <v>0</v>
      </c>
      <c r="W1636" s="52">
        <f t="shared" si="467"/>
        <v>0</v>
      </c>
      <c r="X1636" s="53">
        <f t="shared" si="468"/>
        <v>0</v>
      </c>
      <c r="Y1636" s="53">
        <f t="shared" si="469"/>
        <v>0</v>
      </c>
      <c r="Z1636" s="54" t="str">
        <f>IF(R1636=1,0,"")</f>
        <v/>
      </c>
      <c r="AA1636" s="54">
        <f t="shared" si="470"/>
        <v>0</v>
      </c>
      <c r="AB1636" s="55" t="str">
        <f>IF(R1636=0,"",0)</f>
        <v/>
      </c>
      <c r="AC1636" s="55">
        <f t="shared" si="471"/>
        <v>0</v>
      </c>
      <c r="AD1636" s="56">
        <f t="shared" si="472"/>
        <v>0</v>
      </c>
    </row>
    <row r="1637" spans="3:30">
      <c r="C1637" s="43" t="s">
        <v>2997</v>
      </c>
      <c r="D1637" s="44" t="s">
        <v>24</v>
      </c>
      <c r="E1637" s="44"/>
      <c r="F1637" s="45" t="s">
        <v>24</v>
      </c>
      <c r="G1637" s="46" t="s">
        <v>24</v>
      </c>
      <c r="H1637" s="47" t="s">
        <v>24</v>
      </c>
      <c r="I1637" s="47" t="s">
        <v>24</v>
      </c>
      <c r="J1637" s="46">
        <v>245817</v>
      </c>
      <c r="K1637" s="46">
        <v>0</v>
      </c>
      <c r="L1637" s="46">
        <v>0</v>
      </c>
      <c r="M1637" s="46">
        <f t="shared" si="461"/>
        <v>245817</v>
      </c>
      <c r="N1637" s="46" t="s">
        <v>24</v>
      </c>
      <c r="O1637" s="48">
        <f t="shared" si="462"/>
        <v>0</v>
      </c>
      <c r="P1637" s="46">
        <v>0</v>
      </c>
      <c r="Q1637" s="46">
        <v>0</v>
      </c>
      <c r="R1637" s="49">
        <f t="shared" si="463"/>
        <v>0</v>
      </c>
      <c r="S1637" s="50">
        <f t="shared" si="464"/>
        <v>0</v>
      </c>
      <c r="T1637" s="49">
        <f t="shared" si="465"/>
        <v>0</v>
      </c>
      <c r="U1637" s="51">
        <f t="shared" si="466"/>
        <v>245817</v>
      </c>
      <c r="V1637" s="52">
        <f>IF(0&lt;0.8,0,IF(0&lt;1,Sheet3!L561,1))*IF(G1637&lt;3,0.12 - O1637,0.01) *U1637</f>
        <v>0</v>
      </c>
      <c r="W1637" s="52">
        <f t="shared" si="467"/>
        <v>0</v>
      </c>
      <c r="X1637" s="53">
        <f t="shared" si="468"/>
        <v>0</v>
      </c>
      <c r="Y1637" s="53">
        <f t="shared" si="469"/>
        <v>0</v>
      </c>
      <c r="Z1637" s="54" t="str">
        <f>IF(R1637=1,0,"")</f>
        <v/>
      </c>
      <c r="AA1637" s="54">
        <f t="shared" si="470"/>
        <v>0</v>
      </c>
      <c r="AB1637" s="55" t="str">
        <f>IF(R1637=0,"",0)</f>
        <v/>
      </c>
      <c r="AC1637" s="55">
        <f t="shared" si="471"/>
        <v>0</v>
      </c>
      <c r="AD1637" s="56">
        <f t="shared" si="472"/>
        <v>0</v>
      </c>
    </row>
    <row r="1638" spans="3:30">
      <c r="C1638" s="43" t="s">
        <v>2998</v>
      </c>
      <c r="D1638" s="44" t="s">
        <v>2999</v>
      </c>
      <c r="E1638" s="44"/>
      <c r="F1638" s="45">
        <v>43245.284166666665</v>
      </c>
      <c r="G1638" s="46">
        <v>4</v>
      </c>
      <c r="H1638" s="47" t="s">
        <v>24</v>
      </c>
      <c r="I1638" s="47" t="s">
        <v>24</v>
      </c>
      <c r="J1638" s="46">
        <v>0</v>
      </c>
      <c r="K1638" s="46">
        <v>0</v>
      </c>
      <c r="L1638" s="46">
        <v>0</v>
      </c>
      <c r="M1638" s="46">
        <f t="shared" si="461"/>
        <v>0</v>
      </c>
      <c r="N1638" s="46">
        <v>5237278</v>
      </c>
      <c r="O1638" s="48">
        <f t="shared" si="462"/>
        <v>1</v>
      </c>
      <c r="P1638" s="46">
        <v>0</v>
      </c>
      <c r="Q1638" s="46">
        <v>0</v>
      </c>
      <c r="R1638" s="49">
        <f t="shared" si="463"/>
        <v>1</v>
      </c>
      <c r="S1638" s="50">
        <f t="shared" si="464"/>
        <v>0.01</v>
      </c>
      <c r="T1638" s="49">
        <f t="shared" si="465"/>
        <v>0</v>
      </c>
      <c r="U1638" s="51">
        <f t="shared" si="466"/>
        <v>0</v>
      </c>
      <c r="V1638" s="52">
        <f>IF(0&lt;0.8,0,IF(0&lt;1,Sheet3!L561,1))*IF(G1638&lt;3,0.12 - O1638,0.01) *U1638</f>
        <v>0</v>
      </c>
      <c r="W1638" s="52">
        <f t="shared" si="467"/>
        <v>0</v>
      </c>
      <c r="X1638" s="53">
        <f t="shared" si="468"/>
        <v>0</v>
      </c>
      <c r="Y1638" s="53">
        <f t="shared" si="469"/>
        <v>0</v>
      </c>
      <c r="Z1638" s="54">
        <f>IF(R1638=1,0,"")</f>
        <v>0</v>
      </c>
      <c r="AA1638" s="54">
        <f t="shared" si="470"/>
        <v>0</v>
      </c>
      <c r="AB1638" s="55">
        <f>IF(R1638=0,"",0)</f>
        <v>0</v>
      </c>
      <c r="AC1638" s="55">
        <f t="shared" si="471"/>
        <v>0</v>
      </c>
      <c r="AD1638" s="56">
        <f t="shared" si="472"/>
        <v>0</v>
      </c>
    </row>
    <row r="1639" spans="3:30">
      <c r="C1639" s="43" t="s">
        <v>3000</v>
      </c>
      <c r="D1639" s="44" t="s">
        <v>995</v>
      </c>
      <c r="E1639" s="44"/>
      <c r="F1639" s="45">
        <v>43316.374155092592</v>
      </c>
      <c r="G1639" s="46">
        <v>1</v>
      </c>
      <c r="H1639" s="47">
        <v>43404</v>
      </c>
      <c r="I1639" s="47">
        <v>43430</v>
      </c>
      <c r="J1639" s="46">
        <v>1343804</v>
      </c>
      <c r="K1639" s="46">
        <v>0</v>
      </c>
      <c r="L1639" s="46">
        <v>0</v>
      </c>
      <c r="M1639" s="46">
        <f t="shared" si="461"/>
        <v>1343804</v>
      </c>
      <c r="N1639" s="46">
        <v>1629466</v>
      </c>
      <c r="O1639" s="48">
        <f t="shared" si="462"/>
        <v>0.17531019364626199</v>
      </c>
      <c r="P1639" s="46">
        <v>0</v>
      </c>
      <c r="Q1639" s="46">
        <v>0</v>
      </c>
      <c r="R1639" s="49">
        <f t="shared" si="463"/>
        <v>0</v>
      </c>
      <c r="S1639" s="50">
        <f t="shared" si="464"/>
        <v>0</v>
      </c>
      <c r="T1639" s="49">
        <f t="shared" si="465"/>
        <v>0</v>
      </c>
      <c r="U1639" s="51">
        <f t="shared" si="466"/>
        <v>0</v>
      </c>
      <c r="V1639" s="52">
        <f>IF(0&lt;0.8,0,IF(0&lt;1,Sheet3!L561,1))*IF(G1639&lt;3,0.12 - O1639,0.01) *U1639</f>
        <v>0</v>
      </c>
      <c r="W1639" s="52">
        <f t="shared" si="467"/>
        <v>0</v>
      </c>
      <c r="X1639" s="53">
        <f t="shared" si="468"/>
        <v>0</v>
      </c>
      <c r="Y1639" s="53">
        <f t="shared" si="469"/>
        <v>0</v>
      </c>
      <c r="Z1639" s="54">
        <f t="shared" ref="Z1639:Z1657" si="477">IF(R1639=1,0,0)</f>
        <v>0</v>
      </c>
      <c r="AA1639" s="54">
        <f t="shared" si="470"/>
        <v>0</v>
      </c>
      <c r="AB1639" s="55">
        <f t="shared" ref="AB1639:AB1657" si="478">IF(R1639=0,0,0)</f>
        <v>0</v>
      </c>
      <c r="AC1639" s="55">
        <f t="shared" si="471"/>
        <v>0</v>
      </c>
      <c r="AD1639" s="56">
        <f t="shared" si="472"/>
        <v>0</v>
      </c>
    </row>
    <row r="1640" spans="3:30">
      <c r="C1640" s="43" t="s">
        <v>3001</v>
      </c>
      <c r="D1640" s="44" t="s">
        <v>995</v>
      </c>
      <c r="E1640" s="44"/>
      <c r="F1640" s="45">
        <v>43316.375208333331</v>
      </c>
      <c r="G1640" s="46">
        <v>1</v>
      </c>
      <c r="H1640" s="47">
        <v>43404</v>
      </c>
      <c r="I1640" s="47">
        <v>43430</v>
      </c>
      <c r="J1640" s="46">
        <v>867935</v>
      </c>
      <c r="K1640" s="46">
        <v>0</v>
      </c>
      <c r="L1640" s="46">
        <v>0</v>
      </c>
      <c r="M1640" s="46">
        <f t="shared" si="461"/>
        <v>867935</v>
      </c>
      <c r="N1640" s="46">
        <v>834906</v>
      </c>
      <c r="O1640" s="48">
        <f t="shared" si="462"/>
        <v>0</v>
      </c>
      <c r="P1640" s="46">
        <v>0</v>
      </c>
      <c r="Q1640" s="46">
        <v>0</v>
      </c>
      <c r="R1640" s="49">
        <f t="shared" si="463"/>
        <v>0</v>
      </c>
      <c r="S1640" s="50">
        <f t="shared" si="464"/>
        <v>0</v>
      </c>
      <c r="T1640" s="49">
        <f t="shared" si="465"/>
        <v>0</v>
      </c>
      <c r="U1640" s="51">
        <f t="shared" si="466"/>
        <v>867935</v>
      </c>
      <c r="V1640" s="52">
        <f>IF(0&lt;0.8,0,IF(0&lt;1,Sheet3!L561,1))*IF(G1640&lt;3,0.12 - O1640,0.01) *U1640</f>
        <v>0</v>
      </c>
      <c r="W1640" s="52">
        <f t="shared" si="467"/>
        <v>0</v>
      </c>
      <c r="X1640" s="53">
        <f t="shared" si="468"/>
        <v>0</v>
      </c>
      <c r="Y1640" s="53">
        <f t="shared" si="469"/>
        <v>0</v>
      </c>
      <c r="Z1640" s="54">
        <f t="shared" si="477"/>
        <v>0</v>
      </c>
      <c r="AA1640" s="54">
        <f t="shared" si="470"/>
        <v>0</v>
      </c>
      <c r="AB1640" s="55">
        <f t="shared" si="478"/>
        <v>0</v>
      </c>
      <c r="AC1640" s="55">
        <f t="shared" si="471"/>
        <v>0</v>
      </c>
      <c r="AD1640" s="56">
        <f t="shared" si="472"/>
        <v>0</v>
      </c>
    </row>
    <row r="1641" spans="3:30">
      <c r="C1641" s="43" t="s">
        <v>3002</v>
      </c>
      <c r="D1641" s="44" t="s">
        <v>995</v>
      </c>
      <c r="E1641" s="44"/>
      <c r="F1641" s="45">
        <v>43316.375879629624</v>
      </c>
      <c r="G1641" s="46">
        <v>1</v>
      </c>
      <c r="H1641" s="47">
        <v>43404</v>
      </c>
      <c r="I1641" s="47">
        <v>43430</v>
      </c>
      <c r="J1641" s="46">
        <v>561282</v>
      </c>
      <c r="K1641" s="46">
        <v>0</v>
      </c>
      <c r="L1641" s="46">
        <v>0</v>
      </c>
      <c r="M1641" s="46">
        <f t="shared" si="461"/>
        <v>561282</v>
      </c>
      <c r="N1641" s="46">
        <v>693705</v>
      </c>
      <c r="O1641" s="48">
        <f t="shared" si="462"/>
        <v>0.19089238220857574</v>
      </c>
      <c r="P1641" s="46">
        <v>0</v>
      </c>
      <c r="Q1641" s="46">
        <v>0</v>
      </c>
      <c r="R1641" s="49">
        <f t="shared" si="463"/>
        <v>0</v>
      </c>
      <c r="S1641" s="50">
        <f t="shared" si="464"/>
        <v>0</v>
      </c>
      <c r="T1641" s="49">
        <f t="shared" si="465"/>
        <v>0</v>
      </c>
      <c r="U1641" s="51">
        <f t="shared" si="466"/>
        <v>0</v>
      </c>
      <c r="V1641" s="52">
        <f>IF(0&lt;0.8,0,IF(0&lt;1,Sheet3!L561,1))*IF(G1641&lt;3,0.12 - O1641,0.01) *U1641</f>
        <v>0</v>
      </c>
      <c r="W1641" s="52">
        <f t="shared" si="467"/>
        <v>0</v>
      </c>
      <c r="X1641" s="53">
        <f t="shared" si="468"/>
        <v>0</v>
      </c>
      <c r="Y1641" s="53">
        <f t="shared" si="469"/>
        <v>0</v>
      </c>
      <c r="Z1641" s="54">
        <f t="shared" si="477"/>
        <v>0</v>
      </c>
      <c r="AA1641" s="54">
        <f t="shared" si="470"/>
        <v>0</v>
      </c>
      <c r="AB1641" s="55">
        <f t="shared" si="478"/>
        <v>0</v>
      </c>
      <c r="AC1641" s="55">
        <f t="shared" si="471"/>
        <v>0</v>
      </c>
      <c r="AD1641" s="56">
        <f t="shared" si="472"/>
        <v>0</v>
      </c>
    </row>
    <row r="1642" spans="3:30">
      <c r="C1642" s="43" t="s">
        <v>3003</v>
      </c>
      <c r="D1642" s="44" t="s">
        <v>995</v>
      </c>
      <c r="E1642" s="44"/>
      <c r="F1642" s="45">
        <v>43316.376481481479</v>
      </c>
      <c r="G1642" s="46">
        <v>1</v>
      </c>
      <c r="H1642" s="47">
        <v>43404</v>
      </c>
      <c r="I1642" s="47">
        <v>43430</v>
      </c>
      <c r="J1642" s="46">
        <v>699467</v>
      </c>
      <c r="K1642" s="46">
        <v>0</v>
      </c>
      <c r="L1642" s="46">
        <v>0</v>
      </c>
      <c r="M1642" s="46">
        <f t="shared" si="461"/>
        <v>699467</v>
      </c>
      <c r="N1642" s="46">
        <v>719975</v>
      </c>
      <c r="O1642" s="48">
        <f t="shared" si="462"/>
        <v>2.8484322372304582E-2</v>
      </c>
      <c r="P1642" s="46">
        <v>0</v>
      </c>
      <c r="Q1642" s="46">
        <v>0</v>
      </c>
      <c r="R1642" s="49">
        <f t="shared" si="463"/>
        <v>0</v>
      </c>
      <c r="S1642" s="50">
        <f t="shared" si="464"/>
        <v>0</v>
      </c>
      <c r="T1642" s="49">
        <f t="shared" si="465"/>
        <v>0</v>
      </c>
      <c r="U1642" s="51">
        <f t="shared" si="466"/>
        <v>699467</v>
      </c>
      <c r="V1642" s="52">
        <f>IF(0&lt;0.8,0,IF(0&lt;1,Sheet3!L561,1))*IF(G1642&lt;3,0.12 - O1642,0.01) *U1642</f>
        <v>0</v>
      </c>
      <c r="W1642" s="52">
        <f t="shared" si="467"/>
        <v>0</v>
      </c>
      <c r="X1642" s="53">
        <f t="shared" si="468"/>
        <v>0</v>
      </c>
      <c r="Y1642" s="53">
        <f t="shared" si="469"/>
        <v>0</v>
      </c>
      <c r="Z1642" s="54">
        <f t="shared" si="477"/>
        <v>0</v>
      </c>
      <c r="AA1642" s="54">
        <f t="shared" si="470"/>
        <v>0</v>
      </c>
      <c r="AB1642" s="55">
        <f t="shared" si="478"/>
        <v>0</v>
      </c>
      <c r="AC1642" s="55">
        <f t="shared" si="471"/>
        <v>0</v>
      </c>
      <c r="AD1642" s="56">
        <f t="shared" si="472"/>
        <v>0</v>
      </c>
    </row>
    <row r="1643" spans="3:30">
      <c r="C1643" s="43" t="s">
        <v>3004</v>
      </c>
      <c r="D1643" s="44" t="s">
        <v>995</v>
      </c>
      <c r="E1643" s="44"/>
      <c r="F1643" s="45">
        <v>43316.377222222218</v>
      </c>
      <c r="G1643" s="46">
        <v>1</v>
      </c>
      <c r="H1643" s="47">
        <v>43404</v>
      </c>
      <c r="I1643" s="47">
        <v>43430</v>
      </c>
      <c r="J1643" s="46">
        <v>797220</v>
      </c>
      <c r="K1643" s="46">
        <v>0</v>
      </c>
      <c r="L1643" s="46">
        <v>0</v>
      </c>
      <c r="M1643" s="46">
        <f t="shared" si="461"/>
        <v>797220</v>
      </c>
      <c r="N1643" s="46">
        <v>798879</v>
      </c>
      <c r="O1643" s="48">
        <f t="shared" si="462"/>
        <v>2.0766599197125091E-3</v>
      </c>
      <c r="P1643" s="46">
        <v>0</v>
      </c>
      <c r="Q1643" s="46">
        <v>0</v>
      </c>
      <c r="R1643" s="49">
        <f t="shared" si="463"/>
        <v>0</v>
      </c>
      <c r="S1643" s="50">
        <f t="shared" si="464"/>
        <v>0</v>
      </c>
      <c r="T1643" s="49">
        <f t="shared" si="465"/>
        <v>0</v>
      </c>
      <c r="U1643" s="51">
        <f t="shared" si="466"/>
        <v>797220</v>
      </c>
      <c r="V1643" s="52">
        <f>IF(0&lt;0.8,0,IF(0&lt;1,Sheet3!L561,1))*IF(G1643&lt;3,0.12 - O1643,0.01) *U1643</f>
        <v>0</v>
      </c>
      <c r="W1643" s="52">
        <f t="shared" si="467"/>
        <v>0</v>
      </c>
      <c r="X1643" s="53">
        <f t="shared" si="468"/>
        <v>0</v>
      </c>
      <c r="Y1643" s="53">
        <f t="shared" si="469"/>
        <v>0</v>
      </c>
      <c r="Z1643" s="54">
        <f t="shared" si="477"/>
        <v>0</v>
      </c>
      <c r="AA1643" s="54">
        <f t="shared" si="470"/>
        <v>0</v>
      </c>
      <c r="AB1643" s="55">
        <f t="shared" si="478"/>
        <v>0</v>
      </c>
      <c r="AC1643" s="55">
        <f t="shared" si="471"/>
        <v>0</v>
      </c>
      <c r="AD1643" s="56">
        <f t="shared" si="472"/>
        <v>0</v>
      </c>
    </row>
    <row r="1644" spans="3:30">
      <c r="C1644" s="43" t="s">
        <v>3005</v>
      </c>
      <c r="D1644" s="44" t="s">
        <v>995</v>
      </c>
      <c r="E1644" s="44"/>
      <c r="F1644" s="45">
        <v>43316.387407407405</v>
      </c>
      <c r="G1644" s="46">
        <v>1</v>
      </c>
      <c r="H1644" s="47">
        <v>43404</v>
      </c>
      <c r="I1644" s="47">
        <v>43430</v>
      </c>
      <c r="J1644" s="46">
        <v>420890</v>
      </c>
      <c r="K1644" s="46">
        <v>0</v>
      </c>
      <c r="L1644" s="46">
        <v>0</v>
      </c>
      <c r="M1644" s="46">
        <f t="shared" si="461"/>
        <v>420890</v>
      </c>
      <c r="N1644" s="46">
        <v>521307</v>
      </c>
      <c r="O1644" s="48">
        <f t="shared" si="462"/>
        <v>0.19262545870283732</v>
      </c>
      <c r="P1644" s="46">
        <v>0</v>
      </c>
      <c r="Q1644" s="46">
        <v>0</v>
      </c>
      <c r="R1644" s="49">
        <f t="shared" si="463"/>
        <v>0</v>
      </c>
      <c r="S1644" s="50">
        <f t="shared" si="464"/>
        <v>0</v>
      </c>
      <c r="T1644" s="49">
        <f t="shared" si="465"/>
        <v>0</v>
      </c>
      <c r="U1644" s="51">
        <f t="shared" si="466"/>
        <v>0</v>
      </c>
      <c r="V1644" s="52">
        <f>IF(0&lt;0.8,0,IF(0&lt;1,Sheet3!L561,1))*IF(G1644&lt;3,0.12 - O1644,0.01) *U1644</f>
        <v>0</v>
      </c>
      <c r="W1644" s="52">
        <f t="shared" si="467"/>
        <v>0</v>
      </c>
      <c r="X1644" s="53">
        <f t="shared" si="468"/>
        <v>0</v>
      </c>
      <c r="Y1644" s="53">
        <f t="shared" si="469"/>
        <v>0</v>
      </c>
      <c r="Z1644" s="54">
        <f t="shared" si="477"/>
        <v>0</v>
      </c>
      <c r="AA1644" s="54">
        <f t="shared" si="470"/>
        <v>0</v>
      </c>
      <c r="AB1644" s="55">
        <f t="shared" si="478"/>
        <v>0</v>
      </c>
      <c r="AC1644" s="55">
        <f t="shared" si="471"/>
        <v>0</v>
      </c>
      <c r="AD1644" s="56">
        <f t="shared" si="472"/>
        <v>0</v>
      </c>
    </row>
    <row r="1645" spans="3:30">
      <c r="C1645" s="43" t="s">
        <v>3006</v>
      </c>
      <c r="D1645" s="44" t="s">
        <v>3007</v>
      </c>
      <c r="E1645" s="44"/>
      <c r="F1645" s="45">
        <v>40466.497731481482</v>
      </c>
      <c r="G1645" s="46">
        <v>95</v>
      </c>
      <c r="H1645" s="47">
        <v>43396</v>
      </c>
      <c r="I1645" s="47">
        <v>43412</v>
      </c>
      <c r="J1645" s="46">
        <v>1426317</v>
      </c>
      <c r="K1645" s="46">
        <v>0</v>
      </c>
      <c r="L1645" s="46">
        <v>0</v>
      </c>
      <c r="M1645" s="46">
        <f t="shared" si="461"/>
        <v>1426317</v>
      </c>
      <c r="N1645" s="46">
        <v>1796326</v>
      </c>
      <c r="O1645" s="48">
        <f t="shared" si="462"/>
        <v>0.20598098563401079</v>
      </c>
      <c r="P1645" s="46">
        <v>0</v>
      </c>
      <c r="Q1645" s="46">
        <v>1426317</v>
      </c>
      <c r="R1645" s="49">
        <f t="shared" si="463"/>
        <v>1</v>
      </c>
      <c r="S1645" s="50">
        <f t="shared" si="464"/>
        <v>0.01</v>
      </c>
      <c r="T1645" s="49">
        <f t="shared" si="465"/>
        <v>14263.17</v>
      </c>
      <c r="U1645" s="51">
        <f t="shared" si="466"/>
        <v>0</v>
      </c>
      <c r="V1645" s="52">
        <f>IF(0&lt;0.8,0,IF(0&lt;1,Sheet3!L561,1))*IF(G1645&lt;3,0.12 - O1645,0.01) *U1645</f>
        <v>0</v>
      </c>
      <c r="W1645" s="52">
        <f t="shared" si="467"/>
        <v>0</v>
      </c>
      <c r="X1645" s="53">
        <f t="shared" si="468"/>
        <v>0</v>
      </c>
      <c r="Y1645" s="53">
        <f t="shared" si="469"/>
        <v>0</v>
      </c>
      <c r="Z1645" s="54">
        <f t="shared" si="477"/>
        <v>0</v>
      </c>
      <c r="AA1645" s="54">
        <f t="shared" si="470"/>
        <v>0</v>
      </c>
      <c r="AB1645" s="55">
        <f t="shared" si="478"/>
        <v>0</v>
      </c>
      <c r="AC1645" s="55">
        <f t="shared" si="471"/>
        <v>0</v>
      </c>
      <c r="AD1645" s="56">
        <f t="shared" si="472"/>
        <v>14263.17</v>
      </c>
    </row>
    <row r="1646" spans="3:30">
      <c r="C1646" s="43" t="s">
        <v>3008</v>
      </c>
      <c r="D1646" s="44" t="s">
        <v>3009</v>
      </c>
      <c r="E1646" s="44"/>
      <c r="F1646" s="45">
        <v>42037.391840277778</v>
      </c>
      <c r="G1646" s="46">
        <v>43</v>
      </c>
      <c r="H1646" s="47">
        <v>43396</v>
      </c>
      <c r="I1646" s="47">
        <v>43412</v>
      </c>
      <c r="J1646" s="46">
        <v>453668</v>
      </c>
      <c r="K1646" s="46">
        <v>0</v>
      </c>
      <c r="L1646" s="46">
        <v>0</v>
      </c>
      <c r="M1646" s="46">
        <f t="shared" si="461"/>
        <v>453668</v>
      </c>
      <c r="N1646" s="46">
        <v>517594</v>
      </c>
      <c r="O1646" s="48">
        <f t="shared" si="462"/>
        <v>0.12350606846292655</v>
      </c>
      <c r="P1646" s="46">
        <v>0</v>
      </c>
      <c r="Q1646" s="46">
        <v>453668</v>
      </c>
      <c r="R1646" s="49">
        <f t="shared" si="463"/>
        <v>1</v>
      </c>
      <c r="S1646" s="50">
        <f t="shared" si="464"/>
        <v>0.01</v>
      </c>
      <c r="T1646" s="49">
        <f t="shared" si="465"/>
        <v>4536.68</v>
      </c>
      <c r="U1646" s="51">
        <f t="shared" si="466"/>
        <v>0</v>
      </c>
      <c r="V1646" s="52">
        <f>IF(0&lt;0.8,0,IF(0&lt;1,Sheet3!L561,1))*IF(G1646&lt;3,0.12 - O1646,0.01) *U1646</f>
        <v>0</v>
      </c>
      <c r="W1646" s="52">
        <f t="shared" si="467"/>
        <v>0</v>
      </c>
      <c r="X1646" s="53">
        <f t="shared" si="468"/>
        <v>0</v>
      </c>
      <c r="Y1646" s="53">
        <f t="shared" si="469"/>
        <v>0</v>
      </c>
      <c r="Z1646" s="54">
        <f t="shared" si="477"/>
        <v>0</v>
      </c>
      <c r="AA1646" s="54">
        <f t="shared" si="470"/>
        <v>0</v>
      </c>
      <c r="AB1646" s="55">
        <f t="shared" si="478"/>
        <v>0</v>
      </c>
      <c r="AC1646" s="55">
        <f t="shared" si="471"/>
        <v>0</v>
      </c>
      <c r="AD1646" s="56">
        <f t="shared" si="472"/>
        <v>4536.68</v>
      </c>
    </row>
    <row r="1647" spans="3:30">
      <c r="C1647" s="43" t="s">
        <v>3010</v>
      </c>
      <c r="D1647" s="44" t="s">
        <v>3011</v>
      </c>
      <c r="E1647" s="44"/>
      <c r="F1647" s="45">
        <v>42355.43813657407</v>
      </c>
      <c r="G1647" s="46">
        <v>33</v>
      </c>
      <c r="H1647" s="47">
        <v>43396</v>
      </c>
      <c r="I1647" s="47">
        <v>43412</v>
      </c>
      <c r="J1647" s="46">
        <v>475735</v>
      </c>
      <c r="K1647" s="46">
        <v>0</v>
      </c>
      <c r="L1647" s="46">
        <v>0</v>
      </c>
      <c r="M1647" s="46">
        <f t="shared" si="461"/>
        <v>475735</v>
      </c>
      <c r="N1647" s="46">
        <v>622128</v>
      </c>
      <c r="O1647" s="48">
        <f t="shared" si="462"/>
        <v>0.23531009695753924</v>
      </c>
      <c r="P1647" s="46">
        <v>0</v>
      </c>
      <c r="Q1647" s="46">
        <v>475735</v>
      </c>
      <c r="R1647" s="49">
        <f t="shared" si="463"/>
        <v>1</v>
      </c>
      <c r="S1647" s="50">
        <f t="shared" si="464"/>
        <v>0.01</v>
      </c>
      <c r="T1647" s="49">
        <f t="shared" si="465"/>
        <v>4757.3500000000004</v>
      </c>
      <c r="U1647" s="51">
        <f t="shared" si="466"/>
        <v>0</v>
      </c>
      <c r="V1647" s="52">
        <f>IF(0&lt;0.8,0,IF(0&lt;1,Sheet3!L561,1))*IF(G1647&lt;3,0.12 - O1647,0.01) *U1647</f>
        <v>0</v>
      </c>
      <c r="W1647" s="52">
        <f t="shared" si="467"/>
        <v>0</v>
      </c>
      <c r="X1647" s="53">
        <f t="shared" si="468"/>
        <v>0</v>
      </c>
      <c r="Y1647" s="53">
        <f t="shared" si="469"/>
        <v>0</v>
      </c>
      <c r="Z1647" s="54">
        <f t="shared" si="477"/>
        <v>0</v>
      </c>
      <c r="AA1647" s="54">
        <f t="shared" si="470"/>
        <v>0</v>
      </c>
      <c r="AB1647" s="55">
        <f t="shared" si="478"/>
        <v>0</v>
      </c>
      <c r="AC1647" s="55">
        <f t="shared" si="471"/>
        <v>0</v>
      </c>
      <c r="AD1647" s="56">
        <f t="shared" si="472"/>
        <v>4757.3500000000004</v>
      </c>
    </row>
    <row r="1648" spans="3:30">
      <c r="C1648" s="43" t="s">
        <v>3012</v>
      </c>
      <c r="D1648" s="44" t="s">
        <v>3013</v>
      </c>
      <c r="E1648" s="44"/>
      <c r="F1648" s="45">
        <v>42388.434675925921</v>
      </c>
      <c r="G1648" s="46">
        <v>32</v>
      </c>
      <c r="H1648" s="47">
        <v>43396</v>
      </c>
      <c r="I1648" s="47">
        <v>43412</v>
      </c>
      <c r="J1648" s="46">
        <v>739915</v>
      </c>
      <c r="K1648" s="46">
        <v>0</v>
      </c>
      <c r="L1648" s="46">
        <v>0</v>
      </c>
      <c r="M1648" s="46">
        <f t="shared" si="461"/>
        <v>739915</v>
      </c>
      <c r="N1648" s="46">
        <v>815650</v>
      </c>
      <c r="O1648" s="48">
        <f t="shared" si="462"/>
        <v>9.2852326365475357E-2</v>
      </c>
      <c r="P1648" s="46">
        <v>0</v>
      </c>
      <c r="Q1648" s="46">
        <v>739915</v>
      </c>
      <c r="R1648" s="49">
        <f t="shared" si="463"/>
        <v>1</v>
      </c>
      <c r="S1648" s="50">
        <f t="shared" si="464"/>
        <v>0.01</v>
      </c>
      <c r="T1648" s="49">
        <f t="shared" si="465"/>
        <v>7399.1500000000005</v>
      </c>
      <c r="U1648" s="51">
        <f t="shared" si="466"/>
        <v>0</v>
      </c>
      <c r="V1648" s="52">
        <f>IF(0&lt;0.8,0,IF(0&lt;1,Sheet3!L561,1))*IF(G1648&lt;3,0.12 - O1648,0.01) *U1648</f>
        <v>0</v>
      </c>
      <c r="W1648" s="52">
        <f t="shared" si="467"/>
        <v>0</v>
      </c>
      <c r="X1648" s="53">
        <f t="shared" si="468"/>
        <v>0</v>
      </c>
      <c r="Y1648" s="53">
        <f t="shared" si="469"/>
        <v>0</v>
      </c>
      <c r="Z1648" s="54">
        <f t="shared" si="477"/>
        <v>0</v>
      </c>
      <c r="AA1648" s="54">
        <f t="shared" si="470"/>
        <v>0</v>
      </c>
      <c r="AB1648" s="55">
        <f t="shared" si="478"/>
        <v>0</v>
      </c>
      <c r="AC1648" s="55">
        <f t="shared" si="471"/>
        <v>0</v>
      </c>
      <c r="AD1648" s="56">
        <f t="shared" si="472"/>
        <v>7399.1500000000005</v>
      </c>
    </row>
    <row r="1649" spans="3:30">
      <c r="C1649" s="43" t="s">
        <v>3014</v>
      </c>
      <c r="D1649" s="44" t="s">
        <v>3015</v>
      </c>
      <c r="E1649" s="44"/>
      <c r="F1649" s="45">
        <v>42601.279351851852</v>
      </c>
      <c r="G1649" s="46">
        <v>25</v>
      </c>
      <c r="H1649" s="47">
        <v>43396</v>
      </c>
      <c r="I1649" s="47">
        <v>43412</v>
      </c>
      <c r="J1649" s="46">
        <v>802835</v>
      </c>
      <c r="K1649" s="46">
        <v>0</v>
      </c>
      <c r="L1649" s="46">
        <v>0</v>
      </c>
      <c r="M1649" s="46">
        <f t="shared" si="461"/>
        <v>802835</v>
      </c>
      <c r="N1649" s="46">
        <v>893529</v>
      </c>
      <c r="O1649" s="48">
        <f t="shared" si="462"/>
        <v>0.1015009026008109</v>
      </c>
      <c r="P1649" s="46">
        <v>0</v>
      </c>
      <c r="Q1649" s="46">
        <v>802835</v>
      </c>
      <c r="R1649" s="49">
        <f t="shared" si="463"/>
        <v>1</v>
      </c>
      <c r="S1649" s="50">
        <f t="shared" si="464"/>
        <v>0.01</v>
      </c>
      <c r="T1649" s="49">
        <f t="shared" si="465"/>
        <v>8028.35</v>
      </c>
      <c r="U1649" s="51">
        <f t="shared" si="466"/>
        <v>0</v>
      </c>
      <c r="V1649" s="52">
        <f>IF(0&lt;0.8,0,IF(0&lt;1,Sheet3!L561,1))*IF(G1649&lt;3,0.12 - O1649,0.01) *U1649</f>
        <v>0</v>
      </c>
      <c r="W1649" s="52">
        <f t="shared" si="467"/>
        <v>0</v>
      </c>
      <c r="X1649" s="53">
        <f t="shared" si="468"/>
        <v>0</v>
      </c>
      <c r="Y1649" s="53">
        <f t="shared" si="469"/>
        <v>0</v>
      </c>
      <c r="Z1649" s="54">
        <f t="shared" si="477"/>
        <v>0</v>
      </c>
      <c r="AA1649" s="54">
        <f t="shared" si="470"/>
        <v>0</v>
      </c>
      <c r="AB1649" s="55">
        <f t="shared" si="478"/>
        <v>0</v>
      </c>
      <c r="AC1649" s="55">
        <f t="shared" si="471"/>
        <v>0</v>
      </c>
      <c r="AD1649" s="56">
        <f t="shared" si="472"/>
        <v>8028.35</v>
      </c>
    </row>
    <row r="1650" spans="3:30">
      <c r="C1650" s="43" t="s">
        <v>3016</v>
      </c>
      <c r="D1650" s="44" t="s">
        <v>3015</v>
      </c>
      <c r="E1650" s="44"/>
      <c r="F1650" s="45">
        <v>42601.275358796294</v>
      </c>
      <c r="G1650" s="46">
        <v>25</v>
      </c>
      <c r="H1650" s="47">
        <v>43396</v>
      </c>
      <c r="I1650" s="47">
        <v>43412</v>
      </c>
      <c r="J1650" s="46">
        <v>379363</v>
      </c>
      <c r="K1650" s="46">
        <v>0</v>
      </c>
      <c r="L1650" s="46">
        <v>0</v>
      </c>
      <c r="M1650" s="46">
        <f t="shared" si="461"/>
        <v>379363</v>
      </c>
      <c r="N1650" s="46">
        <v>417397</v>
      </c>
      <c r="O1650" s="48">
        <f t="shared" si="462"/>
        <v>9.1121881565991103E-2</v>
      </c>
      <c r="P1650" s="46">
        <v>0</v>
      </c>
      <c r="Q1650" s="46">
        <v>379363</v>
      </c>
      <c r="R1650" s="49">
        <f t="shared" si="463"/>
        <v>1</v>
      </c>
      <c r="S1650" s="50">
        <f t="shared" si="464"/>
        <v>0.01</v>
      </c>
      <c r="T1650" s="49">
        <f t="shared" si="465"/>
        <v>3793.63</v>
      </c>
      <c r="U1650" s="51">
        <f t="shared" si="466"/>
        <v>0</v>
      </c>
      <c r="V1650" s="52">
        <f>IF(0&lt;0.8,0,IF(0&lt;1,Sheet3!L561,1))*IF(G1650&lt;3,0.12 - O1650,0.01) *U1650</f>
        <v>0</v>
      </c>
      <c r="W1650" s="52">
        <f t="shared" si="467"/>
        <v>0</v>
      </c>
      <c r="X1650" s="53">
        <f t="shared" si="468"/>
        <v>0</v>
      </c>
      <c r="Y1650" s="53">
        <f t="shared" si="469"/>
        <v>0</v>
      </c>
      <c r="Z1650" s="54">
        <f t="shared" si="477"/>
        <v>0</v>
      </c>
      <c r="AA1650" s="54">
        <f t="shared" si="470"/>
        <v>0</v>
      </c>
      <c r="AB1650" s="55">
        <f t="shared" si="478"/>
        <v>0</v>
      </c>
      <c r="AC1650" s="55">
        <f t="shared" si="471"/>
        <v>0</v>
      </c>
      <c r="AD1650" s="56">
        <f t="shared" si="472"/>
        <v>3793.63</v>
      </c>
    </row>
    <row r="1651" spans="3:30">
      <c r="C1651" s="43" t="s">
        <v>3017</v>
      </c>
      <c r="D1651" s="44" t="s">
        <v>3018</v>
      </c>
      <c r="E1651" s="44"/>
      <c r="F1651" s="45">
        <v>42658.06549768518</v>
      </c>
      <c r="G1651" s="46">
        <v>23</v>
      </c>
      <c r="H1651" s="47">
        <v>43396</v>
      </c>
      <c r="I1651" s="47">
        <v>43412</v>
      </c>
      <c r="J1651" s="46">
        <v>108680</v>
      </c>
      <c r="K1651" s="46">
        <v>0</v>
      </c>
      <c r="L1651" s="46">
        <v>0</v>
      </c>
      <c r="M1651" s="46">
        <f t="shared" ref="M1651:M1714" si="479">IFERROR(J1651-K1651-L1651,0)</f>
        <v>108680</v>
      </c>
      <c r="N1651" s="46">
        <v>134032</v>
      </c>
      <c r="O1651" s="48">
        <f t="shared" ref="O1651:O1714" si="480">IFERROR(IF(1 - M1651/N1651&lt;0,0,1-M1651/N1651),0)</f>
        <v>0.18914885997373765</v>
      </c>
      <c r="P1651" s="46">
        <v>0</v>
      </c>
      <c r="Q1651" s="46">
        <v>108680</v>
      </c>
      <c r="R1651" s="49">
        <f t="shared" ref="R1651:R1714" si="481">IF(F1651&lt;DATEVALUE("2018-07-01"),1,0)</f>
        <v>1</v>
      </c>
      <c r="S1651" s="50">
        <f t="shared" ref="S1651:S1714" si="482">IF(R1651=1,1%,0)</f>
        <v>0.01</v>
      </c>
      <c r="T1651" s="49">
        <f t="shared" ref="T1651:T1714" si="483">IFERROR(S1651*M1651,0)</f>
        <v>1086.8</v>
      </c>
      <c r="U1651" s="51">
        <f t="shared" ref="U1651:U1714" si="484">IF(O1651&lt;=0.12,1,0)*(1-R1651)*M1651</f>
        <v>0</v>
      </c>
      <c r="V1651" s="52">
        <f>IF(0&lt;0.8,0,IF(0&lt;1,Sheet3!L561,1))*IF(G1651&lt;3,0.12 - O1651,0.01) *U1651</f>
        <v>0</v>
      </c>
      <c r="W1651" s="52">
        <f t="shared" ref="W1651:W1714" si="485">IF(0&gt;1,IF(0&lt;=1.1,1,IF(0&lt;=1.2,2,IF(0&lt;=1.5,3,5))),0) * 1000000</f>
        <v>0</v>
      </c>
      <c r="X1651" s="53">
        <f t="shared" ref="X1651:X1714" si="486">IF(AND(P1651&gt;=150000000,P1651&lt;300000000),5000000,IF(AND(P1651&gt;=300000000,P1651&lt;500000000),10000000,IF(AND(P1651&gt;=300000000,P1651&lt;500000000),15000000,IF(AND(P1651&gt;=500000000,P1651&lt;3000000000),20000000,IF(P1651&gt;=30000000000,35000000,0))))) * (1-R1651)</f>
        <v>0</v>
      </c>
      <c r="Y1651" s="53">
        <f t="shared" ref="Y1651:Y1714" si="487">IFERROR(Q1651 * (1-R1651),0)</f>
        <v>0</v>
      </c>
      <c r="Z1651" s="54">
        <f t="shared" si="477"/>
        <v>0</v>
      </c>
      <c r="AA1651" s="54">
        <f t="shared" ref="AA1651:AA1714" si="488">IFERROR((1-R1651) * Z1651 * 2%,0)</f>
        <v>0</v>
      </c>
      <c r="AB1651" s="55">
        <f t="shared" si="478"/>
        <v>0</v>
      </c>
      <c r="AC1651" s="55">
        <f t="shared" ref="AC1651:AC1714" si="489">IFERROR(AB1651 * (1-R1651) * 2%,0)</f>
        <v>0</v>
      </c>
      <c r="AD1651" s="56">
        <f t="shared" ref="AD1651:AD1714" si="490">T1651+V1651+W1651+X1651+AA1651+AC1651</f>
        <v>1086.8</v>
      </c>
    </row>
    <row r="1652" spans="3:30">
      <c r="C1652" s="43" t="s">
        <v>3019</v>
      </c>
      <c r="D1652" s="44" t="s">
        <v>1131</v>
      </c>
      <c r="E1652" s="44"/>
      <c r="F1652" s="45">
        <v>42676.330324074072</v>
      </c>
      <c r="G1652" s="46">
        <v>22</v>
      </c>
      <c r="H1652" s="47">
        <v>43398</v>
      </c>
      <c r="I1652" s="47">
        <v>43413</v>
      </c>
      <c r="J1652" s="46">
        <v>955870</v>
      </c>
      <c r="K1652" s="46">
        <v>0</v>
      </c>
      <c r="L1652" s="46">
        <v>0</v>
      </c>
      <c r="M1652" s="46">
        <f t="shared" si="479"/>
        <v>955870</v>
      </c>
      <c r="N1652" s="46">
        <v>1230069</v>
      </c>
      <c r="O1652" s="48">
        <f t="shared" si="480"/>
        <v>0.22291351135586701</v>
      </c>
      <c r="P1652" s="46">
        <v>0</v>
      </c>
      <c r="Q1652" s="46">
        <v>955870</v>
      </c>
      <c r="R1652" s="49">
        <f t="shared" si="481"/>
        <v>1</v>
      </c>
      <c r="S1652" s="50">
        <f t="shared" si="482"/>
        <v>0.01</v>
      </c>
      <c r="T1652" s="49">
        <f t="shared" si="483"/>
        <v>9558.7000000000007</v>
      </c>
      <c r="U1652" s="51">
        <f t="shared" si="484"/>
        <v>0</v>
      </c>
      <c r="V1652" s="52">
        <f>IF(0&lt;0.8,0,IF(0&lt;1,Sheet3!L561,1))*IF(G1652&lt;3,0.12 - O1652,0.01) *U1652</f>
        <v>0</v>
      </c>
      <c r="W1652" s="52">
        <f t="shared" si="485"/>
        <v>0</v>
      </c>
      <c r="X1652" s="53">
        <f t="shared" si="486"/>
        <v>0</v>
      </c>
      <c r="Y1652" s="53">
        <f t="shared" si="487"/>
        <v>0</v>
      </c>
      <c r="Z1652" s="54">
        <f t="shared" si="477"/>
        <v>0</v>
      </c>
      <c r="AA1652" s="54">
        <f t="shared" si="488"/>
        <v>0</v>
      </c>
      <c r="AB1652" s="55">
        <f t="shared" si="478"/>
        <v>0</v>
      </c>
      <c r="AC1652" s="55">
        <f t="shared" si="489"/>
        <v>0</v>
      </c>
      <c r="AD1652" s="56">
        <f t="shared" si="490"/>
        <v>9558.7000000000007</v>
      </c>
    </row>
    <row r="1653" spans="3:30">
      <c r="C1653" s="43" t="s">
        <v>3020</v>
      </c>
      <c r="D1653" s="44" t="s">
        <v>3015</v>
      </c>
      <c r="E1653" s="44"/>
      <c r="F1653" s="45">
        <v>42942.328090277777</v>
      </c>
      <c r="G1653" s="46">
        <v>14</v>
      </c>
      <c r="H1653" s="47">
        <v>43396</v>
      </c>
      <c r="I1653" s="47">
        <v>43412</v>
      </c>
      <c r="J1653" s="46">
        <v>611518</v>
      </c>
      <c r="K1653" s="46">
        <v>0</v>
      </c>
      <c r="L1653" s="46">
        <v>0</v>
      </c>
      <c r="M1653" s="46">
        <f t="shared" si="479"/>
        <v>611518</v>
      </c>
      <c r="N1653" s="46">
        <v>678151</v>
      </c>
      <c r="O1653" s="48">
        <f t="shared" si="480"/>
        <v>9.8256877892976657E-2</v>
      </c>
      <c r="P1653" s="46">
        <v>0</v>
      </c>
      <c r="Q1653" s="46">
        <v>611518</v>
      </c>
      <c r="R1653" s="49">
        <f t="shared" si="481"/>
        <v>1</v>
      </c>
      <c r="S1653" s="50">
        <f t="shared" si="482"/>
        <v>0.01</v>
      </c>
      <c r="T1653" s="49">
        <f t="shared" si="483"/>
        <v>6115.18</v>
      </c>
      <c r="U1653" s="51">
        <f t="shared" si="484"/>
        <v>0</v>
      </c>
      <c r="V1653" s="52">
        <f>IF(0&lt;0.8,0,IF(0&lt;1,Sheet3!L561,1))*IF(G1653&lt;3,0.12 - O1653,0.01) *U1653</f>
        <v>0</v>
      </c>
      <c r="W1653" s="52">
        <f t="shared" si="485"/>
        <v>0</v>
      </c>
      <c r="X1653" s="53">
        <f t="shared" si="486"/>
        <v>0</v>
      </c>
      <c r="Y1653" s="53">
        <f t="shared" si="487"/>
        <v>0</v>
      </c>
      <c r="Z1653" s="54">
        <f t="shared" si="477"/>
        <v>0</v>
      </c>
      <c r="AA1653" s="54">
        <f t="shared" si="488"/>
        <v>0</v>
      </c>
      <c r="AB1653" s="55">
        <f t="shared" si="478"/>
        <v>0</v>
      </c>
      <c r="AC1653" s="55">
        <f t="shared" si="489"/>
        <v>0</v>
      </c>
      <c r="AD1653" s="56">
        <f t="shared" si="490"/>
        <v>6115.18</v>
      </c>
    </row>
    <row r="1654" spans="3:30">
      <c r="C1654" s="43" t="s">
        <v>3021</v>
      </c>
      <c r="D1654" s="44" t="s">
        <v>3015</v>
      </c>
      <c r="E1654" s="44"/>
      <c r="F1654" s="45">
        <v>43187.133263888885</v>
      </c>
      <c r="G1654" s="46">
        <v>6</v>
      </c>
      <c r="H1654" s="47">
        <v>43396</v>
      </c>
      <c r="I1654" s="47">
        <v>43412</v>
      </c>
      <c r="J1654" s="46">
        <v>155183</v>
      </c>
      <c r="K1654" s="46">
        <v>0</v>
      </c>
      <c r="L1654" s="46">
        <v>0</v>
      </c>
      <c r="M1654" s="46">
        <f t="shared" si="479"/>
        <v>155183</v>
      </c>
      <c r="N1654" s="46">
        <v>188123</v>
      </c>
      <c r="O1654" s="48">
        <f t="shared" si="480"/>
        <v>0.17509820702412782</v>
      </c>
      <c r="P1654" s="46">
        <v>0</v>
      </c>
      <c r="Q1654" s="46">
        <v>155183</v>
      </c>
      <c r="R1654" s="49">
        <f t="shared" si="481"/>
        <v>1</v>
      </c>
      <c r="S1654" s="50">
        <f t="shared" si="482"/>
        <v>0.01</v>
      </c>
      <c r="T1654" s="49">
        <f t="shared" si="483"/>
        <v>1551.83</v>
      </c>
      <c r="U1654" s="51">
        <f t="shared" si="484"/>
        <v>0</v>
      </c>
      <c r="V1654" s="52">
        <f>IF(0&lt;0.8,0,IF(0&lt;1,Sheet3!L561,1))*IF(G1654&lt;3,0.12 - O1654,0.01) *U1654</f>
        <v>0</v>
      </c>
      <c r="W1654" s="52">
        <f t="shared" si="485"/>
        <v>0</v>
      </c>
      <c r="X1654" s="53">
        <f t="shared" si="486"/>
        <v>0</v>
      </c>
      <c r="Y1654" s="53">
        <f t="shared" si="487"/>
        <v>0</v>
      </c>
      <c r="Z1654" s="54">
        <f t="shared" si="477"/>
        <v>0</v>
      </c>
      <c r="AA1654" s="54">
        <f t="shared" si="488"/>
        <v>0</v>
      </c>
      <c r="AB1654" s="55">
        <f t="shared" si="478"/>
        <v>0</v>
      </c>
      <c r="AC1654" s="55">
        <f t="shared" si="489"/>
        <v>0</v>
      </c>
      <c r="AD1654" s="56">
        <f t="shared" si="490"/>
        <v>1551.83</v>
      </c>
    </row>
    <row r="1655" spans="3:30">
      <c r="C1655" s="43" t="s">
        <v>3022</v>
      </c>
      <c r="D1655" s="44" t="s">
        <v>3015</v>
      </c>
      <c r="E1655" s="44"/>
      <c r="F1655" s="45">
        <v>43188.105775462958</v>
      </c>
      <c r="G1655" s="46">
        <v>6</v>
      </c>
      <c r="H1655" s="47">
        <v>43396</v>
      </c>
      <c r="I1655" s="47">
        <v>43412</v>
      </c>
      <c r="J1655" s="46">
        <v>243595</v>
      </c>
      <c r="K1655" s="46">
        <v>0</v>
      </c>
      <c r="L1655" s="46">
        <v>0</v>
      </c>
      <c r="M1655" s="46">
        <f t="shared" si="479"/>
        <v>243595</v>
      </c>
      <c r="N1655" s="46">
        <v>328155</v>
      </c>
      <c r="O1655" s="48">
        <f t="shared" si="480"/>
        <v>0.25768310706830611</v>
      </c>
      <c r="P1655" s="46">
        <v>0</v>
      </c>
      <c r="Q1655" s="46">
        <v>243595</v>
      </c>
      <c r="R1655" s="49">
        <f t="shared" si="481"/>
        <v>1</v>
      </c>
      <c r="S1655" s="50">
        <f t="shared" si="482"/>
        <v>0.01</v>
      </c>
      <c r="T1655" s="49">
        <f t="shared" si="483"/>
        <v>2435.9500000000003</v>
      </c>
      <c r="U1655" s="51">
        <f t="shared" si="484"/>
        <v>0</v>
      </c>
      <c r="V1655" s="52">
        <f>IF(0&lt;0.8,0,IF(0&lt;1,Sheet3!L561,1))*IF(G1655&lt;3,0.12 - O1655,0.01) *U1655</f>
        <v>0</v>
      </c>
      <c r="W1655" s="52">
        <f t="shared" si="485"/>
        <v>0</v>
      </c>
      <c r="X1655" s="53">
        <f t="shared" si="486"/>
        <v>0</v>
      </c>
      <c r="Y1655" s="53">
        <f t="shared" si="487"/>
        <v>0</v>
      </c>
      <c r="Z1655" s="54">
        <f t="shared" si="477"/>
        <v>0</v>
      </c>
      <c r="AA1655" s="54">
        <f t="shared" si="488"/>
        <v>0</v>
      </c>
      <c r="AB1655" s="55">
        <f t="shared" si="478"/>
        <v>0</v>
      </c>
      <c r="AC1655" s="55">
        <f t="shared" si="489"/>
        <v>0</v>
      </c>
      <c r="AD1655" s="56">
        <f t="shared" si="490"/>
        <v>2435.9500000000003</v>
      </c>
    </row>
    <row r="1656" spans="3:30">
      <c r="C1656" s="43" t="s">
        <v>3023</v>
      </c>
      <c r="D1656" s="44" t="s">
        <v>3015</v>
      </c>
      <c r="E1656" s="44"/>
      <c r="F1656" s="45">
        <v>43239.142500000002</v>
      </c>
      <c r="G1656" s="46">
        <v>4</v>
      </c>
      <c r="H1656" s="47">
        <v>43396</v>
      </c>
      <c r="I1656" s="47">
        <v>43412</v>
      </c>
      <c r="J1656" s="46">
        <v>203775</v>
      </c>
      <c r="K1656" s="46">
        <v>0</v>
      </c>
      <c r="L1656" s="46">
        <v>0</v>
      </c>
      <c r="M1656" s="46">
        <f t="shared" si="479"/>
        <v>203775</v>
      </c>
      <c r="N1656" s="46">
        <v>266751</v>
      </c>
      <c r="O1656" s="48">
        <f t="shared" si="480"/>
        <v>0.23608533801185372</v>
      </c>
      <c r="P1656" s="46">
        <v>0</v>
      </c>
      <c r="Q1656" s="46">
        <v>203775</v>
      </c>
      <c r="R1656" s="49">
        <f t="shared" si="481"/>
        <v>1</v>
      </c>
      <c r="S1656" s="50">
        <f t="shared" si="482"/>
        <v>0.01</v>
      </c>
      <c r="T1656" s="49">
        <f t="shared" si="483"/>
        <v>2037.75</v>
      </c>
      <c r="U1656" s="51">
        <f t="shared" si="484"/>
        <v>0</v>
      </c>
      <c r="V1656" s="52">
        <f>IF(0&lt;0.8,0,IF(0&lt;1,Sheet3!L561,1))*IF(G1656&lt;3,0.12 - O1656,0.01) *U1656</f>
        <v>0</v>
      </c>
      <c r="W1656" s="52">
        <f t="shared" si="485"/>
        <v>0</v>
      </c>
      <c r="X1656" s="53">
        <f t="shared" si="486"/>
        <v>0</v>
      </c>
      <c r="Y1656" s="53">
        <f t="shared" si="487"/>
        <v>0</v>
      </c>
      <c r="Z1656" s="54">
        <f t="shared" si="477"/>
        <v>0</v>
      </c>
      <c r="AA1656" s="54">
        <f t="shared" si="488"/>
        <v>0</v>
      </c>
      <c r="AB1656" s="55">
        <f t="shared" si="478"/>
        <v>0</v>
      </c>
      <c r="AC1656" s="55">
        <f t="shared" si="489"/>
        <v>0</v>
      </c>
      <c r="AD1656" s="56">
        <f t="shared" si="490"/>
        <v>2037.75</v>
      </c>
    </row>
    <row r="1657" spans="3:30">
      <c r="C1657" s="43" t="s">
        <v>3024</v>
      </c>
      <c r="D1657" s="44" t="s">
        <v>3025</v>
      </c>
      <c r="E1657" s="44"/>
      <c r="F1657" s="45">
        <v>43340.348009259258</v>
      </c>
      <c r="G1657" s="46">
        <v>1</v>
      </c>
      <c r="H1657" s="47">
        <v>43398</v>
      </c>
      <c r="I1657" s="47">
        <v>43437</v>
      </c>
      <c r="J1657" s="46">
        <v>1479966</v>
      </c>
      <c r="K1657" s="46">
        <v>0</v>
      </c>
      <c r="L1657" s="46">
        <v>0</v>
      </c>
      <c r="M1657" s="46">
        <f t="shared" si="479"/>
        <v>1479966</v>
      </c>
      <c r="N1657" s="46">
        <v>1107440</v>
      </c>
      <c r="O1657" s="48">
        <f t="shared" si="480"/>
        <v>0</v>
      </c>
      <c r="P1657" s="46">
        <v>0</v>
      </c>
      <c r="Q1657" s="46">
        <v>0</v>
      </c>
      <c r="R1657" s="49">
        <f t="shared" si="481"/>
        <v>0</v>
      </c>
      <c r="S1657" s="50">
        <f t="shared" si="482"/>
        <v>0</v>
      </c>
      <c r="T1657" s="49">
        <f t="shared" si="483"/>
        <v>0</v>
      </c>
      <c r="U1657" s="51">
        <f t="shared" si="484"/>
        <v>1479966</v>
      </c>
      <c r="V1657" s="52">
        <f>IF(0&lt;0.8,0,IF(0&lt;1,Sheet3!L561,1))*IF(G1657&lt;3,0.12 - O1657,0.01) *U1657</f>
        <v>0</v>
      </c>
      <c r="W1657" s="52">
        <f t="shared" si="485"/>
        <v>0</v>
      </c>
      <c r="X1657" s="53">
        <f t="shared" si="486"/>
        <v>0</v>
      </c>
      <c r="Y1657" s="53">
        <f t="shared" si="487"/>
        <v>0</v>
      </c>
      <c r="Z1657" s="54">
        <f t="shared" si="477"/>
        <v>0</v>
      </c>
      <c r="AA1657" s="54">
        <f t="shared" si="488"/>
        <v>0</v>
      </c>
      <c r="AB1657" s="55">
        <f t="shared" si="478"/>
        <v>0</v>
      </c>
      <c r="AC1657" s="55">
        <f t="shared" si="489"/>
        <v>0</v>
      </c>
      <c r="AD1657" s="56">
        <f t="shared" si="490"/>
        <v>0</v>
      </c>
    </row>
    <row r="1658" spans="3:30">
      <c r="C1658" s="43" t="s">
        <v>3026</v>
      </c>
      <c r="D1658" s="44" t="s">
        <v>24</v>
      </c>
      <c r="E1658" s="44"/>
      <c r="F1658" s="45" t="s">
        <v>24</v>
      </c>
      <c r="G1658" s="46" t="s">
        <v>24</v>
      </c>
      <c r="H1658" s="47" t="s">
        <v>24</v>
      </c>
      <c r="I1658" s="47" t="s">
        <v>24</v>
      </c>
      <c r="J1658" s="46">
        <v>360338</v>
      </c>
      <c r="K1658" s="46">
        <v>0</v>
      </c>
      <c r="L1658" s="46">
        <v>0</v>
      </c>
      <c r="M1658" s="46">
        <f t="shared" si="479"/>
        <v>360338</v>
      </c>
      <c r="N1658" s="46" t="s">
        <v>24</v>
      </c>
      <c r="O1658" s="48">
        <f t="shared" si="480"/>
        <v>0</v>
      </c>
      <c r="P1658" s="46">
        <v>0</v>
      </c>
      <c r="Q1658" s="46">
        <v>0</v>
      </c>
      <c r="R1658" s="49">
        <f t="shared" si="481"/>
        <v>0</v>
      </c>
      <c r="S1658" s="50">
        <f t="shared" si="482"/>
        <v>0</v>
      </c>
      <c r="T1658" s="49">
        <f t="shared" si="483"/>
        <v>0</v>
      </c>
      <c r="U1658" s="51">
        <f t="shared" si="484"/>
        <v>360338</v>
      </c>
      <c r="V1658" s="52">
        <f>IF(0&lt;0.8,0,IF(0&lt;1,Sheet3!L561,1))*IF(G1658&lt;3,0.12 - O1658,0.01) *U1658</f>
        <v>0</v>
      </c>
      <c r="W1658" s="52">
        <f t="shared" si="485"/>
        <v>0</v>
      </c>
      <c r="X1658" s="53">
        <f t="shared" si="486"/>
        <v>0</v>
      </c>
      <c r="Y1658" s="53">
        <f t="shared" si="487"/>
        <v>0</v>
      </c>
      <c r="Z1658" s="54" t="str">
        <f>IF(R1658=1,0,"")</f>
        <v/>
      </c>
      <c r="AA1658" s="54">
        <f t="shared" si="488"/>
        <v>0</v>
      </c>
      <c r="AB1658" s="55" t="str">
        <f>IF(R1658=0,"",0)</f>
        <v/>
      </c>
      <c r="AC1658" s="55">
        <f t="shared" si="489"/>
        <v>0</v>
      </c>
      <c r="AD1658" s="56">
        <f t="shared" si="490"/>
        <v>0</v>
      </c>
    </row>
    <row r="1659" spans="3:30">
      <c r="C1659" s="43" t="s">
        <v>3027</v>
      </c>
      <c r="D1659" s="44" t="s">
        <v>3028</v>
      </c>
      <c r="E1659" s="44"/>
      <c r="F1659" s="45">
        <v>43245.284768518519</v>
      </c>
      <c r="G1659" s="46">
        <v>4</v>
      </c>
      <c r="H1659" s="47" t="s">
        <v>24</v>
      </c>
      <c r="I1659" s="47" t="s">
        <v>24</v>
      </c>
      <c r="J1659" s="46">
        <v>0</v>
      </c>
      <c r="K1659" s="46">
        <v>0</v>
      </c>
      <c r="L1659" s="46">
        <v>0</v>
      </c>
      <c r="M1659" s="46">
        <f t="shared" si="479"/>
        <v>0</v>
      </c>
      <c r="N1659" s="46">
        <v>3322497</v>
      </c>
      <c r="O1659" s="48">
        <f t="shared" si="480"/>
        <v>1</v>
      </c>
      <c r="P1659" s="46">
        <v>0</v>
      </c>
      <c r="Q1659" s="46">
        <v>0</v>
      </c>
      <c r="R1659" s="49">
        <f t="shared" si="481"/>
        <v>1</v>
      </c>
      <c r="S1659" s="50">
        <f t="shared" si="482"/>
        <v>0.01</v>
      </c>
      <c r="T1659" s="49">
        <f t="shared" si="483"/>
        <v>0</v>
      </c>
      <c r="U1659" s="51">
        <f t="shared" si="484"/>
        <v>0</v>
      </c>
      <c r="V1659" s="52">
        <f>IF(0&lt;0.8,0,IF(0&lt;1,Sheet3!L561,1))*IF(G1659&lt;3,0.12 - O1659,0.01) *U1659</f>
        <v>0</v>
      </c>
      <c r="W1659" s="52">
        <f t="shared" si="485"/>
        <v>0</v>
      </c>
      <c r="X1659" s="53">
        <f t="shared" si="486"/>
        <v>0</v>
      </c>
      <c r="Y1659" s="53">
        <f t="shared" si="487"/>
        <v>0</v>
      </c>
      <c r="Z1659" s="54">
        <f>IF(R1659=1,0,"")</f>
        <v>0</v>
      </c>
      <c r="AA1659" s="54">
        <f t="shared" si="488"/>
        <v>0</v>
      </c>
      <c r="AB1659" s="55">
        <f>IF(R1659=0,"",0)</f>
        <v>0</v>
      </c>
      <c r="AC1659" s="55">
        <f t="shared" si="489"/>
        <v>0</v>
      </c>
      <c r="AD1659" s="56">
        <f t="shared" si="490"/>
        <v>0</v>
      </c>
    </row>
    <row r="1660" spans="3:30">
      <c r="C1660" s="43" t="s">
        <v>3029</v>
      </c>
      <c r="D1660" s="44" t="s">
        <v>995</v>
      </c>
      <c r="E1660" s="44"/>
      <c r="F1660" s="45">
        <v>43316.365358796298</v>
      </c>
      <c r="G1660" s="46">
        <v>1</v>
      </c>
      <c r="H1660" s="47">
        <v>43404</v>
      </c>
      <c r="I1660" s="47">
        <v>43430</v>
      </c>
      <c r="J1660" s="46">
        <v>1660833</v>
      </c>
      <c r="K1660" s="46">
        <v>0</v>
      </c>
      <c r="L1660" s="46">
        <v>0</v>
      </c>
      <c r="M1660" s="46">
        <f t="shared" si="479"/>
        <v>1660833</v>
      </c>
      <c r="N1660" s="46">
        <v>1353833</v>
      </c>
      <c r="O1660" s="48">
        <f t="shared" si="480"/>
        <v>0</v>
      </c>
      <c r="P1660" s="46">
        <v>0</v>
      </c>
      <c r="Q1660" s="46">
        <v>0</v>
      </c>
      <c r="R1660" s="49">
        <f t="shared" si="481"/>
        <v>0</v>
      </c>
      <c r="S1660" s="50">
        <f t="shared" si="482"/>
        <v>0</v>
      </c>
      <c r="T1660" s="49">
        <f t="shared" si="483"/>
        <v>0</v>
      </c>
      <c r="U1660" s="51">
        <f t="shared" si="484"/>
        <v>1660833</v>
      </c>
      <c r="V1660" s="52">
        <f>IF(0&lt;0.8,0,IF(0&lt;1,Sheet3!L561,1))*IF(G1660&lt;3,0.12 - O1660,0.01) *U1660</f>
        <v>0</v>
      </c>
      <c r="W1660" s="52">
        <f t="shared" si="485"/>
        <v>0</v>
      </c>
      <c r="X1660" s="53">
        <f t="shared" si="486"/>
        <v>0</v>
      </c>
      <c r="Y1660" s="53">
        <f t="shared" si="487"/>
        <v>0</v>
      </c>
      <c r="Z1660" s="54">
        <f t="shared" ref="Z1660:Z1665" si="491">IF(R1660=1,0,0)</f>
        <v>0</v>
      </c>
      <c r="AA1660" s="54">
        <f t="shared" si="488"/>
        <v>0</v>
      </c>
      <c r="AB1660" s="55">
        <f t="shared" ref="AB1660:AB1665" si="492">IF(R1660=0,0,0)</f>
        <v>0</v>
      </c>
      <c r="AC1660" s="55">
        <f t="shared" si="489"/>
        <v>0</v>
      </c>
      <c r="AD1660" s="56">
        <f t="shared" si="490"/>
        <v>0</v>
      </c>
    </row>
    <row r="1661" spans="3:30">
      <c r="C1661" s="43" t="s">
        <v>3030</v>
      </c>
      <c r="D1661" s="44" t="s">
        <v>995</v>
      </c>
      <c r="E1661" s="44"/>
      <c r="F1661" s="45">
        <v>43316.366226851853</v>
      </c>
      <c r="G1661" s="46">
        <v>1</v>
      </c>
      <c r="H1661" s="47">
        <v>43404</v>
      </c>
      <c r="I1661" s="47">
        <v>43430</v>
      </c>
      <c r="J1661" s="46">
        <v>368532</v>
      </c>
      <c r="K1661" s="46">
        <v>0</v>
      </c>
      <c r="L1661" s="46">
        <v>0</v>
      </c>
      <c r="M1661" s="46">
        <f t="shared" si="479"/>
        <v>368532</v>
      </c>
      <c r="N1661" s="46">
        <v>411380</v>
      </c>
      <c r="O1661" s="48">
        <f t="shared" si="480"/>
        <v>0.10415674072633574</v>
      </c>
      <c r="P1661" s="46">
        <v>0</v>
      </c>
      <c r="Q1661" s="46">
        <v>0</v>
      </c>
      <c r="R1661" s="49">
        <f t="shared" si="481"/>
        <v>0</v>
      </c>
      <c r="S1661" s="50">
        <f t="shared" si="482"/>
        <v>0</v>
      </c>
      <c r="T1661" s="49">
        <f t="shared" si="483"/>
        <v>0</v>
      </c>
      <c r="U1661" s="51">
        <f t="shared" si="484"/>
        <v>368532</v>
      </c>
      <c r="V1661" s="52">
        <f>IF(0&lt;0.8,0,IF(0&lt;1,Sheet3!L561,1))*IF(G1661&lt;3,0.12 - O1661,0.01) *U1661</f>
        <v>0</v>
      </c>
      <c r="W1661" s="52">
        <f t="shared" si="485"/>
        <v>0</v>
      </c>
      <c r="X1661" s="53">
        <f t="shared" si="486"/>
        <v>0</v>
      </c>
      <c r="Y1661" s="53">
        <f t="shared" si="487"/>
        <v>0</v>
      </c>
      <c r="Z1661" s="54">
        <f t="shared" si="491"/>
        <v>0</v>
      </c>
      <c r="AA1661" s="54">
        <f t="shared" si="488"/>
        <v>0</v>
      </c>
      <c r="AB1661" s="55">
        <f t="shared" si="492"/>
        <v>0</v>
      </c>
      <c r="AC1661" s="55">
        <f t="shared" si="489"/>
        <v>0</v>
      </c>
      <c r="AD1661" s="56">
        <f t="shared" si="490"/>
        <v>0</v>
      </c>
    </row>
    <row r="1662" spans="3:30">
      <c r="C1662" s="43" t="s">
        <v>3031</v>
      </c>
      <c r="D1662" s="44" t="s">
        <v>995</v>
      </c>
      <c r="E1662" s="44"/>
      <c r="F1662" s="45">
        <v>43316.366793981477</v>
      </c>
      <c r="G1662" s="46">
        <v>1</v>
      </c>
      <c r="H1662" s="47">
        <v>43404</v>
      </c>
      <c r="I1662" s="47">
        <v>43430</v>
      </c>
      <c r="J1662" s="46">
        <v>773946</v>
      </c>
      <c r="K1662" s="46">
        <v>0</v>
      </c>
      <c r="L1662" s="46">
        <v>0</v>
      </c>
      <c r="M1662" s="46">
        <f t="shared" si="479"/>
        <v>773946</v>
      </c>
      <c r="N1662" s="46">
        <v>948267</v>
      </c>
      <c r="O1662" s="48">
        <f t="shared" si="480"/>
        <v>0.18383113616734525</v>
      </c>
      <c r="P1662" s="46">
        <v>0</v>
      </c>
      <c r="Q1662" s="46">
        <v>0</v>
      </c>
      <c r="R1662" s="49">
        <f t="shared" si="481"/>
        <v>0</v>
      </c>
      <c r="S1662" s="50">
        <f t="shared" si="482"/>
        <v>0</v>
      </c>
      <c r="T1662" s="49">
        <f t="shared" si="483"/>
        <v>0</v>
      </c>
      <c r="U1662" s="51">
        <f t="shared" si="484"/>
        <v>0</v>
      </c>
      <c r="V1662" s="52">
        <f>IF(0&lt;0.8,0,IF(0&lt;1,Sheet3!L561,1))*IF(G1662&lt;3,0.12 - O1662,0.01) *U1662</f>
        <v>0</v>
      </c>
      <c r="W1662" s="52">
        <f t="shared" si="485"/>
        <v>0</v>
      </c>
      <c r="X1662" s="53">
        <f t="shared" si="486"/>
        <v>0</v>
      </c>
      <c r="Y1662" s="53">
        <f t="shared" si="487"/>
        <v>0</v>
      </c>
      <c r="Z1662" s="54">
        <f t="shared" si="491"/>
        <v>0</v>
      </c>
      <c r="AA1662" s="54">
        <f t="shared" si="488"/>
        <v>0</v>
      </c>
      <c r="AB1662" s="55">
        <f t="shared" si="492"/>
        <v>0</v>
      </c>
      <c r="AC1662" s="55">
        <f t="shared" si="489"/>
        <v>0</v>
      </c>
      <c r="AD1662" s="56">
        <f t="shared" si="490"/>
        <v>0</v>
      </c>
    </row>
    <row r="1663" spans="3:30">
      <c r="C1663" s="43" t="s">
        <v>3032</v>
      </c>
      <c r="D1663" s="44" t="s">
        <v>3033</v>
      </c>
      <c r="E1663" s="44"/>
      <c r="F1663" s="45">
        <v>41822.456284722219</v>
      </c>
      <c r="G1663" s="46">
        <v>50</v>
      </c>
      <c r="H1663" s="47">
        <v>43396</v>
      </c>
      <c r="I1663" s="47">
        <v>43412</v>
      </c>
      <c r="J1663" s="46">
        <v>1627341</v>
      </c>
      <c r="K1663" s="46">
        <v>0</v>
      </c>
      <c r="L1663" s="46">
        <v>0</v>
      </c>
      <c r="M1663" s="46">
        <f t="shared" si="479"/>
        <v>1627341</v>
      </c>
      <c r="N1663" s="46">
        <v>1993585</v>
      </c>
      <c r="O1663" s="48">
        <f t="shared" si="480"/>
        <v>0.18371125384671338</v>
      </c>
      <c r="P1663" s="46">
        <v>0</v>
      </c>
      <c r="Q1663" s="46">
        <v>1627341</v>
      </c>
      <c r="R1663" s="49">
        <f t="shared" si="481"/>
        <v>1</v>
      </c>
      <c r="S1663" s="50">
        <f t="shared" si="482"/>
        <v>0.01</v>
      </c>
      <c r="T1663" s="49">
        <f t="shared" si="483"/>
        <v>16273.41</v>
      </c>
      <c r="U1663" s="51">
        <f t="shared" si="484"/>
        <v>0</v>
      </c>
      <c r="V1663" s="52">
        <f>IF(0&lt;0.8,0,IF(0&lt;1,Sheet3!L561,1))*IF(G1663&lt;3,0.12 - O1663,0.01) *U1663</f>
        <v>0</v>
      </c>
      <c r="W1663" s="52">
        <f t="shared" si="485"/>
        <v>0</v>
      </c>
      <c r="X1663" s="53">
        <f t="shared" si="486"/>
        <v>0</v>
      </c>
      <c r="Y1663" s="53">
        <f t="shared" si="487"/>
        <v>0</v>
      </c>
      <c r="Z1663" s="54">
        <f t="shared" si="491"/>
        <v>0</v>
      </c>
      <c r="AA1663" s="54">
        <f t="shared" si="488"/>
        <v>0</v>
      </c>
      <c r="AB1663" s="55">
        <f t="shared" si="492"/>
        <v>0</v>
      </c>
      <c r="AC1663" s="55">
        <f t="shared" si="489"/>
        <v>0</v>
      </c>
      <c r="AD1663" s="56">
        <f t="shared" si="490"/>
        <v>16273.41</v>
      </c>
    </row>
    <row r="1664" spans="3:30">
      <c r="C1664" s="43" t="s">
        <v>3034</v>
      </c>
      <c r="D1664" s="44" t="s">
        <v>3035</v>
      </c>
      <c r="E1664" s="44"/>
      <c r="F1664" s="45">
        <v>41947.464444444442</v>
      </c>
      <c r="G1664" s="46">
        <v>46</v>
      </c>
      <c r="H1664" s="47">
        <v>43396</v>
      </c>
      <c r="I1664" s="47">
        <v>43412</v>
      </c>
      <c r="J1664" s="46">
        <v>3404225</v>
      </c>
      <c r="K1664" s="46">
        <v>0</v>
      </c>
      <c r="L1664" s="46">
        <v>0</v>
      </c>
      <c r="M1664" s="46">
        <f t="shared" si="479"/>
        <v>3404225</v>
      </c>
      <c r="N1664" s="46">
        <v>4109333</v>
      </c>
      <c r="O1664" s="48">
        <f t="shared" si="480"/>
        <v>0.17158697044021498</v>
      </c>
      <c r="P1664" s="46">
        <v>0</v>
      </c>
      <c r="Q1664" s="46">
        <v>3404225</v>
      </c>
      <c r="R1664" s="49">
        <f t="shared" si="481"/>
        <v>1</v>
      </c>
      <c r="S1664" s="50">
        <f t="shared" si="482"/>
        <v>0.01</v>
      </c>
      <c r="T1664" s="49">
        <f t="shared" si="483"/>
        <v>34042.25</v>
      </c>
      <c r="U1664" s="51">
        <f t="shared" si="484"/>
        <v>0</v>
      </c>
      <c r="V1664" s="52">
        <f>IF(0&lt;0.8,0,IF(0&lt;1,Sheet3!L561,1))*IF(G1664&lt;3,0.12 - O1664,0.01) *U1664</f>
        <v>0</v>
      </c>
      <c r="W1664" s="52">
        <f t="shared" si="485"/>
        <v>0</v>
      </c>
      <c r="X1664" s="53">
        <f t="shared" si="486"/>
        <v>0</v>
      </c>
      <c r="Y1664" s="53">
        <f t="shared" si="487"/>
        <v>0</v>
      </c>
      <c r="Z1664" s="54">
        <f t="shared" si="491"/>
        <v>0</v>
      </c>
      <c r="AA1664" s="54">
        <f t="shared" si="488"/>
        <v>0</v>
      </c>
      <c r="AB1664" s="55">
        <f t="shared" si="492"/>
        <v>0</v>
      </c>
      <c r="AC1664" s="55">
        <f t="shared" si="489"/>
        <v>0</v>
      </c>
      <c r="AD1664" s="56">
        <f t="shared" si="490"/>
        <v>34042.25</v>
      </c>
    </row>
    <row r="1665" spans="3:30">
      <c r="C1665" s="43" t="s">
        <v>3036</v>
      </c>
      <c r="D1665" s="44" t="s">
        <v>3037</v>
      </c>
      <c r="E1665" s="44"/>
      <c r="F1665" s="45">
        <v>42601.282777777778</v>
      </c>
      <c r="G1665" s="46">
        <v>25</v>
      </c>
      <c r="H1665" s="47">
        <v>43396</v>
      </c>
      <c r="I1665" s="47">
        <v>43412</v>
      </c>
      <c r="J1665" s="46">
        <v>704770</v>
      </c>
      <c r="K1665" s="46">
        <v>0</v>
      </c>
      <c r="L1665" s="46">
        <v>0</v>
      </c>
      <c r="M1665" s="46">
        <f t="shared" si="479"/>
        <v>704770</v>
      </c>
      <c r="N1665" s="46">
        <v>838066</v>
      </c>
      <c r="O1665" s="48">
        <f t="shared" si="480"/>
        <v>0.15905191237921601</v>
      </c>
      <c r="P1665" s="46">
        <v>0</v>
      </c>
      <c r="Q1665" s="46">
        <v>704770</v>
      </c>
      <c r="R1665" s="49">
        <f t="shared" si="481"/>
        <v>1</v>
      </c>
      <c r="S1665" s="50">
        <f t="shared" si="482"/>
        <v>0.01</v>
      </c>
      <c r="T1665" s="49">
        <f t="shared" si="483"/>
        <v>7047.7</v>
      </c>
      <c r="U1665" s="51">
        <f t="shared" si="484"/>
        <v>0</v>
      </c>
      <c r="V1665" s="52">
        <f>IF(0&lt;0.8,0,IF(0&lt;1,Sheet3!L561,1))*IF(G1665&lt;3,0.12 - O1665,0.01) *U1665</f>
        <v>0</v>
      </c>
      <c r="W1665" s="52">
        <f t="shared" si="485"/>
        <v>0</v>
      </c>
      <c r="X1665" s="53">
        <f t="shared" si="486"/>
        <v>0</v>
      </c>
      <c r="Y1665" s="53">
        <f t="shared" si="487"/>
        <v>0</v>
      </c>
      <c r="Z1665" s="54">
        <f t="shared" si="491"/>
        <v>0</v>
      </c>
      <c r="AA1665" s="54">
        <f t="shared" si="488"/>
        <v>0</v>
      </c>
      <c r="AB1665" s="55">
        <f t="shared" si="492"/>
        <v>0</v>
      </c>
      <c r="AC1665" s="55">
        <f t="shared" si="489"/>
        <v>0</v>
      </c>
      <c r="AD1665" s="56">
        <f t="shared" si="490"/>
        <v>7047.7</v>
      </c>
    </row>
    <row r="1666" spans="3:30">
      <c r="C1666" s="43" t="s">
        <v>3038</v>
      </c>
      <c r="D1666" s="44" t="s">
        <v>24</v>
      </c>
      <c r="E1666" s="44"/>
      <c r="F1666" s="45" t="s">
        <v>24</v>
      </c>
      <c r="G1666" s="46" t="s">
        <v>24</v>
      </c>
      <c r="H1666" s="47" t="s">
        <v>24</v>
      </c>
      <c r="I1666" s="47" t="s">
        <v>24</v>
      </c>
      <c r="J1666" s="46">
        <v>1104642</v>
      </c>
      <c r="K1666" s="46">
        <v>0</v>
      </c>
      <c r="L1666" s="46">
        <v>0</v>
      </c>
      <c r="M1666" s="46">
        <f t="shared" si="479"/>
        <v>1104642</v>
      </c>
      <c r="N1666" s="46" t="s">
        <v>24</v>
      </c>
      <c r="O1666" s="48">
        <f t="shared" si="480"/>
        <v>0</v>
      </c>
      <c r="P1666" s="46">
        <v>0</v>
      </c>
      <c r="Q1666" s="46">
        <v>0</v>
      </c>
      <c r="R1666" s="49">
        <f t="shared" si="481"/>
        <v>0</v>
      </c>
      <c r="S1666" s="50">
        <f t="shared" si="482"/>
        <v>0</v>
      </c>
      <c r="T1666" s="49">
        <f t="shared" si="483"/>
        <v>0</v>
      </c>
      <c r="U1666" s="51">
        <f t="shared" si="484"/>
        <v>1104642</v>
      </c>
      <c r="V1666" s="52">
        <f>IF(0&lt;0.8,0,IF(0&lt;1,Sheet3!L561,1))*IF(G1666&lt;3,0.12 - O1666,0.01) *U1666</f>
        <v>0</v>
      </c>
      <c r="W1666" s="52">
        <f t="shared" si="485"/>
        <v>0</v>
      </c>
      <c r="X1666" s="53">
        <f t="shared" si="486"/>
        <v>0</v>
      </c>
      <c r="Y1666" s="53">
        <f t="shared" si="487"/>
        <v>0</v>
      </c>
      <c r="Z1666" s="54" t="str">
        <f>IF(R1666=1,0,"")</f>
        <v/>
      </c>
      <c r="AA1666" s="54">
        <f t="shared" si="488"/>
        <v>0</v>
      </c>
      <c r="AB1666" s="55" t="str">
        <f>IF(R1666=0,"",0)</f>
        <v/>
      </c>
      <c r="AC1666" s="55">
        <f t="shared" si="489"/>
        <v>0</v>
      </c>
      <c r="AD1666" s="56">
        <f t="shared" si="490"/>
        <v>0</v>
      </c>
    </row>
    <row r="1667" spans="3:30">
      <c r="C1667" s="43" t="s">
        <v>3039</v>
      </c>
      <c r="D1667" s="44" t="s">
        <v>3040</v>
      </c>
      <c r="E1667" s="44"/>
      <c r="F1667" s="45">
        <v>43003.124756944446</v>
      </c>
      <c r="G1667" s="46">
        <v>12</v>
      </c>
      <c r="H1667" s="47">
        <v>43420</v>
      </c>
      <c r="I1667" s="47">
        <v>43430</v>
      </c>
      <c r="J1667" s="46">
        <v>188870</v>
      </c>
      <c r="K1667" s="46">
        <v>0</v>
      </c>
      <c r="L1667" s="46">
        <v>0</v>
      </c>
      <c r="M1667" s="46">
        <f t="shared" si="479"/>
        <v>188870</v>
      </c>
      <c r="N1667" s="46">
        <v>178888</v>
      </c>
      <c r="O1667" s="48">
        <f t="shared" si="480"/>
        <v>0</v>
      </c>
      <c r="P1667" s="46">
        <v>0</v>
      </c>
      <c r="Q1667" s="46">
        <v>188870</v>
      </c>
      <c r="R1667" s="49">
        <f t="shared" si="481"/>
        <v>1</v>
      </c>
      <c r="S1667" s="50">
        <f t="shared" si="482"/>
        <v>0.01</v>
      </c>
      <c r="T1667" s="49">
        <f t="shared" si="483"/>
        <v>1888.7</v>
      </c>
      <c r="U1667" s="51">
        <f t="shared" si="484"/>
        <v>0</v>
      </c>
      <c r="V1667" s="52">
        <f>IF(0&lt;0.8,0,IF(0&lt;1,Sheet3!L561,1))*IF(G1667&lt;3,0.12 - O1667,0.01) *U1667</f>
        <v>0</v>
      </c>
      <c r="W1667" s="52">
        <f t="shared" si="485"/>
        <v>0</v>
      </c>
      <c r="X1667" s="53">
        <f t="shared" si="486"/>
        <v>0</v>
      </c>
      <c r="Y1667" s="53">
        <f t="shared" si="487"/>
        <v>0</v>
      </c>
      <c r="Z1667" s="54">
        <f>IF(R1667=1,0,0)</f>
        <v>0</v>
      </c>
      <c r="AA1667" s="54">
        <f t="shared" si="488"/>
        <v>0</v>
      </c>
      <c r="AB1667" s="55">
        <f>IF(R1667=0,0,0)</f>
        <v>0</v>
      </c>
      <c r="AC1667" s="55">
        <f t="shared" si="489"/>
        <v>0</v>
      </c>
      <c r="AD1667" s="56">
        <f t="shared" si="490"/>
        <v>1888.7</v>
      </c>
    </row>
    <row r="1668" spans="3:30">
      <c r="C1668" s="43" t="s">
        <v>3041</v>
      </c>
      <c r="D1668" s="44" t="s">
        <v>24</v>
      </c>
      <c r="E1668" s="44"/>
      <c r="F1668" s="45" t="s">
        <v>24</v>
      </c>
      <c r="G1668" s="46" t="s">
        <v>24</v>
      </c>
      <c r="H1668" s="47" t="s">
        <v>24</v>
      </c>
      <c r="I1668" s="47" t="s">
        <v>24</v>
      </c>
      <c r="J1668" s="46">
        <v>1535314</v>
      </c>
      <c r="K1668" s="46">
        <v>0</v>
      </c>
      <c r="L1668" s="46">
        <v>0</v>
      </c>
      <c r="M1668" s="46">
        <f t="shared" si="479"/>
        <v>1535314</v>
      </c>
      <c r="N1668" s="46" t="s">
        <v>24</v>
      </c>
      <c r="O1668" s="48">
        <f t="shared" si="480"/>
        <v>0</v>
      </c>
      <c r="P1668" s="46">
        <v>0</v>
      </c>
      <c r="Q1668" s="46">
        <v>0</v>
      </c>
      <c r="R1668" s="49">
        <f t="shared" si="481"/>
        <v>0</v>
      </c>
      <c r="S1668" s="50">
        <f t="shared" si="482"/>
        <v>0</v>
      </c>
      <c r="T1668" s="49">
        <f t="shared" si="483"/>
        <v>0</v>
      </c>
      <c r="U1668" s="51">
        <f t="shared" si="484"/>
        <v>1535314</v>
      </c>
      <c r="V1668" s="52">
        <f>IF(0&lt;0.8,0,IF(0&lt;1,Sheet3!L561,1))*IF(G1668&lt;3,0.12 - O1668,0.01) *U1668</f>
        <v>0</v>
      </c>
      <c r="W1668" s="52">
        <f t="shared" si="485"/>
        <v>0</v>
      </c>
      <c r="X1668" s="53">
        <f t="shared" si="486"/>
        <v>0</v>
      </c>
      <c r="Y1668" s="53">
        <f t="shared" si="487"/>
        <v>0</v>
      </c>
      <c r="Z1668" s="54" t="str">
        <f>IF(R1668=1,0,"")</f>
        <v/>
      </c>
      <c r="AA1668" s="54">
        <f t="shared" si="488"/>
        <v>0</v>
      </c>
      <c r="AB1668" s="55" t="str">
        <f>IF(R1668=0,"",0)</f>
        <v/>
      </c>
      <c r="AC1668" s="55">
        <f t="shared" si="489"/>
        <v>0</v>
      </c>
      <c r="AD1668" s="56">
        <f t="shared" si="490"/>
        <v>0</v>
      </c>
    </row>
    <row r="1669" spans="3:30">
      <c r="C1669" s="43" t="s">
        <v>3042</v>
      </c>
      <c r="D1669" s="44" t="s">
        <v>3037</v>
      </c>
      <c r="E1669" s="44"/>
      <c r="F1669" s="45">
        <v>43206.141759259255</v>
      </c>
      <c r="G1669" s="46">
        <v>5</v>
      </c>
      <c r="H1669" s="47">
        <v>43396</v>
      </c>
      <c r="I1669" s="47">
        <v>43412</v>
      </c>
      <c r="J1669" s="46">
        <v>330413</v>
      </c>
      <c r="K1669" s="46">
        <v>0</v>
      </c>
      <c r="L1669" s="46">
        <v>0</v>
      </c>
      <c r="M1669" s="46">
        <f t="shared" si="479"/>
        <v>330413</v>
      </c>
      <c r="N1669" s="46">
        <v>399811</v>
      </c>
      <c r="O1669" s="48">
        <f t="shared" si="480"/>
        <v>0.17357701513965351</v>
      </c>
      <c r="P1669" s="46">
        <v>0</v>
      </c>
      <c r="Q1669" s="46">
        <v>330413</v>
      </c>
      <c r="R1669" s="49">
        <f t="shared" si="481"/>
        <v>1</v>
      </c>
      <c r="S1669" s="50">
        <f t="shared" si="482"/>
        <v>0.01</v>
      </c>
      <c r="T1669" s="49">
        <f t="shared" si="483"/>
        <v>3304.13</v>
      </c>
      <c r="U1669" s="51">
        <f t="shared" si="484"/>
        <v>0</v>
      </c>
      <c r="V1669" s="52">
        <f>IF(0&lt;0.8,0,IF(0&lt;1,Sheet3!L561,1))*IF(G1669&lt;3,0.12 - O1669,0.01) *U1669</f>
        <v>0</v>
      </c>
      <c r="W1669" s="52">
        <f t="shared" si="485"/>
        <v>0</v>
      </c>
      <c r="X1669" s="53">
        <f t="shared" si="486"/>
        <v>0</v>
      </c>
      <c r="Y1669" s="53">
        <f t="shared" si="487"/>
        <v>0</v>
      </c>
      <c r="Z1669" s="54">
        <f>IF(R1669=1,0,0)</f>
        <v>0</v>
      </c>
      <c r="AA1669" s="54">
        <f t="shared" si="488"/>
        <v>0</v>
      </c>
      <c r="AB1669" s="55">
        <f>IF(R1669=0,0,0)</f>
        <v>0</v>
      </c>
      <c r="AC1669" s="55">
        <f t="shared" si="489"/>
        <v>0</v>
      </c>
      <c r="AD1669" s="56">
        <f t="shared" si="490"/>
        <v>3304.13</v>
      </c>
    </row>
    <row r="1670" spans="3:30">
      <c r="C1670" s="43" t="s">
        <v>3043</v>
      </c>
      <c r="D1670" s="44" t="s">
        <v>3037</v>
      </c>
      <c r="E1670" s="44"/>
      <c r="F1670" s="45">
        <v>43340.32907407407</v>
      </c>
      <c r="G1670" s="46">
        <v>1</v>
      </c>
      <c r="H1670" s="47">
        <v>43396</v>
      </c>
      <c r="I1670" s="47">
        <v>43412</v>
      </c>
      <c r="J1670" s="46">
        <v>387173</v>
      </c>
      <c r="K1670" s="46">
        <v>0</v>
      </c>
      <c r="L1670" s="46">
        <v>0</v>
      </c>
      <c r="M1670" s="46">
        <f t="shared" si="479"/>
        <v>387173</v>
      </c>
      <c r="N1670" s="46">
        <v>550200</v>
      </c>
      <c r="O1670" s="48">
        <f t="shared" si="480"/>
        <v>0.29630498000727012</v>
      </c>
      <c r="P1670" s="46">
        <v>0</v>
      </c>
      <c r="Q1670" s="46">
        <v>0</v>
      </c>
      <c r="R1670" s="49">
        <f t="shared" si="481"/>
        <v>0</v>
      </c>
      <c r="S1670" s="50">
        <f t="shared" si="482"/>
        <v>0</v>
      </c>
      <c r="T1670" s="49">
        <f t="shared" si="483"/>
        <v>0</v>
      </c>
      <c r="U1670" s="51">
        <f t="shared" si="484"/>
        <v>0</v>
      </c>
      <c r="V1670" s="52">
        <f>IF(0&lt;0.8,0,IF(0&lt;1,Sheet3!L561,1))*IF(G1670&lt;3,0.12 - O1670,0.01) *U1670</f>
        <v>0</v>
      </c>
      <c r="W1670" s="52">
        <f t="shared" si="485"/>
        <v>0</v>
      </c>
      <c r="X1670" s="53">
        <f t="shared" si="486"/>
        <v>0</v>
      </c>
      <c r="Y1670" s="53">
        <f t="shared" si="487"/>
        <v>0</v>
      </c>
      <c r="Z1670" s="54">
        <f>IF(R1670=1,0,0)</f>
        <v>0</v>
      </c>
      <c r="AA1670" s="54">
        <f t="shared" si="488"/>
        <v>0</v>
      </c>
      <c r="AB1670" s="55">
        <f>IF(R1670=0,0,0)</f>
        <v>0</v>
      </c>
      <c r="AC1670" s="55">
        <f t="shared" si="489"/>
        <v>0</v>
      </c>
      <c r="AD1670" s="56">
        <f t="shared" si="490"/>
        <v>0</v>
      </c>
    </row>
    <row r="1671" spans="3:30">
      <c r="C1671" s="43" t="s">
        <v>3044</v>
      </c>
      <c r="D1671" s="44" t="s">
        <v>3037</v>
      </c>
      <c r="E1671" s="44"/>
      <c r="F1671" s="45">
        <v>43357.068888888884</v>
      </c>
      <c r="G1671" s="46">
        <v>0</v>
      </c>
      <c r="H1671" s="47">
        <v>43396</v>
      </c>
      <c r="I1671" s="47">
        <v>43412</v>
      </c>
      <c r="J1671" s="46">
        <v>1649411</v>
      </c>
      <c r="K1671" s="46">
        <v>0</v>
      </c>
      <c r="L1671" s="46">
        <v>0</v>
      </c>
      <c r="M1671" s="46">
        <f t="shared" si="479"/>
        <v>1649411</v>
      </c>
      <c r="N1671" s="46">
        <v>2171845</v>
      </c>
      <c r="O1671" s="48">
        <f t="shared" si="480"/>
        <v>0.24054847376309085</v>
      </c>
      <c r="P1671" s="46">
        <v>0</v>
      </c>
      <c r="Q1671" s="46">
        <v>0</v>
      </c>
      <c r="R1671" s="49">
        <f t="shared" si="481"/>
        <v>0</v>
      </c>
      <c r="S1671" s="50">
        <f t="shared" si="482"/>
        <v>0</v>
      </c>
      <c r="T1671" s="49">
        <f t="shared" si="483"/>
        <v>0</v>
      </c>
      <c r="U1671" s="51">
        <f t="shared" si="484"/>
        <v>0</v>
      </c>
      <c r="V1671" s="52">
        <f>IF(0&lt;0.8,0,IF(0&lt;1,Sheet3!L561,1))*IF(G1671&lt;3,0.12 - O1671,0.01) *U1671</f>
        <v>0</v>
      </c>
      <c r="W1671" s="52">
        <f t="shared" si="485"/>
        <v>0</v>
      </c>
      <c r="X1671" s="53">
        <f t="shared" si="486"/>
        <v>0</v>
      </c>
      <c r="Y1671" s="53">
        <f t="shared" si="487"/>
        <v>0</v>
      </c>
      <c r="Z1671" s="54">
        <f>IF(R1671=1,0,0)</f>
        <v>0</v>
      </c>
      <c r="AA1671" s="54">
        <f t="shared" si="488"/>
        <v>0</v>
      </c>
      <c r="AB1671" s="55">
        <f>IF(R1671=0,0,0)</f>
        <v>0</v>
      </c>
      <c r="AC1671" s="55">
        <f t="shared" si="489"/>
        <v>0</v>
      </c>
      <c r="AD1671" s="56">
        <f t="shared" si="490"/>
        <v>0</v>
      </c>
    </row>
    <row r="1672" spans="3:30">
      <c r="C1672" s="43" t="s">
        <v>3045</v>
      </c>
      <c r="D1672" s="44" t="s">
        <v>3046</v>
      </c>
      <c r="E1672" s="44"/>
      <c r="F1672" s="45">
        <v>43245.28528935185</v>
      </c>
      <c r="G1672" s="46">
        <v>4</v>
      </c>
      <c r="H1672" s="47" t="s">
        <v>24</v>
      </c>
      <c r="I1672" s="47" t="s">
        <v>24</v>
      </c>
      <c r="J1672" s="46">
        <v>68970</v>
      </c>
      <c r="K1672" s="46">
        <v>68970</v>
      </c>
      <c r="L1672" s="46">
        <v>0</v>
      </c>
      <c r="M1672" s="46">
        <f t="shared" si="479"/>
        <v>0</v>
      </c>
      <c r="N1672" s="46">
        <v>1181948</v>
      </c>
      <c r="O1672" s="48">
        <f t="shared" si="480"/>
        <v>1</v>
      </c>
      <c r="P1672" s="46">
        <v>0</v>
      </c>
      <c r="Q1672" s="46">
        <v>0</v>
      </c>
      <c r="R1672" s="49">
        <f t="shared" si="481"/>
        <v>1</v>
      </c>
      <c r="S1672" s="50">
        <f t="shared" si="482"/>
        <v>0.01</v>
      </c>
      <c r="T1672" s="49">
        <f t="shared" si="483"/>
        <v>0</v>
      </c>
      <c r="U1672" s="51">
        <f t="shared" si="484"/>
        <v>0</v>
      </c>
      <c r="V1672" s="52">
        <f>IF(0&lt;0.8,0,IF(0&lt;1,Sheet3!L561,1))*IF(G1672&lt;3,0.12 - O1672,0.01) *U1672</f>
        <v>0</v>
      </c>
      <c r="W1672" s="52">
        <f t="shared" si="485"/>
        <v>0</v>
      </c>
      <c r="X1672" s="53">
        <f t="shared" si="486"/>
        <v>0</v>
      </c>
      <c r="Y1672" s="53">
        <f t="shared" si="487"/>
        <v>0</v>
      </c>
      <c r="Z1672" s="54">
        <f>IF(R1672=1,0,"")</f>
        <v>0</v>
      </c>
      <c r="AA1672" s="54">
        <f t="shared" si="488"/>
        <v>0</v>
      </c>
      <c r="AB1672" s="55">
        <f>IF(R1672=0,"",0)</f>
        <v>0</v>
      </c>
      <c r="AC1672" s="55">
        <f t="shared" si="489"/>
        <v>0</v>
      </c>
      <c r="AD1672" s="56">
        <f t="shared" si="490"/>
        <v>0</v>
      </c>
    </row>
    <row r="1673" spans="3:30">
      <c r="C1673" s="43" t="s">
        <v>3047</v>
      </c>
      <c r="D1673" s="44" t="s">
        <v>995</v>
      </c>
      <c r="E1673" s="44"/>
      <c r="F1673" s="45">
        <v>43316.360081018516</v>
      </c>
      <c r="G1673" s="46">
        <v>1</v>
      </c>
      <c r="H1673" s="47">
        <v>43404</v>
      </c>
      <c r="I1673" s="47">
        <v>43430</v>
      </c>
      <c r="J1673" s="46">
        <v>1079902</v>
      </c>
      <c r="K1673" s="46">
        <v>0</v>
      </c>
      <c r="L1673" s="46">
        <v>0</v>
      </c>
      <c r="M1673" s="46">
        <f t="shared" si="479"/>
        <v>1079902</v>
      </c>
      <c r="N1673" s="46">
        <v>1053078</v>
      </c>
      <c r="O1673" s="48">
        <f t="shared" si="480"/>
        <v>0</v>
      </c>
      <c r="P1673" s="46">
        <v>0</v>
      </c>
      <c r="Q1673" s="46">
        <v>0</v>
      </c>
      <c r="R1673" s="49">
        <f t="shared" si="481"/>
        <v>0</v>
      </c>
      <c r="S1673" s="50">
        <f t="shared" si="482"/>
        <v>0</v>
      </c>
      <c r="T1673" s="49">
        <f t="shared" si="483"/>
        <v>0</v>
      </c>
      <c r="U1673" s="51">
        <f t="shared" si="484"/>
        <v>1079902</v>
      </c>
      <c r="V1673" s="52">
        <f>IF(0&lt;0.8,0,IF(0&lt;1,Sheet3!L561,1))*IF(G1673&lt;3,0.12 - O1673,0.01) *U1673</f>
        <v>0</v>
      </c>
      <c r="W1673" s="52">
        <f t="shared" si="485"/>
        <v>0</v>
      </c>
      <c r="X1673" s="53">
        <f t="shared" si="486"/>
        <v>0</v>
      </c>
      <c r="Y1673" s="53">
        <f t="shared" si="487"/>
        <v>0</v>
      </c>
      <c r="Z1673" s="54">
        <f t="shared" ref="Z1673:Z1736" si="493">IF(R1673=1,0,0)</f>
        <v>0</v>
      </c>
      <c r="AA1673" s="54">
        <f t="shared" si="488"/>
        <v>0</v>
      </c>
      <c r="AB1673" s="55">
        <f t="shared" ref="AB1673:AB1722" si="494">IF(R1673=0,0,0)</f>
        <v>0</v>
      </c>
      <c r="AC1673" s="55">
        <f t="shared" si="489"/>
        <v>0</v>
      </c>
      <c r="AD1673" s="56">
        <f t="shared" si="490"/>
        <v>0</v>
      </c>
    </row>
    <row r="1674" spans="3:30">
      <c r="C1674" s="43" t="s">
        <v>3048</v>
      </c>
      <c r="D1674" s="44" t="s">
        <v>3049</v>
      </c>
      <c r="E1674" s="44"/>
      <c r="F1674" s="45">
        <v>38968.613020833334</v>
      </c>
      <c r="G1674" s="46">
        <v>144</v>
      </c>
      <c r="H1674" s="47">
        <v>43378</v>
      </c>
      <c r="I1674" s="47">
        <v>43462</v>
      </c>
      <c r="J1674" s="46">
        <v>230052</v>
      </c>
      <c r="K1674" s="46">
        <v>0</v>
      </c>
      <c r="L1674" s="46">
        <v>0</v>
      </c>
      <c r="M1674" s="46">
        <f t="shared" si="479"/>
        <v>230052</v>
      </c>
      <c r="N1674" s="46">
        <v>227933</v>
      </c>
      <c r="O1674" s="48">
        <f t="shared" si="480"/>
        <v>0</v>
      </c>
      <c r="P1674" s="46">
        <v>0</v>
      </c>
      <c r="Q1674" s="46">
        <v>230052</v>
      </c>
      <c r="R1674" s="49">
        <f t="shared" si="481"/>
        <v>1</v>
      </c>
      <c r="S1674" s="50">
        <f t="shared" si="482"/>
        <v>0.01</v>
      </c>
      <c r="T1674" s="49">
        <f t="shared" si="483"/>
        <v>2300.52</v>
      </c>
      <c r="U1674" s="51">
        <f t="shared" si="484"/>
        <v>0</v>
      </c>
      <c r="V1674" s="52">
        <f>IF(0&lt;0.8,0,IF(0&lt;1,Sheet3!L561,1))*IF(G1674&lt;3,0.12 - O1674,0.01) *U1674</f>
        <v>0</v>
      </c>
      <c r="W1674" s="52">
        <f t="shared" si="485"/>
        <v>0</v>
      </c>
      <c r="X1674" s="53">
        <f t="shared" si="486"/>
        <v>0</v>
      </c>
      <c r="Y1674" s="53">
        <f t="shared" si="487"/>
        <v>0</v>
      </c>
      <c r="Z1674" s="54">
        <f t="shared" si="493"/>
        <v>0</v>
      </c>
      <c r="AA1674" s="54">
        <f t="shared" si="488"/>
        <v>0</v>
      </c>
      <c r="AB1674" s="55">
        <f t="shared" si="494"/>
        <v>0</v>
      </c>
      <c r="AC1674" s="55">
        <f t="shared" si="489"/>
        <v>0</v>
      </c>
      <c r="AD1674" s="56">
        <f t="shared" si="490"/>
        <v>2300.52</v>
      </c>
    </row>
    <row r="1675" spans="3:30">
      <c r="C1675" s="43" t="s">
        <v>3050</v>
      </c>
      <c r="D1675" s="44" t="s">
        <v>3051</v>
      </c>
      <c r="E1675" s="44"/>
      <c r="F1675" s="45">
        <v>38968.637476851851</v>
      </c>
      <c r="G1675" s="46">
        <v>144</v>
      </c>
      <c r="H1675" s="47">
        <v>43409</v>
      </c>
      <c r="I1675" s="47">
        <v>43428</v>
      </c>
      <c r="J1675" s="46">
        <v>285937</v>
      </c>
      <c r="K1675" s="46">
        <v>0</v>
      </c>
      <c r="L1675" s="46">
        <v>0</v>
      </c>
      <c r="M1675" s="46">
        <f t="shared" si="479"/>
        <v>285937</v>
      </c>
      <c r="N1675" s="46">
        <v>285937</v>
      </c>
      <c r="O1675" s="48">
        <f t="shared" si="480"/>
        <v>0</v>
      </c>
      <c r="P1675" s="46">
        <v>0</v>
      </c>
      <c r="Q1675" s="46">
        <v>285937</v>
      </c>
      <c r="R1675" s="49">
        <f t="shared" si="481"/>
        <v>1</v>
      </c>
      <c r="S1675" s="50">
        <f t="shared" si="482"/>
        <v>0.01</v>
      </c>
      <c r="T1675" s="49">
        <f t="shared" si="483"/>
        <v>2859.37</v>
      </c>
      <c r="U1675" s="51">
        <f t="shared" si="484"/>
        <v>0</v>
      </c>
      <c r="V1675" s="52">
        <f>IF(0&lt;0.8,0,IF(0&lt;1,Sheet3!L561,1))*IF(G1675&lt;3,0.12 - O1675,0.01) *U1675</f>
        <v>0</v>
      </c>
      <c r="W1675" s="52">
        <f t="shared" si="485"/>
        <v>0</v>
      </c>
      <c r="X1675" s="53">
        <f t="shared" si="486"/>
        <v>0</v>
      </c>
      <c r="Y1675" s="53">
        <f t="shared" si="487"/>
        <v>0</v>
      </c>
      <c r="Z1675" s="54">
        <f t="shared" si="493"/>
        <v>0</v>
      </c>
      <c r="AA1675" s="54">
        <f t="shared" si="488"/>
        <v>0</v>
      </c>
      <c r="AB1675" s="55">
        <f t="shared" si="494"/>
        <v>0</v>
      </c>
      <c r="AC1675" s="55">
        <f t="shared" si="489"/>
        <v>0</v>
      </c>
      <c r="AD1675" s="56">
        <f t="shared" si="490"/>
        <v>2859.37</v>
      </c>
    </row>
    <row r="1676" spans="3:30">
      <c r="C1676" s="43" t="s">
        <v>3052</v>
      </c>
      <c r="D1676" s="44" t="s">
        <v>3053</v>
      </c>
      <c r="E1676" s="44"/>
      <c r="F1676" s="45">
        <v>39258.398240740738</v>
      </c>
      <c r="G1676" s="46">
        <v>135</v>
      </c>
      <c r="H1676" s="47">
        <v>43372</v>
      </c>
      <c r="I1676" s="47">
        <v>43392</v>
      </c>
      <c r="J1676" s="46">
        <v>465000</v>
      </c>
      <c r="K1676" s="46">
        <v>0</v>
      </c>
      <c r="L1676" s="46">
        <v>0</v>
      </c>
      <c r="M1676" s="46">
        <f t="shared" si="479"/>
        <v>465000</v>
      </c>
      <c r="N1676" s="46">
        <v>465366</v>
      </c>
      <c r="O1676" s="48">
        <f t="shared" si="480"/>
        <v>7.8647774010132121E-4</v>
      </c>
      <c r="P1676" s="46">
        <v>0</v>
      </c>
      <c r="Q1676" s="46">
        <v>465000</v>
      </c>
      <c r="R1676" s="49">
        <f t="shared" si="481"/>
        <v>1</v>
      </c>
      <c r="S1676" s="50">
        <f t="shared" si="482"/>
        <v>0.01</v>
      </c>
      <c r="T1676" s="49">
        <f t="shared" si="483"/>
        <v>4650</v>
      </c>
      <c r="U1676" s="51">
        <f t="shared" si="484"/>
        <v>0</v>
      </c>
      <c r="V1676" s="52">
        <f>IF(0&lt;0.8,0,IF(0&lt;1,Sheet3!L561,1))*IF(G1676&lt;3,0.12 - O1676,0.01) *U1676</f>
        <v>0</v>
      </c>
      <c r="W1676" s="52">
        <f t="shared" si="485"/>
        <v>0</v>
      </c>
      <c r="X1676" s="53">
        <f t="shared" si="486"/>
        <v>0</v>
      </c>
      <c r="Y1676" s="53">
        <f t="shared" si="487"/>
        <v>0</v>
      </c>
      <c r="Z1676" s="54">
        <f t="shared" si="493"/>
        <v>0</v>
      </c>
      <c r="AA1676" s="54">
        <f t="shared" si="488"/>
        <v>0</v>
      </c>
      <c r="AB1676" s="55">
        <f t="shared" si="494"/>
        <v>0</v>
      </c>
      <c r="AC1676" s="55">
        <f t="shared" si="489"/>
        <v>0</v>
      </c>
      <c r="AD1676" s="56">
        <f t="shared" si="490"/>
        <v>4650</v>
      </c>
    </row>
    <row r="1677" spans="3:30">
      <c r="C1677" s="43" t="s">
        <v>3054</v>
      </c>
      <c r="D1677" s="44" t="s">
        <v>3055</v>
      </c>
      <c r="E1677" s="44"/>
      <c r="F1677" s="45">
        <v>39037.652141203704</v>
      </c>
      <c r="G1677" s="46">
        <v>142</v>
      </c>
      <c r="H1677" s="47">
        <v>43378</v>
      </c>
      <c r="I1677" s="47">
        <v>43398</v>
      </c>
      <c r="J1677" s="46">
        <v>921455</v>
      </c>
      <c r="K1677" s="46">
        <v>0</v>
      </c>
      <c r="L1677" s="46">
        <v>0</v>
      </c>
      <c r="M1677" s="46">
        <f t="shared" si="479"/>
        <v>921455</v>
      </c>
      <c r="N1677" s="46">
        <v>921455</v>
      </c>
      <c r="O1677" s="48">
        <f t="shared" si="480"/>
        <v>0</v>
      </c>
      <c r="P1677" s="46">
        <v>0</v>
      </c>
      <c r="Q1677" s="46">
        <v>921455</v>
      </c>
      <c r="R1677" s="49">
        <f t="shared" si="481"/>
        <v>1</v>
      </c>
      <c r="S1677" s="50">
        <f t="shared" si="482"/>
        <v>0.01</v>
      </c>
      <c r="T1677" s="49">
        <f t="shared" si="483"/>
        <v>9214.5500000000011</v>
      </c>
      <c r="U1677" s="51">
        <f t="shared" si="484"/>
        <v>0</v>
      </c>
      <c r="V1677" s="52">
        <f>IF(0&lt;0.8,0,IF(0&lt;1,Sheet3!L561,1))*IF(G1677&lt;3,0.12 - O1677,0.01) *U1677</f>
        <v>0</v>
      </c>
      <c r="W1677" s="52">
        <f t="shared" si="485"/>
        <v>0</v>
      </c>
      <c r="X1677" s="53">
        <f t="shared" si="486"/>
        <v>0</v>
      </c>
      <c r="Y1677" s="53">
        <f t="shared" si="487"/>
        <v>0</v>
      </c>
      <c r="Z1677" s="54">
        <f t="shared" si="493"/>
        <v>0</v>
      </c>
      <c r="AA1677" s="54">
        <f t="shared" si="488"/>
        <v>0</v>
      </c>
      <c r="AB1677" s="55">
        <f t="shared" si="494"/>
        <v>0</v>
      </c>
      <c r="AC1677" s="55">
        <f t="shared" si="489"/>
        <v>0</v>
      </c>
      <c r="AD1677" s="56">
        <f t="shared" si="490"/>
        <v>9214.5500000000011</v>
      </c>
    </row>
    <row r="1678" spans="3:30">
      <c r="C1678" s="43" t="s">
        <v>3056</v>
      </c>
      <c r="D1678" s="44" t="s">
        <v>3057</v>
      </c>
      <c r="E1678" s="44"/>
      <c r="F1678" s="45">
        <v>39181.62767361111</v>
      </c>
      <c r="G1678" s="46">
        <v>137</v>
      </c>
      <c r="H1678" s="47">
        <v>43452</v>
      </c>
      <c r="I1678" s="47">
        <v>43468</v>
      </c>
      <c r="J1678" s="46">
        <v>318262776</v>
      </c>
      <c r="K1678" s="46">
        <v>25764613</v>
      </c>
      <c r="L1678" s="46">
        <v>0</v>
      </c>
      <c r="M1678" s="46">
        <f t="shared" si="479"/>
        <v>292498163</v>
      </c>
      <c r="N1678" s="46">
        <v>378865179</v>
      </c>
      <c r="O1678" s="48">
        <f t="shared" si="480"/>
        <v>0.2279624013691689</v>
      </c>
      <c r="P1678" s="46">
        <v>0</v>
      </c>
      <c r="Q1678" s="46">
        <v>311631673</v>
      </c>
      <c r="R1678" s="49">
        <f t="shared" si="481"/>
        <v>1</v>
      </c>
      <c r="S1678" s="50">
        <f t="shared" si="482"/>
        <v>0.01</v>
      </c>
      <c r="T1678" s="49">
        <f t="shared" si="483"/>
        <v>2924981.63</v>
      </c>
      <c r="U1678" s="51">
        <f t="shared" si="484"/>
        <v>0</v>
      </c>
      <c r="V1678" s="52">
        <f>IF(0&lt;0.8,0,IF(0&lt;1,Sheet3!L561,1))*IF(G1678&lt;3,0.12 - O1678,0.01) *U1678</f>
        <v>0</v>
      </c>
      <c r="W1678" s="52">
        <f t="shared" si="485"/>
        <v>0</v>
      </c>
      <c r="X1678" s="53">
        <f t="shared" si="486"/>
        <v>0</v>
      </c>
      <c r="Y1678" s="53">
        <f t="shared" si="487"/>
        <v>0</v>
      </c>
      <c r="Z1678" s="54">
        <f t="shared" si="493"/>
        <v>0</v>
      </c>
      <c r="AA1678" s="54">
        <f t="shared" si="488"/>
        <v>0</v>
      </c>
      <c r="AB1678" s="55">
        <f t="shared" si="494"/>
        <v>0</v>
      </c>
      <c r="AC1678" s="55">
        <f t="shared" si="489"/>
        <v>0</v>
      </c>
      <c r="AD1678" s="56">
        <f t="shared" si="490"/>
        <v>2924981.63</v>
      </c>
    </row>
    <row r="1679" spans="3:30">
      <c r="C1679" s="43" t="s">
        <v>3058</v>
      </c>
      <c r="D1679" s="44" t="s">
        <v>3059</v>
      </c>
      <c r="E1679" s="44"/>
      <c r="F1679" s="45">
        <v>39288.367071759254</v>
      </c>
      <c r="G1679" s="46">
        <v>134</v>
      </c>
      <c r="H1679" s="47">
        <v>43392</v>
      </c>
      <c r="I1679" s="47">
        <v>43403</v>
      </c>
      <c r="J1679" s="46">
        <v>19462601</v>
      </c>
      <c r="K1679" s="46">
        <v>224578</v>
      </c>
      <c r="L1679" s="46">
        <v>0</v>
      </c>
      <c r="M1679" s="46">
        <f t="shared" si="479"/>
        <v>19238023</v>
      </c>
      <c r="N1679" s="46">
        <v>32270628</v>
      </c>
      <c r="O1679" s="48">
        <f t="shared" si="480"/>
        <v>0.40385346699791524</v>
      </c>
      <c r="P1679" s="46">
        <v>0</v>
      </c>
      <c r="Q1679" s="46">
        <v>19462601</v>
      </c>
      <c r="R1679" s="49">
        <f t="shared" si="481"/>
        <v>1</v>
      </c>
      <c r="S1679" s="50">
        <f t="shared" si="482"/>
        <v>0.01</v>
      </c>
      <c r="T1679" s="49">
        <f t="shared" si="483"/>
        <v>192380.23</v>
      </c>
      <c r="U1679" s="51">
        <f t="shared" si="484"/>
        <v>0</v>
      </c>
      <c r="V1679" s="52">
        <f>IF(0&lt;0.8,0,IF(0&lt;1,Sheet3!L561,1))*IF(G1679&lt;3,0.12 - O1679,0.01) *U1679</f>
        <v>0</v>
      </c>
      <c r="W1679" s="52">
        <f t="shared" si="485"/>
        <v>0</v>
      </c>
      <c r="X1679" s="53">
        <f t="shared" si="486"/>
        <v>0</v>
      </c>
      <c r="Y1679" s="53">
        <f t="shared" si="487"/>
        <v>0</v>
      </c>
      <c r="Z1679" s="54">
        <f t="shared" si="493"/>
        <v>0</v>
      </c>
      <c r="AA1679" s="54">
        <f t="shared" si="488"/>
        <v>0</v>
      </c>
      <c r="AB1679" s="55">
        <f t="shared" si="494"/>
        <v>0</v>
      </c>
      <c r="AC1679" s="55">
        <f t="shared" si="489"/>
        <v>0</v>
      </c>
      <c r="AD1679" s="56">
        <f t="shared" si="490"/>
        <v>192380.23</v>
      </c>
    </row>
    <row r="1680" spans="3:30">
      <c r="C1680" s="43" t="s">
        <v>3060</v>
      </c>
      <c r="D1680" s="44" t="s">
        <v>3061</v>
      </c>
      <c r="E1680" s="44"/>
      <c r="F1680" s="45">
        <v>39303.612268518518</v>
      </c>
      <c r="G1680" s="46">
        <v>133</v>
      </c>
      <c r="H1680" s="47">
        <v>43372</v>
      </c>
      <c r="I1680" s="47">
        <v>43383</v>
      </c>
      <c r="J1680" s="46">
        <v>626000</v>
      </c>
      <c r="K1680" s="46">
        <v>0</v>
      </c>
      <c r="L1680" s="46">
        <v>0</v>
      </c>
      <c r="M1680" s="46">
        <f t="shared" si="479"/>
        <v>626000</v>
      </c>
      <c r="N1680" s="46">
        <v>625732</v>
      </c>
      <c r="O1680" s="48">
        <f t="shared" si="480"/>
        <v>0</v>
      </c>
      <c r="P1680" s="46">
        <v>0</v>
      </c>
      <c r="Q1680" s="46">
        <v>626000</v>
      </c>
      <c r="R1680" s="49">
        <f t="shared" si="481"/>
        <v>1</v>
      </c>
      <c r="S1680" s="50">
        <f t="shared" si="482"/>
        <v>0.01</v>
      </c>
      <c r="T1680" s="49">
        <f t="shared" si="483"/>
        <v>6260</v>
      </c>
      <c r="U1680" s="51">
        <f t="shared" si="484"/>
        <v>0</v>
      </c>
      <c r="V1680" s="52">
        <f>IF(0&lt;0.8,0,IF(0&lt;1,Sheet3!L561,1))*IF(G1680&lt;3,0.12 - O1680,0.01) *U1680</f>
        <v>0</v>
      </c>
      <c r="W1680" s="52">
        <f t="shared" si="485"/>
        <v>0</v>
      </c>
      <c r="X1680" s="53">
        <f t="shared" si="486"/>
        <v>0</v>
      </c>
      <c r="Y1680" s="53">
        <f t="shared" si="487"/>
        <v>0</v>
      </c>
      <c r="Z1680" s="54">
        <f t="shared" si="493"/>
        <v>0</v>
      </c>
      <c r="AA1680" s="54">
        <f t="shared" si="488"/>
        <v>0</v>
      </c>
      <c r="AB1680" s="55">
        <f t="shared" si="494"/>
        <v>0</v>
      </c>
      <c r="AC1680" s="55">
        <f t="shared" si="489"/>
        <v>0</v>
      </c>
      <c r="AD1680" s="56">
        <f t="shared" si="490"/>
        <v>6260</v>
      </c>
    </row>
    <row r="1681" spans="3:30">
      <c r="C1681" s="43" t="s">
        <v>3062</v>
      </c>
      <c r="D1681" s="44" t="s">
        <v>3063</v>
      </c>
      <c r="E1681" s="44"/>
      <c r="F1681" s="45">
        <v>39513.404039351852</v>
      </c>
      <c r="G1681" s="46">
        <v>126</v>
      </c>
      <c r="H1681" s="47">
        <v>43400</v>
      </c>
      <c r="I1681" s="47">
        <v>43403</v>
      </c>
      <c r="J1681" s="46">
        <v>22437968</v>
      </c>
      <c r="K1681" s="46">
        <v>3416188</v>
      </c>
      <c r="L1681" s="46">
        <v>0</v>
      </c>
      <c r="M1681" s="46">
        <f t="shared" si="479"/>
        <v>19021780</v>
      </c>
      <c r="N1681" s="46">
        <v>27419015</v>
      </c>
      <c r="O1681" s="48">
        <f t="shared" si="480"/>
        <v>0.30625589577160228</v>
      </c>
      <c r="P1681" s="46">
        <v>0</v>
      </c>
      <c r="Q1681" s="46">
        <v>19138912</v>
      </c>
      <c r="R1681" s="49">
        <f t="shared" si="481"/>
        <v>1</v>
      </c>
      <c r="S1681" s="50">
        <f t="shared" si="482"/>
        <v>0.01</v>
      </c>
      <c r="T1681" s="49">
        <f t="shared" si="483"/>
        <v>190217.80000000002</v>
      </c>
      <c r="U1681" s="51">
        <f t="shared" si="484"/>
        <v>0</v>
      </c>
      <c r="V1681" s="52">
        <f>IF(0&lt;0.8,0,IF(0&lt;1,Sheet3!L561,1))*IF(G1681&lt;3,0.12 - O1681,0.01) *U1681</f>
        <v>0</v>
      </c>
      <c r="W1681" s="52">
        <f t="shared" si="485"/>
        <v>0</v>
      </c>
      <c r="X1681" s="53">
        <f t="shared" si="486"/>
        <v>0</v>
      </c>
      <c r="Y1681" s="53">
        <f t="shared" si="487"/>
        <v>0</v>
      </c>
      <c r="Z1681" s="54">
        <f t="shared" si="493"/>
        <v>0</v>
      </c>
      <c r="AA1681" s="54">
        <f t="shared" si="488"/>
        <v>0</v>
      </c>
      <c r="AB1681" s="55">
        <f t="shared" si="494"/>
        <v>0</v>
      </c>
      <c r="AC1681" s="55">
        <f t="shared" si="489"/>
        <v>0</v>
      </c>
      <c r="AD1681" s="56">
        <f t="shared" si="490"/>
        <v>190217.80000000002</v>
      </c>
    </row>
    <row r="1682" spans="3:30">
      <c r="C1682" s="43" t="s">
        <v>3064</v>
      </c>
      <c r="D1682" s="44" t="s">
        <v>3065</v>
      </c>
      <c r="E1682" s="44"/>
      <c r="F1682" s="45">
        <v>39570.705509259256</v>
      </c>
      <c r="G1682" s="46">
        <v>124</v>
      </c>
      <c r="H1682" s="47">
        <v>43378</v>
      </c>
      <c r="I1682" s="47">
        <v>43398</v>
      </c>
      <c r="J1682" s="46">
        <v>175456</v>
      </c>
      <c r="K1682" s="46">
        <v>0</v>
      </c>
      <c r="L1682" s="46">
        <v>0</v>
      </c>
      <c r="M1682" s="46">
        <f t="shared" si="479"/>
        <v>175456</v>
      </c>
      <c r="N1682" s="46">
        <v>175456</v>
      </c>
      <c r="O1682" s="48">
        <f t="shared" si="480"/>
        <v>0</v>
      </c>
      <c r="P1682" s="46">
        <v>0</v>
      </c>
      <c r="Q1682" s="46">
        <v>175456</v>
      </c>
      <c r="R1682" s="49">
        <f t="shared" si="481"/>
        <v>1</v>
      </c>
      <c r="S1682" s="50">
        <f t="shared" si="482"/>
        <v>0.01</v>
      </c>
      <c r="T1682" s="49">
        <f t="shared" si="483"/>
        <v>1754.56</v>
      </c>
      <c r="U1682" s="51">
        <f t="shared" si="484"/>
        <v>0</v>
      </c>
      <c r="V1682" s="52">
        <f>IF(0&lt;0.8,0,IF(0&lt;1,Sheet3!L561,1))*IF(G1682&lt;3,0.12 - O1682,0.01) *U1682</f>
        <v>0</v>
      </c>
      <c r="W1682" s="52">
        <f t="shared" si="485"/>
        <v>0</v>
      </c>
      <c r="X1682" s="53">
        <f t="shared" si="486"/>
        <v>0</v>
      </c>
      <c r="Y1682" s="53">
        <f t="shared" si="487"/>
        <v>0</v>
      </c>
      <c r="Z1682" s="54">
        <f t="shared" si="493"/>
        <v>0</v>
      </c>
      <c r="AA1682" s="54">
        <f t="shared" si="488"/>
        <v>0</v>
      </c>
      <c r="AB1682" s="55">
        <f t="shared" si="494"/>
        <v>0</v>
      </c>
      <c r="AC1682" s="55">
        <f t="shared" si="489"/>
        <v>0</v>
      </c>
      <c r="AD1682" s="56">
        <f t="shared" si="490"/>
        <v>1754.56</v>
      </c>
    </row>
    <row r="1683" spans="3:30">
      <c r="C1683" s="43" t="s">
        <v>3066</v>
      </c>
      <c r="D1683" s="44" t="s">
        <v>3067</v>
      </c>
      <c r="E1683" s="44"/>
      <c r="F1683" s="45">
        <v>39703.598368055551</v>
      </c>
      <c r="G1683" s="46">
        <v>120</v>
      </c>
      <c r="H1683" s="47">
        <v>43372</v>
      </c>
      <c r="I1683" s="47">
        <v>43399</v>
      </c>
      <c r="J1683" s="46">
        <v>14300632</v>
      </c>
      <c r="K1683" s="46">
        <v>1375984</v>
      </c>
      <c r="L1683" s="46">
        <v>0</v>
      </c>
      <c r="M1683" s="46">
        <f t="shared" si="479"/>
        <v>12924648</v>
      </c>
      <c r="N1683" s="46">
        <v>19409640</v>
      </c>
      <c r="O1683" s="48">
        <f t="shared" si="480"/>
        <v>0.33411191552238995</v>
      </c>
      <c r="P1683" s="46">
        <v>0</v>
      </c>
      <c r="Q1683" s="46">
        <v>14300632</v>
      </c>
      <c r="R1683" s="49">
        <f t="shared" si="481"/>
        <v>1</v>
      </c>
      <c r="S1683" s="50">
        <f t="shared" si="482"/>
        <v>0.01</v>
      </c>
      <c r="T1683" s="49">
        <f t="shared" si="483"/>
        <v>129246.48</v>
      </c>
      <c r="U1683" s="51">
        <f t="shared" si="484"/>
        <v>0</v>
      </c>
      <c r="V1683" s="52">
        <f>IF(0&lt;0.8,0,IF(0&lt;1,Sheet3!L561,1))*IF(G1683&lt;3,0.12 - O1683,0.01) *U1683</f>
        <v>0</v>
      </c>
      <c r="W1683" s="52">
        <f t="shared" si="485"/>
        <v>0</v>
      </c>
      <c r="X1683" s="53">
        <f t="shared" si="486"/>
        <v>0</v>
      </c>
      <c r="Y1683" s="53">
        <f t="shared" si="487"/>
        <v>0</v>
      </c>
      <c r="Z1683" s="54">
        <f t="shared" si="493"/>
        <v>0</v>
      </c>
      <c r="AA1683" s="54">
        <f t="shared" si="488"/>
        <v>0</v>
      </c>
      <c r="AB1683" s="55">
        <f t="shared" si="494"/>
        <v>0</v>
      </c>
      <c r="AC1683" s="55">
        <f t="shared" si="489"/>
        <v>0</v>
      </c>
      <c r="AD1683" s="56">
        <f t="shared" si="490"/>
        <v>129246.48</v>
      </c>
    </row>
    <row r="1684" spans="3:30">
      <c r="C1684" s="43" t="s">
        <v>3068</v>
      </c>
      <c r="D1684" s="44" t="s">
        <v>3069</v>
      </c>
      <c r="E1684" s="44"/>
      <c r="F1684" s="45">
        <v>39864.577638888884</v>
      </c>
      <c r="G1684" s="46">
        <v>115</v>
      </c>
      <c r="H1684" s="47">
        <v>43378</v>
      </c>
      <c r="I1684" s="47">
        <v>43398</v>
      </c>
      <c r="J1684" s="46">
        <v>309000</v>
      </c>
      <c r="K1684" s="46">
        <v>0</v>
      </c>
      <c r="L1684" s="46">
        <v>0</v>
      </c>
      <c r="M1684" s="46">
        <f t="shared" si="479"/>
        <v>309000</v>
      </c>
      <c r="N1684" s="46">
        <v>311696</v>
      </c>
      <c r="O1684" s="48">
        <f t="shared" si="480"/>
        <v>8.6494533134849894E-3</v>
      </c>
      <c r="P1684" s="46">
        <v>0</v>
      </c>
      <c r="Q1684" s="46">
        <v>309000</v>
      </c>
      <c r="R1684" s="49">
        <f t="shared" si="481"/>
        <v>1</v>
      </c>
      <c r="S1684" s="50">
        <f t="shared" si="482"/>
        <v>0.01</v>
      </c>
      <c r="T1684" s="49">
        <f t="shared" si="483"/>
        <v>3090</v>
      </c>
      <c r="U1684" s="51">
        <f t="shared" si="484"/>
        <v>0</v>
      </c>
      <c r="V1684" s="52">
        <f>IF(0&lt;0.8,0,IF(0&lt;1,Sheet3!L561,1))*IF(G1684&lt;3,0.12 - O1684,0.01) *U1684</f>
        <v>0</v>
      </c>
      <c r="W1684" s="52">
        <f t="shared" si="485"/>
        <v>0</v>
      </c>
      <c r="X1684" s="53">
        <f t="shared" si="486"/>
        <v>0</v>
      </c>
      <c r="Y1684" s="53">
        <f t="shared" si="487"/>
        <v>0</v>
      </c>
      <c r="Z1684" s="54">
        <f t="shared" si="493"/>
        <v>0</v>
      </c>
      <c r="AA1684" s="54">
        <f t="shared" si="488"/>
        <v>0</v>
      </c>
      <c r="AB1684" s="55">
        <f t="shared" si="494"/>
        <v>0</v>
      </c>
      <c r="AC1684" s="55">
        <f t="shared" si="489"/>
        <v>0</v>
      </c>
      <c r="AD1684" s="56">
        <f t="shared" si="490"/>
        <v>3090</v>
      </c>
    </row>
    <row r="1685" spans="3:30">
      <c r="C1685" s="43" t="s">
        <v>3070</v>
      </c>
      <c r="D1685" s="44" t="s">
        <v>3071</v>
      </c>
      <c r="E1685" s="44"/>
      <c r="F1685" s="45">
        <v>40001.571006944439</v>
      </c>
      <c r="G1685" s="46">
        <v>110</v>
      </c>
      <c r="H1685" s="47">
        <v>43392</v>
      </c>
      <c r="I1685" s="47">
        <v>43420</v>
      </c>
      <c r="J1685" s="46">
        <v>2001134</v>
      </c>
      <c r="K1685" s="46">
        <v>0</v>
      </c>
      <c r="L1685" s="46">
        <v>0</v>
      </c>
      <c r="M1685" s="46">
        <f t="shared" si="479"/>
        <v>2001134</v>
      </c>
      <c r="N1685" s="46">
        <v>2001134</v>
      </c>
      <c r="O1685" s="48">
        <f t="shared" si="480"/>
        <v>0</v>
      </c>
      <c r="P1685" s="46">
        <v>0</v>
      </c>
      <c r="Q1685" s="46">
        <v>2001134</v>
      </c>
      <c r="R1685" s="49">
        <f t="shared" si="481"/>
        <v>1</v>
      </c>
      <c r="S1685" s="50">
        <f t="shared" si="482"/>
        <v>0.01</v>
      </c>
      <c r="T1685" s="49">
        <f t="shared" si="483"/>
        <v>20011.34</v>
      </c>
      <c r="U1685" s="51">
        <f t="shared" si="484"/>
        <v>0</v>
      </c>
      <c r="V1685" s="52">
        <f>IF(0&lt;0.8,0,IF(0&lt;1,Sheet3!L561,1))*IF(G1685&lt;3,0.12 - O1685,0.01) *U1685</f>
        <v>0</v>
      </c>
      <c r="W1685" s="52">
        <f t="shared" si="485"/>
        <v>0</v>
      </c>
      <c r="X1685" s="53">
        <f t="shared" si="486"/>
        <v>0</v>
      </c>
      <c r="Y1685" s="53">
        <f t="shared" si="487"/>
        <v>0</v>
      </c>
      <c r="Z1685" s="54">
        <f t="shared" si="493"/>
        <v>0</v>
      </c>
      <c r="AA1685" s="54">
        <f t="shared" si="488"/>
        <v>0</v>
      </c>
      <c r="AB1685" s="55">
        <f t="shared" si="494"/>
        <v>0</v>
      </c>
      <c r="AC1685" s="55">
        <f t="shared" si="489"/>
        <v>0</v>
      </c>
      <c r="AD1685" s="56">
        <f t="shared" si="490"/>
        <v>20011.34</v>
      </c>
    </row>
    <row r="1686" spans="3:30">
      <c r="C1686" s="43" t="s">
        <v>3072</v>
      </c>
      <c r="D1686" s="44" t="s">
        <v>3073</v>
      </c>
      <c r="E1686" s="44"/>
      <c r="F1686" s="45">
        <v>40102.387685185182</v>
      </c>
      <c r="G1686" s="46">
        <v>107</v>
      </c>
      <c r="H1686" s="47">
        <v>43378</v>
      </c>
      <c r="I1686" s="47">
        <v>43389</v>
      </c>
      <c r="J1686" s="46">
        <v>279788</v>
      </c>
      <c r="K1686" s="46">
        <v>0</v>
      </c>
      <c r="L1686" s="46">
        <v>0</v>
      </c>
      <c r="M1686" s="46">
        <f t="shared" si="479"/>
        <v>279788</v>
      </c>
      <c r="N1686" s="46">
        <v>279788</v>
      </c>
      <c r="O1686" s="48">
        <f t="shared" si="480"/>
        <v>0</v>
      </c>
      <c r="P1686" s="46">
        <v>0</v>
      </c>
      <c r="Q1686" s="46">
        <v>279788</v>
      </c>
      <c r="R1686" s="49">
        <f t="shared" si="481"/>
        <v>1</v>
      </c>
      <c r="S1686" s="50">
        <f t="shared" si="482"/>
        <v>0.01</v>
      </c>
      <c r="T1686" s="49">
        <f t="shared" si="483"/>
        <v>2797.88</v>
      </c>
      <c r="U1686" s="51">
        <f t="shared" si="484"/>
        <v>0</v>
      </c>
      <c r="V1686" s="52">
        <f>IF(0&lt;0.8,0,IF(0&lt;1,Sheet3!L561,1))*IF(G1686&lt;3,0.12 - O1686,0.01) *U1686</f>
        <v>0</v>
      </c>
      <c r="W1686" s="52">
        <f t="shared" si="485"/>
        <v>0</v>
      </c>
      <c r="X1686" s="53">
        <f t="shared" si="486"/>
        <v>0</v>
      </c>
      <c r="Y1686" s="53">
        <f t="shared" si="487"/>
        <v>0</v>
      </c>
      <c r="Z1686" s="54">
        <f t="shared" si="493"/>
        <v>0</v>
      </c>
      <c r="AA1686" s="54">
        <f t="shared" si="488"/>
        <v>0</v>
      </c>
      <c r="AB1686" s="55">
        <f t="shared" si="494"/>
        <v>0</v>
      </c>
      <c r="AC1686" s="55">
        <f t="shared" si="489"/>
        <v>0</v>
      </c>
      <c r="AD1686" s="56">
        <f t="shared" si="490"/>
        <v>2797.88</v>
      </c>
    </row>
    <row r="1687" spans="3:30">
      <c r="C1687" s="43" t="s">
        <v>3074</v>
      </c>
      <c r="D1687" s="44" t="s">
        <v>3075</v>
      </c>
      <c r="E1687" s="44"/>
      <c r="F1687" s="45">
        <v>40183.608981481477</v>
      </c>
      <c r="G1687" s="46">
        <v>104</v>
      </c>
      <c r="H1687" s="47">
        <v>43372</v>
      </c>
      <c r="I1687" s="47">
        <v>43434</v>
      </c>
      <c r="J1687" s="46">
        <v>924379</v>
      </c>
      <c r="K1687" s="46">
        <v>0</v>
      </c>
      <c r="L1687" s="46">
        <v>0</v>
      </c>
      <c r="M1687" s="46">
        <f t="shared" si="479"/>
        <v>924379</v>
      </c>
      <c r="N1687" s="46">
        <v>924379</v>
      </c>
      <c r="O1687" s="48">
        <f t="shared" si="480"/>
        <v>0</v>
      </c>
      <c r="P1687" s="46">
        <v>0</v>
      </c>
      <c r="Q1687" s="46">
        <v>924379</v>
      </c>
      <c r="R1687" s="49">
        <f t="shared" si="481"/>
        <v>1</v>
      </c>
      <c r="S1687" s="50">
        <f t="shared" si="482"/>
        <v>0.01</v>
      </c>
      <c r="T1687" s="49">
        <f t="shared" si="483"/>
        <v>9243.7900000000009</v>
      </c>
      <c r="U1687" s="51">
        <f t="shared" si="484"/>
        <v>0</v>
      </c>
      <c r="V1687" s="52">
        <f>IF(0&lt;0.8,0,IF(0&lt;1,Sheet3!L561,1))*IF(G1687&lt;3,0.12 - O1687,0.01) *U1687</f>
        <v>0</v>
      </c>
      <c r="W1687" s="52">
        <f t="shared" si="485"/>
        <v>0</v>
      </c>
      <c r="X1687" s="53">
        <f t="shared" si="486"/>
        <v>0</v>
      </c>
      <c r="Y1687" s="53">
        <f t="shared" si="487"/>
        <v>0</v>
      </c>
      <c r="Z1687" s="54">
        <f t="shared" si="493"/>
        <v>0</v>
      </c>
      <c r="AA1687" s="54">
        <f t="shared" si="488"/>
        <v>0</v>
      </c>
      <c r="AB1687" s="55">
        <f t="shared" si="494"/>
        <v>0</v>
      </c>
      <c r="AC1687" s="55">
        <f t="shared" si="489"/>
        <v>0</v>
      </c>
      <c r="AD1687" s="56">
        <f t="shared" si="490"/>
        <v>9243.7900000000009</v>
      </c>
    </row>
    <row r="1688" spans="3:30">
      <c r="C1688" s="43" t="s">
        <v>3076</v>
      </c>
      <c r="D1688" s="44" t="s">
        <v>3077</v>
      </c>
      <c r="E1688" s="44"/>
      <c r="F1688" s="45">
        <v>40214.630636574075</v>
      </c>
      <c r="G1688" s="46">
        <v>103</v>
      </c>
      <c r="H1688" s="47">
        <v>43378</v>
      </c>
      <c r="I1688" s="47">
        <v>43418</v>
      </c>
      <c r="J1688" s="46">
        <v>8352375</v>
      </c>
      <c r="K1688" s="46">
        <v>0</v>
      </c>
      <c r="L1688" s="46">
        <v>0</v>
      </c>
      <c r="M1688" s="46">
        <f t="shared" si="479"/>
        <v>8352375</v>
      </c>
      <c r="N1688" s="46">
        <v>8504839</v>
      </c>
      <c r="O1688" s="48">
        <f t="shared" si="480"/>
        <v>1.7926735591349829E-2</v>
      </c>
      <c r="P1688" s="46">
        <v>0</v>
      </c>
      <c r="Q1688" s="46">
        <v>8352375</v>
      </c>
      <c r="R1688" s="49">
        <f t="shared" si="481"/>
        <v>1</v>
      </c>
      <c r="S1688" s="50">
        <f t="shared" si="482"/>
        <v>0.01</v>
      </c>
      <c r="T1688" s="49">
        <f t="shared" si="483"/>
        <v>83523.75</v>
      </c>
      <c r="U1688" s="51">
        <f t="shared" si="484"/>
        <v>0</v>
      </c>
      <c r="V1688" s="52">
        <f>IF(0&lt;0.8,0,IF(0&lt;1,Sheet3!L561,1))*IF(G1688&lt;3,0.12 - O1688,0.01) *U1688</f>
        <v>0</v>
      </c>
      <c r="W1688" s="52">
        <f t="shared" si="485"/>
        <v>0</v>
      </c>
      <c r="X1688" s="53">
        <f t="shared" si="486"/>
        <v>0</v>
      </c>
      <c r="Y1688" s="53">
        <f t="shared" si="487"/>
        <v>0</v>
      </c>
      <c r="Z1688" s="54">
        <f t="shared" si="493"/>
        <v>0</v>
      </c>
      <c r="AA1688" s="54">
        <f t="shared" si="488"/>
        <v>0</v>
      </c>
      <c r="AB1688" s="55">
        <f t="shared" si="494"/>
        <v>0</v>
      </c>
      <c r="AC1688" s="55">
        <f t="shared" si="489"/>
        <v>0</v>
      </c>
      <c r="AD1688" s="56">
        <f t="shared" si="490"/>
        <v>83523.75</v>
      </c>
    </row>
    <row r="1689" spans="3:30">
      <c r="C1689" s="43" t="s">
        <v>3078</v>
      </c>
      <c r="D1689" s="44" t="s">
        <v>3079</v>
      </c>
      <c r="E1689" s="44"/>
      <c r="F1689" s="45">
        <v>40267.376620370371</v>
      </c>
      <c r="G1689" s="46">
        <v>102</v>
      </c>
      <c r="H1689" s="47">
        <v>43378</v>
      </c>
      <c r="I1689" s="47">
        <v>43390</v>
      </c>
      <c r="J1689" s="46">
        <v>830302</v>
      </c>
      <c r="K1689" s="46">
        <v>0</v>
      </c>
      <c r="L1689" s="46">
        <v>0</v>
      </c>
      <c r="M1689" s="46">
        <f t="shared" si="479"/>
        <v>830302</v>
      </c>
      <c r="N1689" s="46">
        <v>830302</v>
      </c>
      <c r="O1689" s="48">
        <f t="shared" si="480"/>
        <v>0</v>
      </c>
      <c r="P1689" s="46">
        <v>0</v>
      </c>
      <c r="Q1689" s="46">
        <v>830302</v>
      </c>
      <c r="R1689" s="49">
        <f t="shared" si="481"/>
        <v>1</v>
      </c>
      <c r="S1689" s="50">
        <f t="shared" si="482"/>
        <v>0.01</v>
      </c>
      <c r="T1689" s="49">
        <f t="shared" si="483"/>
        <v>8303.02</v>
      </c>
      <c r="U1689" s="51">
        <f t="shared" si="484"/>
        <v>0</v>
      </c>
      <c r="V1689" s="52">
        <f>IF(0&lt;0.8,0,IF(0&lt;1,Sheet3!L561,1))*IF(G1689&lt;3,0.12 - O1689,0.01) *U1689</f>
        <v>0</v>
      </c>
      <c r="W1689" s="52">
        <f t="shared" si="485"/>
        <v>0</v>
      </c>
      <c r="X1689" s="53">
        <f t="shared" si="486"/>
        <v>0</v>
      </c>
      <c r="Y1689" s="53">
        <f t="shared" si="487"/>
        <v>0</v>
      </c>
      <c r="Z1689" s="54">
        <f t="shared" si="493"/>
        <v>0</v>
      </c>
      <c r="AA1689" s="54">
        <f t="shared" si="488"/>
        <v>0</v>
      </c>
      <c r="AB1689" s="55">
        <f t="shared" si="494"/>
        <v>0</v>
      </c>
      <c r="AC1689" s="55">
        <f t="shared" si="489"/>
        <v>0</v>
      </c>
      <c r="AD1689" s="56">
        <f t="shared" si="490"/>
        <v>8303.02</v>
      </c>
    </row>
    <row r="1690" spans="3:30">
      <c r="C1690" s="43" t="s">
        <v>3080</v>
      </c>
      <c r="D1690" s="44" t="s">
        <v>3081</v>
      </c>
      <c r="E1690" s="44"/>
      <c r="F1690" s="45">
        <v>40267.378935185181</v>
      </c>
      <c r="G1690" s="46">
        <v>102</v>
      </c>
      <c r="H1690" s="47">
        <v>43378</v>
      </c>
      <c r="I1690" s="47">
        <v>43416</v>
      </c>
      <c r="J1690" s="46">
        <v>313499</v>
      </c>
      <c r="K1690" s="46">
        <v>0</v>
      </c>
      <c r="L1690" s="46">
        <v>0</v>
      </c>
      <c r="M1690" s="46">
        <f t="shared" si="479"/>
        <v>313499</v>
      </c>
      <c r="N1690" s="46">
        <v>308667</v>
      </c>
      <c r="O1690" s="48">
        <f t="shared" si="480"/>
        <v>0</v>
      </c>
      <c r="P1690" s="46">
        <v>0</v>
      </c>
      <c r="Q1690" s="46">
        <v>313499</v>
      </c>
      <c r="R1690" s="49">
        <f t="shared" si="481"/>
        <v>1</v>
      </c>
      <c r="S1690" s="50">
        <f t="shared" si="482"/>
        <v>0.01</v>
      </c>
      <c r="T1690" s="49">
        <f t="shared" si="483"/>
        <v>3134.9900000000002</v>
      </c>
      <c r="U1690" s="51">
        <f t="shared" si="484"/>
        <v>0</v>
      </c>
      <c r="V1690" s="52">
        <f>IF(0&lt;0.8,0,IF(0&lt;1,Sheet3!L561,1))*IF(G1690&lt;3,0.12 - O1690,0.01) *U1690</f>
        <v>0</v>
      </c>
      <c r="W1690" s="52">
        <f t="shared" si="485"/>
        <v>0</v>
      </c>
      <c r="X1690" s="53">
        <f t="shared" si="486"/>
        <v>0</v>
      </c>
      <c r="Y1690" s="53">
        <f t="shared" si="487"/>
        <v>0</v>
      </c>
      <c r="Z1690" s="54">
        <f t="shared" si="493"/>
        <v>0</v>
      </c>
      <c r="AA1690" s="54">
        <f t="shared" si="488"/>
        <v>0</v>
      </c>
      <c r="AB1690" s="55">
        <f t="shared" si="494"/>
        <v>0</v>
      </c>
      <c r="AC1690" s="55">
        <f t="shared" si="489"/>
        <v>0</v>
      </c>
      <c r="AD1690" s="56">
        <f t="shared" si="490"/>
        <v>3134.9900000000002</v>
      </c>
    </row>
    <row r="1691" spans="3:30">
      <c r="C1691" s="43" t="s">
        <v>3082</v>
      </c>
      <c r="D1691" s="44" t="s">
        <v>3083</v>
      </c>
      <c r="E1691" s="44"/>
      <c r="F1691" s="45">
        <v>40486.626354166663</v>
      </c>
      <c r="G1691" s="46">
        <v>94</v>
      </c>
      <c r="H1691" s="47">
        <v>43372</v>
      </c>
      <c r="I1691" s="47">
        <v>43373</v>
      </c>
      <c r="J1691" s="46">
        <v>216711</v>
      </c>
      <c r="K1691" s="46">
        <v>0</v>
      </c>
      <c r="L1691" s="46">
        <v>0</v>
      </c>
      <c r="M1691" s="46">
        <f t="shared" si="479"/>
        <v>216711</v>
      </c>
      <c r="N1691" s="46">
        <v>216711</v>
      </c>
      <c r="O1691" s="48">
        <f t="shared" si="480"/>
        <v>0</v>
      </c>
      <c r="P1691" s="46">
        <v>0</v>
      </c>
      <c r="Q1691" s="46">
        <v>216711</v>
      </c>
      <c r="R1691" s="49">
        <f t="shared" si="481"/>
        <v>1</v>
      </c>
      <c r="S1691" s="50">
        <f t="shared" si="482"/>
        <v>0.01</v>
      </c>
      <c r="T1691" s="49">
        <f t="shared" si="483"/>
        <v>2167.11</v>
      </c>
      <c r="U1691" s="51">
        <f t="shared" si="484"/>
        <v>0</v>
      </c>
      <c r="V1691" s="52">
        <f>IF(0&lt;0.8,0,IF(0&lt;1,Sheet3!L561,1))*IF(G1691&lt;3,0.12 - O1691,0.01) *U1691</f>
        <v>0</v>
      </c>
      <c r="W1691" s="52">
        <f t="shared" si="485"/>
        <v>0</v>
      </c>
      <c r="X1691" s="53">
        <f t="shared" si="486"/>
        <v>0</v>
      </c>
      <c r="Y1691" s="53">
        <f t="shared" si="487"/>
        <v>0</v>
      </c>
      <c r="Z1691" s="54">
        <f t="shared" si="493"/>
        <v>0</v>
      </c>
      <c r="AA1691" s="54">
        <f t="shared" si="488"/>
        <v>0</v>
      </c>
      <c r="AB1691" s="55">
        <f t="shared" si="494"/>
        <v>0</v>
      </c>
      <c r="AC1691" s="55">
        <f t="shared" si="489"/>
        <v>0</v>
      </c>
      <c r="AD1691" s="56">
        <f t="shared" si="490"/>
        <v>2167.11</v>
      </c>
    </row>
    <row r="1692" spans="3:30">
      <c r="C1692" s="43" t="s">
        <v>3084</v>
      </c>
      <c r="D1692" s="44" t="s">
        <v>3085</v>
      </c>
      <c r="E1692" s="44"/>
      <c r="F1692" s="45">
        <v>40553.473912037036</v>
      </c>
      <c r="G1692" s="46">
        <v>92</v>
      </c>
      <c r="H1692" s="47">
        <v>43378</v>
      </c>
      <c r="I1692" s="47">
        <v>43390</v>
      </c>
      <c r="J1692" s="46">
        <v>269965</v>
      </c>
      <c r="K1692" s="46">
        <v>0</v>
      </c>
      <c r="L1692" s="46">
        <v>0</v>
      </c>
      <c r="M1692" s="46">
        <f t="shared" si="479"/>
        <v>269965</v>
      </c>
      <c r="N1692" s="46">
        <v>269965</v>
      </c>
      <c r="O1692" s="48">
        <f t="shared" si="480"/>
        <v>0</v>
      </c>
      <c r="P1692" s="46">
        <v>0</v>
      </c>
      <c r="Q1692" s="46">
        <v>269965</v>
      </c>
      <c r="R1692" s="49">
        <f t="shared" si="481"/>
        <v>1</v>
      </c>
      <c r="S1692" s="50">
        <f t="shared" si="482"/>
        <v>0.01</v>
      </c>
      <c r="T1692" s="49">
        <f t="shared" si="483"/>
        <v>2699.65</v>
      </c>
      <c r="U1692" s="51">
        <f t="shared" si="484"/>
        <v>0</v>
      </c>
      <c r="V1692" s="52">
        <f>IF(0&lt;0.8,0,IF(0&lt;1,Sheet3!L561,1))*IF(G1692&lt;3,0.12 - O1692,0.01) *U1692</f>
        <v>0</v>
      </c>
      <c r="W1692" s="52">
        <f t="shared" si="485"/>
        <v>0</v>
      </c>
      <c r="X1692" s="53">
        <f t="shared" si="486"/>
        <v>0</v>
      </c>
      <c r="Y1692" s="53">
        <f t="shared" si="487"/>
        <v>0</v>
      </c>
      <c r="Z1692" s="54">
        <f t="shared" si="493"/>
        <v>0</v>
      </c>
      <c r="AA1692" s="54">
        <f t="shared" si="488"/>
        <v>0</v>
      </c>
      <c r="AB1692" s="55">
        <f t="shared" si="494"/>
        <v>0</v>
      </c>
      <c r="AC1692" s="55">
        <f t="shared" si="489"/>
        <v>0</v>
      </c>
      <c r="AD1692" s="56">
        <f t="shared" si="490"/>
        <v>2699.65</v>
      </c>
    </row>
    <row r="1693" spans="3:30">
      <c r="C1693" s="43" t="s">
        <v>3086</v>
      </c>
      <c r="D1693" s="44" t="s">
        <v>3087</v>
      </c>
      <c r="E1693" s="44"/>
      <c r="F1693" s="45">
        <v>40610.452511574069</v>
      </c>
      <c r="G1693" s="46">
        <v>90</v>
      </c>
      <c r="H1693" s="47">
        <v>43378</v>
      </c>
      <c r="I1693" s="47">
        <v>43411</v>
      </c>
      <c r="J1693" s="46">
        <v>216333</v>
      </c>
      <c r="K1693" s="46">
        <v>0</v>
      </c>
      <c r="L1693" s="46">
        <v>0</v>
      </c>
      <c r="M1693" s="46">
        <f t="shared" si="479"/>
        <v>216333</v>
      </c>
      <c r="N1693" s="46">
        <v>216333</v>
      </c>
      <c r="O1693" s="48">
        <f t="shared" si="480"/>
        <v>0</v>
      </c>
      <c r="P1693" s="46">
        <v>0</v>
      </c>
      <c r="Q1693" s="46">
        <v>216333</v>
      </c>
      <c r="R1693" s="49">
        <f t="shared" si="481"/>
        <v>1</v>
      </c>
      <c r="S1693" s="50">
        <f t="shared" si="482"/>
        <v>0.01</v>
      </c>
      <c r="T1693" s="49">
        <f t="shared" si="483"/>
        <v>2163.33</v>
      </c>
      <c r="U1693" s="51">
        <f t="shared" si="484"/>
        <v>0</v>
      </c>
      <c r="V1693" s="52">
        <f>IF(0&lt;0.8,0,IF(0&lt;1,Sheet3!L561,1))*IF(G1693&lt;3,0.12 - O1693,0.01) *U1693</f>
        <v>0</v>
      </c>
      <c r="W1693" s="52">
        <f t="shared" si="485"/>
        <v>0</v>
      </c>
      <c r="X1693" s="53">
        <f t="shared" si="486"/>
        <v>0</v>
      </c>
      <c r="Y1693" s="53">
        <f t="shared" si="487"/>
        <v>0</v>
      </c>
      <c r="Z1693" s="54">
        <f t="shared" si="493"/>
        <v>0</v>
      </c>
      <c r="AA1693" s="54">
        <f t="shared" si="488"/>
        <v>0</v>
      </c>
      <c r="AB1693" s="55">
        <f t="shared" si="494"/>
        <v>0</v>
      </c>
      <c r="AC1693" s="55">
        <f t="shared" si="489"/>
        <v>0</v>
      </c>
      <c r="AD1693" s="56">
        <f t="shared" si="490"/>
        <v>2163.33</v>
      </c>
    </row>
    <row r="1694" spans="3:30">
      <c r="C1694" s="43" t="s">
        <v>3088</v>
      </c>
      <c r="D1694" s="44" t="s">
        <v>3089</v>
      </c>
      <c r="E1694" s="44"/>
      <c r="F1694" s="45">
        <v>40641.382847222223</v>
      </c>
      <c r="G1694" s="46">
        <v>89</v>
      </c>
      <c r="H1694" s="47">
        <v>43378</v>
      </c>
      <c r="I1694" s="47">
        <v>43406</v>
      </c>
      <c r="J1694" s="46">
        <v>2217891</v>
      </c>
      <c r="K1694" s="46">
        <v>0</v>
      </c>
      <c r="L1694" s="46">
        <v>0</v>
      </c>
      <c r="M1694" s="46">
        <f t="shared" si="479"/>
        <v>2217891</v>
      </c>
      <c r="N1694" s="46">
        <v>2217891</v>
      </c>
      <c r="O1694" s="48">
        <f t="shared" si="480"/>
        <v>0</v>
      </c>
      <c r="P1694" s="46">
        <v>0</v>
      </c>
      <c r="Q1694" s="46">
        <v>2217891</v>
      </c>
      <c r="R1694" s="49">
        <f t="shared" si="481"/>
        <v>1</v>
      </c>
      <c r="S1694" s="50">
        <f t="shared" si="482"/>
        <v>0.01</v>
      </c>
      <c r="T1694" s="49">
        <f t="shared" si="483"/>
        <v>22178.91</v>
      </c>
      <c r="U1694" s="51">
        <f t="shared" si="484"/>
        <v>0</v>
      </c>
      <c r="V1694" s="52">
        <f>IF(0&lt;0.8,0,IF(0&lt;1,Sheet3!L561,1))*IF(G1694&lt;3,0.12 - O1694,0.01) *U1694</f>
        <v>0</v>
      </c>
      <c r="W1694" s="52">
        <f t="shared" si="485"/>
        <v>0</v>
      </c>
      <c r="X1694" s="53">
        <f t="shared" si="486"/>
        <v>0</v>
      </c>
      <c r="Y1694" s="53">
        <f t="shared" si="487"/>
        <v>0</v>
      </c>
      <c r="Z1694" s="54">
        <f t="shared" si="493"/>
        <v>0</v>
      </c>
      <c r="AA1694" s="54">
        <f t="shared" si="488"/>
        <v>0</v>
      </c>
      <c r="AB1694" s="55">
        <f t="shared" si="494"/>
        <v>0</v>
      </c>
      <c r="AC1694" s="55">
        <f t="shared" si="489"/>
        <v>0</v>
      </c>
      <c r="AD1694" s="56">
        <f t="shared" si="490"/>
        <v>22178.91</v>
      </c>
    </row>
    <row r="1695" spans="3:30">
      <c r="C1695" s="43" t="s">
        <v>3090</v>
      </c>
      <c r="D1695" s="44" t="s">
        <v>3091</v>
      </c>
      <c r="E1695" s="44"/>
      <c r="F1695" s="45">
        <v>40647.718773148146</v>
      </c>
      <c r="G1695" s="46">
        <v>89</v>
      </c>
      <c r="H1695" s="47">
        <v>43418</v>
      </c>
      <c r="I1695" s="47">
        <v>43420</v>
      </c>
      <c r="J1695" s="46">
        <v>32269</v>
      </c>
      <c r="K1695" s="46">
        <v>0</v>
      </c>
      <c r="L1695" s="46">
        <v>0</v>
      </c>
      <c r="M1695" s="46">
        <f t="shared" si="479"/>
        <v>32269</v>
      </c>
      <c r="N1695" s="46">
        <v>32269</v>
      </c>
      <c r="O1695" s="48">
        <f t="shared" si="480"/>
        <v>0</v>
      </c>
      <c r="P1695" s="46">
        <v>0</v>
      </c>
      <c r="Q1695" s="46">
        <v>32269</v>
      </c>
      <c r="R1695" s="49">
        <f t="shared" si="481"/>
        <v>1</v>
      </c>
      <c r="S1695" s="50">
        <f t="shared" si="482"/>
        <v>0.01</v>
      </c>
      <c r="T1695" s="49">
        <f t="shared" si="483"/>
        <v>322.69</v>
      </c>
      <c r="U1695" s="51">
        <f t="shared" si="484"/>
        <v>0</v>
      </c>
      <c r="V1695" s="52">
        <f>IF(0&lt;0.8,0,IF(0&lt;1,Sheet3!L561,1))*IF(G1695&lt;3,0.12 - O1695,0.01) *U1695</f>
        <v>0</v>
      </c>
      <c r="W1695" s="52">
        <f t="shared" si="485"/>
        <v>0</v>
      </c>
      <c r="X1695" s="53">
        <f t="shared" si="486"/>
        <v>0</v>
      </c>
      <c r="Y1695" s="53">
        <f t="shared" si="487"/>
        <v>0</v>
      </c>
      <c r="Z1695" s="54">
        <f t="shared" si="493"/>
        <v>0</v>
      </c>
      <c r="AA1695" s="54">
        <f t="shared" si="488"/>
        <v>0</v>
      </c>
      <c r="AB1695" s="55">
        <f t="shared" si="494"/>
        <v>0</v>
      </c>
      <c r="AC1695" s="55">
        <f t="shared" si="489"/>
        <v>0</v>
      </c>
      <c r="AD1695" s="56">
        <f t="shared" si="490"/>
        <v>322.69</v>
      </c>
    </row>
    <row r="1696" spans="3:30">
      <c r="C1696" s="43" t="s">
        <v>3092</v>
      </c>
      <c r="D1696" s="44" t="s">
        <v>3093</v>
      </c>
      <c r="E1696" s="44"/>
      <c r="F1696" s="45">
        <v>40674.712824074071</v>
      </c>
      <c r="G1696" s="46">
        <v>88</v>
      </c>
      <c r="H1696" s="47">
        <v>43378</v>
      </c>
      <c r="I1696" s="47">
        <v>43410</v>
      </c>
      <c r="J1696" s="46">
        <v>639332</v>
      </c>
      <c r="K1696" s="46">
        <v>0</v>
      </c>
      <c r="L1696" s="46">
        <v>0</v>
      </c>
      <c r="M1696" s="46">
        <f t="shared" si="479"/>
        <v>639332</v>
      </c>
      <c r="N1696" s="46">
        <v>639416</v>
      </c>
      <c r="O1696" s="48">
        <f t="shared" si="480"/>
        <v>1.3136987501094488E-4</v>
      </c>
      <c r="P1696" s="46">
        <v>0</v>
      </c>
      <c r="Q1696" s="46">
        <v>639332</v>
      </c>
      <c r="R1696" s="49">
        <f t="shared" si="481"/>
        <v>1</v>
      </c>
      <c r="S1696" s="50">
        <f t="shared" si="482"/>
        <v>0.01</v>
      </c>
      <c r="T1696" s="49">
        <f t="shared" si="483"/>
        <v>6393.32</v>
      </c>
      <c r="U1696" s="51">
        <f t="shared" si="484"/>
        <v>0</v>
      </c>
      <c r="V1696" s="52">
        <f>IF(0&lt;0.8,0,IF(0&lt;1,Sheet3!L561,1))*IF(G1696&lt;3,0.12 - O1696,0.01) *U1696</f>
        <v>0</v>
      </c>
      <c r="W1696" s="52">
        <f t="shared" si="485"/>
        <v>0</v>
      </c>
      <c r="X1696" s="53">
        <f t="shared" si="486"/>
        <v>0</v>
      </c>
      <c r="Y1696" s="53">
        <f t="shared" si="487"/>
        <v>0</v>
      </c>
      <c r="Z1696" s="54">
        <f t="shared" si="493"/>
        <v>0</v>
      </c>
      <c r="AA1696" s="54">
        <f t="shared" si="488"/>
        <v>0</v>
      </c>
      <c r="AB1696" s="55">
        <f t="shared" si="494"/>
        <v>0</v>
      </c>
      <c r="AC1696" s="55">
        <f t="shared" si="489"/>
        <v>0</v>
      </c>
      <c r="AD1696" s="56">
        <f t="shared" si="490"/>
        <v>6393.32</v>
      </c>
    </row>
    <row r="1697" spans="3:30">
      <c r="C1697" s="43" t="s">
        <v>3094</v>
      </c>
      <c r="D1697" s="44" t="s">
        <v>3095</v>
      </c>
      <c r="E1697" s="44"/>
      <c r="F1697" s="45">
        <v>40802.562731481477</v>
      </c>
      <c r="G1697" s="46">
        <v>84</v>
      </c>
      <c r="H1697" s="47">
        <v>43378</v>
      </c>
      <c r="I1697" s="47">
        <v>43396</v>
      </c>
      <c r="J1697" s="46">
        <v>418497</v>
      </c>
      <c r="K1697" s="46">
        <v>0</v>
      </c>
      <c r="L1697" s="46">
        <v>0</v>
      </c>
      <c r="M1697" s="46">
        <f t="shared" si="479"/>
        <v>418497</v>
      </c>
      <c r="N1697" s="46">
        <v>384653</v>
      </c>
      <c r="O1697" s="48">
        <f t="shared" si="480"/>
        <v>0</v>
      </c>
      <c r="P1697" s="46">
        <v>0</v>
      </c>
      <c r="Q1697" s="46">
        <v>418497</v>
      </c>
      <c r="R1697" s="49">
        <f t="shared" si="481"/>
        <v>1</v>
      </c>
      <c r="S1697" s="50">
        <f t="shared" si="482"/>
        <v>0.01</v>
      </c>
      <c r="T1697" s="49">
        <f t="shared" si="483"/>
        <v>4184.97</v>
      </c>
      <c r="U1697" s="51">
        <f t="shared" si="484"/>
        <v>0</v>
      </c>
      <c r="V1697" s="52">
        <f>IF(0&lt;0.8,0,IF(0&lt;1,Sheet3!L561,1))*IF(G1697&lt;3,0.12 - O1697,0.01) *U1697</f>
        <v>0</v>
      </c>
      <c r="W1697" s="52">
        <f t="shared" si="485"/>
        <v>0</v>
      </c>
      <c r="X1697" s="53">
        <f t="shared" si="486"/>
        <v>0</v>
      </c>
      <c r="Y1697" s="53">
        <f t="shared" si="487"/>
        <v>0</v>
      </c>
      <c r="Z1697" s="54">
        <f t="shared" si="493"/>
        <v>0</v>
      </c>
      <c r="AA1697" s="54">
        <f t="shared" si="488"/>
        <v>0</v>
      </c>
      <c r="AB1697" s="55">
        <f t="shared" si="494"/>
        <v>0</v>
      </c>
      <c r="AC1697" s="55">
        <f t="shared" si="489"/>
        <v>0</v>
      </c>
      <c r="AD1697" s="56">
        <f t="shared" si="490"/>
        <v>4184.97</v>
      </c>
    </row>
    <row r="1698" spans="3:30">
      <c r="C1698" s="43" t="s">
        <v>3096</v>
      </c>
      <c r="D1698" s="44" t="s">
        <v>3097</v>
      </c>
      <c r="E1698" s="44"/>
      <c r="F1698" s="45">
        <v>40802.571909722217</v>
      </c>
      <c r="G1698" s="46">
        <v>84</v>
      </c>
      <c r="H1698" s="47">
        <v>43378</v>
      </c>
      <c r="I1698" s="47">
        <v>43425</v>
      </c>
      <c r="J1698" s="46">
        <v>1823392</v>
      </c>
      <c r="K1698" s="46">
        <v>0</v>
      </c>
      <c r="L1698" s="46">
        <v>0</v>
      </c>
      <c r="M1698" s="46">
        <f t="shared" si="479"/>
        <v>1823392</v>
      </c>
      <c r="N1698" s="46">
        <v>1823392</v>
      </c>
      <c r="O1698" s="48">
        <f t="shared" si="480"/>
        <v>0</v>
      </c>
      <c r="P1698" s="46">
        <v>0</v>
      </c>
      <c r="Q1698" s="46">
        <v>1823392</v>
      </c>
      <c r="R1698" s="49">
        <f t="shared" si="481"/>
        <v>1</v>
      </c>
      <c r="S1698" s="50">
        <f t="shared" si="482"/>
        <v>0.01</v>
      </c>
      <c r="T1698" s="49">
        <f t="shared" si="483"/>
        <v>18233.920000000002</v>
      </c>
      <c r="U1698" s="51">
        <f t="shared" si="484"/>
        <v>0</v>
      </c>
      <c r="V1698" s="52">
        <f>IF(0&lt;0.8,0,IF(0&lt;1,Sheet3!L561,1))*IF(G1698&lt;3,0.12 - O1698,0.01) *U1698</f>
        <v>0</v>
      </c>
      <c r="W1698" s="52">
        <f t="shared" si="485"/>
        <v>0</v>
      </c>
      <c r="X1698" s="53">
        <f t="shared" si="486"/>
        <v>0</v>
      </c>
      <c r="Y1698" s="53">
        <f t="shared" si="487"/>
        <v>0</v>
      </c>
      <c r="Z1698" s="54">
        <f t="shared" si="493"/>
        <v>0</v>
      </c>
      <c r="AA1698" s="54">
        <f t="shared" si="488"/>
        <v>0</v>
      </c>
      <c r="AB1698" s="55">
        <f t="shared" si="494"/>
        <v>0</v>
      </c>
      <c r="AC1698" s="55">
        <f t="shared" si="489"/>
        <v>0</v>
      </c>
      <c r="AD1698" s="56">
        <f t="shared" si="490"/>
        <v>18233.920000000002</v>
      </c>
    </row>
    <row r="1699" spans="3:30">
      <c r="C1699" s="43" t="s">
        <v>3098</v>
      </c>
      <c r="D1699" s="44" t="s">
        <v>3099</v>
      </c>
      <c r="E1699" s="44"/>
      <c r="F1699" s="45">
        <v>40808.634351851848</v>
      </c>
      <c r="G1699" s="46">
        <v>84</v>
      </c>
      <c r="H1699" s="47">
        <v>43420</v>
      </c>
      <c r="I1699" s="47">
        <v>43420</v>
      </c>
      <c r="J1699" s="46">
        <v>139723</v>
      </c>
      <c r="K1699" s="46">
        <v>0</v>
      </c>
      <c r="L1699" s="46">
        <v>0</v>
      </c>
      <c r="M1699" s="46">
        <f t="shared" si="479"/>
        <v>139723</v>
      </c>
      <c r="N1699" s="46">
        <v>139723</v>
      </c>
      <c r="O1699" s="48">
        <f t="shared" si="480"/>
        <v>0</v>
      </c>
      <c r="P1699" s="46">
        <v>0</v>
      </c>
      <c r="Q1699" s="46">
        <v>139723</v>
      </c>
      <c r="R1699" s="49">
        <f t="shared" si="481"/>
        <v>1</v>
      </c>
      <c r="S1699" s="50">
        <f t="shared" si="482"/>
        <v>0.01</v>
      </c>
      <c r="T1699" s="49">
        <f t="shared" si="483"/>
        <v>1397.23</v>
      </c>
      <c r="U1699" s="51">
        <f t="shared" si="484"/>
        <v>0</v>
      </c>
      <c r="V1699" s="52">
        <f>IF(0&lt;0.8,0,IF(0&lt;1,Sheet3!L561,1))*IF(G1699&lt;3,0.12 - O1699,0.01) *U1699</f>
        <v>0</v>
      </c>
      <c r="W1699" s="52">
        <f t="shared" si="485"/>
        <v>0</v>
      </c>
      <c r="X1699" s="53">
        <f t="shared" si="486"/>
        <v>0</v>
      </c>
      <c r="Y1699" s="53">
        <f t="shared" si="487"/>
        <v>0</v>
      </c>
      <c r="Z1699" s="54">
        <f t="shared" si="493"/>
        <v>0</v>
      </c>
      <c r="AA1699" s="54">
        <f t="shared" si="488"/>
        <v>0</v>
      </c>
      <c r="AB1699" s="55">
        <f t="shared" si="494"/>
        <v>0</v>
      </c>
      <c r="AC1699" s="55">
        <f t="shared" si="489"/>
        <v>0</v>
      </c>
      <c r="AD1699" s="56">
        <f t="shared" si="490"/>
        <v>1397.23</v>
      </c>
    </row>
    <row r="1700" spans="3:30">
      <c r="C1700" s="43" t="s">
        <v>3100</v>
      </c>
      <c r="D1700" s="44" t="s">
        <v>3101</v>
      </c>
      <c r="E1700" s="44"/>
      <c r="F1700" s="45">
        <v>40819.644097222219</v>
      </c>
      <c r="G1700" s="46">
        <v>83</v>
      </c>
      <c r="H1700" s="47">
        <v>43373</v>
      </c>
      <c r="I1700" s="47">
        <v>43439</v>
      </c>
      <c r="J1700" s="46">
        <v>144840</v>
      </c>
      <c r="K1700" s="46">
        <v>0</v>
      </c>
      <c r="L1700" s="46">
        <v>0</v>
      </c>
      <c r="M1700" s="46">
        <f t="shared" si="479"/>
        <v>144840</v>
      </c>
      <c r="N1700" s="46">
        <v>144840</v>
      </c>
      <c r="O1700" s="48">
        <f t="shared" si="480"/>
        <v>0</v>
      </c>
      <c r="P1700" s="46">
        <v>0</v>
      </c>
      <c r="Q1700" s="46">
        <v>144840</v>
      </c>
      <c r="R1700" s="49">
        <f t="shared" si="481"/>
        <v>1</v>
      </c>
      <c r="S1700" s="50">
        <f t="shared" si="482"/>
        <v>0.01</v>
      </c>
      <c r="T1700" s="49">
        <f t="shared" si="483"/>
        <v>1448.4</v>
      </c>
      <c r="U1700" s="51">
        <f t="shared" si="484"/>
        <v>0</v>
      </c>
      <c r="V1700" s="52">
        <f>IF(0&lt;0.8,0,IF(0&lt;1,Sheet3!L561,1))*IF(G1700&lt;3,0.12 - O1700,0.01) *U1700</f>
        <v>0</v>
      </c>
      <c r="W1700" s="52">
        <f t="shared" si="485"/>
        <v>0</v>
      </c>
      <c r="X1700" s="53">
        <f t="shared" si="486"/>
        <v>0</v>
      </c>
      <c r="Y1700" s="53">
        <f t="shared" si="487"/>
        <v>0</v>
      </c>
      <c r="Z1700" s="54">
        <f t="shared" si="493"/>
        <v>0</v>
      </c>
      <c r="AA1700" s="54">
        <f t="shared" si="488"/>
        <v>0</v>
      </c>
      <c r="AB1700" s="55">
        <f t="shared" si="494"/>
        <v>0</v>
      </c>
      <c r="AC1700" s="55">
        <f t="shared" si="489"/>
        <v>0</v>
      </c>
      <c r="AD1700" s="56">
        <f t="shared" si="490"/>
        <v>1448.4</v>
      </c>
    </row>
    <row r="1701" spans="3:30">
      <c r="C1701" s="43" t="s">
        <v>3102</v>
      </c>
      <c r="D1701" s="44" t="s">
        <v>3103</v>
      </c>
      <c r="E1701" s="44"/>
      <c r="F1701" s="45">
        <v>40844.415150462963</v>
      </c>
      <c r="G1701" s="46">
        <v>83</v>
      </c>
      <c r="H1701" s="47">
        <v>43452</v>
      </c>
      <c r="I1701" s="47">
        <v>43472</v>
      </c>
      <c r="J1701" s="46">
        <v>42917377</v>
      </c>
      <c r="K1701" s="46">
        <v>2863362</v>
      </c>
      <c r="L1701" s="46">
        <v>0</v>
      </c>
      <c r="M1701" s="46">
        <f t="shared" si="479"/>
        <v>40054015</v>
      </c>
      <c r="N1701" s="46">
        <v>46034624</v>
      </c>
      <c r="O1701" s="48">
        <f t="shared" si="480"/>
        <v>0.12991545233431256</v>
      </c>
      <c r="P1701" s="46">
        <v>0</v>
      </c>
      <c r="Q1701" s="46">
        <v>42847562</v>
      </c>
      <c r="R1701" s="49">
        <f t="shared" si="481"/>
        <v>1</v>
      </c>
      <c r="S1701" s="50">
        <f t="shared" si="482"/>
        <v>0.01</v>
      </c>
      <c r="T1701" s="49">
        <f t="shared" si="483"/>
        <v>400540.15</v>
      </c>
      <c r="U1701" s="51">
        <f t="shared" si="484"/>
        <v>0</v>
      </c>
      <c r="V1701" s="52">
        <f>IF(0&lt;0.8,0,IF(0&lt;1,Sheet3!L561,1))*IF(G1701&lt;3,0.12 - O1701,0.01) *U1701</f>
        <v>0</v>
      </c>
      <c r="W1701" s="52">
        <f t="shared" si="485"/>
        <v>0</v>
      </c>
      <c r="X1701" s="53">
        <f t="shared" si="486"/>
        <v>0</v>
      </c>
      <c r="Y1701" s="53">
        <f t="shared" si="487"/>
        <v>0</v>
      </c>
      <c r="Z1701" s="54">
        <f t="shared" si="493"/>
        <v>0</v>
      </c>
      <c r="AA1701" s="54">
        <f t="shared" si="488"/>
        <v>0</v>
      </c>
      <c r="AB1701" s="55">
        <f t="shared" si="494"/>
        <v>0</v>
      </c>
      <c r="AC1701" s="55">
        <f t="shared" si="489"/>
        <v>0</v>
      </c>
      <c r="AD1701" s="56">
        <f t="shared" si="490"/>
        <v>400540.15</v>
      </c>
    </row>
    <row r="1702" spans="3:30">
      <c r="C1702" s="43" t="s">
        <v>3104</v>
      </c>
      <c r="D1702" s="44" t="s">
        <v>3105</v>
      </c>
      <c r="E1702" s="44"/>
      <c r="F1702" s="45">
        <v>41046.599062499998</v>
      </c>
      <c r="G1702" s="46">
        <v>76</v>
      </c>
      <c r="H1702" s="47">
        <v>43378</v>
      </c>
      <c r="I1702" s="47">
        <v>43416</v>
      </c>
      <c r="J1702" s="46">
        <v>647552</v>
      </c>
      <c r="K1702" s="46">
        <v>0</v>
      </c>
      <c r="L1702" s="46">
        <v>0</v>
      </c>
      <c r="M1702" s="46">
        <f t="shared" si="479"/>
        <v>647552</v>
      </c>
      <c r="N1702" s="46">
        <v>647552</v>
      </c>
      <c r="O1702" s="48">
        <f t="shared" si="480"/>
        <v>0</v>
      </c>
      <c r="P1702" s="46">
        <v>0</v>
      </c>
      <c r="Q1702" s="46">
        <v>647552</v>
      </c>
      <c r="R1702" s="49">
        <f t="shared" si="481"/>
        <v>1</v>
      </c>
      <c r="S1702" s="50">
        <f t="shared" si="482"/>
        <v>0.01</v>
      </c>
      <c r="T1702" s="49">
        <f t="shared" si="483"/>
        <v>6475.52</v>
      </c>
      <c r="U1702" s="51">
        <f t="shared" si="484"/>
        <v>0</v>
      </c>
      <c r="V1702" s="52">
        <f>IF(0&lt;0.8,0,IF(0&lt;1,Sheet3!L561,1))*IF(G1702&lt;3,0.12 - O1702,0.01) *U1702</f>
        <v>0</v>
      </c>
      <c r="W1702" s="52">
        <f t="shared" si="485"/>
        <v>0</v>
      </c>
      <c r="X1702" s="53">
        <f t="shared" si="486"/>
        <v>0</v>
      </c>
      <c r="Y1702" s="53">
        <f t="shared" si="487"/>
        <v>0</v>
      </c>
      <c r="Z1702" s="54">
        <f t="shared" si="493"/>
        <v>0</v>
      </c>
      <c r="AA1702" s="54">
        <f t="shared" si="488"/>
        <v>0</v>
      </c>
      <c r="AB1702" s="55">
        <f t="shared" si="494"/>
        <v>0</v>
      </c>
      <c r="AC1702" s="55">
        <f t="shared" si="489"/>
        <v>0</v>
      </c>
      <c r="AD1702" s="56">
        <f t="shared" si="490"/>
        <v>6475.52</v>
      </c>
    </row>
    <row r="1703" spans="3:30">
      <c r="C1703" s="43" t="s">
        <v>3106</v>
      </c>
      <c r="D1703" s="44" t="s">
        <v>3107</v>
      </c>
      <c r="E1703" s="44"/>
      <c r="F1703" s="45">
        <v>41046.703993055555</v>
      </c>
      <c r="G1703" s="46">
        <v>76</v>
      </c>
      <c r="H1703" s="47">
        <v>43378</v>
      </c>
      <c r="I1703" s="47">
        <v>43390</v>
      </c>
      <c r="J1703" s="46">
        <v>274095</v>
      </c>
      <c r="K1703" s="46">
        <v>0</v>
      </c>
      <c r="L1703" s="46">
        <v>0</v>
      </c>
      <c r="M1703" s="46">
        <f t="shared" si="479"/>
        <v>274095</v>
      </c>
      <c r="N1703" s="46">
        <v>274095</v>
      </c>
      <c r="O1703" s="48">
        <f t="shared" si="480"/>
        <v>0</v>
      </c>
      <c r="P1703" s="46">
        <v>0</v>
      </c>
      <c r="Q1703" s="46">
        <v>274095</v>
      </c>
      <c r="R1703" s="49">
        <f t="shared" si="481"/>
        <v>1</v>
      </c>
      <c r="S1703" s="50">
        <f t="shared" si="482"/>
        <v>0.01</v>
      </c>
      <c r="T1703" s="49">
        <f t="shared" si="483"/>
        <v>2740.9500000000003</v>
      </c>
      <c r="U1703" s="51">
        <f t="shared" si="484"/>
        <v>0</v>
      </c>
      <c r="V1703" s="52">
        <f>IF(0&lt;0.8,0,IF(0&lt;1,Sheet3!L561,1))*IF(G1703&lt;3,0.12 - O1703,0.01) *U1703</f>
        <v>0</v>
      </c>
      <c r="W1703" s="52">
        <f t="shared" si="485"/>
        <v>0</v>
      </c>
      <c r="X1703" s="53">
        <f t="shared" si="486"/>
        <v>0</v>
      </c>
      <c r="Y1703" s="53">
        <f t="shared" si="487"/>
        <v>0</v>
      </c>
      <c r="Z1703" s="54">
        <f t="shared" si="493"/>
        <v>0</v>
      </c>
      <c r="AA1703" s="54">
        <f t="shared" si="488"/>
        <v>0</v>
      </c>
      <c r="AB1703" s="55">
        <f t="shared" si="494"/>
        <v>0</v>
      </c>
      <c r="AC1703" s="55">
        <f t="shared" si="489"/>
        <v>0</v>
      </c>
      <c r="AD1703" s="56">
        <f t="shared" si="490"/>
        <v>2740.9500000000003</v>
      </c>
    </row>
    <row r="1704" spans="3:30">
      <c r="C1704" s="43" t="s">
        <v>3108</v>
      </c>
      <c r="D1704" s="44" t="s">
        <v>3109</v>
      </c>
      <c r="E1704" s="44"/>
      <c r="F1704" s="45">
        <v>41058.387141203704</v>
      </c>
      <c r="G1704" s="46">
        <v>76</v>
      </c>
      <c r="H1704" s="47">
        <v>43378</v>
      </c>
      <c r="I1704" s="47">
        <v>43392</v>
      </c>
      <c r="J1704" s="46">
        <v>458179</v>
      </c>
      <c r="K1704" s="46">
        <v>0</v>
      </c>
      <c r="L1704" s="46">
        <v>0</v>
      </c>
      <c r="M1704" s="46">
        <f t="shared" si="479"/>
        <v>458179</v>
      </c>
      <c r="N1704" s="46">
        <v>458179</v>
      </c>
      <c r="O1704" s="48">
        <f t="shared" si="480"/>
        <v>0</v>
      </c>
      <c r="P1704" s="46">
        <v>0</v>
      </c>
      <c r="Q1704" s="46">
        <v>458179</v>
      </c>
      <c r="R1704" s="49">
        <f t="shared" si="481"/>
        <v>1</v>
      </c>
      <c r="S1704" s="50">
        <f t="shared" si="482"/>
        <v>0.01</v>
      </c>
      <c r="T1704" s="49">
        <f t="shared" si="483"/>
        <v>4581.79</v>
      </c>
      <c r="U1704" s="51">
        <f t="shared" si="484"/>
        <v>0</v>
      </c>
      <c r="V1704" s="52">
        <f>IF(0&lt;0.8,0,IF(0&lt;1,Sheet3!L561,1))*IF(G1704&lt;3,0.12 - O1704,0.01) *U1704</f>
        <v>0</v>
      </c>
      <c r="W1704" s="52">
        <f t="shared" si="485"/>
        <v>0</v>
      </c>
      <c r="X1704" s="53">
        <f t="shared" si="486"/>
        <v>0</v>
      </c>
      <c r="Y1704" s="53">
        <f t="shared" si="487"/>
        <v>0</v>
      </c>
      <c r="Z1704" s="54">
        <f t="shared" si="493"/>
        <v>0</v>
      </c>
      <c r="AA1704" s="54">
        <f t="shared" si="488"/>
        <v>0</v>
      </c>
      <c r="AB1704" s="55">
        <f t="shared" si="494"/>
        <v>0</v>
      </c>
      <c r="AC1704" s="55">
        <f t="shared" si="489"/>
        <v>0</v>
      </c>
      <c r="AD1704" s="56">
        <f t="shared" si="490"/>
        <v>4581.79</v>
      </c>
    </row>
    <row r="1705" spans="3:30">
      <c r="C1705" s="43" t="s">
        <v>3110</v>
      </c>
      <c r="D1705" s="44" t="s">
        <v>3111</v>
      </c>
      <c r="E1705" s="44"/>
      <c r="F1705" s="45">
        <v>41058.38957175926</v>
      </c>
      <c r="G1705" s="46">
        <v>76</v>
      </c>
      <c r="H1705" s="47">
        <v>43384</v>
      </c>
      <c r="I1705" s="47">
        <v>43406</v>
      </c>
      <c r="J1705" s="46">
        <v>3837612</v>
      </c>
      <c r="K1705" s="46">
        <v>0</v>
      </c>
      <c r="L1705" s="46">
        <v>0</v>
      </c>
      <c r="M1705" s="46">
        <f t="shared" si="479"/>
        <v>3837612</v>
      </c>
      <c r="N1705" s="46">
        <v>3833656</v>
      </c>
      <c r="O1705" s="48">
        <f t="shared" si="480"/>
        <v>0</v>
      </c>
      <c r="P1705" s="46">
        <v>0</v>
      </c>
      <c r="Q1705" s="46">
        <v>3837612</v>
      </c>
      <c r="R1705" s="49">
        <f t="shared" si="481"/>
        <v>1</v>
      </c>
      <c r="S1705" s="50">
        <f t="shared" si="482"/>
        <v>0.01</v>
      </c>
      <c r="T1705" s="49">
        <f t="shared" si="483"/>
        <v>38376.120000000003</v>
      </c>
      <c r="U1705" s="51">
        <f t="shared" si="484"/>
        <v>0</v>
      </c>
      <c r="V1705" s="52">
        <f>IF(0&lt;0.8,0,IF(0&lt;1,Sheet3!L561,1))*IF(G1705&lt;3,0.12 - O1705,0.01) *U1705</f>
        <v>0</v>
      </c>
      <c r="W1705" s="52">
        <f t="shared" si="485"/>
        <v>0</v>
      </c>
      <c r="X1705" s="53">
        <f t="shared" si="486"/>
        <v>0</v>
      </c>
      <c r="Y1705" s="53">
        <f t="shared" si="487"/>
        <v>0</v>
      </c>
      <c r="Z1705" s="54">
        <f t="shared" si="493"/>
        <v>0</v>
      </c>
      <c r="AA1705" s="54">
        <f t="shared" si="488"/>
        <v>0</v>
      </c>
      <c r="AB1705" s="55">
        <f t="shared" si="494"/>
        <v>0</v>
      </c>
      <c r="AC1705" s="55">
        <f t="shared" si="489"/>
        <v>0</v>
      </c>
      <c r="AD1705" s="56">
        <f t="shared" si="490"/>
        <v>38376.120000000003</v>
      </c>
    </row>
    <row r="1706" spans="3:30">
      <c r="C1706" s="43" t="s">
        <v>3112</v>
      </c>
      <c r="D1706" s="44" t="s">
        <v>3113</v>
      </c>
      <c r="E1706" s="44"/>
      <c r="F1706" s="45">
        <v>41075.485555555555</v>
      </c>
      <c r="G1706" s="46">
        <v>75</v>
      </c>
      <c r="H1706" s="47">
        <v>43372</v>
      </c>
      <c r="I1706" s="47">
        <v>43389</v>
      </c>
      <c r="J1706" s="46">
        <v>3632162</v>
      </c>
      <c r="K1706" s="46">
        <v>0</v>
      </c>
      <c r="L1706" s="46">
        <v>0</v>
      </c>
      <c r="M1706" s="46">
        <f t="shared" si="479"/>
        <v>3632162</v>
      </c>
      <c r="N1706" s="46">
        <v>3759934</v>
      </c>
      <c r="O1706" s="48">
        <f t="shared" si="480"/>
        <v>3.3982511395146853E-2</v>
      </c>
      <c r="P1706" s="46">
        <v>0</v>
      </c>
      <c r="Q1706" s="46">
        <v>3632162</v>
      </c>
      <c r="R1706" s="49">
        <f t="shared" si="481"/>
        <v>1</v>
      </c>
      <c r="S1706" s="50">
        <f t="shared" si="482"/>
        <v>0.01</v>
      </c>
      <c r="T1706" s="49">
        <f t="shared" si="483"/>
        <v>36321.620000000003</v>
      </c>
      <c r="U1706" s="51">
        <f t="shared" si="484"/>
        <v>0</v>
      </c>
      <c r="V1706" s="52">
        <f>IF(0&lt;0.8,0,IF(0&lt;1,Sheet3!L561,1))*IF(G1706&lt;3,0.12 - O1706,0.01) *U1706</f>
        <v>0</v>
      </c>
      <c r="W1706" s="52">
        <f t="shared" si="485"/>
        <v>0</v>
      </c>
      <c r="X1706" s="53">
        <f t="shared" si="486"/>
        <v>0</v>
      </c>
      <c r="Y1706" s="53">
        <f t="shared" si="487"/>
        <v>0</v>
      </c>
      <c r="Z1706" s="54">
        <f t="shared" si="493"/>
        <v>0</v>
      </c>
      <c r="AA1706" s="54">
        <f t="shared" si="488"/>
        <v>0</v>
      </c>
      <c r="AB1706" s="55">
        <f t="shared" si="494"/>
        <v>0</v>
      </c>
      <c r="AC1706" s="55">
        <f t="shared" si="489"/>
        <v>0</v>
      </c>
      <c r="AD1706" s="56">
        <f t="shared" si="490"/>
        <v>36321.620000000003</v>
      </c>
    </row>
    <row r="1707" spans="3:30">
      <c r="C1707" s="43" t="s">
        <v>3114</v>
      </c>
      <c r="D1707" s="44" t="s">
        <v>3115</v>
      </c>
      <c r="E1707" s="44"/>
      <c r="F1707" s="45">
        <v>41093.600243055553</v>
      </c>
      <c r="G1707" s="46">
        <v>74</v>
      </c>
      <c r="H1707" s="47">
        <v>43384</v>
      </c>
      <c r="I1707" s="47">
        <v>43455</v>
      </c>
      <c r="J1707" s="46">
        <v>2857430</v>
      </c>
      <c r="K1707" s="46">
        <v>0</v>
      </c>
      <c r="L1707" s="46">
        <v>0</v>
      </c>
      <c r="M1707" s="46">
        <f t="shared" si="479"/>
        <v>2857430</v>
      </c>
      <c r="N1707" s="46">
        <v>2841883</v>
      </c>
      <c r="O1707" s="48">
        <f t="shared" si="480"/>
        <v>0</v>
      </c>
      <c r="P1707" s="46">
        <v>0</v>
      </c>
      <c r="Q1707" s="46">
        <v>2857430</v>
      </c>
      <c r="R1707" s="49">
        <f t="shared" si="481"/>
        <v>1</v>
      </c>
      <c r="S1707" s="50">
        <f t="shared" si="482"/>
        <v>0.01</v>
      </c>
      <c r="T1707" s="49">
        <f t="shared" si="483"/>
        <v>28574.3</v>
      </c>
      <c r="U1707" s="51">
        <f t="shared" si="484"/>
        <v>0</v>
      </c>
      <c r="V1707" s="52">
        <f>IF(0&lt;0.8,0,IF(0&lt;1,Sheet3!L561,1))*IF(G1707&lt;3,0.12 - O1707,0.01) *U1707</f>
        <v>0</v>
      </c>
      <c r="W1707" s="52">
        <f t="shared" si="485"/>
        <v>0</v>
      </c>
      <c r="X1707" s="53">
        <f t="shared" si="486"/>
        <v>0</v>
      </c>
      <c r="Y1707" s="53">
        <f t="shared" si="487"/>
        <v>0</v>
      </c>
      <c r="Z1707" s="54">
        <f t="shared" si="493"/>
        <v>0</v>
      </c>
      <c r="AA1707" s="54">
        <f t="shared" si="488"/>
        <v>0</v>
      </c>
      <c r="AB1707" s="55">
        <f t="shared" si="494"/>
        <v>0</v>
      </c>
      <c r="AC1707" s="55">
        <f t="shared" si="489"/>
        <v>0</v>
      </c>
      <c r="AD1707" s="56">
        <f t="shared" si="490"/>
        <v>28574.3</v>
      </c>
    </row>
    <row r="1708" spans="3:30">
      <c r="C1708" s="43" t="s">
        <v>3116</v>
      </c>
      <c r="D1708" s="44" t="s">
        <v>3117</v>
      </c>
      <c r="E1708" s="44"/>
      <c r="F1708" s="45">
        <v>41137.660393518519</v>
      </c>
      <c r="G1708" s="46">
        <v>73</v>
      </c>
      <c r="H1708" s="47">
        <v>43395</v>
      </c>
      <c r="I1708" s="47">
        <v>43416</v>
      </c>
      <c r="J1708" s="46">
        <v>441609</v>
      </c>
      <c r="K1708" s="46">
        <v>0</v>
      </c>
      <c r="L1708" s="46">
        <v>0</v>
      </c>
      <c r="M1708" s="46">
        <f t="shared" si="479"/>
        <v>441609</v>
      </c>
      <c r="N1708" s="46">
        <v>441609</v>
      </c>
      <c r="O1708" s="48">
        <f t="shared" si="480"/>
        <v>0</v>
      </c>
      <c r="P1708" s="46">
        <v>0</v>
      </c>
      <c r="Q1708" s="46">
        <v>441609</v>
      </c>
      <c r="R1708" s="49">
        <f t="shared" si="481"/>
        <v>1</v>
      </c>
      <c r="S1708" s="50">
        <f t="shared" si="482"/>
        <v>0.01</v>
      </c>
      <c r="T1708" s="49">
        <f t="shared" si="483"/>
        <v>4416.09</v>
      </c>
      <c r="U1708" s="51">
        <f t="shared" si="484"/>
        <v>0</v>
      </c>
      <c r="V1708" s="52">
        <f>IF(0&lt;0.8,0,IF(0&lt;1,Sheet3!L561,1))*IF(G1708&lt;3,0.12 - O1708,0.01) *U1708</f>
        <v>0</v>
      </c>
      <c r="W1708" s="52">
        <f t="shared" si="485"/>
        <v>0</v>
      </c>
      <c r="X1708" s="53">
        <f t="shared" si="486"/>
        <v>0</v>
      </c>
      <c r="Y1708" s="53">
        <f t="shared" si="487"/>
        <v>0</v>
      </c>
      <c r="Z1708" s="54">
        <f t="shared" si="493"/>
        <v>0</v>
      </c>
      <c r="AA1708" s="54">
        <f t="shared" si="488"/>
        <v>0</v>
      </c>
      <c r="AB1708" s="55">
        <f t="shared" si="494"/>
        <v>0</v>
      </c>
      <c r="AC1708" s="55">
        <f t="shared" si="489"/>
        <v>0</v>
      </c>
      <c r="AD1708" s="56">
        <f t="shared" si="490"/>
        <v>4416.09</v>
      </c>
    </row>
    <row r="1709" spans="3:30">
      <c r="C1709" s="43" t="s">
        <v>3118</v>
      </c>
      <c r="D1709" s="44" t="s">
        <v>3119</v>
      </c>
      <c r="E1709" s="44"/>
      <c r="F1709" s="45">
        <v>41284.691620370366</v>
      </c>
      <c r="G1709" s="46">
        <v>68</v>
      </c>
      <c r="H1709" s="47">
        <v>43384</v>
      </c>
      <c r="I1709" s="47">
        <v>43453</v>
      </c>
      <c r="J1709" s="46">
        <v>294986</v>
      </c>
      <c r="K1709" s="46">
        <v>0</v>
      </c>
      <c r="L1709" s="46">
        <v>0</v>
      </c>
      <c r="M1709" s="46">
        <f t="shared" si="479"/>
        <v>294986</v>
      </c>
      <c r="N1709" s="46">
        <v>294986</v>
      </c>
      <c r="O1709" s="48">
        <f t="shared" si="480"/>
        <v>0</v>
      </c>
      <c r="P1709" s="46">
        <v>0</v>
      </c>
      <c r="Q1709" s="46">
        <v>294986</v>
      </c>
      <c r="R1709" s="49">
        <f t="shared" si="481"/>
        <v>1</v>
      </c>
      <c r="S1709" s="50">
        <f t="shared" si="482"/>
        <v>0.01</v>
      </c>
      <c r="T1709" s="49">
        <f t="shared" si="483"/>
        <v>2949.86</v>
      </c>
      <c r="U1709" s="51">
        <f t="shared" si="484"/>
        <v>0</v>
      </c>
      <c r="V1709" s="52">
        <f>IF(0&lt;0.8,0,IF(0&lt;1,Sheet3!L561,1))*IF(G1709&lt;3,0.12 - O1709,0.01) *U1709</f>
        <v>0</v>
      </c>
      <c r="W1709" s="52">
        <f t="shared" si="485"/>
        <v>0</v>
      </c>
      <c r="X1709" s="53">
        <f t="shared" si="486"/>
        <v>0</v>
      </c>
      <c r="Y1709" s="53">
        <f t="shared" si="487"/>
        <v>0</v>
      </c>
      <c r="Z1709" s="54">
        <f t="shared" si="493"/>
        <v>0</v>
      </c>
      <c r="AA1709" s="54">
        <f t="shared" si="488"/>
        <v>0</v>
      </c>
      <c r="AB1709" s="55">
        <f t="shared" si="494"/>
        <v>0</v>
      </c>
      <c r="AC1709" s="55">
        <f t="shared" si="489"/>
        <v>0</v>
      </c>
      <c r="AD1709" s="56">
        <f t="shared" si="490"/>
        <v>2949.86</v>
      </c>
    </row>
    <row r="1710" spans="3:30">
      <c r="C1710" s="43" t="s">
        <v>3120</v>
      </c>
      <c r="D1710" s="44" t="s">
        <v>3121</v>
      </c>
      <c r="E1710" s="44"/>
      <c r="F1710" s="45">
        <v>41289.562569444446</v>
      </c>
      <c r="G1710" s="46">
        <v>68</v>
      </c>
      <c r="H1710" s="47">
        <v>43384</v>
      </c>
      <c r="I1710" s="47">
        <v>43425</v>
      </c>
      <c r="J1710" s="46">
        <v>18763785</v>
      </c>
      <c r="K1710" s="46">
        <v>0</v>
      </c>
      <c r="L1710" s="46">
        <v>0</v>
      </c>
      <c r="M1710" s="46">
        <f t="shared" si="479"/>
        <v>18763785</v>
      </c>
      <c r="N1710" s="46">
        <v>18763785</v>
      </c>
      <c r="O1710" s="48">
        <f t="shared" si="480"/>
        <v>0</v>
      </c>
      <c r="P1710" s="46">
        <v>0</v>
      </c>
      <c r="Q1710" s="46">
        <v>18763785</v>
      </c>
      <c r="R1710" s="49">
        <f t="shared" si="481"/>
        <v>1</v>
      </c>
      <c r="S1710" s="50">
        <f t="shared" si="482"/>
        <v>0.01</v>
      </c>
      <c r="T1710" s="49">
        <f t="shared" si="483"/>
        <v>187637.85</v>
      </c>
      <c r="U1710" s="51">
        <f t="shared" si="484"/>
        <v>0</v>
      </c>
      <c r="V1710" s="52">
        <f>IF(0&lt;0.8,0,IF(0&lt;1,Sheet3!L561,1))*IF(G1710&lt;3,0.12 - O1710,0.01) *U1710</f>
        <v>0</v>
      </c>
      <c r="W1710" s="52">
        <f t="shared" si="485"/>
        <v>0</v>
      </c>
      <c r="X1710" s="53">
        <f t="shared" si="486"/>
        <v>0</v>
      </c>
      <c r="Y1710" s="53">
        <f t="shared" si="487"/>
        <v>0</v>
      </c>
      <c r="Z1710" s="54">
        <f t="shared" si="493"/>
        <v>0</v>
      </c>
      <c r="AA1710" s="54">
        <f t="shared" si="488"/>
        <v>0</v>
      </c>
      <c r="AB1710" s="55">
        <f t="shared" si="494"/>
        <v>0</v>
      </c>
      <c r="AC1710" s="55">
        <f t="shared" si="489"/>
        <v>0</v>
      </c>
      <c r="AD1710" s="56">
        <f t="shared" si="490"/>
        <v>187637.85</v>
      </c>
    </row>
    <row r="1711" spans="3:30">
      <c r="C1711" s="43" t="s">
        <v>3122</v>
      </c>
      <c r="D1711" s="44" t="s">
        <v>3123</v>
      </c>
      <c r="E1711" s="44"/>
      <c r="F1711" s="45">
        <v>41289.644814814812</v>
      </c>
      <c r="G1711" s="46">
        <v>68</v>
      </c>
      <c r="H1711" s="47">
        <v>43384</v>
      </c>
      <c r="I1711" s="47">
        <v>43389</v>
      </c>
      <c r="J1711" s="46">
        <v>482173</v>
      </c>
      <c r="K1711" s="46">
        <v>0</v>
      </c>
      <c r="L1711" s="46">
        <v>0</v>
      </c>
      <c r="M1711" s="46">
        <f t="shared" si="479"/>
        <v>482173</v>
      </c>
      <c r="N1711" s="46">
        <v>482173</v>
      </c>
      <c r="O1711" s="48">
        <f t="shared" si="480"/>
        <v>0</v>
      </c>
      <c r="P1711" s="46">
        <v>0</v>
      </c>
      <c r="Q1711" s="46">
        <v>482173</v>
      </c>
      <c r="R1711" s="49">
        <f t="shared" si="481"/>
        <v>1</v>
      </c>
      <c r="S1711" s="50">
        <f t="shared" si="482"/>
        <v>0.01</v>
      </c>
      <c r="T1711" s="49">
        <f t="shared" si="483"/>
        <v>4821.7300000000005</v>
      </c>
      <c r="U1711" s="51">
        <f t="shared" si="484"/>
        <v>0</v>
      </c>
      <c r="V1711" s="52">
        <f>IF(0&lt;0.8,0,IF(0&lt;1,Sheet3!L561,1))*IF(G1711&lt;3,0.12 - O1711,0.01) *U1711</f>
        <v>0</v>
      </c>
      <c r="W1711" s="52">
        <f t="shared" si="485"/>
        <v>0</v>
      </c>
      <c r="X1711" s="53">
        <f t="shared" si="486"/>
        <v>0</v>
      </c>
      <c r="Y1711" s="53">
        <f t="shared" si="487"/>
        <v>0</v>
      </c>
      <c r="Z1711" s="54">
        <f t="shared" si="493"/>
        <v>0</v>
      </c>
      <c r="AA1711" s="54">
        <f t="shared" si="488"/>
        <v>0</v>
      </c>
      <c r="AB1711" s="55">
        <f t="shared" si="494"/>
        <v>0</v>
      </c>
      <c r="AC1711" s="55">
        <f t="shared" si="489"/>
        <v>0</v>
      </c>
      <c r="AD1711" s="56">
        <f t="shared" si="490"/>
        <v>4821.7300000000005</v>
      </c>
    </row>
    <row r="1712" spans="3:30">
      <c r="C1712" s="43" t="s">
        <v>3124</v>
      </c>
      <c r="D1712" s="44" t="s">
        <v>3125</v>
      </c>
      <c r="E1712" s="44"/>
      <c r="F1712" s="45">
        <v>41332.583622685182</v>
      </c>
      <c r="G1712" s="46">
        <v>67</v>
      </c>
      <c r="H1712" s="47">
        <v>43384</v>
      </c>
      <c r="I1712" s="47">
        <v>43392</v>
      </c>
      <c r="J1712" s="46">
        <v>455279</v>
      </c>
      <c r="K1712" s="46">
        <v>0</v>
      </c>
      <c r="L1712" s="46">
        <v>0</v>
      </c>
      <c r="M1712" s="46">
        <f t="shared" si="479"/>
        <v>455279</v>
      </c>
      <c r="N1712" s="46">
        <v>455279</v>
      </c>
      <c r="O1712" s="48">
        <f t="shared" si="480"/>
        <v>0</v>
      </c>
      <c r="P1712" s="46">
        <v>0</v>
      </c>
      <c r="Q1712" s="46">
        <v>455279</v>
      </c>
      <c r="R1712" s="49">
        <f t="shared" si="481"/>
        <v>1</v>
      </c>
      <c r="S1712" s="50">
        <f t="shared" si="482"/>
        <v>0.01</v>
      </c>
      <c r="T1712" s="49">
        <f t="shared" si="483"/>
        <v>4552.79</v>
      </c>
      <c r="U1712" s="51">
        <f t="shared" si="484"/>
        <v>0</v>
      </c>
      <c r="V1712" s="52">
        <f>IF(0&lt;0.8,0,IF(0&lt;1,Sheet3!L561,1))*IF(G1712&lt;3,0.12 - O1712,0.01) *U1712</f>
        <v>0</v>
      </c>
      <c r="W1712" s="52">
        <f t="shared" si="485"/>
        <v>0</v>
      </c>
      <c r="X1712" s="53">
        <f t="shared" si="486"/>
        <v>0</v>
      </c>
      <c r="Y1712" s="53">
        <f t="shared" si="487"/>
        <v>0</v>
      </c>
      <c r="Z1712" s="54">
        <f t="shared" si="493"/>
        <v>0</v>
      </c>
      <c r="AA1712" s="54">
        <f t="shared" si="488"/>
        <v>0</v>
      </c>
      <c r="AB1712" s="55">
        <f t="shared" si="494"/>
        <v>0</v>
      </c>
      <c r="AC1712" s="55">
        <f t="shared" si="489"/>
        <v>0</v>
      </c>
      <c r="AD1712" s="56">
        <f t="shared" si="490"/>
        <v>4552.79</v>
      </c>
    </row>
    <row r="1713" spans="3:30">
      <c r="C1713" s="43" t="s">
        <v>3126</v>
      </c>
      <c r="D1713" s="44" t="s">
        <v>3127</v>
      </c>
      <c r="E1713" s="44"/>
      <c r="F1713" s="45">
        <v>41373.480474537035</v>
      </c>
      <c r="G1713" s="46">
        <v>65</v>
      </c>
      <c r="H1713" s="47">
        <v>43372</v>
      </c>
      <c r="I1713" s="47">
        <v>43404</v>
      </c>
      <c r="J1713" s="46">
        <v>659716</v>
      </c>
      <c r="K1713" s="46">
        <v>0</v>
      </c>
      <c r="L1713" s="46">
        <v>0</v>
      </c>
      <c r="M1713" s="46">
        <f t="shared" si="479"/>
        <v>659716</v>
      </c>
      <c r="N1713" s="46">
        <v>659716</v>
      </c>
      <c r="O1713" s="48">
        <f t="shared" si="480"/>
        <v>0</v>
      </c>
      <c r="P1713" s="46">
        <v>0</v>
      </c>
      <c r="Q1713" s="46">
        <v>659716</v>
      </c>
      <c r="R1713" s="49">
        <f t="shared" si="481"/>
        <v>1</v>
      </c>
      <c r="S1713" s="50">
        <f t="shared" si="482"/>
        <v>0.01</v>
      </c>
      <c r="T1713" s="49">
        <f t="shared" si="483"/>
        <v>6597.16</v>
      </c>
      <c r="U1713" s="51">
        <f t="shared" si="484"/>
        <v>0</v>
      </c>
      <c r="V1713" s="52">
        <f>IF(0&lt;0.8,0,IF(0&lt;1,Sheet3!L561,1))*IF(G1713&lt;3,0.12 - O1713,0.01) *U1713</f>
        <v>0</v>
      </c>
      <c r="W1713" s="52">
        <f t="shared" si="485"/>
        <v>0</v>
      </c>
      <c r="X1713" s="53">
        <f t="shared" si="486"/>
        <v>0</v>
      </c>
      <c r="Y1713" s="53">
        <f t="shared" si="487"/>
        <v>0</v>
      </c>
      <c r="Z1713" s="54">
        <f t="shared" si="493"/>
        <v>0</v>
      </c>
      <c r="AA1713" s="54">
        <f t="shared" si="488"/>
        <v>0</v>
      </c>
      <c r="AB1713" s="55">
        <f t="shared" si="494"/>
        <v>0</v>
      </c>
      <c r="AC1713" s="55">
        <f t="shared" si="489"/>
        <v>0</v>
      </c>
      <c r="AD1713" s="56">
        <f t="shared" si="490"/>
        <v>6597.16</v>
      </c>
    </row>
    <row r="1714" spans="3:30">
      <c r="C1714" s="43" t="s">
        <v>3128</v>
      </c>
      <c r="D1714" s="44" t="s">
        <v>3129</v>
      </c>
      <c r="E1714" s="44"/>
      <c r="F1714" s="45">
        <v>41380.593726851854</v>
      </c>
      <c r="G1714" s="46">
        <v>65</v>
      </c>
      <c r="H1714" s="47">
        <v>43372</v>
      </c>
      <c r="I1714" s="47">
        <v>43395</v>
      </c>
      <c r="J1714" s="46">
        <v>2278642</v>
      </c>
      <c r="K1714" s="46">
        <v>0</v>
      </c>
      <c r="L1714" s="46">
        <v>0</v>
      </c>
      <c r="M1714" s="46">
        <f t="shared" si="479"/>
        <v>2278642</v>
      </c>
      <c r="N1714" s="46">
        <v>2370382</v>
      </c>
      <c r="O1714" s="48">
        <f t="shared" si="480"/>
        <v>3.8702622615257809E-2</v>
      </c>
      <c r="P1714" s="46">
        <v>0</v>
      </c>
      <c r="Q1714" s="46">
        <v>2278642</v>
      </c>
      <c r="R1714" s="49">
        <f t="shared" si="481"/>
        <v>1</v>
      </c>
      <c r="S1714" s="50">
        <f t="shared" si="482"/>
        <v>0.01</v>
      </c>
      <c r="T1714" s="49">
        <f t="shared" si="483"/>
        <v>22786.420000000002</v>
      </c>
      <c r="U1714" s="51">
        <f t="shared" si="484"/>
        <v>0</v>
      </c>
      <c r="V1714" s="52">
        <f>IF(0&lt;0.8,0,IF(0&lt;1,Sheet3!L561,1))*IF(G1714&lt;3,0.12 - O1714,0.01) *U1714</f>
        <v>0</v>
      </c>
      <c r="W1714" s="52">
        <f t="shared" si="485"/>
        <v>0</v>
      </c>
      <c r="X1714" s="53">
        <f t="shared" si="486"/>
        <v>0</v>
      </c>
      <c r="Y1714" s="53">
        <f t="shared" si="487"/>
        <v>0</v>
      </c>
      <c r="Z1714" s="54">
        <f t="shared" si="493"/>
        <v>0</v>
      </c>
      <c r="AA1714" s="54">
        <f t="shared" si="488"/>
        <v>0</v>
      </c>
      <c r="AB1714" s="55">
        <f t="shared" si="494"/>
        <v>0</v>
      </c>
      <c r="AC1714" s="55">
        <f t="shared" si="489"/>
        <v>0</v>
      </c>
      <c r="AD1714" s="56">
        <f t="shared" si="490"/>
        <v>22786.420000000002</v>
      </c>
    </row>
    <row r="1715" spans="3:30">
      <c r="C1715" s="43" t="s">
        <v>3130</v>
      </c>
      <c r="D1715" s="44" t="s">
        <v>3131</v>
      </c>
      <c r="E1715" s="44"/>
      <c r="F1715" s="45">
        <v>41401.459722222222</v>
      </c>
      <c r="G1715" s="46">
        <v>64</v>
      </c>
      <c r="H1715" s="47">
        <v>43384</v>
      </c>
      <c r="I1715" s="47">
        <v>43453</v>
      </c>
      <c r="J1715" s="46">
        <v>485678</v>
      </c>
      <c r="K1715" s="46">
        <v>0</v>
      </c>
      <c r="L1715" s="46">
        <v>0</v>
      </c>
      <c r="M1715" s="46">
        <f t="shared" ref="M1715:M1778" si="495">IFERROR(J1715-K1715-L1715,0)</f>
        <v>485678</v>
      </c>
      <c r="N1715" s="46">
        <v>485678</v>
      </c>
      <c r="O1715" s="48">
        <f t="shared" ref="O1715:O1778" si="496">IFERROR(IF(1 - M1715/N1715&lt;0,0,1-M1715/N1715),0)</f>
        <v>0</v>
      </c>
      <c r="P1715" s="46">
        <v>0</v>
      </c>
      <c r="Q1715" s="46">
        <v>485678</v>
      </c>
      <c r="R1715" s="49">
        <f t="shared" ref="R1715:R1778" si="497">IF(F1715&lt;DATEVALUE("2018-07-01"),1,0)</f>
        <v>1</v>
      </c>
      <c r="S1715" s="50">
        <f t="shared" ref="S1715:S1778" si="498">IF(R1715=1,1%,0)</f>
        <v>0.01</v>
      </c>
      <c r="T1715" s="49">
        <f t="shared" ref="T1715:T1778" si="499">IFERROR(S1715*M1715,0)</f>
        <v>4856.78</v>
      </c>
      <c r="U1715" s="51">
        <f t="shared" ref="U1715:U1778" si="500">IF(O1715&lt;=0.12,1,0)*(1-R1715)*M1715</f>
        <v>0</v>
      </c>
      <c r="V1715" s="52">
        <f>IF(0&lt;0.8,0,IF(0&lt;1,Sheet3!L561,1))*IF(G1715&lt;3,0.12 - O1715,0.01) *U1715</f>
        <v>0</v>
      </c>
      <c r="W1715" s="52">
        <f t="shared" ref="W1715:W1778" si="501">IF(0&gt;1,IF(0&lt;=1.1,1,IF(0&lt;=1.2,2,IF(0&lt;=1.5,3,5))),0) * 1000000</f>
        <v>0</v>
      </c>
      <c r="X1715" s="53">
        <f t="shared" ref="X1715:X1778" si="502">IF(AND(P1715&gt;=150000000,P1715&lt;300000000),5000000,IF(AND(P1715&gt;=300000000,P1715&lt;500000000),10000000,IF(AND(P1715&gt;=300000000,P1715&lt;500000000),15000000,IF(AND(P1715&gt;=500000000,P1715&lt;3000000000),20000000,IF(P1715&gt;=30000000000,35000000,0))))) * (1-R1715)</f>
        <v>0</v>
      </c>
      <c r="Y1715" s="53">
        <f t="shared" ref="Y1715:Y1778" si="503">IFERROR(Q1715 * (1-R1715),0)</f>
        <v>0</v>
      </c>
      <c r="Z1715" s="54">
        <f t="shared" si="493"/>
        <v>0</v>
      </c>
      <c r="AA1715" s="54">
        <f t="shared" ref="AA1715:AA1778" si="504">IFERROR((1-R1715) * Z1715 * 2%,0)</f>
        <v>0</v>
      </c>
      <c r="AB1715" s="55">
        <f t="shared" si="494"/>
        <v>0</v>
      </c>
      <c r="AC1715" s="55">
        <f t="shared" ref="AC1715:AC1778" si="505">IFERROR(AB1715 * (1-R1715) * 2%,0)</f>
        <v>0</v>
      </c>
      <c r="AD1715" s="56">
        <f t="shared" ref="AD1715:AD1778" si="506">T1715+V1715+W1715+X1715+AA1715+AC1715</f>
        <v>4856.78</v>
      </c>
    </row>
    <row r="1716" spans="3:30">
      <c r="C1716" s="43" t="s">
        <v>3132</v>
      </c>
      <c r="D1716" s="44" t="s">
        <v>3133</v>
      </c>
      <c r="E1716" s="44"/>
      <c r="F1716" s="45">
        <v>41416.463680555556</v>
      </c>
      <c r="G1716" s="46">
        <v>64</v>
      </c>
      <c r="H1716" s="47">
        <v>43372</v>
      </c>
      <c r="I1716" s="47">
        <v>43373</v>
      </c>
      <c r="J1716" s="46">
        <v>178027</v>
      </c>
      <c r="K1716" s="46">
        <v>0</v>
      </c>
      <c r="L1716" s="46">
        <v>0</v>
      </c>
      <c r="M1716" s="46">
        <f t="shared" si="495"/>
        <v>178027</v>
      </c>
      <c r="N1716" s="46">
        <v>178027</v>
      </c>
      <c r="O1716" s="48">
        <f t="shared" si="496"/>
        <v>0</v>
      </c>
      <c r="P1716" s="46">
        <v>0</v>
      </c>
      <c r="Q1716" s="46">
        <v>178027</v>
      </c>
      <c r="R1716" s="49">
        <f t="shared" si="497"/>
        <v>1</v>
      </c>
      <c r="S1716" s="50">
        <f t="shared" si="498"/>
        <v>0.01</v>
      </c>
      <c r="T1716" s="49">
        <f t="shared" si="499"/>
        <v>1780.27</v>
      </c>
      <c r="U1716" s="51">
        <f t="shared" si="500"/>
        <v>0</v>
      </c>
      <c r="V1716" s="52">
        <f>IF(0&lt;0.8,0,IF(0&lt;1,Sheet3!L561,1))*IF(G1716&lt;3,0.12 - O1716,0.01) *U1716</f>
        <v>0</v>
      </c>
      <c r="W1716" s="52">
        <f t="shared" si="501"/>
        <v>0</v>
      </c>
      <c r="X1716" s="53">
        <f t="shared" si="502"/>
        <v>0</v>
      </c>
      <c r="Y1716" s="53">
        <f t="shared" si="503"/>
        <v>0</v>
      </c>
      <c r="Z1716" s="54">
        <f t="shared" si="493"/>
        <v>0</v>
      </c>
      <c r="AA1716" s="54">
        <f t="shared" si="504"/>
        <v>0</v>
      </c>
      <c r="AB1716" s="55">
        <f t="shared" si="494"/>
        <v>0</v>
      </c>
      <c r="AC1716" s="55">
        <f t="shared" si="505"/>
        <v>0</v>
      </c>
      <c r="AD1716" s="56">
        <f t="shared" si="506"/>
        <v>1780.27</v>
      </c>
    </row>
    <row r="1717" spans="3:30">
      <c r="C1717" s="43" t="s">
        <v>3134</v>
      </c>
      <c r="D1717" s="44" t="s">
        <v>3135</v>
      </c>
      <c r="E1717" s="44"/>
      <c r="F1717" s="45">
        <v>41431.637476851851</v>
      </c>
      <c r="G1717" s="46">
        <v>63</v>
      </c>
      <c r="H1717" s="47">
        <v>43372</v>
      </c>
      <c r="I1717" s="47">
        <v>43404</v>
      </c>
      <c r="J1717" s="46">
        <v>2300587</v>
      </c>
      <c r="K1717" s="46">
        <v>0</v>
      </c>
      <c r="L1717" s="46">
        <v>0</v>
      </c>
      <c r="M1717" s="46">
        <f t="shared" si="495"/>
        <v>2300587</v>
      </c>
      <c r="N1717" s="46">
        <v>2300587</v>
      </c>
      <c r="O1717" s="48">
        <f t="shared" si="496"/>
        <v>0</v>
      </c>
      <c r="P1717" s="46">
        <v>0</v>
      </c>
      <c r="Q1717" s="46">
        <v>2300587</v>
      </c>
      <c r="R1717" s="49">
        <f t="shared" si="497"/>
        <v>1</v>
      </c>
      <c r="S1717" s="50">
        <f t="shared" si="498"/>
        <v>0.01</v>
      </c>
      <c r="T1717" s="49">
        <f t="shared" si="499"/>
        <v>23005.87</v>
      </c>
      <c r="U1717" s="51">
        <f t="shared" si="500"/>
        <v>0</v>
      </c>
      <c r="V1717" s="52">
        <f>IF(0&lt;0.8,0,IF(0&lt;1,Sheet3!L561,1))*IF(G1717&lt;3,0.12 - O1717,0.01) *U1717</f>
        <v>0</v>
      </c>
      <c r="W1717" s="52">
        <f t="shared" si="501"/>
        <v>0</v>
      </c>
      <c r="X1717" s="53">
        <f t="shared" si="502"/>
        <v>0</v>
      </c>
      <c r="Y1717" s="53">
        <f t="shared" si="503"/>
        <v>0</v>
      </c>
      <c r="Z1717" s="54">
        <f t="shared" si="493"/>
        <v>0</v>
      </c>
      <c r="AA1717" s="54">
        <f t="shared" si="504"/>
        <v>0</v>
      </c>
      <c r="AB1717" s="55">
        <f t="shared" si="494"/>
        <v>0</v>
      </c>
      <c r="AC1717" s="55">
        <f t="shared" si="505"/>
        <v>0</v>
      </c>
      <c r="AD1717" s="56">
        <f t="shared" si="506"/>
        <v>23005.87</v>
      </c>
    </row>
    <row r="1718" spans="3:30">
      <c r="C1718" s="43" t="s">
        <v>3136</v>
      </c>
      <c r="D1718" s="44" t="s">
        <v>3137</v>
      </c>
      <c r="E1718" s="44"/>
      <c r="F1718" s="45">
        <v>41439.400150462963</v>
      </c>
      <c r="G1718" s="46">
        <v>63</v>
      </c>
      <c r="H1718" s="47">
        <v>43372</v>
      </c>
      <c r="I1718" s="47">
        <v>43396</v>
      </c>
      <c r="J1718" s="46">
        <v>289124</v>
      </c>
      <c r="K1718" s="46">
        <v>0</v>
      </c>
      <c r="L1718" s="46">
        <v>0</v>
      </c>
      <c r="M1718" s="46">
        <f t="shared" si="495"/>
        <v>289124</v>
      </c>
      <c r="N1718" s="46">
        <v>289124</v>
      </c>
      <c r="O1718" s="48">
        <f t="shared" si="496"/>
        <v>0</v>
      </c>
      <c r="P1718" s="46">
        <v>0</v>
      </c>
      <c r="Q1718" s="46">
        <v>289124</v>
      </c>
      <c r="R1718" s="49">
        <f t="shared" si="497"/>
        <v>1</v>
      </c>
      <c r="S1718" s="50">
        <f t="shared" si="498"/>
        <v>0.01</v>
      </c>
      <c r="T1718" s="49">
        <f t="shared" si="499"/>
        <v>2891.2400000000002</v>
      </c>
      <c r="U1718" s="51">
        <f t="shared" si="500"/>
        <v>0</v>
      </c>
      <c r="V1718" s="52">
        <f>IF(0&lt;0.8,0,IF(0&lt;1,Sheet3!L561,1))*IF(G1718&lt;3,0.12 - O1718,0.01) *U1718</f>
        <v>0</v>
      </c>
      <c r="W1718" s="52">
        <f t="shared" si="501"/>
        <v>0</v>
      </c>
      <c r="X1718" s="53">
        <f t="shared" si="502"/>
        <v>0</v>
      </c>
      <c r="Y1718" s="53">
        <f t="shared" si="503"/>
        <v>0</v>
      </c>
      <c r="Z1718" s="54">
        <f t="shared" si="493"/>
        <v>0</v>
      </c>
      <c r="AA1718" s="54">
        <f t="shared" si="504"/>
        <v>0</v>
      </c>
      <c r="AB1718" s="55">
        <f t="shared" si="494"/>
        <v>0</v>
      </c>
      <c r="AC1718" s="55">
        <f t="shared" si="505"/>
        <v>0</v>
      </c>
      <c r="AD1718" s="56">
        <f t="shared" si="506"/>
        <v>2891.2400000000002</v>
      </c>
    </row>
    <row r="1719" spans="3:30">
      <c r="C1719" s="43" t="s">
        <v>3138</v>
      </c>
      <c r="D1719" s="44" t="s">
        <v>3139</v>
      </c>
      <c r="E1719" s="44"/>
      <c r="F1719" s="45">
        <v>41524.570300925923</v>
      </c>
      <c r="G1719" s="46">
        <v>60</v>
      </c>
      <c r="H1719" s="47">
        <v>43384</v>
      </c>
      <c r="I1719" s="47">
        <v>43389</v>
      </c>
      <c r="J1719" s="46">
        <v>55187</v>
      </c>
      <c r="K1719" s="46">
        <v>0</v>
      </c>
      <c r="L1719" s="46">
        <v>0</v>
      </c>
      <c r="M1719" s="46">
        <f t="shared" si="495"/>
        <v>55187</v>
      </c>
      <c r="N1719" s="46">
        <v>55187</v>
      </c>
      <c r="O1719" s="48">
        <f t="shared" si="496"/>
        <v>0</v>
      </c>
      <c r="P1719" s="46">
        <v>0</v>
      </c>
      <c r="Q1719" s="46">
        <v>55187</v>
      </c>
      <c r="R1719" s="49">
        <f t="shared" si="497"/>
        <v>1</v>
      </c>
      <c r="S1719" s="50">
        <f t="shared" si="498"/>
        <v>0.01</v>
      </c>
      <c r="T1719" s="49">
        <f t="shared" si="499"/>
        <v>551.87</v>
      </c>
      <c r="U1719" s="51">
        <f t="shared" si="500"/>
        <v>0</v>
      </c>
      <c r="V1719" s="52">
        <f>IF(0&lt;0.8,0,IF(0&lt;1,Sheet3!L561,1))*IF(G1719&lt;3,0.12 - O1719,0.01) *U1719</f>
        <v>0</v>
      </c>
      <c r="W1719" s="52">
        <f t="shared" si="501"/>
        <v>0</v>
      </c>
      <c r="X1719" s="53">
        <f t="shared" si="502"/>
        <v>0</v>
      </c>
      <c r="Y1719" s="53">
        <f t="shared" si="503"/>
        <v>0</v>
      </c>
      <c r="Z1719" s="54">
        <f t="shared" si="493"/>
        <v>0</v>
      </c>
      <c r="AA1719" s="54">
        <f t="shared" si="504"/>
        <v>0</v>
      </c>
      <c r="AB1719" s="55">
        <f t="shared" si="494"/>
        <v>0</v>
      </c>
      <c r="AC1719" s="55">
        <f t="shared" si="505"/>
        <v>0</v>
      </c>
      <c r="AD1719" s="56">
        <f t="shared" si="506"/>
        <v>551.87</v>
      </c>
    </row>
    <row r="1720" spans="3:30">
      <c r="C1720" s="43" t="s">
        <v>3140</v>
      </c>
      <c r="D1720" s="44" t="s">
        <v>3141</v>
      </c>
      <c r="E1720" s="44"/>
      <c r="F1720" s="45">
        <v>41545.385254629626</v>
      </c>
      <c r="G1720" s="46">
        <v>60</v>
      </c>
      <c r="H1720" s="47">
        <v>43402</v>
      </c>
      <c r="I1720" s="47">
        <v>43416</v>
      </c>
      <c r="J1720" s="46">
        <v>27624204</v>
      </c>
      <c r="K1720" s="46">
        <v>0</v>
      </c>
      <c r="L1720" s="46">
        <v>0</v>
      </c>
      <c r="M1720" s="46">
        <f t="shared" si="495"/>
        <v>27624204</v>
      </c>
      <c r="N1720" s="46">
        <v>31227564</v>
      </c>
      <c r="O1720" s="48">
        <f t="shared" si="496"/>
        <v>0.11539036474314812</v>
      </c>
      <c r="P1720" s="46">
        <v>0</v>
      </c>
      <c r="Q1720" s="46">
        <v>27624204</v>
      </c>
      <c r="R1720" s="49">
        <f t="shared" si="497"/>
        <v>1</v>
      </c>
      <c r="S1720" s="50">
        <f t="shared" si="498"/>
        <v>0.01</v>
      </c>
      <c r="T1720" s="49">
        <f t="shared" si="499"/>
        <v>276242.03999999998</v>
      </c>
      <c r="U1720" s="51">
        <f t="shared" si="500"/>
        <v>0</v>
      </c>
      <c r="V1720" s="52">
        <f>IF(0&lt;0.8,0,IF(0&lt;1,Sheet3!L561,1))*IF(G1720&lt;3,0.12 - O1720,0.01) *U1720</f>
        <v>0</v>
      </c>
      <c r="W1720" s="52">
        <f t="shared" si="501"/>
        <v>0</v>
      </c>
      <c r="X1720" s="53">
        <f t="shared" si="502"/>
        <v>0</v>
      </c>
      <c r="Y1720" s="53">
        <f t="shared" si="503"/>
        <v>0</v>
      </c>
      <c r="Z1720" s="54">
        <f t="shared" si="493"/>
        <v>0</v>
      </c>
      <c r="AA1720" s="54">
        <f t="shared" si="504"/>
        <v>0</v>
      </c>
      <c r="AB1720" s="55">
        <f t="shared" si="494"/>
        <v>0</v>
      </c>
      <c r="AC1720" s="55">
        <f t="shared" si="505"/>
        <v>0</v>
      </c>
      <c r="AD1720" s="56">
        <f t="shared" si="506"/>
        <v>276242.03999999998</v>
      </c>
    </row>
    <row r="1721" spans="3:30">
      <c r="C1721" s="43" t="s">
        <v>3142</v>
      </c>
      <c r="D1721" s="44" t="s">
        <v>3143</v>
      </c>
      <c r="E1721" s="44"/>
      <c r="F1721" s="45">
        <v>41549.581180555557</v>
      </c>
      <c r="G1721" s="46">
        <v>59</v>
      </c>
      <c r="H1721" s="47">
        <v>43384</v>
      </c>
      <c r="I1721" s="47">
        <v>43397</v>
      </c>
      <c r="J1721" s="46">
        <v>1518024</v>
      </c>
      <c r="K1721" s="46">
        <v>0</v>
      </c>
      <c r="L1721" s="46">
        <v>0</v>
      </c>
      <c r="M1721" s="46">
        <f t="shared" si="495"/>
        <v>1518024</v>
      </c>
      <c r="N1721" s="46">
        <v>1517781</v>
      </c>
      <c r="O1721" s="48">
        <f t="shared" si="496"/>
        <v>0</v>
      </c>
      <c r="P1721" s="46">
        <v>0</v>
      </c>
      <c r="Q1721" s="46">
        <v>1518024</v>
      </c>
      <c r="R1721" s="49">
        <f t="shared" si="497"/>
        <v>1</v>
      </c>
      <c r="S1721" s="50">
        <f t="shared" si="498"/>
        <v>0.01</v>
      </c>
      <c r="T1721" s="49">
        <f t="shared" si="499"/>
        <v>15180.24</v>
      </c>
      <c r="U1721" s="51">
        <f t="shared" si="500"/>
        <v>0</v>
      </c>
      <c r="V1721" s="52">
        <f>IF(0&lt;0.8,0,IF(0&lt;1,Sheet3!L561,1))*IF(G1721&lt;3,0.12 - O1721,0.01) *U1721</f>
        <v>0</v>
      </c>
      <c r="W1721" s="52">
        <f t="shared" si="501"/>
        <v>0</v>
      </c>
      <c r="X1721" s="53">
        <f t="shared" si="502"/>
        <v>0</v>
      </c>
      <c r="Y1721" s="53">
        <f t="shared" si="503"/>
        <v>0</v>
      </c>
      <c r="Z1721" s="54">
        <f t="shared" si="493"/>
        <v>0</v>
      </c>
      <c r="AA1721" s="54">
        <f t="shared" si="504"/>
        <v>0</v>
      </c>
      <c r="AB1721" s="55">
        <f t="shared" si="494"/>
        <v>0</v>
      </c>
      <c r="AC1721" s="55">
        <f t="shared" si="505"/>
        <v>0</v>
      </c>
      <c r="AD1721" s="56">
        <f t="shared" si="506"/>
        <v>15180.24</v>
      </c>
    </row>
    <row r="1722" spans="3:30">
      <c r="C1722" s="43" t="s">
        <v>3144</v>
      </c>
      <c r="D1722" s="44" t="s">
        <v>3145</v>
      </c>
      <c r="E1722" s="44"/>
      <c r="F1722" s="45">
        <v>41577.572488425925</v>
      </c>
      <c r="G1722" s="46">
        <v>59</v>
      </c>
      <c r="H1722" s="47">
        <v>43384</v>
      </c>
      <c r="I1722" s="47">
        <v>43438</v>
      </c>
      <c r="J1722" s="46">
        <v>178285</v>
      </c>
      <c r="K1722" s="46">
        <v>0</v>
      </c>
      <c r="L1722" s="46">
        <v>0</v>
      </c>
      <c r="M1722" s="46">
        <f t="shared" si="495"/>
        <v>178285</v>
      </c>
      <c r="N1722" s="46">
        <v>178285</v>
      </c>
      <c r="O1722" s="48">
        <f t="shared" si="496"/>
        <v>0</v>
      </c>
      <c r="P1722" s="46">
        <v>0</v>
      </c>
      <c r="Q1722" s="46">
        <v>178285</v>
      </c>
      <c r="R1722" s="49">
        <f t="shared" si="497"/>
        <v>1</v>
      </c>
      <c r="S1722" s="50">
        <f t="shared" si="498"/>
        <v>0.01</v>
      </c>
      <c r="T1722" s="49">
        <f t="shared" si="499"/>
        <v>1782.8500000000001</v>
      </c>
      <c r="U1722" s="51">
        <f t="shared" si="500"/>
        <v>0</v>
      </c>
      <c r="V1722" s="52">
        <f>IF(0&lt;0.8,0,IF(0&lt;1,Sheet3!L561,1))*IF(G1722&lt;3,0.12 - O1722,0.01) *U1722</f>
        <v>0</v>
      </c>
      <c r="W1722" s="52">
        <f t="shared" si="501"/>
        <v>0</v>
      </c>
      <c r="X1722" s="53">
        <f t="shared" si="502"/>
        <v>0</v>
      </c>
      <c r="Y1722" s="53">
        <f t="shared" si="503"/>
        <v>0</v>
      </c>
      <c r="Z1722" s="54">
        <f t="shared" si="493"/>
        <v>0</v>
      </c>
      <c r="AA1722" s="54">
        <f t="shared" si="504"/>
        <v>0</v>
      </c>
      <c r="AB1722" s="55">
        <f t="shared" si="494"/>
        <v>0</v>
      </c>
      <c r="AC1722" s="55">
        <f t="shared" si="505"/>
        <v>0</v>
      </c>
      <c r="AD1722" s="56">
        <f t="shared" si="506"/>
        <v>1782.8500000000001</v>
      </c>
    </row>
    <row r="1723" spans="3:30">
      <c r="C1723" s="43" t="s">
        <v>3146</v>
      </c>
      <c r="D1723" s="44" t="s">
        <v>3147</v>
      </c>
      <c r="E1723" s="44"/>
      <c r="F1723" s="45">
        <v>41603.619803240741</v>
      </c>
      <c r="G1723" s="46">
        <v>58</v>
      </c>
      <c r="H1723" s="47">
        <v>43384</v>
      </c>
      <c r="I1723" s="47">
        <v>43404</v>
      </c>
      <c r="J1723" s="46">
        <v>1969692</v>
      </c>
      <c r="K1723" s="46">
        <v>0</v>
      </c>
      <c r="L1723" s="46">
        <v>0</v>
      </c>
      <c r="M1723" s="46">
        <f t="shared" si="495"/>
        <v>1969692</v>
      </c>
      <c r="N1723" s="46">
        <v>1466901</v>
      </c>
      <c r="O1723" s="48">
        <f t="shared" si="496"/>
        <v>0</v>
      </c>
      <c r="P1723" s="46">
        <v>0</v>
      </c>
      <c r="Q1723" s="46">
        <v>1969692</v>
      </c>
      <c r="R1723" s="49">
        <f t="shared" si="497"/>
        <v>1</v>
      </c>
      <c r="S1723" s="50">
        <f t="shared" si="498"/>
        <v>0.01</v>
      </c>
      <c r="T1723" s="49">
        <f t="shared" si="499"/>
        <v>19696.920000000002</v>
      </c>
      <c r="U1723" s="51">
        <f t="shared" si="500"/>
        <v>0</v>
      </c>
      <c r="V1723" s="52">
        <f>IF(0&lt;0.8,0,IF(0&lt;1,Sheet3!L561,1))*IF(G1723&lt;3,0.12 - O1723,0.01) *U1723</f>
        <v>0</v>
      </c>
      <c r="W1723" s="52">
        <f t="shared" si="501"/>
        <v>0</v>
      </c>
      <c r="X1723" s="53">
        <f t="shared" si="502"/>
        <v>0</v>
      </c>
      <c r="Y1723" s="53">
        <f t="shared" si="503"/>
        <v>0</v>
      </c>
      <c r="Z1723" s="54">
        <f t="shared" si="493"/>
        <v>0</v>
      </c>
      <c r="AA1723" s="54">
        <f t="shared" si="504"/>
        <v>0</v>
      </c>
      <c r="AB1723" s="55">
        <f>IF(R1723=0,503168,0)</f>
        <v>0</v>
      </c>
      <c r="AC1723" s="55">
        <f t="shared" si="505"/>
        <v>0</v>
      </c>
      <c r="AD1723" s="56">
        <f t="shared" si="506"/>
        <v>19696.920000000002</v>
      </c>
    </row>
    <row r="1724" spans="3:30">
      <c r="C1724" s="43" t="s">
        <v>3148</v>
      </c>
      <c r="D1724" s="44" t="s">
        <v>3149</v>
      </c>
      <c r="E1724" s="44"/>
      <c r="F1724" s="45">
        <v>41624.585231481477</v>
      </c>
      <c r="G1724" s="46">
        <v>57</v>
      </c>
      <c r="H1724" s="47">
        <v>43384</v>
      </c>
      <c r="I1724" s="47">
        <v>43474</v>
      </c>
      <c r="J1724" s="46">
        <v>6290724</v>
      </c>
      <c r="K1724" s="46">
        <v>0</v>
      </c>
      <c r="L1724" s="46">
        <v>0</v>
      </c>
      <c r="M1724" s="46">
        <f t="shared" si="495"/>
        <v>6290724</v>
      </c>
      <c r="N1724" s="46">
        <v>17006396</v>
      </c>
      <c r="O1724" s="48">
        <f t="shared" si="496"/>
        <v>0.63009658248578948</v>
      </c>
      <c r="P1724" s="46">
        <v>0</v>
      </c>
      <c r="Q1724" s="46">
        <v>6290724</v>
      </c>
      <c r="R1724" s="49">
        <f t="shared" si="497"/>
        <v>1</v>
      </c>
      <c r="S1724" s="50">
        <f t="shared" si="498"/>
        <v>0.01</v>
      </c>
      <c r="T1724" s="49">
        <f t="shared" si="499"/>
        <v>62907.24</v>
      </c>
      <c r="U1724" s="51">
        <f t="shared" si="500"/>
        <v>0</v>
      </c>
      <c r="V1724" s="52">
        <f>IF(0&lt;0.8,0,IF(0&lt;1,Sheet3!L561,1))*IF(G1724&lt;3,0.12 - O1724,0.01) *U1724</f>
        <v>0</v>
      </c>
      <c r="W1724" s="52">
        <f t="shared" si="501"/>
        <v>0</v>
      </c>
      <c r="X1724" s="53">
        <f t="shared" si="502"/>
        <v>0</v>
      </c>
      <c r="Y1724" s="53">
        <f t="shared" si="503"/>
        <v>0</v>
      </c>
      <c r="Z1724" s="54">
        <f t="shared" si="493"/>
        <v>0</v>
      </c>
      <c r="AA1724" s="54">
        <f t="shared" si="504"/>
        <v>0</v>
      </c>
      <c r="AB1724" s="55">
        <f t="shared" ref="AB1724:AB1762" si="507">IF(R1724=0,0,0)</f>
        <v>0</v>
      </c>
      <c r="AC1724" s="55">
        <f t="shared" si="505"/>
        <v>0</v>
      </c>
      <c r="AD1724" s="56">
        <f t="shared" si="506"/>
        <v>62907.24</v>
      </c>
    </row>
    <row r="1725" spans="3:30">
      <c r="C1725" s="43" t="s">
        <v>3150</v>
      </c>
      <c r="D1725" s="44" t="s">
        <v>3151</v>
      </c>
      <c r="E1725" s="44"/>
      <c r="F1725" s="45">
        <v>41642.707789351851</v>
      </c>
      <c r="G1725" s="46">
        <v>56</v>
      </c>
      <c r="H1725" s="47">
        <v>43384</v>
      </c>
      <c r="I1725" s="47">
        <v>43389</v>
      </c>
      <c r="J1725" s="46">
        <v>330205</v>
      </c>
      <c r="K1725" s="46">
        <v>0</v>
      </c>
      <c r="L1725" s="46">
        <v>0</v>
      </c>
      <c r="M1725" s="46">
        <f t="shared" si="495"/>
        <v>330205</v>
      </c>
      <c r="N1725" s="46">
        <v>330205</v>
      </c>
      <c r="O1725" s="48">
        <f t="shared" si="496"/>
        <v>0</v>
      </c>
      <c r="P1725" s="46">
        <v>0</v>
      </c>
      <c r="Q1725" s="46">
        <v>330205</v>
      </c>
      <c r="R1725" s="49">
        <f t="shared" si="497"/>
        <v>1</v>
      </c>
      <c r="S1725" s="50">
        <f t="shared" si="498"/>
        <v>0.01</v>
      </c>
      <c r="T1725" s="49">
        <f t="shared" si="499"/>
        <v>3302.05</v>
      </c>
      <c r="U1725" s="51">
        <f t="shared" si="500"/>
        <v>0</v>
      </c>
      <c r="V1725" s="52">
        <f>IF(0&lt;0.8,0,IF(0&lt;1,Sheet3!L561,1))*IF(G1725&lt;3,0.12 - O1725,0.01) *U1725</f>
        <v>0</v>
      </c>
      <c r="W1725" s="52">
        <f t="shared" si="501"/>
        <v>0</v>
      </c>
      <c r="X1725" s="53">
        <f t="shared" si="502"/>
        <v>0</v>
      </c>
      <c r="Y1725" s="53">
        <f t="shared" si="503"/>
        <v>0</v>
      </c>
      <c r="Z1725" s="54">
        <f t="shared" si="493"/>
        <v>0</v>
      </c>
      <c r="AA1725" s="54">
        <f t="shared" si="504"/>
        <v>0</v>
      </c>
      <c r="AB1725" s="55">
        <f t="shared" si="507"/>
        <v>0</v>
      </c>
      <c r="AC1725" s="55">
        <f t="shared" si="505"/>
        <v>0</v>
      </c>
      <c r="AD1725" s="56">
        <f t="shared" si="506"/>
        <v>3302.05</v>
      </c>
    </row>
    <row r="1726" spans="3:30">
      <c r="C1726" s="43" t="s">
        <v>3152</v>
      </c>
      <c r="D1726" s="44" t="s">
        <v>3153</v>
      </c>
      <c r="E1726" s="44"/>
      <c r="F1726" s="45">
        <v>41682.565324074072</v>
      </c>
      <c r="G1726" s="46">
        <v>55</v>
      </c>
      <c r="H1726" s="47">
        <v>43384</v>
      </c>
      <c r="I1726" s="47">
        <v>43396</v>
      </c>
      <c r="J1726" s="46">
        <v>954907</v>
      </c>
      <c r="K1726" s="46">
        <v>0</v>
      </c>
      <c r="L1726" s="46">
        <v>0</v>
      </c>
      <c r="M1726" s="46">
        <f t="shared" si="495"/>
        <v>954907</v>
      </c>
      <c r="N1726" s="46">
        <v>954907</v>
      </c>
      <c r="O1726" s="48">
        <f t="shared" si="496"/>
        <v>0</v>
      </c>
      <c r="P1726" s="46">
        <v>0</v>
      </c>
      <c r="Q1726" s="46">
        <v>954907</v>
      </c>
      <c r="R1726" s="49">
        <f t="shared" si="497"/>
        <v>1</v>
      </c>
      <c r="S1726" s="50">
        <f t="shared" si="498"/>
        <v>0.01</v>
      </c>
      <c r="T1726" s="49">
        <f t="shared" si="499"/>
        <v>9549.07</v>
      </c>
      <c r="U1726" s="51">
        <f t="shared" si="500"/>
        <v>0</v>
      </c>
      <c r="V1726" s="52">
        <f>IF(0&lt;0.8,0,IF(0&lt;1,Sheet3!L561,1))*IF(G1726&lt;3,0.12 - O1726,0.01) *U1726</f>
        <v>0</v>
      </c>
      <c r="W1726" s="52">
        <f t="shared" si="501"/>
        <v>0</v>
      </c>
      <c r="X1726" s="53">
        <f t="shared" si="502"/>
        <v>0</v>
      </c>
      <c r="Y1726" s="53">
        <f t="shared" si="503"/>
        <v>0</v>
      </c>
      <c r="Z1726" s="54">
        <f t="shared" si="493"/>
        <v>0</v>
      </c>
      <c r="AA1726" s="54">
        <f t="shared" si="504"/>
        <v>0</v>
      </c>
      <c r="AB1726" s="55">
        <f t="shared" si="507"/>
        <v>0</v>
      </c>
      <c r="AC1726" s="55">
        <f t="shared" si="505"/>
        <v>0</v>
      </c>
      <c r="AD1726" s="56">
        <f t="shared" si="506"/>
        <v>9549.07</v>
      </c>
    </row>
    <row r="1727" spans="3:30">
      <c r="C1727" s="43" t="s">
        <v>3154</v>
      </c>
      <c r="D1727" s="44" t="s">
        <v>3155</v>
      </c>
      <c r="E1727" s="44"/>
      <c r="F1727" s="45">
        <v>41701.597037037034</v>
      </c>
      <c r="G1727" s="46">
        <v>54</v>
      </c>
      <c r="H1727" s="47">
        <v>43373</v>
      </c>
      <c r="I1727" s="47">
        <v>43390</v>
      </c>
      <c r="J1727" s="46">
        <v>23027529</v>
      </c>
      <c r="K1727" s="46">
        <v>1465388</v>
      </c>
      <c r="L1727" s="46">
        <v>0</v>
      </c>
      <c r="M1727" s="46">
        <f t="shared" si="495"/>
        <v>21562141</v>
      </c>
      <c r="N1727" s="46">
        <v>17536756</v>
      </c>
      <c r="O1727" s="48">
        <f t="shared" si="496"/>
        <v>0</v>
      </c>
      <c r="P1727" s="46">
        <v>0</v>
      </c>
      <c r="Q1727" s="46">
        <v>23027529</v>
      </c>
      <c r="R1727" s="49">
        <f t="shared" si="497"/>
        <v>1</v>
      </c>
      <c r="S1727" s="50">
        <f t="shared" si="498"/>
        <v>0.01</v>
      </c>
      <c r="T1727" s="49">
        <f t="shared" si="499"/>
        <v>215621.41</v>
      </c>
      <c r="U1727" s="51">
        <f t="shared" si="500"/>
        <v>0</v>
      </c>
      <c r="V1727" s="52">
        <f>IF(0&lt;0.8,0,IF(0&lt;1,Sheet3!L561,1))*IF(G1727&lt;3,0.12 - O1727,0.01) *U1727</f>
        <v>0</v>
      </c>
      <c r="W1727" s="52">
        <f t="shared" si="501"/>
        <v>0</v>
      </c>
      <c r="X1727" s="53">
        <f t="shared" si="502"/>
        <v>0</v>
      </c>
      <c r="Y1727" s="53">
        <f t="shared" si="503"/>
        <v>0</v>
      </c>
      <c r="Z1727" s="54">
        <f t="shared" si="493"/>
        <v>0</v>
      </c>
      <c r="AA1727" s="54">
        <f t="shared" si="504"/>
        <v>0</v>
      </c>
      <c r="AB1727" s="55">
        <f t="shared" si="507"/>
        <v>0</v>
      </c>
      <c r="AC1727" s="55">
        <f t="shared" si="505"/>
        <v>0</v>
      </c>
      <c r="AD1727" s="56">
        <f t="shared" si="506"/>
        <v>215621.41</v>
      </c>
    </row>
    <row r="1728" spans="3:30">
      <c r="C1728" s="43" t="s">
        <v>3156</v>
      </c>
      <c r="D1728" s="44" t="s">
        <v>3157</v>
      </c>
      <c r="E1728" s="44"/>
      <c r="F1728" s="45">
        <v>41848.710451388884</v>
      </c>
      <c r="G1728" s="46">
        <v>50</v>
      </c>
      <c r="H1728" s="47">
        <v>43372</v>
      </c>
      <c r="I1728" s="47">
        <v>43389</v>
      </c>
      <c r="J1728" s="46">
        <v>805112</v>
      </c>
      <c r="K1728" s="46">
        <v>0</v>
      </c>
      <c r="L1728" s="46">
        <v>0</v>
      </c>
      <c r="M1728" s="46">
        <f t="shared" si="495"/>
        <v>805112</v>
      </c>
      <c r="N1728" s="46">
        <v>805112</v>
      </c>
      <c r="O1728" s="48">
        <f t="shared" si="496"/>
        <v>0</v>
      </c>
      <c r="P1728" s="46">
        <v>0</v>
      </c>
      <c r="Q1728" s="46">
        <v>805112</v>
      </c>
      <c r="R1728" s="49">
        <f t="shared" si="497"/>
        <v>1</v>
      </c>
      <c r="S1728" s="50">
        <f t="shared" si="498"/>
        <v>0.01</v>
      </c>
      <c r="T1728" s="49">
        <f t="shared" si="499"/>
        <v>8051.12</v>
      </c>
      <c r="U1728" s="51">
        <f t="shared" si="500"/>
        <v>0</v>
      </c>
      <c r="V1728" s="52">
        <f>IF(0&lt;0.8,0,IF(0&lt;1,Sheet3!L561,1))*IF(G1728&lt;3,0.12 - O1728,0.01) *U1728</f>
        <v>0</v>
      </c>
      <c r="W1728" s="52">
        <f t="shared" si="501"/>
        <v>0</v>
      </c>
      <c r="X1728" s="53">
        <f t="shared" si="502"/>
        <v>0</v>
      </c>
      <c r="Y1728" s="53">
        <f t="shared" si="503"/>
        <v>0</v>
      </c>
      <c r="Z1728" s="54">
        <f t="shared" si="493"/>
        <v>0</v>
      </c>
      <c r="AA1728" s="54">
        <f t="shared" si="504"/>
        <v>0</v>
      </c>
      <c r="AB1728" s="55">
        <f t="shared" si="507"/>
        <v>0</v>
      </c>
      <c r="AC1728" s="55">
        <f t="shared" si="505"/>
        <v>0</v>
      </c>
      <c r="AD1728" s="56">
        <f t="shared" si="506"/>
        <v>8051.12</v>
      </c>
    </row>
    <row r="1729" spans="3:30">
      <c r="C1729" s="43" t="s">
        <v>3158</v>
      </c>
      <c r="D1729" s="44" t="s">
        <v>3159</v>
      </c>
      <c r="E1729" s="44"/>
      <c r="F1729" s="45">
        <v>41898.399398148147</v>
      </c>
      <c r="G1729" s="46">
        <v>48</v>
      </c>
      <c r="H1729" s="47">
        <v>43384</v>
      </c>
      <c r="I1729" s="47">
        <v>43410</v>
      </c>
      <c r="J1729" s="46">
        <v>1762484</v>
      </c>
      <c r="K1729" s="46">
        <v>0</v>
      </c>
      <c r="L1729" s="46">
        <v>0</v>
      </c>
      <c r="M1729" s="46">
        <f t="shared" si="495"/>
        <v>1762484</v>
      </c>
      <c r="N1729" s="46">
        <v>1762484</v>
      </c>
      <c r="O1729" s="48">
        <f t="shared" si="496"/>
        <v>0</v>
      </c>
      <c r="P1729" s="46">
        <v>0</v>
      </c>
      <c r="Q1729" s="46">
        <v>1762484</v>
      </c>
      <c r="R1729" s="49">
        <f t="shared" si="497"/>
        <v>1</v>
      </c>
      <c r="S1729" s="50">
        <f t="shared" si="498"/>
        <v>0.01</v>
      </c>
      <c r="T1729" s="49">
        <f t="shared" si="499"/>
        <v>17624.84</v>
      </c>
      <c r="U1729" s="51">
        <f t="shared" si="500"/>
        <v>0</v>
      </c>
      <c r="V1729" s="52">
        <f>IF(0&lt;0.8,0,IF(0&lt;1,Sheet3!L561,1))*IF(G1729&lt;3,0.12 - O1729,0.01) *U1729</f>
        <v>0</v>
      </c>
      <c r="W1729" s="52">
        <f t="shared" si="501"/>
        <v>0</v>
      </c>
      <c r="X1729" s="53">
        <f t="shared" si="502"/>
        <v>0</v>
      </c>
      <c r="Y1729" s="53">
        <f t="shared" si="503"/>
        <v>0</v>
      </c>
      <c r="Z1729" s="54">
        <f t="shared" si="493"/>
        <v>0</v>
      </c>
      <c r="AA1729" s="54">
        <f t="shared" si="504"/>
        <v>0</v>
      </c>
      <c r="AB1729" s="55">
        <f t="shared" si="507"/>
        <v>0</v>
      </c>
      <c r="AC1729" s="55">
        <f t="shared" si="505"/>
        <v>0</v>
      </c>
      <c r="AD1729" s="56">
        <f t="shared" si="506"/>
        <v>17624.84</v>
      </c>
    </row>
    <row r="1730" spans="3:30">
      <c r="C1730" s="43" t="s">
        <v>3160</v>
      </c>
      <c r="D1730" s="44" t="s">
        <v>3161</v>
      </c>
      <c r="E1730" s="44"/>
      <c r="F1730" s="45">
        <v>41913.386064814811</v>
      </c>
      <c r="G1730" s="46">
        <v>47</v>
      </c>
      <c r="H1730" s="47">
        <v>43465</v>
      </c>
      <c r="I1730" s="47">
        <v>43411</v>
      </c>
      <c r="J1730" s="46">
        <v>181783955</v>
      </c>
      <c r="K1730" s="46">
        <v>9889929</v>
      </c>
      <c r="L1730" s="46">
        <v>0</v>
      </c>
      <c r="M1730" s="46">
        <f t="shared" si="495"/>
        <v>171894026</v>
      </c>
      <c r="N1730" s="46">
        <v>184292895</v>
      </c>
      <c r="O1730" s="48">
        <f t="shared" si="496"/>
        <v>6.7278062998576305E-2</v>
      </c>
      <c r="P1730" s="46">
        <v>0</v>
      </c>
      <c r="Q1730" s="46">
        <v>181783955</v>
      </c>
      <c r="R1730" s="49">
        <f t="shared" si="497"/>
        <v>1</v>
      </c>
      <c r="S1730" s="50">
        <f t="shared" si="498"/>
        <v>0.01</v>
      </c>
      <c r="T1730" s="49">
        <f t="shared" si="499"/>
        <v>1718940.26</v>
      </c>
      <c r="U1730" s="51">
        <f t="shared" si="500"/>
        <v>0</v>
      </c>
      <c r="V1730" s="52">
        <f>IF(0&lt;0.8,0,IF(0&lt;1,Sheet3!L561,1))*IF(G1730&lt;3,0.12 - O1730,0.01) *U1730</f>
        <v>0</v>
      </c>
      <c r="W1730" s="52">
        <f t="shared" si="501"/>
        <v>0</v>
      </c>
      <c r="X1730" s="53">
        <f t="shared" si="502"/>
        <v>0</v>
      </c>
      <c r="Y1730" s="53">
        <f t="shared" si="503"/>
        <v>0</v>
      </c>
      <c r="Z1730" s="54">
        <f t="shared" si="493"/>
        <v>0</v>
      </c>
      <c r="AA1730" s="54">
        <f t="shared" si="504"/>
        <v>0</v>
      </c>
      <c r="AB1730" s="55">
        <f t="shared" si="507"/>
        <v>0</v>
      </c>
      <c r="AC1730" s="55">
        <f t="shared" si="505"/>
        <v>0</v>
      </c>
      <c r="AD1730" s="56">
        <f t="shared" si="506"/>
        <v>1718940.26</v>
      </c>
    </row>
    <row r="1731" spans="3:30">
      <c r="C1731" s="43" t="s">
        <v>3162</v>
      </c>
      <c r="D1731" s="44" t="s">
        <v>3163</v>
      </c>
      <c r="E1731" s="44"/>
      <c r="F1731" s="45">
        <v>42037.617951388886</v>
      </c>
      <c r="G1731" s="46">
        <v>43</v>
      </c>
      <c r="H1731" s="47">
        <v>43400</v>
      </c>
      <c r="I1731" s="47">
        <v>43410</v>
      </c>
      <c r="J1731" s="46">
        <v>6290244</v>
      </c>
      <c r="K1731" s="46">
        <v>0</v>
      </c>
      <c r="L1731" s="46">
        <v>0</v>
      </c>
      <c r="M1731" s="46">
        <f t="shared" si="495"/>
        <v>6290244</v>
      </c>
      <c r="N1731" s="46">
        <v>7415112</v>
      </c>
      <c r="O1731" s="48">
        <f t="shared" si="496"/>
        <v>0.15169939442586977</v>
      </c>
      <c r="P1731" s="46">
        <v>0</v>
      </c>
      <c r="Q1731" s="46">
        <v>6290244</v>
      </c>
      <c r="R1731" s="49">
        <f t="shared" si="497"/>
        <v>1</v>
      </c>
      <c r="S1731" s="50">
        <f t="shared" si="498"/>
        <v>0.01</v>
      </c>
      <c r="T1731" s="49">
        <f t="shared" si="499"/>
        <v>62902.44</v>
      </c>
      <c r="U1731" s="51">
        <f t="shared" si="500"/>
        <v>0</v>
      </c>
      <c r="V1731" s="52">
        <f>IF(0&lt;0.8,0,IF(0&lt;1,Sheet3!L561,1))*IF(G1731&lt;3,0.12 - O1731,0.01) *U1731</f>
        <v>0</v>
      </c>
      <c r="W1731" s="52">
        <f t="shared" si="501"/>
        <v>0</v>
      </c>
      <c r="X1731" s="53">
        <f t="shared" si="502"/>
        <v>0</v>
      </c>
      <c r="Y1731" s="53">
        <f t="shared" si="503"/>
        <v>0</v>
      </c>
      <c r="Z1731" s="54">
        <f t="shared" si="493"/>
        <v>0</v>
      </c>
      <c r="AA1731" s="54">
        <f t="shared" si="504"/>
        <v>0</v>
      </c>
      <c r="AB1731" s="55">
        <f t="shared" si="507"/>
        <v>0</v>
      </c>
      <c r="AC1731" s="55">
        <f t="shared" si="505"/>
        <v>0</v>
      </c>
      <c r="AD1731" s="56">
        <f t="shared" si="506"/>
        <v>62902.44</v>
      </c>
    </row>
    <row r="1732" spans="3:30">
      <c r="C1732" s="43" t="s">
        <v>3164</v>
      </c>
      <c r="D1732" s="44" t="s">
        <v>3165</v>
      </c>
      <c r="E1732" s="44"/>
      <c r="F1732" s="45">
        <v>42094.37427083333</v>
      </c>
      <c r="G1732" s="46">
        <v>42</v>
      </c>
      <c r="H1732" s="47">
        <v>43372</v>
      </c>
      <c r="I1732" s="47">
        <v>43399</v>
      </c>
      <c r="J1732" s="46">
        <v>567652</v>
      </c>
      <c r="K1732" s="46">
        <v>0</v>
      </c>
      <c r="L1732" s="46">
        <v>0</v>
      </c>
      <c r="M1732" s="46">
        <f t="shared" si="495"/>
        <v>567652</v>
      </c>
      <c r="N1732" s="46">
        <v>566590</v>
      </c>
      <c r="O1732" s="48">
        <f t="shared" si="496"/>
        <v>0</v>
      </c>
      <c r="P1732" s="46">
        <v>0</v>
      </c>
      <c r="Q1732" s="46">
        <v>567652</v>
      </c>
      <c r="R1732" s="49">
        <f t="shared" si="497"/>
        <v>1</v>
      </c>
      <c r="S1732" s="50">
        <f t="shared" si="498"/>
        <v>0.01</v>
      </c>
      <c r="T1732" s="49">
        <f t="shared" si="499"/>
        <v>5676.52</v>
      </c>
      <c r="U1732" s="51">
        <f t="shared" si="500"/>
        <v>0</v>
      </c>
      <c r="V1732" s="52">
        <f>IF(0&lt;0.8,0,IF(0&lt;1,Sheet3!L561,1))*IF(G1732&lt;3,0.12 - O1732,0.01) *U1732</f>
        <v>0</v>
      </c>
      <c r="W1732" s="52">
        <f t="shared" si="501"/>
        <v>0</v>
      </c>
      <c r="X1732" s="53">
        <f t="shared" si="502"/>
        <v>0</v>
      </c>
      <c r="Y1732" s="53">
        <f t="shared" si="503"/>
        <v>0</v>
      </c>
      <c r="Z1732" s="54">
        <f t="shared" si="493"/>
        <v>0</v>
      </c>
      <c r="AA1732" s="54">
        <f t="shared" si="504"/>
        <v>0</v>
      </c>
      <c r="AB1732" s="55">
        <f t="shared" si="507"/>
        <v>0</v>
      </c>
      <c r="AC1732" s="55">
        <f t="shared" si="505"/>
        <v>0</v>
      </c>
      <c r="AD1732" s="56">
        <f t="shared" si="506"/>
        <v>5676.52</v>
      </c>
    </row>
    <row r="1733" spans="3:30">
      <c r="C1733" s="43" t="s">
        <v>3166</v>
      </c>
      <c r="D1733" s="44" t="s">
        <v>3167</v>
      </c>
      <c r="E1733" s="44"/>
      <c r="F1733" s="45">
        <v>42103.661099537036</v>
      </c>
      <c r="G1733" s="46">
        <v>41</v>
      </c>
      <c r="H1733" s="47">
        <v>43399</v>
      </c>
      <c r="I1733" s="47">
        <v>43469</v>
      </c>
      <c r="J1733" s="46">
        <v>256199959</v>
      </c>
      <c r="K1733" s="46">
        <v>4292224</v>
      </c>
      <c r="L1733" s="46">
        <v>0</v>
      </c>
      <c r="M1733" s="46">
        <f t="shared" si="495"/>
        <v>251907735</v>
      </c>
      <c r="N1733" s="46">
        <v>648903427</v>
      </c>
      <c r="O1733" s="48">
        <f t="shared" si="496"/>
        <v>0.61179472242176958</v>
      </c>
      <c r="P1733" s="46">
        <v>0</v>
      </c>
      <c r="Q1733" s="46">
        <v>258035786</v>
      </c>
      <c r="R1733" s="49">
        <f t="shared" si="497"/>
        <v>1</v>
      </c>
      <c r="S1733" s="50">
        <f t="shared" si="498"/>
        <v>0.01</v>
      </c>
      <c r="T1733" s="49">
        <f t="shared" si="499"/>
        <v>2519077.35</v>
      </c>
      <c r="U1733" s="51">
        <f t="shared" si="500"/>
        <v>0</v>
      </c>
      <c r="V1733" s="52">
        <f>IF(0&lt;0.8,0,IF(0&lt;1,Sheet3!L561,1))*IF(G1733&lt;3,0.12 - O1733,0.01) *U1733</f>
        <v>0</v>
      </c>
      <c r="W1733" s="52">
        <f t="shared" si="501"/>
        <v>0</v>
      </c>
      <c r="X1733" s="53">
        <f t="shared" si="502"/>
        <v>0</v>
      </c>
      <c r="Y1733" s="53">
        <f t="shared" si="503"/>
        <v>0</v>
      </c>
      <c r="Z1733" s="54">
        <f t="shared" si="493"/>
        <v>0</v>
      </c>
      <c r="AA1733" s="54">
        <f t="shared" si="504"/>
        <v>0</v>
      </c>
      <c r="AB1733" s="55">
        <f t="shared" si="507"/>
        <v>0</v>
      </c>
      <c r="AC1733" s="55">
        <f t="shared" si="505"/>
        <v>0</v>
      </c>
      <c r="AD1733" s="56">
        <f t="shared" si="506"/>
        <v>2519077.35</v>
      </c>
    </row>
    <row r="1734" spans="3:30">
      <c r="C1734" s="43" t="s">
        <v>3168</v>
      </c>
      <c r="D1734" s="44" t="s">
        <v>3169</v>
      </c>
      <c r="E1734" s="44"/>
      <c r="F1734" s="45">
        <v>42151.620798611111</v>
      </c>
      <c r="G1734" s="46">
        <v>40</v>
      </c>
      <c r="H1734" s="47">
        <v>43384</v>
      </c>
      <c r="I1734" s="47">
        <v>43389</v>
      </c>
      <c r="J1734" s="46">
        <v>918668</v>
      </c>
      <c r="K1734" s="46">
        <v>0</v>
      </c>
      <c r="L1734" s="46">
        <v>0</v>
      </c>
      <c r="M1734" s="46">
        <f t="shared" si="495"/>
        <v>918668</v>
      </c>
      <c r="N1734" s="46">
        <v>918668</v>
      </c>
      <c r="O1734" s="48">
        <f t="shared" si="496"/>
        <v>0</v>
      </c>
      <c r="P1734" s="46">
        <v>0</v>
      </c>
      <c r="Q1734" s="46">
        <v>918668</v>
      </c>
      <c r="R1734" s="49">
        <f t="shared" si="497"/>
        <v>1</v>
      </c>
      <c r="S1734" s="50">
        <f t="shared" si="498"/>
        <v>0.01</v>
      </c>
      <c r="T1734" s="49">
        <f t="shared" si="499"/>
        <v>9186.68</v>
      </c>
      <c r="U1734" s="51">
        <f t="shared" si="500"/>
        <v>0</v>
      </c>
      <c r="V1734" s="52">
        <f>IF(0&lt;0.8,0,IF(0&lt;1,Sheet3!L561,1))*IF(G1734&lt;3,0.12 - O1734,0.01) *U1734</f>
        <v>0</v>
      </c>
      <c r="W1734" s="52">
        <f t="shared" si="501"/>
        <v>0</v>
      </c>
      <c r="X1734" s="53">
        <f t="shared" si="502"/>
        <v>0</v>
      </c>
      <c r="Y1734" s="53">
        <f t="shared" si="503"/>
        <v>0</v>
      </c>
      <c r="Z1734" s="54">
        <f t="shared" si="493"/>
        <v>0</v>
      </c>
      <c r="AA1734" s="54">
        <f t="shared" si="504"/>
        <v>0</v>
      </c>
      <c r="AB1734" s="55">
        <f t="shared" si="507"/>
        <v>0</v>
      </c>
      <c r="AC1734" s="55">
        <f t="shared" si="505"/>
        <v>0</v>
      </c>
      <c r="AD1734" s="56">
        <f t="shared" si="506"/>
        <v>9186.68</v>
      </c>
    </row>
    <row r="1735" spans="3:30">
      <c r="C1735" s="43" t="s">
        <v>3170</v>
      </c>
      <c r="D1735" s="44" t="s">
        <v>3171</v>
      </c>
      <c r="E1735" s="44"/>
      <c r="F1735" s="45">
        <v>42248.403622685182</v>
      </c>
      <c r="G1735" s="46">
        <v>36</v>
      </c>
      <c r="H1735" s="47">
        <v>43372</v>
      </c>
      <c r="I1735" s="47">
        <v>43438</v>
      </c>
      <c r="J1735" s="46">
        <v>183929</v>
      </c>
      <c r="K1735" s="46">
        <v>0</v>
      </c>
      <c r="L1735" s="46">
        <v>0</v>
      </c>
      <c r="M1735" s="46">
        <f t="shared" si="495"/>
        <v>183929</v>
      </c>
      <c r="N1735" s="46">
        <v>183929</v>
      </c>
      <c r="O1735" s="48">
        <f t="shared" si="496"/>
        <v>0</v>
      </c>
      <c r="P1735" s="46">
        <v>0</v>
      </c>
      <c r="Q1735" s="46">
        <v>183929</v>
      </c>
      <c r="R1735" s="49">
        <f t="shared" si="497"/>
        <v>1</v>
      </c>
      <c r="S1735" s="50">
        <f t="shared" si="498"/>
        <v>0.01</v>
      </c>
      <c r="T1735" s="49">
        <f t="shared" si="499"/>
        <v>1839.29</v>
      </c>
      <c r="U1735" s="51">
        <f t="shared" si="500"/>
        <v>0</v>
      </c>
      <c r="V1735" s="52">
        <f>IF(0&lt;0.8,0,IF(0&lt;1,Sheet3!L561,1))*IF(G1735&lt;3,0.12 - O1735,0.01) *U1735</f>
        <v>0</v>
      </c>
      <c r="W1735" s="52">
        <f t="shared" si="501"/>
        <v>0</v>
      </c>
      <c r="X1735" s="53">
        <f t="shared" si="502"/>
        <v>0</v>
      </c>
      <c r="Y1735" s="53">
        <f t="shared" si="503"/>
        <v>0</v>
      </c>
      <c r="Z1735" s="54">
        <f t="shared" si="493"/>
        <v>0</v>
      </c>
      <c r="AA1735" s="54">
        <f t="shared" si="504"/>
        <v>0</v>
      </c>
      <c r="AB1735" s="55">
        <f t="shared" si="507"/>
        <v>0</v>
      </c>
      <c r="AC1735" s="55">
        <f t="shared" si="505"/>
        <v>0</v>
      </c>
      <c r="AD1735" s="56">
        <f t="shared" si="506"/>
        <v>1839.29</v>
      </c>
    </row>
    <row r="1736" spans="3:30">
      <c r="C1736" s="43" t="s">
        <v>3172</v>
      </c>
      <c r="D1736" s="44" t="s">
        <v>3173</v>
      </c>
      <c r="E1736" s="44"/>
      <c r="F1736" s="45">
        <v>42251.337905092594</v>
      </c>
      <c r="G1736" s="46">
        <v>36</v>
      </c>
      <c r="H1736" s="47">
        <v>43384</v>
      </c>
      <c r="I1736" s="47">
        <v>43392</v>
      </c>
      <c r="J1736" s="46">
        <v>219312</v>
      </c>
      <c r="K1736" s="46">
        <v>0</v>
      </c>
      <c r="L1736" s="46">
        <v>0</v>
      </c>
      <c r="M1736" s="46">
        <f t="shared" si="495"/>
        <v>219312</v>
      </c>
      <c r="N1736" s="46">
        <v>219312</v>
      </c>
      <c r="O1736" s="48">
        <f t="shared" si="496"/>
        <v>0</v>
      </c>
      <c r="P1736" s="46">
        <v>0</v>
      </c>
      <c r="Q1736" s="46">
        <v>219312</v>
      </c>
      <c r="R1736" s="49">
        <f t="shared" si="497"/>
        <v>1</v>
      </c>
      <c r="S1736" s="50">
        <f t="shared" si="498"/>
        <v>0.01</v>
      </c>
      <c r="T1736" s="49">
        <f t="shared" si="499"/>
        <v>2193.12</v>
      </c>
      <c r="U1736" s="51">
        <f t="shared" si="500"/>
        <v>0</v>
      </c>
      <c r="V1736" s="52">
        <f>IF(0&lt;0.8,0,IF(0&lt;1,Sheet3!L561,1))*IF(G1736&lt;3,0.12 - O1736,0.01) *U1736</f>
        <v>0</v>
      </c>
      <c r="W1736" s="52">
        <f t="shared" si="501"/>
        <v>0</v>
      </c>
      <c r="X1736" s="53">
        <f t="shared" si="502"/>
        <v>0</v>
      </c>
      <c r="Y1736" s="53">
        <f t="shared" si="503"/>
        <v>0</v>
      </c>
      <c r="Z1736" s="54">
        <f t="shared" si="493"/>
        <v>0</v>
      </c>
      <c r="AA1736" s="54">
        <f t="shared" si="504"/>
        <v>0</v>
      </c>
      <c r="AB1736" s="55">
        <f t="shared" si="507"/>
        <v>0</v>
      </c>
      <c r="AC1736" s="55">
        <f t="shared" si="505"/>
        <v>0</v>
      </c>
      <c r="AD1736" s="56">
        <f t="shared" si="506"/>
        <v>2193.12</v>
      </c>
    </row>
    <row r="1737" spans="3:30">
      <c r="C1737" s="43" t="s">
        <v>3174</v>
      </c>
      <c r="D1737" s="44" t="s">
        <v>3175</v>
      </c>
      <c r="E1737" s="44"/>
      <c r="F1737" s="45">
        <v>42264.69049768518</v>
      </c>
      <c r="G1737" s="46">
        <v>36</v>
      </c>
      <c r="H1737" s="47">
        <v>43384</v>
      </c>
      <c r="I1737" s="47">
        <v>43425</v>
      </c>
      <c r="J1737" s="46">
        <v>2922305</v>
      </c>
      <c r="K1737" s="46">
        <v>0</v>
      </c>
      <c r="L1737" s="46">
        <v>0</v>
      </c>
      <c r="M1737" s="46">
        <f t="shared" si="495"/>
        <v>2922305</v>
      </c>
      <c r="N1737" s="46">
        <v>2874291</v>
      </c>
      <c r="O1737" s="48">
        <f t="shared" si="496"/>
        <v>0</v>
      </c>
      <c r="P1737" s="46">
        <v>0</v>
      </c>
      <c r="Q1737" s="46">
        <v>2922305</v>
      </c>
      <c r="R1737" s="49">
        <f t="shared" si="497"/>
        <v>1</v>
      </c>
      <c r="S1737" s="50">
        <f t="shared" si="498"/>
        <v>0.01</v>
      </c>
      <c r="T1737" s="49">
        <f t="shared" si="499"/>
        <v>29223.05</v>
      </c>
      <c r="U1737" s="51">
        <f t="shared" si="500"/>
        <v>0</v>
      </c>
      <c r="V1737" s="52">
        <f>IF(0&lt;0.8,0,IF(0&lt;1,Sheet3!L561,1))*IF(G1737&lt;3,0.12 - O1737,0.01) *U1737</f>
        <v>0</v>
      </c>
      <c r="W1737" s="52">
        <f t="shared" si="501"/>
        <v>0</v>
      </c>
      <c r="X1737" s="53">
        <f t="shared" si="502"/>
        <v>0</v>
      </c>
      <c r="Y1737" s="53">
        <f t="shared" si="503"/>
        <v>0</v>
      </c>
      <c r="Z1737" s="54">
        <f t="shared" ref="Z1737:Z1762" si="508">IF(R1737=1,0,0)</f>
        <v>0</v>
      </c>
      <c r="AA1737" s="54">
        <f t="shared" si="504"/>
        <v>0</v>
      </c>
      <c r="AB1737" s="55">
        <f t="shared" si="507"/>
        <v>0</v>
      </c>
      <c r="AC1737" s="55">
        <f t="shared" si="505"/>
        <v>0</v>
      </c>
      <c r="AD1737" s="56">
        <f t="shared" si="506"/>
        <v>29223.05</v>
      </c>
    </row>
    <row r="1738" spans="3:30">
      <c r="C1738" s="43" t="s">
        <v>3176</v>
      </c>
      <c r="D1738" s="44" t="s">
        <v>3177</v>
      </c>
      <c r="E1738" s="44"/>
      <c r="F1738" s="45">
        <v>42378.412719907406</v>
      </c>
      <c r="G1738" s="46">
        <v>32</v>
      </c>
      <c r="H1738" s="47">
        <v>43404</v>
      </c>
      <c r="I1738" s="47">
        <v>43438</v>
      </c>
      <c r="J1738" s="46">
        <v>10084</v>
      </c>
      <c r="K1738" s="46">
        <v>0</v>
      </c>
      <c r="L1738" s="46">
        <v>0</v>
      </c>
      <c r="M1738" s="46">
        <f t="shared" si="495"/>
        <v>10084</v>
      </c>
      <c r="N1738" s="46">
        <v>10084</v>
      </c>
      <c r="O1738" s="48">
        <f t="shared" si="496"/>
        <v>0</v>
      </c>
      <c r="P1738" s="46">
        <v>0</v>
      </c>
      <c r="Q1738" s="46">
        <v>10084</v>
      </c>
      <c r="R1738" s="49">
        <f t="shared" si="497"/>
        <v>1</v>
      </c>
      <c r="S1738" s="50">
        <f t="shared" si="498"/>
        <v>0.01</v>
      </c>
      <c r="T1738" s="49">
        <f t="shared" si="499"/>
        <v>100.84</v>
      </c>
      <c r="U1738" s="51">
        <f t="shared" si="500"/>
        <v>0</v>
      </c>
      <c r="V1738" s="52">
        <f>IF(0&lt;0.8,0,IF(0&lt;1,Sheet3!L561,1))*IF(G1738&lt;3,0.12 - O1738,0.01) *U1738</f>
        <v>0</v>
      </c>
      <c r="W1738" s="52">
        <f t="shared" si="501"/>
        <v>0</v>
      </c>
      <c r="X1738" s="53">
        <f t="shared" si="502"/>
        <v>0</v>
      </c>
      <c r="Y1738" s="53">
        <f t="shared" si="503"/>
        <v>0</v>
      </c>
      <c r="Z1738" s="54">
        <f t="shared" si="508"/>
        <v>0</v>
      </c>
      <c r="AA1738" s="54">
        <f t="shared" si="504"/>
        <v>0</v>
      </c>
      <c r="AB1738" s="55">
        <f t="shared" si="507"/>
        <v>0</v>
      </c>
      <c r="AC1738" s="55">
        <f t="shared" si="505"/>
        <v>0</v>
      </c>
      <c r="AD1738" s="56">
        <f t="shared" si="506"/>
        <v>100.84</v>
      </c>
    </row>
    <row r="1739" spans="3:30">
      <c r="C1739" s="43" t="s">
        <v>3178</v>
      </c>
      <c r="D1739" s="44" t="s">
        <v>3179</v>
      </c>
      <c r="E1739" s="44"/>
      <c r="F1739" s="45">
        <v>42396.45103009259</v>
      </c>
      <c r="G1739" s="46">
        <v>32</v>
      </c>
      <c r="H1739" s="47">
        <v>43403</v>
      </c>
      <c r="I1739" s="47">
        <v>43425</v>
      </c>
      <c r="J1739" s="46">
        <v>127789</v>
      </c>
      <c r="K1739" s="46">
        <v>0</v>
      </c>
      <c r="L1739" s="46">
        <v>0</v>
      </c>
      <c r="M1739" s="46">
        <f t="shared" si="495"/>
        <v>127789</v>
      </c>
      <c r="N1739" s="46">
        <v>127789</v>
      </c>
      <c r="O1739" s="48">
        <f t="shared" si="496"/>
        <v>0</v>
      </c>
      <c r="P1739" s="46">
        <v>0</v>
      </c>
      <c r="Q1739" s="46">
        <v>127789</v>
      </c>
      <c r="R1739" s="49">
        <f t="shared" si="497"/>
        <v>1</v>
      </c>
      <c r="S1739" s="50">
        <f t="shared" si="498"/>
        <v>0.01</v>
      </c>
      <c r="T1739" s="49">
        <f t="shared" si="499"/>
        <v>1277.8900000000001</v>
      </c>
      <c r="U1739" s="51">
        <f t="shared" si="500"/>
        <v>0</v>
      </c>
      <c r="V1739" s="52">
        <f>IF(0&lt;0.8,0,IF(0&lt;1,Sheet3!L561,1))*IF(G1739&lt;3,0.12 - O1739,0.01) *U1739</f>
        <v>0</v>
      </c>
      <c r="W1739" s="52">
        <f t="shared" si="501"/>
        <v>0</v>
      </c>
      <c r="X1739" s="53">
        <f t="shared" si="502"/>
        <v>0</v>
      </c>
      <c r="Y1739" s="53">
        <f t="shared" si="503"/>
        <v>0</v>
      </c>
      <c r="Z1739" s="54">
        <f t="shared" si="508"/>
        <v>0</v>
      </c>
      <c r="AA1739" s="54">
        <f t="shared" si="504"/>
        <v>0</v>
      </c>
      <c r="AB1739" s="55">
        <f t="shared" si="507"/>
        <v>0</v>
      </c>
      <c r="AC1739" s="55">
        <f t="shared" si="505"/>
        <v>0</v>
      </c>
      <c r="AD1739" s="56">
        <f t="shared" si="506"/>
        <v>1277.8900000000001</v>
      </c>
    </row>
    <row r="1740" spans="3:30">
      <c r="C1740" s="43" t="s">
        <v>3180</v>
      </c>
      <c r="D1740" s="44" t="s">
        <v>3181</v>
      </c>
      <c r="E1740" s="44"/>
      <c r="F1740" s="45">
        <v>42397.418668981481</v>
      </c>
      <c r="G1740" s="46">
        <v>32</v>
      </c>
      <c r="H1740" s="47">
        <v>43372</v>
      </c>
      <c r="I1740" s="47">
        <v>43426</v>
      </c>
      <c r="J1740" s="46">
        <v>198918</v>
      </c>
      <c r="K1740" s="46">
        <v>0</v>
      </c>
      <c r="L1740" s="46">
        <v>0</v>
      </c>
      <c r="M1740" s="46">
        <f t="shared" si="495"/>
        <v>198918</v>
      </c>
      <c r="N1740" s="46">
        <v>198918</v>
      </c>
      <c r="O1740" s="48">
        <f t="shared" si="496"/>
        <v>0</v>
      </c>
      <c r="P1740" s="46">
        <v>0</v>
      </c>
      <c r="Q1740" s="46">
        <v>198918</v>
      </c>
      <c r="R1740" s="49">
        <f t="shared" si="497"/>
        <v>1</v>
      </c>
      <c r="S1740" s="50">
        <f t="shared" si="498"/>
        <v>0.01</v>
      </c>
      <c r="T1740" s="49">
        <f t="shared" si="499"/>
        <v>1989.18</v>
      </c>
      <c r="U1740" s="51">
        <f t="shared" si="500"/>
        <v>0</v>
      </c>
      <c r="V1740" s="52">
        <f>IF(0&lt;0.8,0,IF(0&lt;1,Sheet3!L561,1))*IF(G1740&lt;3,0.12 - O1740,0.01) *U1740</f>
        <v>0</v>
      </c>
      <c r="W1740" s="52">
        <f t="shared" si="501"/>
        <v>0</v>
      </c>
      <c r="X1740" s="53">
        <f t="shared" si="502"/>
        <v>0</v>
      </c>
      <c r="Y1740" s="53">
        <f t="shared" si="503"/>
        <v>0</v>
      </c>
      <c r="Z1740" s="54">
        <f t="shared" si="508"/>
        <v>0</v>
      </c>
      <c r="AA1740" s="54">
        <f t="shared" si="504"/>
        <v>0</v>
      </c>
      <c r="AB1740" s="55">
        <f t="shared" si="507"/>
        <v>0</v>
      </c>
      <c r="AC1740" s="55">
        <f t="shared" si="505"/>
        <v>0</v>
      </c>
      <c r="AD1740" s="56">
        <f t="shared" si="506"/>
        <v>1989.18</v>
      </c>
    </row>
    <row r="1741" spans="3:30">
      <c r="C1741" s="43" t="s">
        <v>3182</v>
      </c>
      <c r="D1741" s="44" t="s">
        <v>3183</v>
      </c>
      <c r="E1741" s="44"/>
      <c r="F1741" s="45">
        <v>42460.438460648147</v>
      </c>
      <c r="G1741" s="46">
        <v>30</v>
      </c>
      <c r="H1741" s="47">
        <v>43384</v>
      </c>
      <c r="I1741" s="47">
        <v>43410</v>
      </c>
      <c r="J1741" s="46">
        <v>343137</v>
      </c>
      <c r="K1741" s="46">
        <v>0</v>
      </c>
      <c r="L1741" s="46">
        <v>0</v>
      </c>
      <c r="M1741" s="46">
        <f t="shared" si="495"/>
        <v>343137</v>
      </c>
      <c r="N1741" s="46">
        <v>343137</v>
      </c>
      <c r="O1741" s="48">
        <f t="shared" si="496"/>
        <v>0</v>
      </c>
      <c r="P1741" s="46">
        <v>0</v>
      </c>
      <c r="Q1741" s="46">
        <v>343137</v>
      </c>
      <c r="R1741" s="49">
        <f t="shared" si="497"/>
        <v>1</v>
      </c>
      <c r="S1741" s="50">
        <f t="shared" si="498"/>
        <v>0.01</v>
      </c>
      <c r="T1741" s="49">
        <f t="shared" si="499"/>
        <v>3431.37</v>
      </c>
      <c r="U1741" s="51">
        <f t="shared" si="500"/>
        <v>0</v>
      </c>
      <c r="V1741" s="52">
        <f>IF(0&lt;0.8,0,IF(0&lt;1,Sheet3!L561,1))*IF(G1741&lt;3,0.12 - O1741,0.01) *U1741</f>
        <v>0</v>
      </c>
      <c r="W1741" s="52">
        <f t="shared" si="501"/>
        <v>0</v>
      </c>
      <c r="X1741" s="53">
        <f t="shared" si="502"/>
        <v>0</v>
      </c>
      <c r="Y1741" s="53">
        <f t="shared" si="503"/>
        <v>0</v>
      </c>
      <c r="Z1741" s="54">
        <f t="shared" si="508"/>
        <v>0</v>
      </c>
      <c r="AA1741" s="54">
        <f t="shared" si="504"/>
        <v>0</v>
      </c>
      <c r="AB1741" s="55">
        <f t="shared" si="507"/>
        <v>0</v>
      </c>
      <c r="AC1741" s="55">
        <f t="shared" si="505"/>
        <v>0</v>
      </c>
      <c r="AD1741" s="56">
        <f t="shared" si="506"/>
        <v>3431.37</v>
      </c>
    </row>
    <row r="1742" spans="3:30">
      <c r="C1742" s="43" t="s">
        <v>3184</v>
      </c>
      <c r="D1742" s="44" t="s">
        <v>3185</v>
      </c>
      <c r="E1742" s="44"/>
      <c r="F1742" s="45">
        <v>42472.638680555552</v>
      </c>
      <c r="G1742" s="46">
        <v>29</v>
      </c>
      <c r="H1742" s="47">
        <v>43384</v>
      </c>
      <c r="I1742" s="47">
        <v>43440</v>
      </c>
      <c r="J1742" s="46">
        <v>276379</v>
      </c>
      <c r="K1742" s="46">
        <v>0</v>
      </c>
      <c r="L1742" s="46">
        <v>0</v>
      </c>
      <c r="M1742" s="46">
        <f t="shared" si="495"/>
        <v>276379</v>
      </c>
      <c r="N1742" s="46">
        <v>276379</v>
      </c>
      <c r="O1742" s="48">
        <f t="shared" si="496"/>
        <v>0</v>
      </c>
      <c r="P1742" s="46">
        <v>0</v>
      </c>
      <c r="Q1742" s="46">
        <v>276379</v>
      </c>
      <c r="R1742" s="49">
        <f t="shared" si="497"/>
        <v>1</v>
      </c>
      <c r="S1742" s="50">
        <f t="shared" si="498"/>
        <v>0.01</v>
      </c>
      <c r="T1742" s="49">
        <f t="shared" si="499"/>
        <v>2763.79</v>
      </c>
      <c r="U1742" s="51">
        <f t="shared" si="500"/>
        <v>0</v>
      </c>
      <c r="V1742" s="52">
        <f>IF(0&lt;0.8,0,IF(0&lt;1,Sheet3!L561,1))*IF(G1742&lt;3,0.12 - O1742,0.01) *U1742</f>
        <v>0</v>
      </c>
      <c r="W1742" s="52">
        <f t="shared" si="501"/>
        <v>0</v>
      </c>
      <c r="X1742" s="53">
        <f t="shared" si="502"/>
        <v>0</v>
      </c>
      <c r="Y1742" s="53">
        <f t="shared" si="503"/>
        <v>0</v>
      </c>
      <c r="Z1742" s="54">
        <f t="shared" si="508"/>
        <v>0</v>
      </c>
      <c r="AA1742" s="54">
        <f t="shared" si="504"/>
        <v>0</v>
      </c>
      <c r="AB1742" s="55">
        <f t="shared" si="507"/>
        <v>0</v>
      </c>
      <c r="AC1742" s="55">
        <f t="shared" si="505"/>
        <v>0</v>
      </c>
      <c r="AD1742" s="56">
        <f t="shared" si="506"/>
        <v>2763.79</v>
      </c>
    </row>
    <row r="1743" spans="3:30">
      <c r="C1743" s="43" t="s">
        <v>3186</v>
      </c>
      <c r="D1743" s="44" t="s">
        <v>3187</v>
      </c>
      <c r="E1743" s="44"/>
      <c r="F1743" s="45">
        <v>42482.641273148147</v>
      </c>
      <c r="G1743" s="46">
        <v>29</v>
      </c>
      <c r="H1743" s="47">
        <v>43384</v>
      </c>
      <c r="I1743" s="47">
        <v>43425</v>
      </c>
      <c r="J1743" s="46">
        <v>4503668</v>
      </c>
      <c r="K1743" s="46">
        <v>403061</v>
      </c>
      <c r="L1743" s="46">
        <v>0</v>
      </c>
      <c r="M1743" s="46">
        <f t="shared" si="495"/>
        <v>4100607</v>
      </c>
      <c r="N1743" s="46">
        <v>4483742</v>
      </c>
      <c r="O1743" s="48">
        <f t="shared" si="496"/>
        <v>8.5449831859192638E-2</v>
      </c>
      <c r="P1743" s="46">
        <v>0</v>
      </c>
      <c r="Q1743" s="46">
        <v>4503668</v>
      </c>
      <c r="R1743" s="49">
        <f t="shared" si="497"/>
        <v>1</v>
      </c>
      <c r="S1743" s="50">
        <f t="shared" si="498"/>
        <v>0.01</v>
      </c>
      <c r="T1743" s="49">
        <f t="shared" si="499"/>
        <v>41006.07</v>
      </c>
      <c r="U1743" s="51">
        <f t="shared" si="500"/>
        <v>0</v>
      </c>
      <c r="V1743" s="52">
        <f>IF(0&lt;0.8,0,IF(0&lt;1,Sheet3!L561,1))*IF(G1743&lt;3,0.12 - O1743,0.01) *U1743</f>
        <v>0</v>
      </c>
      <c r="W1743" s="52">
        <f t="shared" si="501"/>
        <v>0</v>
      </c>
      <c r="X1743" s="53">
        <f t="shared" si="502"/>
        <v>0</v>
      </c>
      <c r="Y1743" s="53">
        <f t="shared" si="503"/>
        <v>0</v>
      </c>
      <c r="Z1743" s="54">
        <f t="shared" si="508"/>
        <v>0</v>
      </c>
      <c r="AA1743" s="54">
        <f t="shared" si="504"/>
        <v>0</v>
      </c>
      <c r="AB1743" s="55">
        <f t="shared" si="507"/>
        <v>0</v>
      </c>
      <c r="AC1743" s="55">
        <f t="shared" si="505"/>
        <v>0</v>
      </c>
      <c r="AD1743" s="56">
        <f t="shared" si="506"/>
        <v>41006.07</v>
      </c>
    </row>
    <row r="1744" spans="3:30">
      <c r="C1744" s="43" t="s">
        <v>3188</v>
      </c>
      <c r="D1744" s="44" t="s">
        <v>3189</v>
      </c>
      <c r="E1744" s="44"/>
      <c r="F1744" s="45">
        <v>42489.400231481479</v>
      </c>
      <c r="G1744" s="46">
        <v>29</v>
      </c>
      <c r="H1744" s="47">
        <v>43372</v>
      </c>
      <c r="I1744" s="47">
        <v>43420</v>
      </c>
      <c r="J1744" s="46">
        <v>22918</v>
      </c>
      <c r="K1744" s="46">
        <v>0</v>
      </c>
      <c r="L1744" s="46">
        <v>0</v>
      </c>
      <c r="M1744" s="46">
        <f t="shared" si="495"/>
        <v>22918</v>
      </c>
      <c r="N1744" s="46">
        <v>22918</v>
      </c>
      <c r="O1744" s="48">
        <f t="shared" si="496"/>
        <v>0</v>
      </c>
      <c r="P1744" s="46">
        <v>0</v>
      </c>
      <c r="Q1744" s="46">
        <v>22918</v>
      </c>
      <c r="R1744" s="49">
        <f t="shared" si="497"/>
        <v>1</v>
      </c>
      <c r="S1744" s="50">
        <f t="shared" si="498"/>
        <v>0.01</v>
      </c>
      <c r="T1744" s="49">
        <f t="shared" si="499"/>
        <v>229.18</v>
      </c>
      <c r="U1744" s="51">
        <f t="shared" si="500"/>
        <v>0</v>
      </c>
      <c r="V1744" s="52">
        <f>IF(0&lt;0.8,0,IF(0&lt;1,Sheet3!L561,1))*IF(G1744&lt;3,0.12 - O1744,0.01) *U1744</f>
        <v>0</v>
      </c>
      <c r="W1744" s="52">
        <f t="shared" si="501"/>
        <v>0</v>
      </c>
      <c r="X1744" s="53">
        <f t="shared" si="502"/>
        <v>0</v>
      </c>
      <c r="Y1744" s="53">
        <f t="shared" si="503"/>
        <v>0</v>
      </c>
      <c r="Z1744" s="54">
        <f t="shared" si="508"/>
        <v>0</v>
      </c>
      <c r="AA1744" s="54">
        <f t="shared" si="504"/>
        <v>0</v>
      </c>
      <c r="AB1744" s="55">
        <f t="shared" si="507"/>
        <v>0</v>
      </c>
      <c r="AC1744" s="55">
        <f t="shared" si="505"/>
        <v>0</v>
      </c>
      <c r="AD1744" s="56">
        <f t="shared" si="506"/>
        <v>229.18</v>
      </c>
    </row>
    <row r="1745" spans="3:30">
      <c r="C1745" s="43" t="s">
        <v>3190</v>
      </c>
      <c r="D1745" s="44" t="s">
        <v>3191</v>
      </c>
      <c r="E1745" s="44"/>
      <c r="F1745" s="45">
        <v>42499.051712962959</v>
      </c>
      <c r="G1745" s="46">
        <v>28</v>
      </c>
      <c r="H1745" s="47">
        <v>43397</v>
      </c>
      <c r="I1745" s="47">
        <v>43397</v>
      </c>
      <c r="J1745" s="46">
        <v>424948</v>
      </c>
      <c r="K1745" s="46">
        <v>38624</v>
      </c>
      <c r="L1745" s="46">
        <v>0</v>
      </c>
      <c r="M1745" s="46">
        <f t="shared" si="495"/>
        <v>386324</v>
      </c>
      <c r="N1745" s="46">
        <v>587948</v>
      </c>
      <c r="O1745" s="48">
        <f t="shared" si="496"/>
        <v>0.34292828617496784</v>
      </c>
      <c r="P1745" s="46">
        <v>0</v>
      </c>
      <c r="Q1745" s="46">
        <v>424948</v>
      </c>
      <c r="R1745" s="49">
        <f t="shared" si="497"/>
        <v>1</v>
      </c>
      <c r="S1745" s="50">
        <f t="shared" si="498"/>
        <v>0.01</v>
      </c>
      <c r="T1745" s="49">
        <f t="shared" si="499"/>
        <v>3863.2400000000002</v>
      </c>
      <c r="U1745" s="51">
        <f t="shared" si="500"/>
        <v>0</v>
      </c>
      <c r="V1745" s="52">
        <f>IF(0&lt;0.8,0,IF(0&lt;1,Sheet3!L561,1))*IF(G1745&lt;3,0.12 - O1745,0.01) *U1745</f>
        <v>0</v>
      </c>
      <c r="W1745" s="52">
        <f t="shared" si="501"/>
        <v>0</v>
      </c>
      <c r="X1745" s="53">
        <f t="shared" si="502"/>
        <v>0</v>
      </c>
      <c r="Y1745" s="53">
        <f t="shared" si="503"/>
        <v>0</v>
      </c>
      <c r="Z1745" s="54">
        <f t="shared" si="508"/>
        <v>0</v>
      </c>
      <c r="AA1745" s="54">
        <f t="shared" si="504"/>
        <v>0</v>
      </c>
      <c r="AB1745" s="55">
        <f t="shared" si="507"/>
        <v>0</v>
      </c>
      <c r="AC1745" s="55">
        <f t="shared" si="505"/>
        <v>0</v>
      </c>
      <c r="AD1745" s="56">
        <f t="shared" si="506"/>
        <v>3863.2400000000002</v>
      </c>
    </row>
    <row r="1746" spans="3:30">
      <c r="C1746" s="43" t="s">
        <v>3192</v>
      </c>
      <c r="D1746" s="44" t="s">
        <v>3193</v>
      </c>
      <c r="E1746" s="44"/>
      <c r="F1746" s="45">
        <v>42500.097986111112</v>
      </c>
      <c r="G1746" s="46">
        <v>28</v>
      </c>
      <c r="H1746" s="47">
        <v>43384</v>
      </c>
      <c r="I1746" s="47">
        <v>43397</v>
      </c>
      <c r="J1746" s="46">
        <v>5597442</v>
      </c>
      <c r="K1746" s="46">
        <v>254429</v>
      </c>
      <c r="L1746" s="46">
        <v>0</v>
      </c>
      <c r="M1746" s="46">
        <f t="shared" si="495"/>
        <v>5343013</v>
      </c>
      <c r="N1746" s="46">
        <v>5597442</v>
      </c>
      <c r="O1746" s="48">
        <f t="shared" si="496"/>
        <v>4.5454512972175509E-2</v>
      </c>
      <c r="P1746" s="46">
        <v>0</v>
      </c>
      <c r="Q1746" s="46">
        <v>5597442</v>
      </c>
      <c r="R1746" s="49">
        <f t="shared" si="497"/>
        <v>1</v>
      </c>
      <c r="S1746" s="50">
        <f t="shared" si="498"/>
        <v>0.01</v>
      </c>
      <c r="T1746" s="49">
        <f t="shared" si="499"/>
        <v>53430.130000000005</v>
      </c>
      <c r="U1746" s="51">
        <f t="shared" si="500"/>
        <v>0</v>
      </c>
      <c r="V1746" s="52">
        <f>IF(0&lt;0.8,0,IF(0&lt;1,Sheet3!L561,1))*IF(G1746&lt;3,0.12 - O1746,0.01) *U1746</f>
        <v>0</v>
      </c>
      <c r="W1746" s="52">
        <f t="shared" si="501"/>
        <v>0</v>
      </c>
      <c r="X1746" s="53">
        <f t="shared" si="502"/>
        <v>0</v>
      </c>
      <c r="Y1746" s="53">
        <f t="shared" si="503"/>
        <v>0</v>
      </c>
      <c r="Z1746" s="54">
        <f t="shared" si="508"/>
        <v>0</v>
      </c>
      <c r="AA1746" s="54">
        <f t="shared" si="504"/>
        <v>0</v>
      </c>
      <c r="AB1746" s="55">
        <f t="shared" si="507"/>
        <v>0</v>
      </c>
      <c r="AC1746" s="55">
        <f t="shared" si="505"/>
        <v>0</v>
      </c>
      <c r="AD1746" s="56">
        <f t="shared" si="506"/>
        <v>53430.130000000005</v>
      </c>
    </row>
    <row r="1747" spans="3:30">
      <c r="C1747" s="43" t="s">
        <v>3194</v>
      </c>
      <c r="D1747" s="44" t="s">
        <v>3195</v>
      </c>
      <c r="E1747" s="44"/>
      <c r="F1747" s="45">
        <v>42510.190775462965</v>
      </c>
      <c r="G1747" s="46">
        <v>28</v>
      </c>
      <c r="H1747" s="47">
        <v>43384</v>
      </c>
      <c r="I1747" s="47">
        <v>43453</v>
      </c>
      <c r="J1747" s="46">
        <v>453982</v>
      </c>
      <c r="K1747" s="46">
        <v>0</v>
      </c>
      <c r="L1747" s="46">
        <v>0</v>
      </c>
      <c r="M1747" s="46">
        <f t="shared" si="495"/>
        <v>453982</v>
      </c>
      <c r="N1747" s="46">
        <v>453982</v>
      </c>
      <c r="O1747" s="48">
        <f t="shared" si="496"/>
        <v>0</v>
      </c>
      <c r="P1747" s="46">
        <v>0</v>
      </c>
      <c r="Q1747" s="46">
        <v>453982</v>
      </c>
      <c r="R1747" s="49">
        <f t="shared" si="497"/>
        <v>1</v>
      </c>
      <c r="S1747" s="50">
        <f t="shared" si="498"/>
        <v>0.01</v>
      </c>
      <c r="T1747" s="49">
        <f t="shared" si="499"/>
        <v>4539.82</v>
      </c>
      <c r="U1747" s="51">
        <f t="shared" si="500"/>
        <v>0</v>
      </c>
      <c r="V1747" s="52">
        <f>IF(0&lt;0.8,0,IF(0&lt;1,Sheet3!L561,1))*IF(G1747&lt;3,0.12 - O1747,0.01) *U1747</f>
        <v>0</v>
      </c>
      <c r="W1747" s="52">
        <f t="shared" si="501"/>
        <v>0</v>
      </c>
      <c r="X1747" s="53">
        <f t="shared" si="502"/>
        <v>0</v>
      </c>
      <c r="Y1747" s="53">
        <f t="shared" si="503"/>
        <v>0</v>
      </c>
      <c r="Z1747" s="54">
        <f t="shared" si="508"/>
        <v>0</v>
      </c>
      <c r="AA1747" s="54">
        <f t="shared" si="504"/>
        <v>0</v>
      </c>
      <c r="AB1747" s="55">
        <f t="shared" si="507"/>
        <v>0</v>
      </c>
      <c r="AC1747" s="55">
        <f t="shared" si="505"/>
        <v>0</v>
      </c>
      <c r="AD1747" s="56">
        <f t="shared" si="506"/>
        <v>4539.82</v>
      </c>
    </row>
    <row r="1748" spans="3:30">
      <c r="C1748" s="43" t="s">
        <v>3196</v>
      </c>
      <c r="D1748" s="44" t="s">
        <v>3197</v>
      </c>
      <c r="E1748" s="44"/>
      <c r="F1748" s="45">
        <v>42552.116423611107</v>
      </c>
      <c r="G1748" s="46">
        <v>26</v>
      </c>
      <c r="H1748" s="47">
        <v>43459</v>
      </c>
      <c r="I1748" s="47">
        <v>43486</v>
      </c>
      <c r="J1748" s="46">
        <v>19127259</v>
      </c>
      <c r="K1748" s="46">
        <v>0</v>
      </c>
      <c r="L1748" s="46">
        <v>0</v>
      </c>
      <c r="M1748" s="46">
        <f t="shared" si="495"/>
        <v>19127259</v>
      </c>
      <c r="N1748" s="46">
        <v>7048408</v>
      </c>
      <c r="O1748" s="48">
        <f t="shared" si="496"/>
        <v>0</v>
      </c>
      <c r="P1748" s="46">
        <v>0</v>
      </c>
      <c r="Q1748" s="46">
        <v>17562894</v>
      </c>
      <c r="R1748" s="49">
        <f t="shared" si="497"/>
        <v>1</v>
      </c>
      <c r="S1748" s="50">
        <f t="shared" si="498"/>
        <v>0.01</v>
      </c>
      <c r="T1748" s="49">
        <f t="shared" si="499"/>
        <v>191272.59</v>
      </c>
      <c r="U1748" s="51">
        <f t="shared" si="500"/>
        <v>0</v>
      </c>
      <c r="V1748" s="52">
        <f>IF(0&lt;0.8,0,IF(0&lt;1,Sheet3!L561,1))*IF(G1748&lt;3,0.12 - O1748,0.01) *U1748</f>
        <v>0</v>
      </c>
      <c r="W1748" s="52">
        <f t="shared" si="501"/>
        <v>0</v>
      </c>
      <c r="X1748" s="53">
        <f t="shared" si="502"/>
        <v>0</v>
      </c>
      <c r="Y1748" s="53">
        <f t="shared" si="503"/>
        <v>0</v>
      </c>
      <c r="Z1748" s="54">
        <f t="shared" si="508"/>
        <v>0</v>
      </c>
      <c r="AA1748" s="54">
        <f t="shared" si="504"/>
        <v>0</v>
      </c>
      <c r="AB1748" s="55">
        <f t="shared" si="507"/>
        <v>0</v>
      </c>
      <c r="AC1748" s="55">
        <f t="shared" si="505"/>
        <v>0</v>
      </c>
      <c r="AD1748" s="56">
        <f t="shared" si="506"/>
        <v>191272.59</v>
      </c>
    </row>
    <row r="1749" spans="3:30">
      <c r="C1749" s="43" t="s">
        <v>3198</v>
      </c>
      <c r="D1749" s="44" t="s">
        <v>3199</v>
      </c>
      <c r="E1749" s="44"/>
      <c r="F1749" s="45">
        <v>42578.139328703699</v>
      </c>
      <c r="G1749" s="46">
        <v>26</v>
      </c>
      <c r="H1749" s="47">
        <v>43440</v>
      </c>
      <c r="I1749" s="47">
        <v>43475</v>
      </c>
      <c r="J1749" s="46">
        <v>16245972</v>
      </c>
      <c r="K1749" s="46">
        <v>0</v>
      </c>
      <c r="L1749" s="46">
        <v>0</v>
      </c>
      <c r="M1749" s="46">
        <f t="shared" si="495"/>
        <v>16245972</v>
      </c>
      <c r="N1749" s="46">
        <v>32956516</v>
      </c>
      <c r="O1749" s="48">
        <f t="shared" si="496"/>
        <v>0.50704825716407642</v>
      </c>
      <c r="P1749" s="46">
        <v>0</v>
      </c>
      <c r="Q1749" s="46">
        <v>16312022</v>
      </c>
      <c r="R1749" s="49">
        <f t="shared" si="497"/>
        <v>1</v>
      </c>
      <c r="S1749" s="50">
        <f t="shared" si="498"/>
        <v>0.01</v>
      </c>
      <c r="T1749" s="49">
        <f t="shared" si="499"/>
        <v>162459.72</v>
      </c>
      <c r="U1749" s="51">
        <f t="shared" si="500"/>
        <v>0</v>
      </c>
      <c r="V1749" s="52">
        <f>IF(0&lt;0.8,0,IF(0&lt;1,Sheet3!L561,1))*IF(G1749&lt;3,0.12 - O1749,0.01) *U1749</f>
        <v>0</v>
      </c>
      <c r="W1749" s="52">
        <f t="shared" si="501"/>
        <v>0</v>
      </c>
      <c r="X1749" s="53">
        <f t="shared" si="502"/>
        <v>0</v>
      </c>
      <c r="Y1749" s="53">
        <f t="shared" si="503"/>
        <v>0</v>
      </c>
      <c r="Z1749" s="54">
        <f t="shared" si="508"/>
        <v>0</v>
      </c>
      <c r="AA1749" s="54">
        <f t="shared" si="504"/>
        <v>0</v>
      </c>
      <c r="AB1749" s="55">
        <f t="shared" si="507"/>
        <v>0</v>
      </c>
      <c r="AC1749" s="55">
        <f t="shared" si="505"/>
        <v>0</v>
      </c>
      <c r="AD1749" s="56">
        <f t="shared" si="506"/>
        <v>162459.72</v>
      </c>
    </row>
    <row r="1750" spans="3:30">
      <c r="C1750" s="43" t="s">
        <v>3200</v>
      </c>
      <c r="D1750" s="44" t="s">
        <v>3201</v>
      </c>
      <c r="E1750" s="44"/>
      <c r="F1750" s="45">
        <v>42600.137349537035</v>
      </c>
      <c r="G1750" s="46">
        <v>25</v>
      </c>
      <c r="H1750" s="47">
        <v>43384</v>
      </c>
      <c r="I1750" s="47">
        <v>43420</v>
      </c>
      <c r="J1750" s="46">
        <v>533321</v>
      </c>
      <c r="K1750" s="46">
        <v>0</v>
      </c>
      <c r="L1750" s="46">
        <v>0</v>
      </c>
      <c r="M1750" s="46">
        <f t="shared" si="495"/>
        <v>533321</v>
      </c>
      <c r="N1750" s="46">
        <v>533321</v>
      </c>
      <c r="O1750" s="48">
        <f t="shared" si="496"/>
        <v>0</v>
      </c>
      <c r="P1750" s="46">
        <v>0</v>
      </c>
      <c r="Q1750" s="46">
        <v>533321</v>
      </c>
      <c r="R1750" s="49">
        <f t="shared" si="497"/>
        <v>1</v>
      </c>
      <c r="S1750" s="50">
        <f t="shared" si="498"/>
        <v>0.01</v>
      </c>
      <c r="T1750" s="49">
        <f t="shared" si="499"/>
        <v>5333.21</v>
      </c>
      <c r="U1750" s="51">
        <f t="shared" si="500"/>
        <v>0</v>
      </c>
      <c r="V1750" s="52">
        <f>IF(0&lt;0.8,0,IF(0&lt;1,Sheet3!L561,1))*IF(G1750&lt;3,0.12 - O1750,0.01) *U1750</f>
        <v>0</v>
      </c>
      <c r="W1750" s="52">
        <f t="shared" si="501"/>
        <v>0</v>
      </c>
      <c r="X1750" s="53">
        <f t="shared" si="502"/>
        <v>0</v>
      </c>
      <c r="Y1750" s="53">
        <f t="shared" si="503"/>
        <v>0</v>
      </c>
      <c r="Z1750" s="54">
        <f t="shared" si="508"/>
        <v>0</v>
      </c>
      <c r="AA1750" s="54">
        <f t="shared" si="504"/>
        <v>0</v>
      </c>
      <c r="AB1750" s="55">
        <f t="shared" si="507"/>
        <v>0</v>
      </c>
      <c r="AC1750" s="55">
        <f t="shared" si="505"/>
        <v>0</v>
      </c>
      <c r="AD1750" s="56">
        <f t="shared" si="506"/>
        <v>5333.21</v>
      </c>
    </row>
    <row r="1751" spans="3:30">
      <c r="C1751" s="43" t="s">
        <v>3202</v>
      </c>
      <c r="D1751" s="44" t="s">
        <v>3203</v>
      </c>
      <c r="E1751" s="44"/>
      <c r="F1751" s="45">
        <v>42604.189212962963</v>
      </c>
      <c r="G1751" s="46">
        <v>25</v>
      </c>
      <c r="H1751" s="47">
        <v>43458</v>
      </c>
      <c r="I1751" s="47">
        <v>43405</v>
      </c>
      <c r="J1751" s="46">
        <v>20567151</v>
      </c>
      <c r="K1751" s="46">
        <v>1478816</v>
      </c>
      <c r="L1751" s="46">
        <v>0</v>
      </c>
      <c r="M1751" s="46">
        <f t="shared" si="495"/>
        <v>19088335</v>
      </c>
      <c r="N1751" s="46">
        <v>23929351</v>
      </c>
      <c r="O1751" s="48">
        <f t="shared" si="496"/>
        <v>0.20230452551763733</v>
      </c>
      <c r="P1751" s="46">
        <v>0</v>
      </c>
      <c r="Q1751" s="46">
        <v>20567151</v>
      </c>
      <c r="R1751" s="49">
        <f t="shared" si="497"/>
        <v>1</v>
      </c>
      <c r="S1751" s="50">
        <f t="shared" si="498"/>
        <v>0.01</v>
      </c>
      <c r="T1751" s="49">
        <f t="shared" si="499"/>
        <v>190883.35</v>
      </c>
      <c r="U1751" s="51">
        <f t="shared" si="500"/>
        <v>0</v>
      </c>
      <c r="V1751" s="52">
        <f>IF(0&lt;0.8,0,IF(0&lt;1,Sheet3!L561,1))*IF(G1751&lt;3,0.12 - O1751,0.01) *U1751</f>
        <v>0</v>
      </c>
      <c r="W1751" s="52">
        <f t="shared" si="501"/>
        <v>0</v>
      </c>
      <c r="X1751" s="53">
        <f t="shared" si="502"/>
        <v>0</v>
      </c>
      <c r="Y1751" s="53">
        <f t="shared" si="503"/>
        <v>0</v>
      </c>
      <c r="Z1751" s="54">
        <f t="shared" si="508"/>
        <v>0</v>
      </c>
      <c r="AA1751" s="54">
        <f t="shared" si="504"/>
        <v>0</v>
      </c>
      <c r="AB1751" s="55">
        <f t="shared" si="507"/>
        <v>0</v>
      </c>
      <c r="AC1751" s="55">
        <f t="shared" si="505"/>
        <v>0</v>
      </c>
      <c r="AD1751" s="56">
        <f t="shared" si="506"/>
        <v>190883.35</v>
      </c>
    </row>
    <row r="1752" spans="3:30">
      <c r="C1752" s="43" t="s">
        <v>3204</v>
      </c>
      <c r="D1752" s="44" t="s">
        <v>3205</v>
      </c>
      <c r="E1752" s="44"/>
      <c r="F1752" s="45">
        <v>42632.403344907405</v>
      </c>
      <c r="G1752" s="46">
        <v>24</v>
      </c>
      <c r="H1752" s="47">
        <v>43384</v>
      </c>
      <c r="I1752" s="47">
        <v>43404</v>
      </c>
      <c r="J1752" s="46">
        <v>958496</v>
      </c>
      <c r="K1752" s="46">
        <v>0</v>
      </c>
      <c r="L1752" s="46">
        <v>0</v>
      </c>
      <c r="M1752" s="46">
        <f t="shared" si="495"/>
        <v>958496</v>
      </c>
      <c r="N1752" s="46">
        <v>958496</v>
      </c>
      <c r="O1752" s="48">
        <f t="shared" si="496"/>
        <v>0</v>
      </c>
      <c r="P1752" s="46">
        <v>0</v>
      </c>
      <c r="Q1752" s="46">
        <v>958496</v>
      </c>
      <c r="R1752" s="49">
        <f t="shared" si="497"/>
        <v>1</v>
      </c>
      <c r="S1752" s="50">
        <f t="shared" si="498"/>
        <v>0.01</v>
      </c>
      <c r="T1752" s="49">
        <f t="shared" si="499"/>
        <v>9584.9600000000009</v>
      </c>
      <c r="U1752" s="51">
        <f t="shared" si="500"/>
        <v>0</v>
      </c>
      <c r="V1752" s="52">
        <f>IF(0&lt;0.8,0,IF(0&lt;1,Sheet3!L561,1))*IF(G1752&lt;3,0.12 - O1752,0.01) *U1752</f>
        <v>0</v>
      </c>
      <c r="W1752" s="52">
        <f t="shared" si="501"/>
        <v>0</v>
      </c>
      <c r="X1752" s="53">
        <f t="shared" si="502"/>
        <v>0</v>
      </c>
      <c r="Y1752" s="53">
        <f t="shared" si="503"/>
        <v>0</v>
      </c>
      <c r="Z1752" s="54">
        <f t="shared" si="508"/>
        <v>0</v>
      </c>
      <c r="AA1752" s="54">
        <f t="shared" si="504"/>
        <v>0</v>
      </c>
      <c r="AB1752" s="55">
        <f t="shared" si="507"/>
        <v>0</v>
      </c>
      <c r="AC1752" s="55">
        <f t="shared" si="505"/>
        <v>0</v>
      </c>
      <c r="AD1752" s="56">
        <f t="shared" si="506"/>
        <v>9584.9600000000009</v>
      </c>
    </row>
    <row r="1753" spans="3:30">
      <c r="C1753" s="43" t="s">
        <v>3206</v>
      </c>
      <c r="D1753" s="44" t="s">
        <v>3207</v>
      </c>
      <c r="E1753" s="44"/>
      <c r="F1753" s="45">
        <v>42641.379108796296</v>
      </c>
      <c r="G1753" s="46">
        <v>24</v>
      </c>
      <c r="H1753" s="47">
        <v>43384</v>
      </c>
      <c r="I1753" s="47">
        <v>43402</v>
      </c>
      <c r="J1753" s="46">
        <v>1017093</v>
      </c>
      <c r="K1753" s="46">
        <v>0</v>
      </c>
      <c r="L1753" s="46">
        <v>0</v>
      </c>
      <c r="M1753" s="46">
        <f t="shared" si="495"/>
        <v>1017093</v>
      </c>
      <c r="N1753" s="46">
        <v>1017093</v>
      </c>
      <c r="O1753" s="48">
        <f t="shared" si="496"/>
        <v>0</v>
      </c>
      <c r="P1753" s="46">
        <v>0</v>
      </c>
      <c r="Q1753" s="46">
        <v>1017093</v>
      </c>
      <c r="R1753" s="49">
        <f t="shared" si="497"/>
        <v>1</v>
      </c>
      <c r="S1753" s="50">
        <f t="shared" si="498"/>
        <v>0.01</v>
      </c>
      <c r="T1753" s="49">
        <f t="shared" si="499"/>
        <v>10170.93</v>
      </c>
      <c r="U1753" s="51">
        <f t="shared" si="500"/>
        <v>0</v>
      </c>
      <c r="V1753" s="52">
        <f>IF(0&lt;0.8,0,IF(0&lt;1,Sheet3!L561,1))*IF(G1753&lt;3,0.12 - O1753,0.01) *U1753</f>
        <v>0</v>
      </c>
      <c r="W1753" s="52">
        <f t="shared" si="501"/>
        <v>0</v>
      </c>
      <c r="X1753" s="53">
        <f t="shared" si="502"/>
        <v>0</v>
      </c>
      <c r="Y1753" s="53">
        <f t="shared" si="503"/>
        <v>0</v>
      </c>
      <c r="Z1753" s="54">
        <f t="shared" si="508"/>
        <v>0</v>
      </c>
      <c r="AA1753" s="54">
        <f t="shared" si="504"/>
        <v>0</v>
      </c>
      <c r="AB1753" s="55">
        <f t="shared" si="507"/>
        <v>0</v>
      </c>
      <c r="AC1753" s="55">
        <f t="shared" si="505"/>
        <v>0</v>
      </c>
      <c r="AD1753" s="56">
        <f t="shared" si="506"/>
        <v>10170.93</v>
      </c>
    </row>
    <row r="1754" spans="3:30">
      <c r="C1754" s="43" t="s">
        <v>3208</v>
      </c>
      <c r="D1754" s="44" t="s">
        <v>3209</v>
      </c>
      <c r="E1754" s="44"/>
      <c r="F1754" s="45">
        <v>42668.067488425921</v>
      </c>
      <c r="G1754" s="46">
        <v>23</v>
      </c>
      <c r="H1754" s="47">
        <v>43372</v>
      </c>
      <c r="I1754" s="47">
        <v>43402</v>
      </c>
      <c r="J1754" s="46">
        <v>681000</v>
      </c>
      <c r="K1754" s="46">
        <v>0</v>
      </c>
      <c r="L1754" s="46">
        <v>0</v>
      </c>
      <c r="M1754" s="46">
        <f t="shared" si="495"/>
        <v>681000</v>
      </c>
      <c r="N1754" s="46">
        <v>679052</v>
      </c>
      <c r="O1754" s="48">
        <f t="shared" si="496"/>
        <v>0</v>
      </c>
      <c r="P1754" s="46">
        <v>0</v>
      </c>
      <c r="Q1754" s="46">
        <v>681000</v>
      </c>
      <c r="R1754" s="49">
        <f t="shared" si="497"/>
        <v>1</v>
      </c>
      <c r="S1754" s="50">
        <f t="shared" si="498"/>
        <v>0.01</v>
      </c>
      <c r="T1754" s="49">
        <f t="shared" si="499"/>
        <v>6810</v>
      </c>
      <c r="U1754" s="51">
        <f t="shared" si="500"/>
        <v>0</v>
      </c>
      <c r="V1754" s="52">
        <f>IF(0&lt;0.8,0,IF(0&lt;1,Sheet3!L561,1))*IF(G1754&lt;3,0.12 - O1754,0.01) *U1754</f>
        <v>0</v>
      </c>
      <c r="W1754" s="52">
        <f t="shared" si="501"/>
        <v>0</v>
      </c>
      <c r="X1754" s="53">
        <f t="shared" si="502"/>
        <v>0</v>
      </c>
      <c r="Y1754" s="53">
        <f t="shared" si="503"/>
        <v>0</v>
      </c>
      <c r="Z1754" s="54">
        <f t="shared" si="508"/>
        <v>0</v>
      </c>
      <c r="AA1754" s="54">
        <f t="shared" si="504"/>
        <v>0</v>
      </c>
      <c r="AB1754" s="55">
        <f t="shared" si="507"/>
        <v>0</v>
      </c>
      <c r="AC1754" s="55">
        <f t="shared" si="505"/>
        <v>0</v>
      </c>
      <c r="AD1754" s="56">
        <f t="shared" si="506"/>
        <v>6810</v>
      </c>
    </row>
    <row r="1755" spans="3:30">
      <c r="C1755" s="43" t="s">
        <v>3210</v>
      </c>
      <c r="D1755" s="44" t="s">
        <v>3211</v>
      </c>
      <c r="E1755" s="44"/>
      <c r="F1755" s="45">
        <v>42676.350613425922</v>
      </c>
      <c r="G1755" s="46">
        <v>22</v>
      </c>
      <c r="H1755" s="47">
        <v>43388</v>
      </c>
      <c r="I1755" s="47">
        <v>43447</v>
      </c>
      <c r="J1755" s="46">
        <v>1467892</v>
      </c>
      <c r="K1755" s="46">
        <v>0</v>
      </c>
      <c r="L1755" s="46">
        <v>0</v>
      </c>
      <c r="M1755" s="46">
        <f t="shared" si="495"/>
        <v>1467892</v>
      </c>
      <c r="N1755" s="46">
        <v>1457928</v>
      </c>
      <c r="O1755" s="48">
        <f t="shared" si="496"/>
        <v>0</v>
      </c>
      <c r="P1755" s="46">
        <v>0</v>
      </c>
      <c r="Q1755" s="46">
        <v>1467892</v>
      </c>
      <c r="R1755" s="49">
        <f t="shared" si="497"/>
        <v>1</v>
      </c>
      <c r="S1755" s="50">
        <f t="shared" si="498"/>
        <v>0.01</v>
      </c>
      <c r="T1755" s="49">
        <f t="shared" si="499"/>
        <v>14678.92</v>
      </c>
      <c r="U1755" s="51">
        <f t="shared" si="500"/>
        <v>0</v>
      </c>
      <c r="V1755" s="52">
        <f>IF(0&lt;0.8,0,IF(0&lt;1,Sheet3!L561,1))*IF(G1755&lt;3,0.12 - O1755,0.01) *U1755</f>
        <v>0</v>
      </c>
      <c r="W1755" s="52">
        <f t="shared" si="501"/>
        <v>0</v>
      </c>
      <c r="X1755" s="53">
        <f t="shared" si="502"/>
        <v>0</v>
      </c>
      <c r="Y1755" s="53">
        <f t="shared" si="503"/>
        <v>0</v>
      </c>
      <c r="Z1755" s="54">
        <f t="shared" si="508"/>
        <v>0</v>
      </c>
      <c r="AA1755" s="54">
        <f t="shared" si="504"/>
        <v>0</v>
      </c>
      <c r="AB1755" s="55">
        <f t="shared" si="507"/>
        <v>0</v>
      </c>
      <c r="AC1755" s="55">
        <f t="shared" si="505"/>
        <v>0</v>
      </c>
      <c r="AD1755" s="56">
        <f t="shared" si="506"/>
        <v>14678.92</v>
      </c>
    </row>
    <row r="1756" spans="3:30">
      <c r="C1756" s="43" t="s">
        <v>3212</v>
      </c>
      <c r="D1756" s="44" t="s">
        <v>3213</v>
      </c>
      <c r="E1756" s="44"/>
      <c r="F1756" s="45">
        <v>42676.352407407408</v>
      </c>
      <c r="G1756" s="46">
        <v>22</v>
      </c>
      <c r="H1756" s="47">
        <v>43384</v>
      </c>
      <c r="I1756" s="47">
        <v>43389</v>
      </c>
      <c r="J1756" s="46">
        <v>266211</v>
      </c>
      <c r="K1756" s="46">
        <v>0</v>
      </c>
      <c r="L1756" s="46">
        <v>0</v>
      </c>
      <c r="M1756" s="46">
        <f t="shared" si="495"/>
        <v>266211</v>
      </c>
      <c r="N1756" s="46">
        <v>266211</v>
      </c>
      <c r="O1756" s="48">
        <f t="shared" si="496"/>
        <v>0</v>
      </c>
      <c r="P1756" s="46">
        <v>0</v>
      </c>
      <c r="Q1756" s="46">
        <v>266211</v>
      </c>
      <c r="R1756" s="49">
        <f t="shared" si="497"/>
        <v>1</v>
      </c>
      <c r="S1756" s="50">
        <f t="shared" si="498"/>
        <v>0.01</v>
      </c>
      <c r="T1756" s="49">
        <f t="shared" si="499"/>
        <v>2662.11</v>
      </c>
      <c r="U1756" s="51">
        <f t="shared" si="500"/>
        <v>0</v>
      </c>
      <c r="V1756" s="52">
        <f>IF(0&lt;0.8,0,IF(0&lt;1,Sheet3!L561,1))*IF(G1756&lt;3,0.12 - O1756,0.01) *U1756</f>
        <v>0</v>
      </c>
      <c r="W1756" s="52">
        <f t="shared" si="501"/>
        <v>0</v>
      </c>
      <c r="X1756" s="53">
        <f t="shared" si="502"/>
        <v>0</v>
      </c>
      <c r="Y1756" s="53">
        <f t="shared" si="503"/>
        <v>0</v>
      </c>
      <c r="Z1756" s="54">
        <f t="shared" si="508"/>
        <v>0</v>
      </c>
      <c r="AA1756" s="54">
        <f t="shared" si="504"/>
        <v>0</v>
      </c>
      <c r="AB1756" s="55">
        <f t="shared" si="507"/>
        <v>0</v>
      </c>
      <c r="AC1756" s="55">
        <f t="shared" si="505"/>
        <v>0</v>
      </c>
      <c r="AD1756" s="56">
        <f t="shared" si="506"/>
        <v>2662.11</v>
      </c>
    </row>
    <row r="1757" spans="3:30">
      <c r="C1757" s="43" t="s">
        <v>3214</v>
      </c>
      <c r="D1757" s="44" t="s">
        <v>3215</v>
      </c>
      <c r="E1757" s="44"/>
      <c r="F1757" s="45">
        <v>42683.34538194444</v>
      </c>
      <c r="G1757" s="46">
        <v>22</v>
      </c>
      <c r="H1757" s="47">
        <v>43397</v>
      </c>
      <c r="I1757" s="47">
        <v>43460</v>
      </c>
      <c r="J1757" s="46">
        <v>11105767</v>
      </c>
      <c r="K1757" s="46">
        <v>0</v>
      </c>
      <c r="L1757" s="46">
        <v>0</v>
      </c>
      <c r="M1757" s="46">
        <f t="shared" si="495"/>
        <v>11105767</v>
      </c>
      <c r="N1757" s="46">
        <v>12105358</v>
      </c>
      <c r="O1757" s="48">
        <f t="shared" si="496"/>
        <v>8.2574261744262301E-2</v>
      </c>
      <c r="P1757" s="46">
        <v>0</v>
      </c>
      <c r="Q1757" s="46">
        <v>11105767</v>
      </c>
      <c r="R1757" s="49">
        <f t="shared" si="497"/>
        <v>1</v>
      </c>
      <c r="S1757" s="50">
        <f t="shared" si="498"/>
        <v>0.01</v>
      </c>
      <c r="T1757" s="49">
        <f t="shared" si="499"/>
        <v>111057.67</v>
      </c>
      <c r="U1757" s="51">
        <f t="shared" si="500"/>
        <v>0</v>
      </c>
      <c r="V1757" s="52">
        <f>IF(0&lt;0.8,0,IF(0&lt;1,Sheet3!L561,1))*IF(G1757&lt;3,0.12 - O1757,0.01) *U1757</f>
        <v>0</v>
      </c>
      <c r="W1757" s="52">
        <f t="shared" si="501"/>
        <v>0</v>
      </c>
      <c r="X1757" s="53">
        <f t="shared" si="502"/>
        <v>0</v>
      </c>
      <c r="Y1757" s="53">
        <f t="shared" si="503"/>
        <v>0</v>
      </c>
      <c r="Z1757" s="54">
        <f t="shared" si="508"/>
        <v>0</v>
      </c>
      <c r="AA1757" s="54">
        <f t="shared" si="504"/>
        <v>0</v>
      </c>
      <c r="AB1757" s="55">
        <f t="shared" si="507"/>
        <v>0</v>
      </c>
      <c r="AC1757" s="55">
        <f t="shared" si="505"/>
        <v>0</v>
      </c>
      <c r="AD1757" s="56">
        <f t="shared" si="506"/>
        <v>111057.67</v>
      </c>
    </row>
    <row r="1758" spans="3:30">
      <c r="C1758" s="43" t="s">
        <v>3216</v>
      </c>
      <c r="D1758" s="44" t="s">
        <v>3217</v>
      </c>
      <c r="E1758" s="44"/>
      <c r="F1758" s="45">
        <v>42748.156666666662</v>
      </c>
      <c r="G1758" s="46">
        <v>20</v>
      </c>
      <c r="H1758" s="47">
        <v>43434</v>
      </c>
      <c r="I1758" s="47">
        <v>43465</v>
      </c>
      <c r="J1758" s="46">
        <v>448052</v>
      </c>
      <c r="K1758" s="46">
        <v>0</v>
      </c>
      <c r="L1758" s="46">
        <v>0</v>
      </c>
      <c r="M1758" s="46">
        <f t="shared" si="495"/>
        <v>448052</v>
      </c>
      <c r="N1758" s="46">
        <v>448052</v>
      </c>
      <c r="O1758" s="48">
        <f t="shared" si="496"/>
        <v>0</v>
      </c>
      <c r="P1758" s="46">
        <v>0</v>
      </c>
      <c r="Q1758" s="46">
        <v>604324</v>
      </c>
      <c r="R1758" s="49">
        <f t="shared" si="497"/>
        <v>1</v>
      </c>
      <c r="S1758" s="50">
        <f t="shared" si="498"/>
        <v>0.01</v>
      </c>
      <c r="T1758" s="49">
        <f t="shared" si="499"/>
        <v>4480.5200000000004</v>
      </c>
      <c r="U1758" s="51">
        <f t="shared" si="500"/>
        <v>0</v>
      </c>
      <c r="V1758" s="52">
        <f>IF(0&lt;0.8,0,IF(0&lt;1,Sheet3!L561,1))*IF(G1758&lt;3,0.12 - O1758,0.01) *U1758</f>
        <v>0</v>
      </c>
      <c r="W1758" s="52">
        <f t="shared" si="501"/>
        <v>0</v>
      </c>
      <c r="X1758" s="53">
        <f t="shared" si="502"/>
        <v>0</v>
      </c>
      <c r="Y1758" s="53">
        <f t="shared" si="503"/>
        <v>0</v>
      </c>
      <c r="Z1758" s="54">
        <f t="shared" si="508"/>
        <v>0</v>
      </c>
      <c r="AA1758" s="54">
        <f t="shared" si="504"/>
        <v>0</v>
      </c>
      <c r="AB1758" s="55">
        <f t="shared" si="507"/>
        <v>0</v>
      </c>
      <c r="AC1758" s="55">
        <f t="shared" si="505"/>
        <v>0</v>
      </c>
      <c r="AD1758" s="56">
        <f t="shared" si="506"/>
        <v>4480.5200000000004</v>
      </c>
    </row>
    <row r="1759" spans="3:30">
      <c r="C1759" s="43" t="s">
        <v>3218</v>
      </c>
      <c r="D1759" s="44" t="s">
        <v>3219</v>
      </c>
      <c r="E1759" s="44"/>
      <c r="F1759" s="45">
        <v>42756.344039351847</v>
      </c>
      <c r="G1759" s="46">
        <v>20</v>
      </c>
      <c r="H1759" s="47">
        <v>43397</v>
      </c>
      <c r="I1759" s="47">
        <v>43460</v>
      </c>
      <c r="J1759" s="46">
        <v>1990623</v>
      </c>
      <c r="K1759" s="46">
        <v>0</v>
      </c>
      <c r="L1759" s="46">
        <v>0</v>
      </c>
      <c r="M1759" s="46">
        <f t="shared" si="495"/>
        <v>1990623</v>
      </c>
      <c r="N1759" s="46">
        <v>2158466</v>
      </c>
      <c r="O1759" s="48">
        <f t="shared" si="496"/>
        <v>7.7760316817591768E-2</v>
      </c>
      <c r="P1759" s="46">
        <v>0</v>
      </c>
      <c r="Q1759" s="46">
        <v>1990623</v>
      </c>
      <c r="R1759" s="49">
        <f t="shared" si="497"/>
        <v>1</v>
      </c>
      <c r="S1759" s="50">
        <f t="shared" si="498"/>
        <v>0.01</v>
      </c>
      <c r="T1759" s="49">
        <f t="shared" si="499"/>
        <v>19906.23</v>
      </c>
      <c r="U1759" s="51">
        <f t="shared" si="500"/>
        <v>0</v>
      </c>
      <c r="V1759" s="52">
        <f>IF(0&lt;0.8,0,IF(0&lt;1,Sheet3!L561,1))*IF(G1759&lt;3,0.12 - O1759,0.01) *U1759</f>
        <v>0</v>
      </c>
      <c r="W1759" s="52">
        <f t="shared" si="501"/>
        <v>0</v>
      </c>
      <c r="X1759" s="53">
        <f t="shared" si="502"/>
        <v>0</v>
      </c>
      <c r="Y1759" s="53">
        <f t="shared" si="503"/>
        <v>0</v>
      </c>
      <c r="Z1759" s="54">
        <f t="shared" si="508"/>
        <v>0</v>
      </c>
      <c r="AA1759" s="54">
        <f t="shared" si="504"/>
        <v>0</v>
      </c>
      <c r="AB1759" s="55">
        <f t="shared" si="507"/>
        <v>0</v>
      </c>
      <c r="AC1759" s="55">
        <f t="shared" si="505"/>
        <v>0</v>
      </c>
      <c r="AD1759" s="56">
        <f t="shared" si="506"/>
        <v>19906.23</v>
      </c>
    </row>
    <row r="1760" spans="3:30">
      <c r="C1760" s="43" t="s">
        <v>3220</v>
      </c>
      <c r="D1760" s="44" t="s">
        <v>3221</v>
      </c>
      <c r="E1760" s="44"/>
      <c r="F1760" s="45">
        <v>42794.347719907404</v>
      </c>
      <c r="G1760" s="46">
        <v>19</v>
      </c>
      <c r="H1760" s="47">
        <v>43384</v>
      </c>
      <c r="I1760" s="47">
        <v>43416</v>
      </c>
      <c r="J1760" s="46">
        <v>11030570</v>
      </c>
      <c r="K1760" s="46">
        <v>0</v>
      </c>
      <c r="L1760" s="46">
        <v>0</v>
      </c>
      <c r="M1760" s="46">
        <f t="shared" si="495"/>
        <v>11030570</v>
      </c>
      <c r="N1760" s="46">
        <v>11026897</v>
      </c>
      <c r="O1760" s="48">
        <f t="shared" si="496"/>
        <v>0</v>
      </c>
      <c r="P1760" s="46">
        <v>0</v>
      </c>
      <c r="Q1760" s="46">
        <v>11030570</v>
      </c>
      <c r="R1760" s="49">
        <f t="shared" si="497"/>
        <v>1</v>
      </c>
      <c r="S1760" s="50">
        <f t="shared" si="498"/>
        <v>0.01</v>
      </c>
      <c r="T1760" s="49">
        <f t="shared" si="499"/>
        <v>110305.7</v>
      </c>
      <c r="U1760" s="51">
        <f t="shared" si="500"/>
        <v>0</v>
      </c>
      <c r="V1760" s="52">
        <f>IF(0&lt;0.8,0,IF(0&lt;1,Sheet3!L561,1))*IF(G1760&lt;3,0.12 - O1760,0.01) *U1760</f>
        <v>0</v>
      </c>
      <c r="W1760" s="52">
        <f t="shared" si="501"/>
        <v>0</v>
      </c>
      <c r="X1760" s="53">
        <f t="shared" si="502"/>
        <v>0</v>
      </c>
      <c r="Y1760" s="53">
        <f t="shared" si="503"/>
        <v>0</v>
      </c>
      <c r="Z1760" s="54">
        <f t="shared" si="508"/>
        <v>0</v>
      </c>
      <c r="AA1760" s="54">
        <f t="shared" si="504"/>
        <v>0</v>
      </c>
      <c r="AB1760" s="55">
        <f t="shared" si="507"/>
        <v>0</v>
      </c>
      <c r="AC1760" s="55">
        <f t="shared" si="505"/>
        <v>0</v>
      </c>
      <c r="AD1760" s="56">
        <f t="shared" si="506"/>
        <v>110305.7</v>
      </c>
    </row>
    <row r="1761" spans="3:30">
      <c r="C1761" s="43" t="s">
        <v>3222</v>
      </c>
      <c r="D1761" s="44" t="s">
        <v>3223</v>
      </c>
      <c r="E1761" s="44"/>
      <c r="F1761" s="45">
        <v>42801.142418981479</v>
      </c>
      <c r="G1761" s="46">
        <v>18</v>
      </c>
      <c r="H1761" s="47">
        <v>43384</v>
      </c>
      <c r="I1761" s="47">
        <v>43428</v>
      </c>
      <c r="J1761" s="46">
        <v>570736</v>
      </c>
      <c r="K1761" s="46">
        <v>0</v>
      </c>
      <c r="L1761" s="46">
        <v>0</v>
      </c>
      <c r="M1761" s="46">
        <f t="shared" si="495"/>
        <v>570736</v>
      </c>
      <c r="N1761" s="46">
        <v>570736</v>
      </c>
      <c r="O1761" s="48">
        <f t="shared" si="496"/>
        <v>0</v>
      </c>
      <c r="P1761" s="46">
        <v>0</v>
      </c>
      <c r="Q1761" s="46">
        <v>570736</v>
      </c>
      <c r="R1761" s="49">
        <f t="shared" si="497"/>
        <v>1</v>
      </c>
      <c r="S1761" s="50">
        <f t="shared" si="498"/>
        <v>0.01</v>
      </c>
      <c r="T1761" s="49">
        <f t="shared" si="499"/>
        <v>5707.36</v>
      </c>
      <c r="U1761" s="51">
        <f t="shared" si="500"/>
        <v>0</v>
      </c>
      <c r="V1761" s="52">
        <f>IF(0&lt;0.8,0,IF(0&lt;1,Sheet3!L561,1))*IF(G1761&lt;3,0.12 - O1761,0.01) *U1761</f>
        <v>0</v>
      </c>
      <c r="W1761" s="52">
        <f t="shared" si="501"/>
        <v>0</v>
      </c>
      <c r="X1761" s="53">
        <f t="shared" si="502"/>
        <v>0</v>
      </c>
      <c r="Y1761" s="53">
        <f t="shared" si="503"/>
        <v>0</v>
      </c>
      <c r="Z1761" s="54">
        <f t="shared" si="508"/>
        <v>0</v>
      </c>
      <c r="AA1761" s="54">
        <f t="shared" si="504"/>
        <v>0</v>
      </c>
      <c r="AB1761" s="55">
        <f t="shared" si="507"/>
        <v>0</v>
      </c>
      <c r="AC1761" s="55">
        <f t="shared" si="505"/>
        <v>0</v>
      </c>
      <c r="AD1761" s="56">
        <f t="shared" si="506"/>
        <v>5707.36</v>
      </c>
    </row>
    <row r="1762" spans="3:30">
      <c r="C1762" s="43" t="s">
        <v>3224</v>
      </c>
      <c r="D1762" s="44" t="s">
        <v>3225</v>
      </c>
      <c r="E1762" s="44"/>
      <c r="F1762" s="45">
        <v>42828.381921296292</v>
      </c>
      <c r="G1762" s="46">
        <v>17</v>
      </c>
      <c r="H1762" s="47">
        <v>43446</v>
      </c>
      <c r="I1762" s="47">
        <v>43447</v>
      </c>
      <c r="J1762" s="46">
        <v>5067126</v>
      </c>
      <c r="K1762" s="46">
        <v>1157170</v>
      </c>
      <c r="L1762" s="46">
        <v>0</v>
      </c>
      <c r="M1762" s="46">
        <f t="shared" si="495"/>
        <v>3909956</v>
      </c>
      <c r="N1762" s="46">
        <v>7205641</v>
      </c>
      <c r="O1762" s="48">
        <f t="shared" si="496"/>
        <v>0.45737568663218164</v>
      </c>
      <c r="P1762" s="46">
        <v>0</v>
      </c>
      <c r="Q1762" s="46">
        <v>5067126</v>
      </c>
      <c r="R1762" s="49">
        <f t="shared" si="497"/>
        <v>1</v>
      </c>
      <c r="S1762" s="50">
        <f t="shared" si="498"/>
        <v>0.01</v>
      </c>
      <c r="T1762" s="49">
        <f t="shared" si="499"/>
        <v>39099.56</v>
      </c>
      <c r="U1762" s="51">
        <f t="shared" si="500"/>
        <v>0</v>
      </c>
      <c r="V1762" s="52">
        <f>IF(0&lt;0.8,0,IF(0&lt;1,Sheet3!L561,1))*IF(G1762&lt;3,0.12 - O1762,0.01) *U1762</f>
        <v>0</v>
      </c>
      <c r="W1762" s="52">
        <f t="shared" si="501"/>
        <v>0</v>
      </c>
      <c r="X1762" s="53">
        <f t="shared" si="502"/>
        <v>0</v>
      </c>
      <c r="Y1762" s="53">
        <f t="shared" si="503"/>
        <v>0</v>
      </c>
      <c r="Z1762" s="54">
        <f t="shared" si="508"/>
        <v>0</v>
      </c>
      <c r="AA1762" s="54">
        <f t="shared" si="504"/>
        <v>0</v>
      </c>
      <c r="AB1762" s="55">
        <f t="shared" si="507"/>
        <v>0</v>
      </c>
      <c r="AC1762" s="55">
        <f t="shared" si="505"/>
        <v>0</v>
      </c>
      <c r="AD1762" s="56">
        <f t="shared" si="506"/>
        <v>39099.56</v>
      </c>
    </row>
    <row r="1763" spans="3:30">
      <c r="C1763" s="43" t="s">
        <v>3226</v>
      </c>
      <c r="D1763" s="44" t="s">
        <v>3227</v>
      </c>
      <c r="E1763" s="44"/>
      <c r="F1763" s="45">
        <v>42839.384351851848</v>
      </c>
      <c r="G1763" s="46">
        <v>17</v>
      </c>
      <c r="H1763" s="47" t="s">
        <v>24</v>
      </c>
      <c r="I1763" s="47" t="s">
        <v>24</v>
      </c>
      <c r="J1763" s="46">
        <v>633002</v>
      </c>
      <c r="K1763" s="46">
        <v>0</v>
      </c>
      <c r="L1763" s="46">
        <v>0</v>
      </c>
      <c r="M1763" s="46">
        <f t="shared" si="495"/>
        <v>633002</v>
      </c>
      <c r="N1763" s="46">
        <v>633002</v>
      </c>
      <c r="O1763" s="48">
        <f t="shared" si="496"/>
        <v>0</v>
      </c>
      <c r="P1763" s="46">
        <v>0</v>
      </c>
      <c r="Q1763" s="46">
        <v>0</v>
      </c>
      <c r="R1763" s="49">
        <f t="shared" si="497"/>
        <v>1</v>
      </c>
      <c r="S1763" s="50">
        <f t="shared" si="498"/>
        <v>0.01</v>
      </c>
      <c r="T1763" s="49">
        <f t="shared" si="499"/>
        <v>6330.02</v>
      </c>
      <c r="U1763" s="51">
        <f t="shared" si="500"/>
        <v>0</v>
      </c>
      <c r="V1763" s="52">
        <f>IF(0&lt;0.8,0,IF(0&lt;1,Sheet3!L561,1))*IF(G1763&lt;3,0.12 - O1763,0.01) *U1763</f>
        <v>0</v>
      </c>
      <c r="W1763" s="52">
        <f t="shared" si="501"/>
        <v>0</v>
      </c>
      <c r="X1763" s="53">
        <f t="shared" si="502"/>
        <v>0</v>
      </c>
      <c r="Y1763" s="53">
        <f t="shared" si="503"/>
        <v>0</v>
      </c>
      <c r="Z1763" s="54">
        <f>IF(R1763=1,0,"")</f>
        <v>0</v>
      </c>
      <c r="AA1763" s="54">
        <f t="shared" si="504"/>
        <v>0</v>
      </c>
      <c r="AB1763" s="55">
        <f>IF(R1763=0,"",0)</f>
        <v>0</v>
      </c>
      <c r="AC1763" s="55">
        <f t="shared" si="505"/>
        <v>0</v>
      </c>
      <c r="AD1763" s="56">
        <f t="shared" si="506"/>
        <v>6330.02</v>
      </c>
    </row>
    <row r="1764" spans="3:30">
      <c r="C1764" s="43" t="s">
        <v>3228</v>
      </c>
      <c r="D1764" s="44" t="s">
        <v>3229</v>
      </c>
      <c r="E1764" s="44"/>
      <c r="F1764" s="45">
        <v>42854.135289351849</v>
      </c>
      <c r="G1764" s="46">
        <v>17</v>
      </c>
      <c r="H1764" s="47">
        <v>43384</v>
      </c>
      <c r="I1764" s="47">
        <v>43389</v>
      </c>
      <c r="J1764" s="46">
        <v>48403</v>
      </c>
      <c r="K1764" s="46">
        <v>0</v>
      </c>
      <c r="L1764" s="46">
        <v>0</v>
      </c>
      <c r="M1764" s="46">
        <f t="shared" si="495"/>
        <v>48403</v>
      </c>
      <c r="N1764" s="46">
        <v>48403</v>
      </c>
      <c r="O1764" s="48">
        <f t="shared" si="496"/>
        <v>0</v>
      </c>
      <c r="P1764" s="46">
        <v>0</v>
      </c>
      <c r="Q1764" s="46">
        <v>48403</v>
      </c>
      <c r="R1764" s="49">
        <f t="shared" si="497"/>
        <v>1</v>
      </c>
      <c r="S1764" s="50">
        <f t="shared" si="498"/>
        <v>0.01</v>
      </c>
      <c r="T1764" s="49">
        <f t="shared" si="499"/>
        <v>484.03000000000003</v>
      </c>
      <c r="U1764" s="51">
        <f t="shared" si="500"/>
        <v>0</v>
      </c>
      <c r="V1764" s="52">
        <f>IF(0&lt;0.8,0,IF(0&lt;1,Sheet3!L561,1))*IF(G1764&lt;3,0.12 - O1764,0.01) *U1764</f>
        <v>0</v>
      </c>
      <c r="W1764" s="52">
        <f t="shared" si="501"/>
        <v>0</v>
      </c>
      <c r="X1764" s="53">
        <f t="shared" si="502"/>
        <v>0</v>
      </c>
      <c r="Y1764" s="53">
        <f t="shared" si="503"/>
        <v>0</v>
      </c>
      <c r="Z1764" s="54">
        <f t="shared" ref="Z1764:Z1775" si="509">IF(R1764=1,0,0)</f>
        <v>0</v>
      </c>
      <c r="AA1764" s="54">
        <f t="shared" si="504"/>
        <v>0</v>
      </c>
      <c r="AB1764" s="55">
        <f t="shared" ref="AB1764:AB1794" si="510">IF(R1764=0,0,0)</f>
        <v>0</v>
      </c>
      <c r="AC1764" s="55">
        <f t="shared" si="505"/>
        <v>0</v>
      </c>
      <c r="AD1764" s="56">
        <f t="shared" si="506"/>
        <v>484.03000000000003</v>
      </c>
    </row>
    <row r="1765" spans="3:30">
      <c r="C1765" s="43" t="s">
        <v>3230</v>
      </c>
      <c r="D1765" s="44" t="s">
        <v>3231</v>
      </c>
      <c r="E1765" s="44"/>
      <c r="F1765" s="45">
        <v>42870.411087962959</v>
      </c>
      <c r="G1765" s="46">
        <v>16</v>
      </c>
      <c r="H1765" s="47">
        <v>43384</v>
      </c>
      <c r="I1765" s="47">
        <v>43397</v>
      </c>
      <c r="J1765" s="46">
        <v>2194741</v>
      </c>
      <c r="K1765" s="46">
        <v>0</v>
      </c>
      <c r="L1765" s="46">
        <v>0</v>
      </c>
      <c r="M1765" s="46">
        <f t="shared" si="495"/>
        <v>2194741</v>
      </c>
      <c r="N1765" s="46">
        <v>2194741</v>
      </c>
      <c r="O1765" s="48">
        <f t="shared" si="496"/>
        <v>0</v>
      </c>
      <c r="P1765" s="46">
        <v>0</v>
      </c>
      <c r="Q1765" s="46">
        <v>2194741</v>
      </c>
      <c r="R1765" s="49">
        <f t="shared" si="497"/>
        <v>1</v>
      </c>
      <c r="S1765" s="50">
        <f t="shared" si="498"/>
        <v>0.01</v>
      </c>
      <c r="T1765" s="49">
        <f t="shared" si="499"/>
        <v>21947.41</v>
      </c>
      <c r="U1765" s="51">
        <f t="shared" si="500"/>
        <v>0</v>
      </c>
      <c r="V1765" s="52">
        <f>IF(0&lt;0.8,0,IF(0&lt;1,Sheet3!L561,1))*IF(G1765&lt;3,0.12 - O1765,0.01) *U1765</f>
        <v>0</v>
      </c>
      <c r="W1765" s="52">
        <f t="shared" si="501"/>
        <v>0</v>
      </c>
      <c r="X1765" s="53">
        <f t="shared" si="502"/>
        <v>0</v>
      </c>
      <c r="Y1765" s="53">
        <f t="shared" si="503"/>
        <v>0</v>
      </c>
      <c r="Z1765" s="54">
        <f t="shared" si="509"/>
        <v>0</v>
      </c>
      <c r="AA1765" s="54">
        <f t="shared" si="504"/>
        <v>0</v>
      </c>
      <c r="AB1765" s="55">
        <f t="shared" si="510"/>
        <v>0</v>
      </c>
      <c r="AC1765" s="55">
        <f t="shared" si="505"/>
        <v>0</v>
      </c>
      <c r="AD1765" s="56">
        <f t="shared" si="506"/>
        <v>21947.41</v>
      </c>
    </row>
    <row r="1766" spans="3:30">
      <c r="C1766" s="43" t="s">
        <v>3232</v>
      </c>
      <c r="D1766" s="44" t="s">
        <v>3233</v>
      </c>
      <c r="E1766" s="44"/>
      <c r="F1766" s="45">
        <v>42875.132037037038</v>
      </c>
      <c r="G1766" s="46">
        <v>16</v>
      </c>
      <c r="H1766" s="47">
        <v>43372</v>
      </c>
      <c r="I1766" s="47">
        <v>43434</v>
      </c>
      <c r="J1766" s="46">
        <v>549088</v>
      </c>
      <c r="K1766" s="46">
        <v>0</v>
      </c>
      <c r="L1766" s="46">
        <v>0</v>
      </c>
      <c r="M1766" s="46">
        <f t="shared" si="495"/>
        <v>549088</v>
      </c>
      <c r="N1766" s="46">
        <v>549088</v>
      </c>
      <c r="O1766" s="48">
        <f t="shared" si="496"/>
        <v>0</v>
      </c>
      <c r="P1766" s="46">
        <v>0</v>
      </c>
      <c r="Q1766" s="46">
        <v>549088</v>
      </c>
      <c r="R1766" s="49">
        <f t="shared" si="497"/>
        <v>1</v>
      </c>
      <c r="S1766" s="50">
        <f t="shared" si="498"/>
        <v>0.01</v>
      </c>
      <c r="T1766" s="49">
        <f t="shared" si="499"/>
        <v>5490.88</v>
      </c>
      <c r="U1766" s="51">
        <f t="shared" si="500"/>
        <v>0</v>
      </c>
      <c r="V1766" s="52">
        <f>IF(0&lt;0.8,0,IF(0&lt;1,Sheet3!L561,1))*IF(G1766&lt;3,0.12 - O1766,0.01) *U1766</f>
        <v>0</v>
      </c>
      <c r="W1766" s="52">
        <f t="shared" si="501"/>
        <v>0</v>
      </c>
      <c r="X1766" s="53">
        <f t="shared" si="502"/>
        <v>0</v>
      </c>
      <c r="Y1766" s="53">
        <f t="shared" si="503"/>
        <v>0</v>
      </c>
      <c r="Z1766" s="54">
        <f t="shared" si="509"/>
        <v>0</v>
      </c>
      <c r="AA1766" s="54">
        <f t="shared" si="504"/>
        <v>0</v>
      </c>
      <c r="AB1766" s="55">
        <f t="shared" si="510"/>
        <v>0</v>
      </c>
      <c r="AC1766" s="55">
        <f t="shared" si="505"/>
        <v>0</v>
      </c>
      <c r="AD1766" s="56">
        <f t="shared" si="506"/>
        <v>5490.88</v>
      </c>
    </row>
    <row r="1767" spans="3:30">
      <c r="C1767" s="43" t="s">
        <v>3234</v>
      </c>
      <c r="D1767" s="44" t="s">
        <v>3235</v>
      </c>
      <c r="E1767" s="44"/>
      <c r="F1767" s="45">
        <v>42889.13076388889</v>
      </c>
      <c r="G1767" s="46">
        <v>15</v>
      </c>
      <c r="H1767" s="47">
        <v>43373</v>
      </c>
      <c r="I1767" s="47">
        <v>43434</v>
      </c>
      <c r="J1767" s="46">
        <v>509774</v>
      </c>
      <c r="K1767" s="46">
        <v>0</v>
      </c>
      <c r="L1767" s="46">
        <v>0</v>
      </c>
      <c r="M1767" s="46">
        <f t="shared" si="495"/>
        <v>509774</v>
      </c>
      <c r="N1767" s="46">
        <v>509774</v>
      </c>
      <c r="O1767" s="48">
        <f t="shared" si="496"/>
        <v>0</v>
      </c>
      <c r="P1767" s="46">
        <v>0</v>
      </c>
      <c r="Q1767" s="46">
        <v>509774</v>
      </c>
      <c r="R1767" s="49">
        <f t="shared" si="497"/>
        <v>1</v>
      </c>
      <c r="S1767" s="50">
        <f t="shared" si="498"/>
        <v>0.01</v>
      </c>
      <c r="T1767" s="49">
        <f t="shared" si="499"/>
        <v>5097.74</v>
      </c>
      <c r="U1767" s="51">
        <f t="shared" si="500"/>
        <v>0</v>
      </c>
      <c r="V1767" s="52">
        <f>IF(0&lt;0.8,0,IF(0&lt;1,Sheet3!L561,1))*IF(G1767&lt;3,0.12 - O1767,0.01) *U1767</f>
        <v>0</v>
      </c>
      <c r="W1767" s="52">
        <f t="shared" si="501"/>
        <v>0</v>
      </c>
      <c r="X1767" s="53">
        <f t="shared" si="502"/>
        <v>0</v>
      </c>
      <c r="Y1767" s="53">
        <f t="shared" si="503"/>
        <v>0</v>
      </c>
      <c r="Z1767" s="54">
        <f t="shared" si="509"/>
        <v>0</v>
      </c>
      <c r="AA1767" s="54">
        <f t="shared" si="504"/>
        <v>0</v>
      </c>
      <c r="AB1767" s="55">
        <f t="shared" si="510"/>
        <v>0</v>
      </c>
      <c r="AC1767" s="55">
        <f t="shared" si="505"/>
        <v>0</v>
      </c>
      <c r="AD1767" s="56">
        <f t="shared" si="506"/>
        <v>5097.74</v>
      </c>
    </row>
    <row r="1768" spans="3:30">
      <c r="C1768" s="43" t="s">
        <v>3236</v>
      </c>
      <c r="D1768" s="44" t="s">
        <v>3237</v>
      </c>
      <c r="E1768" s="44"/>
      <c r="F1768" s="45">
        <v>42892.295162037037</v>
      </c>
      <c r="G1768" s="46">
        <v>15</v>
      </c>
      <c r="H1768" s="47">
        <v>43384</v>
      </c>
      <c r="I1768" s="47">
        <v>43432</v>
      </c>
      <c r="J1768" s="46">
        <v>353391</v>
      </c>
      <c r="K1768" s="46">
        <v>0</v>
      </c>
      <c r="L1768" s="46">
        <v>0</v>
      </c>
      <c r="M1768" s="46">
        <f t="shared" si="495"/>
        <v>353391</v>
      </c>
      <c r="N1768" s="46">
        <v>353391</v>
      </c>
      <c r="O1768" s="48">
        <f t="shared" si="496"/>
        <v>0</v>
      </c>
      <c r="P1768" s="46">
        <v>0</v>
      </c>
      <c r="Q1768" s="46">
        <v>353391</v>
      </c>
      <c r="R1768" s="49">
        <f t="shared" si="497"/>
        <v>1</v>
      </c>
      <c r="S1768" s="50">
        <f t="shared" si="498"/>
        <v>0.01</v>
      </c>
      <c r="T1768" s="49">
        <f t="shared" si="499"/>
        <v>3533.91</v>
      </c>
      <c r="U1768" s="51">
        <f t="shared" si="500"/>
        <v>0</v>
      </c>
      <c r="V1768" s="52">
        <f>IF(0&lt;0.8,0,IF(0&lt;1,Sheet3!L561,1))*IF(G1768&lt;3,0.12 - O1768,0.01) *U1768</f>
        <v>0</v>
      </c>
      <c r="W1768" s="52">
        <f t="shared" si="501"/>
        <v>0</v>
      </c>
      <c r="X1768" s="53">
        <f t="shared" si="502"/>
        <v>0</v>
      </c>
      <c r="Y1768" s="53">
        <f t="shared" si="503"/>
        <v>0</v>
      </c>
      <c r="Z1768" s="54">
        <f t="shared" si="509"/>
        <v>0</v>
      </c>
      <c r="AA1768" s="54">
        <f t="shared" si="504"/>
        <v>0</v>
      </c>
      <c r="AB1768" s="55">
        <f t="shared" si="510"/>
        <v>0</v>
      </c>
      <c r="AC1768" s="55">
        <f t="shared" si="505"/>
        <v>0</v>
      </c>
      <c r="AD1768" s="56">
        <f t="shared" si="506"/>
        <v>3533.91</v>
      </c>
    </row>
    <row r="1769" spans="3:30">
      <c r="C1769" s="43" t="s">
        <v>3238</v>
      </c>
      <c r="D1769" s="44" t="s">
        <v>3239</v>
      </c>
      <c r="E1769" s="44"/>
      <c r="F1769" s="45">
        <v>42901.333541666667</v>
      </c>
      <c r="G1769" s="46">
        <v>15</v>
      </c>
      <c r="H1769" s="47">
        <v>43384</v>
      </c>
      <c r="I1769" s="47">
        <v>43416</v>
      </c>
      <c r="J1769" s="46">
        <v>795127</v>
      </c>
      <c r="K1769" s="46">
        <v>0</v>
      </c>
      <c r="L1769" s="46">
        <v>0</v>
      </c>
      <c r="M1769" s="46">
        <f t="shared" si="495"/>
        <v>795127</v>
      </c>
      <c r="N1769" s="46">
        <v>795127</v>
      </c>
      <c r="O1769" s="48">
        <f t="shared" si="496"/>
        <v>0</v>
      </c>
      <c r="P1769" s="46">
        <v>0</v>
      </c>
      <c r="Q1769" s="46">
        <v>795127</v>
      </c>
      <c r="R1769" s="49">
        <f t="shared" si="497"/>
        <v>1</v>
      </c>
      <c r="S1769" s="50">
        <f t="shared" si="498"/>
        <v>0.01</v>
      </c>
      <c r="T1769" s="49">
        <f t="shared" si="499"/>
        <v>7951.27</v>
      </c>
      <c r="U1769" s="51">
        <f t="shared" si="500"/>
        <v>0</v>
      </c>
      <c r="V1769" s="52">
        <f>IF(0&lt;0.8,0,IF(0&lt;1,Sheet3!L561,1))*IF(G1769&lt;3,0.12 - O1769,0.01) *U1769</f>
        <v>0</v>
      </c>
      <c r="W1769" s="52">
        <f t="shared" si="501"/>
        <v>0</v>
      </c>
      <c r="X1769" s="53">
        <f t="shared" si="502"/>
        <v>0</v>
      </c>
      <c r="Y1769" s="53">
        <f t="shared" si="503"/>
        <v>0</v>
      </c>
      <c r="Z1769" s="54">
        <f t="shared" si="509"/>
        <v>0</v>
      </c>
      <c r="AA1769" s="54">
        <f t="shared" si="504"/>
        <v>0</v>
      </c>
      <c r="AB1769" s="55">
        <f t="shared" si="510"/>
        <v>0</v>
      </c>
      <c r="AC1769" s="55">
        <f t="shared" si="505"/>
        <v>0</v>
      </c>
      <c r="AD1769" s="56">
        <f t="shared" si="506"/>
        <v>7951.27</v>
      </c>
    </row>
    <row r="1770" spans="3:30">
      <c r="C1770" s="43" t="s">
        <v>3240</v>
      </c>
      <c r="D1770" s="44" t="s">
        <v>3241</v>
      </c>
      <c r="E1770" s="44"/>
      <c r="F1770" s="45">
        <v>42906.102233796293</v>
      </c>
      <c r="G1770" s="46">
        <v>15</v>
      </c>
      <c r="H1770" s="47">
        <v>43384</v>
      </c>
      <c r="I1770" s="47">
        <v>43392</v>
      </c>
      <c r="J1770" s="46">
        <v>265060</v>
      </c>
      <c r="K1770" s="46">
        <v>0</v>
      </c>
      <c r="L1770" s="46">
        <v>0</v>
      </c>
      <c r="M1770" s="46">
        <f t="shared" si="495"/>
        <v>265060</v>
      </c>
      <c r="N1770" s="46">
        <v>263144</v>
      </c>
      <c r="O1770" s="48">
        <f t="shared" si="496"/>
        <v>0</v>
      </c>
      <c r="P1770" s="46">
        <v>0</v>
      </c>
      <c r="Q1770" s="46">
        <v>265060</v>
      </c>
      <c r="R1770" s="49">
        <f t="shared" si="497"/>
        <v>1</v>
      </c>
      <c r="S1770" s="50">
        <f t="shared" si="498"/>
        <v>0.01</v>
      </c>
      <c r="T1770" s="49">
        <f t="shared" si="499"/>
        <v>2650.6</v>
      </c>
      <c r="U1770" s="51">
        <f t="shared" si="500"/>
        <v>0</v>
      </c>
      <c r="V1770" s="52">
        <f>IF(0&lt;0.8,0,IF(0&lt;1,Sheet3!L561,1))*IF(G1770&lt;3,0.12 - O1770,0.01) *U1770</f>
        <v>0</v>
      </c>
      <c r="W1770" s="52">
        <f t="shared" si="501"/>
        <v>0</v>
      </c>
      <c r="X1770" s="53">
        <f t="shared" si="502"/>
        <v>0</v>
      </c>
      <c r="Y1770" s="53">
        <f t="shared" si="503"/>
        <v>0</v>
      </c>
      <c r="Z1770" s="54">
        <f t="shared" si="509"/>
        <v>0</v>
      </c>
      <c r="AA1770" s="54">
        <f t="shared" si="504"/>
        <v>0</v>
      </c>
      <c r="AB1770" s="55">
        <f t="shared" si="510"/>
        <v>0</v>
      </c>
      <c r="AC1770" s="55">
        <f t="shared" si="505"/>
        <v>0</v>
      </c>
      <c r="AD1770" s="56">
        <f t="shared" si="506"/>
        <v>2650.6</v>
      </c>
    </row>
    <row r="1771" spans="3:30">
      <c r="C1771" s="43" t="s">
        <v>3242</v>
      </c>
      <c r="D1771" s="44" t="s">
        <v>3243</v>
      </c>
      <c r="E1771" s="44"/>
      <c r="F1771" s="45">
        <v>42910.185555555552</v>
      </c>
      <c r="G1771" s="46">
        <v>15</v>
      </c>
      <c r="H1771" s="47">
        <v>43372</v>
      </c>
      <c r="I1771" s="47">
        <v>43397</v>
      </c>
      <c r="J1771" s="46">
        <v>80119</v>
      </c>
      <c r="K1771" s="46">
        <v>0</v>
      </c>
      <c r="L1771" s="46">
        <v>0</v>
      </c>
      <c r="M1771" s="46">
        <f t="shared" si="495"/>
        <v>80119</v>
      </c>
      <c r="N1771" s="46">
        <v>80119</v>
      </c>
      <c r="O1771" s="48">
        <f t="shared" si="496"/>
        <v>0</v>
      </c>
      <c r="P1771" s="46">
        <v>0</v>
      </c>
      <c r="Q1771" s="46">
        <v>80119</v>
      </c>
      <c r="R1771" s="49">
        <f t="shared" si="497"/>
        <v>1</v>
      </c>
      <c r="S1771" s="50">
        <f t="shared" si="498"/>
        <v>0.01</v>
      </c>
      <c r="T1771" s="49">
        <f t="shared" si="499"/>
        <v>801.19</v>
      </c>
      <c r="U1771" s="51">
        <f t="shared" si="500"/>
        <v>0</v>
      </c>
      <c r="V1771" s="52">
        <f>IF(0&lt;0.8,0,IF(0&lt;1,Sheet3!L561,1))*IF(G1771&lt;3,0.12 - O1771,0.01) *U1771</f>
        <v>0</v>
      </c>
      <c r="W1771" s="52">
        <f t="shared" si="501"/>
        <v>0</v>
      </c>
      <c r="X1771" s="53">
        <f t="shared" si="502"/>
        <v>0</v>
      </c>
      <c r="Y1771" s="53">
        <f t="shared" si="503"/>
        <v>0</v>
      </c>
      <c r="Z1771" s="54">
        <f t="shared" si="509"/>
        <v>0</v>
      </c>
      <c r="AA1771" s="54">
        <f t="shared" si="504"/>
        <v>0</v>
      </c>
      <c r="AB1771" s="55">
        <f t="shared" si="510"/>
        <v>0</v>
      </c>
      <c r="AC1771" s="55">
        <f t="shared" si="505"/>
        <v>0</v>
      </c>
      <c r="AD1771" s="56">
        <f t="shared" si="506"/>
        <v>801.19</v>
      </c>
    </row>
    <row r="1772" spans="3:30">
      <c r="C1772" s="43" t="s">
        <v>3244</v>
      </c>
      <c r="D1772" s="44" t="s">
        <v>3245</v>
      </c>
      <c r="E1772" s="44"/>
      <c r="F1772" s="45">
        <v>42912.27789351852</v>
      </c>
      <c r="G1772" s="46">
        <v>15</v>
      </c>
      <c r="H1772" s="47">
        <v>43428</v>
      </c>
      <c r="I1772" s="47">
        <v>43428</v>
      </c>
      <c r="J1772" s="46">
        <v>560847</v>
      </c>
      <c r="K1772" s="46">
        <v>0</v>
      </c>
      <c r="L1772" s="46">
        <v>0</v>
      </c>
      <c r="M1772" s="46">
        <f t="shared" si="495"/>
        <v>560847</v>
      </c>
      <c r="N1772" s="46">
        <v>483995</v>
      </c>
      <c r="O1772" s="48">
        <f t="shared" si="496"/>
        <v>0</v>
      </c>
      <c r="P1772" s="46">
        <v>0</v>
      </c>
      <c r="Q1772" s="46">
        <v>560847</v>
      </c>
      <c r="R1772" s="49">
        <f t="shared" si="497"/>
        <v>1</v>
      </c>
      <c r="S1772" s="50">
        <f t="shared" si="498"/>
        <v>0.01</v>
      </c>
      <c r="T1772" s="49">
        <f t="shared" si="499"/>
        <v>5608.47</v>
      </c>
      <c r="U1772" s="51">
        <f t="shared" si="500"/>
        <v>0</v>
      </c>
      <c r="V1772" s="52">
        <f>IF(0&lt;0.8,0,IF(0&lt;1,Sheet3!L561,1))*IF(G1772&lt;3,0.12 - O1772,0.01) *U1772</f>
        <v>0</v>
      </c>
      <c r="W1772" s="52">
        <f t="shared" si="501"/>
        <v>0</v>
      </c>
      <c r="X1772" s="53">
        <f t="shared" si="502"/>
        <v>0</v>
      </c>
      <c r="Y1772" s="53">
        <f t="shared" si="503"/>
        <v>0</v>
      </c>
      <c r="Z1772" s="54">
        <f t="shared" si="509"/>
        <v>0</v>
      </c>
      <c r="AA1772" s="54">
        <f t="shared" si="504"/>
        <v>0</v>
      </c>
      <c r="AB1772" s="55">
        <f t="shared" si="510"/>
        <v>0</v>
      </c>
      <c r="AC1772" s="55">
        <f t="shared" si="505"/>
        <v>0</v>
      </c>
      <c r="AD1772" s="56">
        <f t="shared" si="506"/>
        <v>5608.47</v>
      </c>
    </row>
    <row r="1773" spans="3:30">
      <c r="C1773" s="43" t="s">
        <v>3246</v>
      </c>
      <c r="D1773" s="44" t="s">
        <v>3247</v>
      </c>
      <c r="E1773" s="44"/>
      <c r="F1773" s="45">
        <v>42917.152858796297</v>
      </c>
      <c r="G1773" s="46">
        <v>14</v>
      </c>
      <c r="H1773" s="47">
        <v>43384</v>
      </c>
      <c r="I1773" s="47">
        <v>43420</v>
      </c>
      <c r="J1773" s="46">
        <v>2864828</v>
      </c>
      <c r="K1773" s="46">
        <v>0</v>
      </c>
      <c r="L1773" s="46">
        <v>0</v>
      </c>
      <c r="M1773" s="46">
        <f t="shared" si="495"/>
        <v>2864828</v>
      </c>
      <c r="N1773" s="46">
        <v>2863828</v>
      </c>
      <c r="O1773" s="48">
        <f t="shared" si="496"/>
        <v>0</v>
      </c>
      <c r="P1773" s="46">
        <v>0</v>
      </c>
      <c r="Q1773" s="46">
        <v>2864828</v>
      </c>
      <c r="R1773" s="49">
        <f t="shared" si="497"/>
        <v>1</v>
      </c>
      <c r="S1773" s="50">
        <f t="shared" si="498"/>
        <v>0.01</v>
      </c>
      <c r="T1773" s="49">
        <f t="shared" si="499"/>
        <v>28648.28</v>
      </c>
      <c r="U1773" s="51">
        <f t="shared" si="500"/>
        <v>0</v>
      </c>
      <c r="V1773" s="52">
        <f>IF(0&lt;0.8,0,IF(0&lt;1,Sheet3!L561,1))*IF(G1773&lt;3,0.12 - O1773,0.01) *U1773</f>
        <v>0</v>
      </c>
      <c r="W1773" s="52">
        <f t="shared" si="501"/>
        <v>0</v>
      </c>
      <c r="X1773" s="53">
        <f t="shared" si="502"/>
        <v>0</v>
      </c>
      <c r="Y1773" s="53">
        <f t="shared" si="503"/>
        <v>0</v>
      </c>
      <c r="Z1773" s="54">
        <f t="shared" si="509"/>
        <v>0</v>
      </c>
      <c r="AA1773" s="54">
        <f t="shared" si="504"/>
        <v>0</v>
      </c>
      <c r="AB1773" s="55">
        <f t="shared" si="510"/>
        <v>0</v>
      </c>
      <c r="AC1773" s="55">
        <f t="shared" si="505"/>
        <v>0</v>
      </c>
      <c r="AD1773" s="56">
        <f t="shared" si="506"/>
        <v>28648.28</v>
      </c>
    </row>
    <row r="1774" spans="3:30">
      <c r="C1774" s="43" t="s">
        <v>3248</v>
      </c>
      <c r="D1774" s="44" t="s">
        <v>3249</v>
      </c>
      <c r="E1774" s="44"/>
      <c r="F1774" s="45">
        <v>42917.352789351848</v>
      </c>
      <c r="G1774" s="46">
        <v>14</v>
      </c>
      <c r="H1774" s="47">
        <v>43418</v>
      </c>
      <c r="I1774" s="47">
        <v>43461</v>
      </c>
      <c r="J1774" s="46">
        <v>141176</v>
      </c>
      <c r="K1774" s="46">
        <v>0</v>
      </c>
      <c r="L1774" s="46">
        <v>0</v>
      </c>
      <c r="M1774" s="46">
        <f t="shared" si="495"/>
        <v>141176</v>
      </c>
      <c r="N1774" s="46">
        <v>141176</v>
      </c>
      <c r="O1774" s="48">
        <f t="shared" si="496"/>
        <v>0</v>
      </c>
      <c r="P1774" s="46">
        <v>0</v>
      </c>
      <c r="Q1774" s="46">
        <v>141176</v>
      </c>
      <c r="R1774" s="49">
        <f t="shared" si="497"/>
        <v>1</v>
      </c>
      <c r="S1774" s="50">
        <f t="shared" si="498"/>
        <v>0.01</v>
      </c>
      <c r="T1774" s="49">
        <f t="shared" si="499"/>
        <v>1411.76</v>
      </c>
      <c r="U1774" s="51">
        <f t="shared" si="500"/>
        <v>0</v>
      </c>
      <c r="V1774" s="52">
        <f>IF(0&lt;0.8,0,IF(0&lt;1,Sheet3!L561,1))*IF(G1774&lt;3,0.12 - O1774,0.01) *U1774</f>
        <v>0</v>
      </c>
      <c r="W1774" s="52">
        <f t="shared" si="501"/>
        <v>0</v>
      </c>
      <c r="X1774" s="53">
        <f t="shared" si="502"/>
        <v>0</v>
      </c>
      <c r="Y1774" s="53">
        <f t="shared" si="503"/>
        <v>0</v>
      </c>
      <c r="Z1774" s="54">
        <f t="shared" si="509"/>
        <v>0</v>
      </c>
      <c r="AA1774" s="54">
        <f t="shared" si="504"/>
        <v>0</v>
      </c>
      <c r="AB1774" s="55">
        <f t="shared" si="510"/>
        <v>0</v>
      </c>
      <c r="AC1774" s="55">
        <f t="shared" si="505"/>
        <v>0</v>
      </c>
      <c r="AD1774" s="56">
        <f t="shared" si="506"/>
        <v>1411.76</v>
      </c>
    </row>
    <row r="1775" spans="3:30">
      <c r="C1775" s="43" t="s">
        <v>3250</v>
      </c>
      <c r="D1775" s="44" t="s">
        <v>3251</v>
      </c>
      <c r="E1775" s="44"/>
      <c r="F1775" s="45">
        <v>42924.29550925926</v>
      </c>
      <c r="G1775" s="46">
        <v>14</v>
      </c>
      <c r="H1775" s="47">
        <v>43390</v>
      </c>
      <c r="I1775" s="47">
        <v>43410</v>
      </c>
      <c r="J1775" s="46">
        <v>2613321</v>
      </c>
      <c r="K1775" s="46">
        <v>0</v>
      </c>
      <c r="L1775" s="46">
        <v>0</v>
      </c>
      <c r="M1775" s="46">
        <f t="shared" si="495"/>
        <v>2613321</v>
      </c>
      <c r="N1775" s="46">
        <v>2606578</v>
      </c>
      <c r="O1775" s="48">
        <f t="shared" si="496"/>
        <v>0</v>
      </c>
      <c r="P1775" s="46">
        <v>0</v>
      </c>
      <c r="Q1775" s="46">
        <v>2613321</v>
      </c>
      <c r="R1775" s="49">
        <f t="shared" si="497"/>
        <v>1</v>
      </c>
      <c r="S1775" s="50">
        <f t="shared" si="498"/>
        <v>0.01</v>
      </c>
      <c r="T1775" s="49">
        <f t="shared" si="499"/>
        <v>26133.21</v>
      </c>
      <c r="U1775" s="51">
        <f t="shared" si="500"/>
        <v>0</v>
      </c>
      <c r="V1775" s="52">
        <f>IF(0&lt;0.8,0,IF(0&lt;1,Sheet3!L561,1))*IF(G1775&lt;3,0.12 - O1775,0.01) *U1775</f>
        <v>0</v>
      </c>
      <c r="W1775" s="52">
        <f t="shared" si="501"/>
        <v>0</v>
      </c>
      <c r="X1775" s="53">
        <f t="shared" si="502"/>
        <v>0</v>
      </c>
      <c r="Y1775" s="53">
        <f t="shared" si="503"/>
        <v>0</v>
      </c>
      <c r="Z1775" s="54">
        <f t="shared" si="509"/>
        <v>0</v>
      </c>
      <c r="AA1775" s="54">
        <f t="shared" si="504"/>
        <v>0</v>
      </c>
      <c r="AB1775" s="55">
        <f t="shared" si="510"/>
        <v>0</v>
      </c>
      <c r="AC1775" s="55">
        <f t="shared" si="505"/>
        <v>0</v>
      </c>
      <c r="AD1775" s="56">
        <f t="shared" si="506"/>
        <v>26133.21</v>
      </c>
    </row>
    <row r="1776" spans="3:30">
      <c r="C1776" s="43" t="s">
        <v>3252</v>
      </c>
      <c r="D1776" s="44" t="s">
        <v>3253</v>
      </c>
      <c r="E1776" s="44"/>
      <c r="F1776" s="45">
        <v>42928.159548611111</v>
      </c>
      <c r="G1776" s="46">
        <v>14</v>
      </c>
      <c r="H1776" s="47">
        <v>43402</v>
      </c>
      <c r="I1776" s="47">
        <v>43413</v>
      </c>
      <c r="J1776" s="46">
        <v>4717691</v>
      </c>
      <c r="K1776" s="46">
        <v>0</v>
      </c>
      <c r="L1776" s="46">
        <v>0</v>
      </c>
      <c r="M1776" s="46">
        <f t="shared" si="495"/>
        <v>4717691</v>
      </c>
      <c r="N1776" s="46">
        <v>59091549</v>
      </c>
      <c r="O1776" s="48">
        <f t="shared" si="496"/>
        <v>0.92016301688080637</v>
      </c>
      <c r="P1776" s="46">
        <v>0</v>
      </c>
      <c r="Q1776" s="46">
        <v>4717691</v>
      </c>
      <c r="R1776" s="49">
        <f t="shared" si="497"/>
        <v>1</v>
      </c>
      <c r="S1776" s="50">
        <f t="shared" si="498"/>
        <v>0.01</v>
      </c>
      <c r="T1776" s="49">
        <f t="shared" si="499"/>
        <v>47176.91</v>
      </c>
      <c r="U1776" s="51">
        <f t="shared" si="500"/>
        <v>0</v>
      </c>
      <c r="V1776" s="52">
        <f>IF(0&lt;0.8,0,IF(0&lt;1,Sheet3!L561,1))*IF(G1776&lt;3,0.12 - O1776,0.01) *U1776</f>
        <v>0</v>
      </c>
      <c r="W1776" s="52">
        <f t="shared" si="501"/>
        <v>0</v>
      </c>
      <c r="X1776" s="53">
        <f t="shared" si="502"/>
        <v>0</v>
      </c>
      <c r="Y1776" s="53">
        <f t="shared" si="503"/>
        <v>0</v>
      </c>
      <c r="Z1776" s="54">
        <f>IF(R1776=1,0,3900000)</f>
        <v>0</v>
      </c>
      <c r="AA1776" s="54">
        <f t="shared" si="504"/>
        <v>0</v>
      </c>
      <c r="AB1776" s="55">
        <f t="shared" si="510"/>
        <v>0</v>
      </c>
      <c r="AC1776" s="55">
        <f t="shared" si="505"/>
        <v>0</v>
      </c>
      <c r="AD1776" s="56">
        <f t="shared" si="506"/>
        <v>47176.91</v>
      </c>
    </row>
    <row r="1777" spans="3:30">
      <c r="C1777" s="43" t="s">
        <v>3254</v>
      </c>
      <c r="D1777" s="44" t="s">
        <v>3255</v>
      </c>
      <c r="E1777" s="44"/>
      <c r="F1777" s="45">
        <v>42928.182210648149</v>
      </c>
      <c r="G1777" s="46">
        <v>14</v>
      </c>
      <c r="H1777" s="47">
        <v>43384</v>
      </c>
      <c r="I1777" s="47">
        <v>43392</v>
      </c>
      <c r="J1777" s="46">
        <v>520790</v>
      </c>
      <c r="K1777" s="46">
        <v>0</v>
      </c>
      <c r="L1777" s="46">
        <v>0</v>
      </c>
      <c r="M1777" s="46">
        <f t="shared" si="495"/>
        <v>520790</v>
      </c>
      <c r="N1777" s="46">
        <v>615614</v>
      </c>
      <c r="O1777" s="48">
        <f t="shared" si="496"/>
        <v>0.15403158472679312</v>
      </c>
      <c r="P1777" s="46">
        <v>0</v>
      </c>
      <c r="Q1777" s="46">
        <v>520790</v>
      </c>
      <c r="R1777" s="49">
        <f t="shared" si="497"/>
        <v>1</v>
      </c>
      <c r="S1777" s="50">
        <f t="shared" si="498"/>
        <v>0.01</v>
      </c>
      <c r="T1777" s="49">
        <f t="shared" si="499"/>
        <v>5207.9000000000005</v>
      </c>
      <c r="U1777" s="51">
        <f t="shared" si="500"/>
        <v>0</v>
      </c>
      <c r="V1777" s="52">
        <f>IF(0&lt;0.8,0,IF(0&lt;1,Sheet3!L561,1))*IF(G1777&lt;3,0.12 - O1777,0.01) *U1777</f>
        <v>0</v>
      </c>
      <c r="W1777" s="52">
        <f t="shared" si="501"/>
        <v>0</v>
      </c>
      <c r="X1777" s="53">
        <f t="shared" si="502"/>
        <v>0</v>
      </c>
      <c r="Y1777" s="53">
        <f t="shared" si="503"/>
        <v>0</v>
      </c>
      <c r="Z1777" s="54">
        <f t="shared" ref="Z1777:Z1813" si="511">IF(R1777=1,0,0)</f>
        <v>0</v>
      </c>
      <c r="AA1777" s="54">
        <f t="shared" si="504"/>
        <v>0</v>
      </c>
      <c r="AB1777" s="55">
        <f t="shared" si="510"/>
        <v>0</v>
      </c>
      <c r="AC1777" s="55">
        <f t="shared" si="505"/>
        <v>0</v>
      </c>
      <c r="AD1777" s="56">
        <f t="shared" si="506"/>
        <v>5207.9000000000005</v>
      </c>
    </row>
    <row r="1778" spans="3:30">
      <c r="C1778" s="43" t="s">
        <v>3256</v>
      </c>
      <c r="D1778" s="44" t="s">
        <v>3257</v>
      </c>
      <c r="E1778" s="44"/>
      <c r="F1778" s="45">
        <v>42929.116527777776</v>
      </c>
      <c r="G1778" s="46">
        <v>14</v>
      </c>
      <c r="H1778" s="47">
        <v>43384</v>
      </c>
      <c r="I1778" s="47">
        <v>43410</v>
      </c>
      <c r="J1778" s="46">
        <v>778369</v>
      </c>
      <c r="K1778" s="46">
        <v>0</v>
      </c>
      <c r="L1778" s="46">
        <v>0</v>
      </c>
      <c r="M1778" s="46">
        <f t="shared" si="495"/>
        <v>778369</v>
      </c>
      <c r="N1778" s="46">
        <v>775623</v>
      </c>
      <c r="O1778" s="48">
        <f t="shared" si="496"/>
        <v>0</v>
      </c>
      <c r="P1778" s="46">
        <v>0</v>
      </c>
      <c r="Q1778" s="46">
        <v>778369</v>
      </c>
      <c r="R1778" s="49">
        <f t="shared" si="497"/>
        <v>1</v>
      </c>
      <c r="S1778" s="50">
        <f t="shared" si="498"/>
        <v>0.01</v>
      </c>
      <c r="T1778" s="49">
        <f t="shared" si="499"/>
        <v>7783.6900000000005</v>
      </c>
      <c r="U1778" s="51">
        <f t="shared" si="500"/>
        <v>0</v>
      </c>
      <c r="V1778" s="52">
        <f>IF(0&lt;0.8,0,IF(0&lt;1,Sheet3!L561,1))*IF(G1778&lt;3,0.12 - O1778,0.01) *U1778</f>
        <v>0</v>
      </c>
      <c r="W1778" s="52">
        <f t="shared" si="501"/>
        <v>0</v>
      </c>
      <c r="X1778" s="53">
        <f t="shared" si="502"/>
        <v>0</v>
      </c>
      <c r="Y1778" s="53">
        <f t="shared" si="503"/>
        <v>0</v>
      </c>
      <c r="Z1778" s="54">
        <f t="shared" si="511"/>
        <v>0</v>
      </c>
      <c r="AA1778" s="54">
        <f t="shared" si="504"/>
        <v>0</v>
      </c>
      <c r="AB1778" s="55">
        <f t="shared" si="510"/>
        <v>0</v>
      </c>
      <c r="AC1778" s="55">
        <f t="shared" si="505"/>
        <v>0</v>
      </c>
      <c r="AD1778" s="56">
        <f t="shared" si="506"/>
        <v>7783.6900000000005</v>
      </c>
    </row>
    <row r="1779" spans="3:30">
      <c r="C1779" s="43" t="s">
        <v>3258</v>
      </c>
      <c r="D1779" s="44" t="s">
        <v>3259</v>
      </c>
      <c r="E1779" s="44"/>
      <c r="F1779" s="45">
        <v>42950.31659722222</v>
      </c>
      <c r="G1779" s="46">
        <v>13</v>
      </c>
      <c r="H1779" s="47">
        <v>43404</v>
      </c>
      <c r="I1779" s="47">
        <v>43447</v>
      </c>
      <c r="J1779" s="46">
        <v>781600</v>
      </c>
      <c r="K1779" s="46">
        <v>0</v>
      </c>
      <c r="L1779" s="46">
        <v>0</v>
      </c>
      <c r="M1779" s="46">
        <f t="shared" ref="M1779:M1842" si="512">IFERROR(J1779-K1779-L1779,0)</f>
        <v>781600</v>
      </c>
      <c r="N1779" s="46">
        <v>810474</v>
      </c>
      <c r="O1779" s="48">
        <f t="shared" ref="O1779:O1842" si="513">IFERROR(IF(1 - M1779/N1779&lt;0,0,1-M1779/N1779),0)</f>
        <v>3.5626065734372769E-2</v>
      </c>
      <c r="P1779" s="46">
        <v>0</v>
      </c>
      <c r="Q1779" s="46">
        <v>781600</v>
      </c>
      <c r="R1779" s="49">
        <f t="shared" ref="R1779:R1842" si="514">IF(F1779&lt;DATEVALUE("2018-07-01"),1,0)</f>
        <v>1</v>
      </c>
      <c r="S1779" s="50">
        <f t="shared" ref="S1779:S1842" si="515">IF(R1779=1,1%,0)</f>
        <v>0.01</v>
      </c>
      <c r="T1779" s="49">
        <f t="shared" ref="T1779:T1842" si="516">IFERROR(S1779*M1779,0)</f>
        <v>7816</v>
      </c>
      <c r="U1779" s="51">
        <f t="shared" ref="U1779:U1842" si="517">IF(O1779&lt;=0.12,1,0)*(1-R1779)*M1779</f>
        <v>0</v>
      </c>
      <c r="V1779" s="52">
        <f>IF(0&lt;0.8,0,IF(0&lt;1,Sheet3!L561,1))*IF(G1779&lt;3,0.12 - O1779,0.01) *U1779</f>
        <v>0</v>
      </c>
      <c r="W1779" s="52">
        <f t="shared" ref="W1779:W1842" si="518">IF(0&gt;1,IF(0&lt;=1.1,1,IF(0&lt;=1.2,2,IF(0&lt;=1.5,3,5))),0) * 1000000</f>
        <v>0</v>
      </c>
      <c r="X1779" s="53">
        <f t="shared" ref="X1779:X1842" si="519">IF(AND(P1779&gt;=150000000,P1779&lt;300000000),5000000,IF(AND(P1779&gt;=300000000,P1779&lt;500000000),10000000,IF(AND(P1779&gt;=300000000,P1779&lt;500000000),15000000,IF(AND(P1779&gt;=500000000,P1779&lt;3000000000),20000000,IF(P1779&gt;=30000000000,35000000,0))))) * (1-R1779)</f>
        <v>0</v>
      </c>
      <c r="Y1779" s="53">
        <f t="shared" ref="Y1779:Y1842" si="520">IFERROR(Q1779 * (1-R1779),0)</f>
        <v>0</v>
      </c>
      <c r="Z1779" s="54">
        <f t="shared" si="511"/>
        <v>0</v>
      </c>
      <c r="AA1779" s="54">
        <f t="shared" ref="AA1779:AA1842" si="521">IFERROR((1-R1779) * Z1779 * 2%,0)</f>
        <v>0</v>
      </c>
      <c r="AB1779" s="55">
        <f t="shared" si="510"/>
        <v>0</v>
      </c>
      <c r="AC1779" s="55">
        <f t="shared" ref="AC1779:AC1842" si="522">IFERROR(AB1779 * (1-R1779) * 2%,0)</f>
        <v>0</v>
      </c>
      <c r="AD1779" s="56">
        <f t="shared" ref="AD1779:AD1842" si="523">T1779+V1779+W1779+X1779+AA1779+AC1779</f>
        <v>7816</v>
      </c>
    </row>
    <row r="1780" spans="3:30">
      <c r="C1780" s="43" t="s">
        <v>3260</v>
      </c>
      <c r="D1780" s="44" t="s">
        <v>3261</v>
      </c>
      <c r="E1780" s="44"/>
      <c r="F1780" s="45">
        <v>42955.405960648146</v>
      </c>
      <c r="G1780" s="46">
        <v>13</v>
      </c>
      <c r="H1780" s="47">
        <v>43395</v>
      </c>
      <c r="I1780" s="47">
        <v>43399</v>
      </c>
      <c r="J1780" s="46">
        <v>5703529</v>
      </c>
      <c r="K1780" s="46">
        <v>0</v>
      </c>
      <c r="L1780" s="46">
        <v>0</v>
      </c>
      <c r="M1780" s="46">
        <f t="shared" si="512"/>
        <v>5703529</v>
      </c>
      <c r="N1780" s="46">
        <v>6989271</v>
      </c>
      <c r="O1780" s="48">
        <f t="shared" si="513"/>
        <v>0.18395938574995874</v>
      </c>
      <c r="P1780" s="46">
        <v>0</v>
      </c>
      <c r="Q1780" s="46">
        <v>5703529</v>
      </c>
      <c r="R1780" s="49">
        <f t="shared" si="514"/>
        <v>1</v>
      </c>
      <c r="S1780" s="50">
        <f t="shared" si="515"/>
        <v>0.01</v>
      </c>
      <c r="T1780" s="49">
        <f t="shared" si="516"/>
        <v>57035.29</v>
      </c>
      <c r="U1780" s="51">
        <f t="shared" si="517"/>
        <v>0</v>
      </c>
      <c r="V1780" s="52">
        <f>IF(0&lt;0.8,0,IF(0&lt;1,Sheet3!L561,1))*IF(G1780&lt;3,0.12 - O1780,0.01) *U1780</f>
        <v>0</v>
      </c>
      <c r="W1780" s="52">
        <f t="shared" si="518"/>
        <v>0</v>
      </c>
      <c r="X1780" s="53">
        <f t="shared" si="519"/>
        <v>0</v>
      </c>
      <c r="Y1780" s="53">
        <f t="shared" si="520"/>
        <v>0</v>
      </c>
      <c r="Z1780" s="54">
        <f t="shared" si="511"/>
        <v>0</v>
      </c>
      <c r="AA1780" s="54">
        <f t="shared" si="521"/>
        <v>0</v>
      </c>
      <c r="AB1780" s="55">
        <f t="shared" si="510"/>
        <v>0</v>
      </c>
      <c r="AC1780" s="55">
        <f t="shared" si="522"/>
        <v>0</v>
      </c>
      <c r="AD1780" s="56">
        <f t="shared" si="523"/>
        <v>57035.29</v>
      </c>
    </row>
    <row r="1781" spans="3:30">
      <c r="C1781" s="43" t="s">
        <v>3262</v>
      </c>
      <c r="D1781" s="44" t="s">
        <v>3263</v>
      </c>
      <c r="E1781" s="44"/>
      <c r="F1781" s="45">
        <v>42957.298310185186</v>
      </c>
      <c r="G1781" s="46">
        <v>13</v>
      </c>
      <c r="H1781" s="47">
        <v>43384</v>
      </c>
      <c r="I1781" s="47">
        <v>43410</v>
      </c>
      <c r="J1781" s="46">
        <v>165378</v>
      </c>
      <c r="K1781" s="46">
        <v>0</v>
      </c>
      <c r="L1781" s="46">
        <v>0</v>
      </c>
      <c r="M1781" s="46">
        <f t="shared" si="512"/>
        <v>165378</v>
      </c>
      <c r="N1781" s="46">
        <v>165378</v>
      </c>
      <c r="O1781" s="48">
        <f t="shared" si="513"/>
        <v>0</v>
      </c>
      <c r="P1781" s="46">
        <v>0</v>
      </c>
      <c r="Q1781" s="46">
        <v>165378</v>
      </c>
      <c r="R1781" s="49">
        <f t="shared" si="514"/>
        <v>1</v>
      </c>
      <c r="S1781" s="50">
        <f t="shared" si="515"/>
        <v>0.01</v>
      </c>
      <c r="T1781" s="49">
        <f t="shared" si="516"/>
        <v>1653.78</v>
      </c>
      <c r="U1781" s="51">
        <f t="shared" si="517"/>
        <v>0</v>
      </c>
      <c r="V1781" s="52">
        <f>IF(0&lt;0.8,0,IF(0&lt;1,Sheet3!L561,1))*IF(G1781&lt;3,0.12 - O1781,0.01) *U1781</f>
        <v>0</v>
      </c>
      <c r="W1781" s="52">
        <f t="shared" si="518"/>
        <v>0</v>
      </c>
      <c r="X1781" s="53">
        <f t="shared" si="519"/>
        <v>0</v>
      </c>
      <c r="Y1781" s="53">
        <f t="shared" si="520"/>
        <v>0</v>
      </c>
      <c r="Z1781" s="54">
        <f t="shared" si="511"/>
        <v>0</v>
      </c>
      <c r="AA1781" s="54">
        <f t="shared" si="521"/>
        <v>0</v>
      </c>
      <c r="AB1781" s="55">
        <f t="shared" si="510"/>
        <v>0</v>
      </c>
      <c r="AC1781" s="55">
        <f t="shared" si="522"/>
        <v>0</v>
      </c>
      <c r="AD1781" s="56">
        <f t="shared" si="523"/>
        <v>1653.78</v>
      </c>
    </row>
    <row r="1782" spans="3:30">
      <c r="C1782" s="43" t="s">
        <v>3264</v>
      </c>
      <c r="D1782" s="44" t="s">
        <v>3265</v>
      </c>
      <c r="E1782" s="44"/>
      <c r="F1782" s="45">
        <v>42961.164039351854</v>
      </c>
      <c r="G1782" s="46">
        <v>13</v>
      </c>
      <c r="H1782" s="47">
        <v>43384</v>
      </c>
      <c r="I1782" s="47">
        <v>43392</v>
      </c>
      <c r="J1782" s="46">
        <v>287670</v>
      </c>
      <c r="K1782" s="46">
        <v>0</v>
      </c>
      <c r="L1782" s="46">
        <v>0</v>
      </c>
      <c r="M1782" s="46">
        <f t="shared" si="512"/>
        <v>287670</v>
      </c>
      <c r="N1782" s="46">
        <v>287670</v>
      </c>
      <c r="O1782" s="48">
        <f t="shared" si="513"/>
        <v>0</v>
      </c>
      <c r="P1782" s="46">
        <v>0</v>
      </c>
      <c r="Q1782" s="46">
        <v>287670</v>
      </c>
      <c r="R1782" s="49">
        <f t="shared" si="514"/>
        <v>1</v>
      </c>
      <c r="S1782" s="50">
        <f t="shared" si="515"/>
        <v>0.01</v>
      </c>
      <c r="T1782" s="49">
        <f t="shared" si="516"/>
        <v>2876.7000000000003</v>
      </c>
      <c r="U1782" s="51">
        <f t="shared" si="517"/>
        <v>0</v>
      </c>
      <c r="V1782" s="52">
        <f>IF(0&lt;0.8,0,IF(0&lt;1,Sheet3!L561,1))*IF(G1782&lt;3,0.12 - O1782,0.01) *U1782</f>
        <v>0</v>
      </c>
      <c r="W1782" s="52">
        <f t="shared" si="518"/>
        <v>0</v>
      </c>
      <c r="X1782" s="53">
        <f t="shared" si="519"/>
        <v>0</v>
      </c>
      <c r="Y1782" s="53">
        <f t="shared" si="520"/>
        <v>0</v>
      </c>
      <c r="Z1782" s="54">
        <f t="shared" si="511"/>
        <v>0</v>
      </c>
      <c r="AA1782" s="54">
        <f t="shared" si="521"/>
        <v>0</v>
      </c>
      <c r="AB1782" s="55">
        <f t="shared" si="510"/>
        <v>0</v>
      </c>
      <c r="AC1782" s="55">
        <f t="shared" si="522"/>
        <v>0</v>
      </c>
      <c r="AD1782" s="56">
        <f t="shared" si="523"/>
        <v>2876.7000000000003</v>
      </c>
    </row>
    <row r="1783" spans="3:30">
      <c r="C1783" s="43" t="s">
        <v>3266</v>
      </c>
      <c r="D1783" s="44" t="s">
        <v>3267</v>
      </c>
      <c r="E1783" s="44"/>
      <c r="F1783" s="45">
        <v>42961.167025462964</v>
      </c>
      <c r="G1783" s="46">
        <v>13</v>
      </c>
      <c r="H1783" s="47">
        <v>43418</v>
      </c>
      <c r="I1783" s="47">
        <v>43441</v>
      </c>
      <c r="J1783" s="46">
        <v>108168</v>
      </c>
      <c r="K1783" s="46">
        <v>0</v>
      </c>
      <c r="L1783" s="46">
        <v>0</v>
      </c>
      <c r="M1783" s="46">
        <f t="shared" si="512"/>
        <v>108168</v>
      </c>
      <c r="N1783" s="46">
        <v>105020</v>
      </c>
      <c r="O1783" s="48">
        <f t="shared" si="513"/>
        <v>0</v>
      </c>
      <c r="P1783" s="46">
        <v>0</v>
      </c>
      <c r="Q1783" s="46">
        <v>108168</v>
      </c>
      <c r="R1783" s="49">
        <f t="shared" si="514"/>
        <v>1</v>
      </c>
      <c r="S1783" s="50">
        <f t="shared" si="515"/>
        <v>0.01</v>
      </c>
      <c r="T1783" s="49">
        <f t="shared" si="516"/>
        <v>1081.68</v>
      </c>
      <c r="U1783" s="51">
        <f t="shared" si="517"/>
        <v>0</v>
      </c>
      <c r="V1783" s="52">
        <f>IF(0&lt;0.8,0,IF(0&lt;1,Sheet3!L561,1))*IF(G1783&lt;3,0.12 - O1783,0.01) *U1783</f>
        <v>0</v>
      </c>
      <c r="W1783" s="52">
        <f t="shared" si="518"/>
        <v>0</v>
      </c>
      <c r="X1783" s="53">
        <f t="shared" si="519"/>
        <v>0</v>
      </c>
      <c r="Y1783" s="53">
        <f t="shared" si="520"/>
        <v>0</v>
      </c>
      <c r="Z1783" s="54">
        <f t="shared" si="511"/>
        <v>0</v>
      </c>
      <c r="AA1783" s="54">
        <f t="shared" si="521"/>
        <v>0</v>
      </c>
      <c r="AB1783" s="55">
        <f t="shared" si="510"/>
        <v>0</v>
      </c>
      <c r="AC1783" s="55">
        <f t="shared" si="522"/>
        <v>0</v>
      </c>
      <c r="AD1783" s="56">
        <f t="shared" si="523"/>
        <v>1081.68</v>
      </c>
    </row>
    <row r="1784" spans="3:30">
      <c r="C1784" s="43" t="s">
        <v>3268</v>
      </c>
      <c r="D1784" s="44" t="s">
        <v>3269</v>
      </c>
      <c r="E1784" s="44"/>
      <c r="F1784" s="45">
        <v>42965.162233796298</v>
      </c>
      <c r="G1784" s="46">
        <v>13</v>
      </c>
      <c r="H1784" s="47">
        <v>43418</v>
      </c>
      <c r="I1784" s="47">
        <v>43453</v>
      </c>
      <c r="J1784" s="46">
        <v>84701</v>
      </c>
      <c r="K1784" s="46">
        <v>0</v>
      </c>
      <c r="L1784" s="46">
        <v>0</v>
      </c>
      <c r="M1784" s="46">
        <f t="shared" si="512"/>
        <v>84701</v>
      </c>
      <c r="N1784" s="46">
        <v>84701</v>
      </c>
      <c r="O1784" s="48">
        <f t="shared" si="513"/>
        <v>0</v>
      </c>
      <c r="P1784" s="46">
        <v>0</v>
      </c>
      <c r="Q1784" s="46">
        <v>84701</v>
      </c>
      <c r="R1784" s="49">
        <f t="shared" si="514"/>
        <v>1</v>
      </c>
      <c r="S1784" s="50">
        <f t="shared" si="515"/>
        <v>0.01</v>
      </c>
      <c r="T1784" s="49">
        <f t="shared" si="516"/>
        <v>847.01</v>
      </c>
      <c r="U1784" s="51">
        <f t="shared" si="517"/>
        <v>0</v>
      </c>
      <c r="V1784" s="52">
        <f>IF(0&lt;0.8,0,IF(0&lt;1,Sheet3!L561,1))*IF(G1784&lt;3,0.12 - O1784,0.01) *U1784</f>
        <v>0</v>
      </c>
      <c r="W1784" s="52">
        <f t="shared" si="518"/>
        <v>0</v>
      </c>
      <c r="X1784" s="53">
        <f t="shared" si="519"/>
        <v>0</v>
      </c>
      <c r="Y1784" s="53">
        <f t="shared" si="520"/>
        <v>0</v>
      </c>
      <c r="Z1784" s="54">
        <f t="shared" si="511"/>
        <v>0</v>
      </c>
      <c r="AA1784" s="54">
        <f t="shared" si="521"/>
        <v>0</v>
      </c>
      <c r="AB1784" s="55">
        <f t="shared" si="510"/>
        <v>0</v>
      </c>
      <c r="AC1784" s="55">
        <f t="shared" si="522"/>
        <v>0</v>
      </c>
      <c r="AD1784" s="56">
        <f t="shared" si="523"/>
        <v>847.01</v>
      </c>
    </row>
    <row r="1785" spans="3:30">
      <c r="C1785" s="43" t="s">
        <v>3270</v>
      </c>
      <c r="D1785" s="44" t="s">
        <v>3271</v>
      </c>
      <c r="E1785" s="44"/>
      <c r="F1785" s="45">
        <v>42968.104097222218</v>
      </c>
      <c r="G1785" s="46">
        <v>13</v>
      </c>
      <c r="H1785" s="47">
        <v>43418</v>
      </c>
      <c r="I1785" s="47">
        <v>43440</v>
      </c>
      <c r="J1785" s="46">
        <v>73792</v>
      </c>
      <c r="K1785" s="46">
        <v>0</v>
      </c>
      <c r="L1785" s="46">
        <v>0</v>
      </c>
      <c r="M1785" s="46">
        <f t="shared" si="512"/>
        <v>73792</v>
      </c>
      <c r="N1785" s="46">
        <v>73792</v>
      </c>
      <c r="O1785" s="48">
        <f t="shared" si="513"/>
        <v>0</v>
      </c>
      <c r="P1785" s="46">
        <v>0</v>
      </c>
      <c r="Q1785" s="46">
        <v>73792</v>
      </c>
      <c r="R1785" s="49">
        <f t="shared" si="514"/>
        <v>1</v>
      </c>
      <c r="S1785" s="50">
        <f t="shared" si="515"/>
        <v>0.01</v>
      </c>
      <c r="T1785" s="49">
        <f t="shared" si="516"/>
        <v>737.92</v>
      </c>
      <c r="U1785" s="51">
        <f t="shared" si="517"/>
        <v>0</v>
      </c>
      <c r="V1785" s="52">
        <f>IF(0&lt;0.8,0,IF(0&lt;1,Sheet3!L561,1))*IF(G1785&lt;3,0.12 - O1785,0.01) *U1785</f>
        <v>0</v>
      </c>
      <c r="W1785" s="52">
        <f t="shared" si="518"/>
        <v>0</v>
      </c>
      <c r="X1785" s="53">
        <f t="shared" si="519"/>
        <v>0</v>
      </c>
      <c r="Y1785" s="53">
        <f t="shared" si="520"/>
        <v>0</v>
      </c>
      <c r="Z1785" s="54">
        <f t="shared" si="511"/>
        <v>0</v>
      </c>
      <c r="AA1785" s="54">
        <f t="shared" si="521"/>
        <v>0</v>
      </c>
      <c r="AB1785" s="55">
        <f t="shared" si="510"/>
        <v>0</v>
      </c>
      <c r="AC1785" s="55">
        <f t="shared" si="522"/>
        <v>0</v>
      </c>
      <c r="AD1785" s="56">
        <f t="shared" si="523"/>
        <v>737.92</v>
      </c>
    </row>
    <row r="1786" spans="3:30">
      <c r="C1786" s="43" t="s">
        <v>3272</v>
      </c>
      <c r="D1786" s="44" t="s">
        <v>3273</v>
      </c>
      <c r="E1786" s="44"/>
      <c r="F1786" s="45">
        <v>42978.418622685182</v>
      </c>
      <c r="G1786" s="46">
        <v>13</v>
      </c>
      <c r="H1786" s="47">
        <v>43384</v>
      </c>
      <c r="I1786" s="47">
        <v>43420</v>
      </c>
      <c r="J1786" s="46">
        <v>204845</v>
      </c>
      <c r="K1786" s="46">
        <v>0</v>
      </c>
      <c r="L1786" s="46">
        <v>0</v>
      </c>
      <c r="M1786" s="46">
        <f t="shared" si="512"/>
        <v>204845</v>
      </c>
      <c r="N1786" s="46">
        <v>204145</v>
      </c>
      <c r="O1786" s="48">
        <f t="shared" si="513"/>
        <v>0</v>
      </c>
      <c r="P1786" s="46">
        <v>0</v>
      </c>
      <c r="Q1786" s="46">
        <v>204845</v>
      </c>
      <c r="R1786" s="49">
        <f t="shared" si="514"/>
        <v>1</v>
      </c>
      <c r="S1786" s="50">
        <f t="shared" si="515"/>
        <v>0.01</v>
      </c>
      <c r="T1786" s="49">
        <f t="shared" si="516"/>
        <v>2048.4499999999998</v>
      </c>
      <c r="U1786" s="51">
        <f t="shared" si="517"/>
        <v>0</v>
      </c>
      <c r="V1786" s="52">
        <f>IF(0&lt;0.8,0,IF(0&lt;1,Sheet3!L561,1))*IF(G1786&lt;3,0.12 - O1786,0.01) *U1786</f>
        <v>0</v>
      </c>
      <c r="W1786" s="52">
        <f t="shared" si="518"/>
        <v>0</v>
      </c>
      <c r="X1786" s="53">
        <f t="shared" si="519"/>
        <v>0</v>
      </c>
      <c r="Y1786" s="53">
        <f t="shared" si="520"/>
        <v>0</v>
      </c>
      <c r="Z1786" s="54">
        <f t="shared" si="511"/>
        <v>0</v>
      </c>
      <c r="AA1786" s="54">
        <f t="shared" si="521"/>
        <v>0</v>
      </c>
      <c r="AB1786" s="55">
        <f t="shared" si="510"/>
        <v>0</v>
      </c>
      <c r="AC1786" s="55">
        <f t="shared" si="522"/>
        <v>0</v>
      </c>
      <c r="AD1786" s="56">
        <f t="shared" si="523"/>
        <v>2048.4499999999998</v>
      </c>
    </row>
    <row r="1787" spans="3:30">
      <c r="C1787" s="43" t="s">
        <v>3274</v>
      </c>
      <c r="D1787" s="44" t="s">
        <v>3275</v>
      </c>
      <c r="E1787" s="44"/>
      <c r="F1787" s="45">
        <v>42983.13554398148</v>
      </c>
      <c r="G1787" s="46">
        <v>12</v>
      </c>
      <c r="H1787" s="47">
        <v>43384</v>
      </c>
      <c r="I1787" s="47">
        <v>43392</v>
      </c>
      <c r="J1787" s="46">
        <v>417263</v>
      </c>
      <c r="K1787" s="46">
        <v>0</v>
      </c>
      <c r="L1787" s="46">
        <v>0</v>
      </c>
      <c r="M1787" s="46">
        <f t="shared" si="512"/>
        <v>417263</v>
      </c>
      <c r="N1787" s="46">
        <v>408664</v>
      </c>
      <c r="O1787" s="48">
        <f t="shared" si="513"/>
        <v>0</v>
      </c>
      <c r="P1787" s="46">
        <v>0</v>
      </c>
      <c r="Q1787" s="46">
        <v>417263</v>
      </c>
      <c r="R1787" s="49">
        <f t="shared" si="514"/>
        <v>1</v>
      </c>
      <c r="S1787" s="50">
        <f t="shared" si="515"/>
        <v>0.01</v>
      </c>
      <c r="T1787" s="49">
        <f t="shared" si="516"/>
        <v>4172.63</v>
      </c>
      <c r="U1787" s="51">
        <f t="shared" si="517"/>
        <v>0</v>
      </c>
      <c r="V1787" s="52">
        <f>IF(0&lt;0.8,0,IF(0&lt;1,Sheet3!L561,1))*IF(G1787&lt;3,0.12 - O1787,0.01) *U1787</f>
        <v>0</v>
      </c>
      <c r="W1787" s="52">
        <f t="shared" si="518"/>
        <v>0</v>
      </c>
      <c r="X1787" s="53">
        <f t="shared" si="519"/>
        <v>0</v>
      </c>
      <c r="Y1787" s="53">
        <f t="shared" si="520"/>
        <v>0</v>
      </c>
      <c r="Z1787" s="54">
        <f t="shared" si="511"/>
        <v>0</v>
      </c>
      <c r="AA1787" s="54">
        <f t="shared" si="521"/>
        <v>0</v>
      </c>
      <c r="AB1787" s="55">
        <f t="shared" si="510"/>
        <v>0</v>
      </c>
      <c r="AC1787" s="55">
        <f t="shared" si="522"/>
        <v>0</v>
      </c>
      <c r="AD1787" s="56">
        <f t="shared" si="523"/>
        <v>4172.63</v>
      </c>
    </row>
    <row r="1788" spans="3:30">
      <c r="C1788" s="43" t="s">
        <v>3276</v>
      </c>
      <c r="D1788" s="44" t="s">
        <v>3277</v>
      </c>
      <c r="E1788" s="44"/>
      <c r="F1788" s="45">
        <v>42983.138067129628</v>
      </c>
      <c r="G1788" s="46">
        <v>12</v>
      </c>
      <c r="H1788" s="47">
        <v>43372</v>
      </c>
      <c r="I1788" s="47">
        <v>43447</v>
      </c>
      <c r="J1788" s="46">
        <v>1766016</v>
      </c>
      <c r="K1788" s="46">
        <v>0</v>
      </c>
      <c r="L1788" s="46">
        <v>0</v>
      </c>
      <c r="M1788" s="46">
        <f t="shared" si="512"/>
        <v>1766016</v>
      </c>
      <c r="N1788" s="46">
        <v>1766016</v>
      </c>
      <c r="O1788" s="48">
        <f t="shared" si="513"/>
        <v>0</v>
      </c>
      <c r="P1788" s="46">
        <v>0</v>
      </c>
      <c r="Q1788" s="46">
        <v>1766016</v>
      </c>
      <c r="R1788" s="49">
        <f t="shared" si="514"/>
        <v>1</v>
      </c>
      <c r="S1788" s="50">
        <f t="shared" si="515"/>
        <v>0.01</v>
      </c>
      <c r="T1788" s="49">
        <f t="shared" si="516"/>
        <v>17660.16</v>
      </c>
      <c r="U1788" s="51">
        <f t="shared" si="517"/>
        <v>0</v>
      </c>
      <c r="V1788" s="52">
        <f>IF(0&lt;0.8,0,IF(0&lt;1,Sheet3!L561,1))*IF(G1788&lt;3,0.12 - O1788,0.01) *U1788</f>
        <v>0</v>
      </c>
      <c r="W1788" s="52">
        <f t="shared" si="518"/>
        <v>0</v>
      </c>
      <c r="X1788" s="53">
        <f t="shared" si="519"/>
        <v>0</v>
      </c>
      <c r="Y1788" s="53">
        <f t="shared" si="520"/>
        <v>0</v>
      </c>
      <c r="Z1788" s="54">
        <f t="shared" si="511"/>
        <v>0</v>
      </c>
      <c r="AA1788" s="54">
        <f t="shared" si="521"/>
        <v>0</v>
      </c>
      <c r="AB1788" s="55">
        <f t="shared" si="510"/>
        <v>0</v>
      </c>
      <c r="AC1788" s="55">
        <f t="shared" si="522"/>
        <v>0</v>
      </c>
      <c r="AD1788" s="56">
        <f t="shared" si="523"/>
        <v>17660.16</v>
      </c>
    </row>
    <row r="1789" spans="3:30">
      <c r="C1789" s="43" t="s">
        <v>3278</v>
      </c>
      <c r="D1789" s="44" t="s">
        <v>3279</v>
      </c>
      <c r="E1789" s="44"/>
      <c r="F1789" s="45">
        <v>43008.151979166665</v>
      </c>
      <c r="G1789" s="46">
        <v>12</v>
      </c>
      <c r="H1789" s="47">
        <v>43384</v>
      </c>
      <c r="I1789" s="47">
        <v>43395</v>
      </c>
      <c r="J1789" s="46">
        <v>18491441</v>
      </c>
      <c r="K1789" s="46">
        <v>0</v>
      </c>
      <c r="L1789" s="46">
        <v>0</v>
      </c>
      <c r="M1789" s="46">
        <f t="shared" si="512"/>
        <v>18491441</v>
      </c>
      <c r="N1789" s="46">
        <v>25939135</v>
      </c>
      <c r="O1789" s="48">
        <f t="shared" si="513"/>
        <v>0.28712191058028724</v>
      </c>
      <c r="P1789" s="46">
        <v>0</v>
      </c>
      <c r="Q1789" s="46">
        <v>18491441</v>
      </c>
      <c r="R1789" s="49">
        <f t="shared" si="514"/>
        <v>1</v>
      </c>
      <c r="S1789" s="50">
        <f t="shared" si="515"/>
        <v>0.01</v>
      </c>
      <c r="T1789" s="49">
        <f t="shared" si="516"/>
        <v>184914.41</v>
      </c>
      <c r="U1789" s="51">
        <f t="shared" si="517"/>
        <v>0</v>
      </c>
      <c r="V1789" s="52">
        <f>IF(0&lt;0.8,0,IF(0&lt;1,Sheet3!L561,1))*IF(G1789&lt;3,0.12 - O1789,0.01) *U1789</f>
        <v>0</v>
      </c>
      <c r="W1789" s="52">
        <f t="shared" si="518"/>
        <v>0</v>
      </c>
      <c r="X1789" s="53">
        <f t="shared" si="519"/>
        <v>0</v>
      </c>
      <c r="Y1789" s="53">
        <f t="shared" si="520"/>
        <v>0</v>
      </c>
      <c r="Z1789" s="54">
        <f t="shared" si="511"/>
        <v>0</v>
      </c>
      <c r="AA1789" s="54">
        <f t="shared" si="521"/>
        <v>0</v>
      </c>
      <c r="AB1789" s="55">
        <f t="shared" si="510"/>
        <v>0</v>
      </c>
      <c r="AC1789" s="55">
        <f t="shared" si="522"/>
        <v>0</v>
      </c>
      <c r="AD1789" s="56">
        <f t="shared" si="523"/>
        <v>184914.41</v>
      </c>
    </row>
    <row r="1790" spans="3:30">
      <c r="C1790" s="43" t="s">
        <v>3280</v>
      </c>
      <c r="D1790" s="44" t="s">
        <v>3281</v>
      </c>
      <c r="E1790" s="44"/>
      <c r="F1790" s="45">
        <v>43025.105613425927</v>
      </c>
      <c r="G1790" s="46">
        <v>11</v>
      </c>
      <c r="H1790" s="47">
        <v>43384</v>
      </c>
      <c r="I1790" s="47">
        <v>43458</v>
      </c>
      <c r="J1790" s="46">
        <v>1654000</v>
      </c>
      <c r="K1790" s="46">
        <v>0</v>
      </c>
      <c r="L1790" s="46">
        <v>0</v>
      </c>
      <c r="M1790" s="46">
        <f t="shared" si="512"/>
        <v>1654000</v>
      </c>
      <c r="N1790" s="46">
        <v>1650803</v>
      </c>
      <c r="O1790" s="48">
        <f t="shared" si="513"/>
        <v>0</v>
      </c>
      <c r="P1790" s="46">
        <v>0</v>
      </c>
      <c r="Q1790" s="46">
        <v>1654000</v>
      </c>
      <c r="R1790" s="49">
        <f t="shared" si="514"/>
        <v>1</v>
      </c>
      <c r="S1790" s="50">
        <f t="shared" si="515"/>
        <v>0.01</v>
      </c>
      <c r="T1790" s="49">
        <f t="shared" si="516"/>
        <v>16540</v>
      </c>
      <c r="U1790" s="51">
        <f t="shared" si="517"/>
        <v>0</v>
      </c>
      <c r="V1790" s="52">
        <f>IF(0&lt;0.8,0,IF(0&lt;1,Sheet3!L561,1))*IF(G1790&lt;3,0.12 - O1790,0.01) *U1790</f>
        <v>0</v>
      </c>
      <c r="W1790" s="52">
        <f t="shared" si="518"/>
        <v>0</v>
      </c>
      <c r="X1790" s="53">
        <f t="shared" si="519"/>
        <v>0</v>
      </c>
      <c r="Y1790" s="53">
        <f t="shared" si="520"/>
        <v>0</v>
      </c>
      <c r="Z1790" s="54">
        <f t="shared" si="511"/>
        <v>0</v>
      </c>
      <c r="AA1790" s="54">
        <f t="shared" si="521"/>
        <v>0</v>
      </c>
      <c r="AB1790" s="55">
        <f t="shared" si="510"/>
        <v>0</v>
      </c>
      <c r="AC1790" s="55">
        <f t="shared" si="522"/>
        <v>0</v>
      </c>
      <c r="AD1790" s="56">
        <f t="shared" si="523"/>
        <v>16540</v>
      </c>
    </row>
    <row r="1791" spans="3:30">
      <c r="C1791" s="43" t="s">
        <v>3282</v>
      </c>
      <c r="D1791" s="44" t="s">
        <v>3283</v>
      </c>
      <c r="E1791" s="44"/>
      <c r="F1791" s="45">
        <v>43040.132268518515</v>
      </c>
      <c r="G1791" s="46">
        <v>10</v>
      </c>
      <c r="H1791" s="47">
        <v>43384</v>
      </c>
      <c r="I1791" s="47">
        <v>43391</v>
      </c>
      <c r="J1791" s="46">
        <v>1395913</v>
      </c>
      <c r="K1791" s="46">
        <v>0</v>
      </c>
      <c r="L1791" s="46">
        <v>0</v>
      </c>
      <c r="M1791" s="46">
        <f t="shared" si="512"/>
        <v>1395913</v>
      </c>
      <c r="N1791" s="46">
        <v>1394472</v>
      </c>
      <c r="O1791" s="48">
        <f t="shared" si="513"/>
        <v>0</v>
      </c>
      <c r="P1791" s="46">
        <v>0</v>
      </c>
      <c r="Q1791" s="46">
        <v>1395913</v>
      </c>
      <c r="R1791" s="49">
        <f t="shared" si="514"/>
        <v>1</v>
      </c>
      <c r="S1791" s="50">
        <f t="shared" si="515"/>
        <v>0.01</v>
      </c>
      <c r="T1791" s="49">
        <f t="shared" si="516"/>
        <v>13959.130000000001</v>
      </c>
      <c r="U1791" s="51">
        <f t="shared" si="517"/>
        <v>0</v>
      </c>
      <c r="V1791" s="52">
        <f>IF(0&lt;0.8,0,IF(0&lt;1,Sheet3!L561,1))*IF(G1791&lt;3,0.12 - O1791,0.01) *U1791</f>
        <v>0</v>
      </c>
      <c r="W1791" s="52">
        <f t="shared" si="518"/>
        <v>0</v>
      </c>
      <c r="X1791" s="53">
        <f t="shared" si="519"/>
        <v>0</v>
      </c>
      <c r="Y1791" s="53">
        <f t="shared" si="520"/>
        <v>0</v>
      </c>
      <c r="Z1791" s="54">
        <f t="shared" si="511"/>
        <v>0</v>
      </c>
      <c r="AA1791" s="54">
        <f t="shared" si="521"/>
        <v>0</v>
      </c>
      <c r="AB1791" s="55">
        <f t="shared" si="510"/>
        <v>0</v>
      </c>
      <c r="AC1791" s="55">
        <f t="shared" si="522"/>
        <v>0</v>
      </c>
      <c r="AD1791" s="56">
        <f t="shared" si="523"/>
        <v>13959.130000000001</v>
      </c>
    </row>
    <row r="1792" spans="3:30">
      <c r="C1792" s="43" t="s">
        <v>3284</v>
      </c>
      <c r="D1792" s="44" t="s">
        <v>3285</v>
      </c>
      <c r="E1792" s="44"/>
      <c r="F1792" s="45">
        <v>43048.316377314812</v>
      </c>
      <c r="G1792" s="46">
        <v>10</v>
      </c>
      <c r="H1792" s="47">
        <v>43384</v>
      </c>
      <c r="I1792" s="47">
        <v>43410</v>
      </c>
      <c r="J1792" s="46">
        <v>306273</v>
      </c>
      <c r="K1792" s="46">
        <v>0</v>
      </c>
      <c r="L1792" s="46">
        <v>0</v>
      </c>
      <c r="M1792" s="46">
        <f t="shared" si="512"/>
        <v>306273</v>
      </c>
      <c r="N1792" s="46">
        <v>306273</v>
      </c>
      <c r="O1792" s="48">
        <f t="shared" si="513"/>
        <v>0</v>
      </c>
      <c r="P1792" s="46">
        <v>0</v>
      </c>
      <c r="Q1792" s="46">
        <v>306273</v>
      </c>
      <c r="R1792" s="49">
        <f t="shared" si="514"/>
        <v>1</v>
      </c>
      <c r="S1792" s="50">
        <f t="shared" si="515"/>
        <v>0.01</v>
      </c>
      <c r="T1792" s="49">
        <f t="shared" si="516"/>
        <v>3062.73</v>
      </c>
      <c r="U1792" s="51">
        <f t="shared" si="517"/>
        <v>0</v>
      </c>
      <c r="V1792" s="52">
        <f>IF(0&lt;0.8,0,IF(0&lt;1,Sheet3!L561,1))*IF(G1792&lt;3,0.12 - O1792,0.01) *U1792</f>
        <v>0</v>
      </c>
      <c r="W1792" s="52">
        <f t="shared" si="518"/>
        <v>0</v>
      </c>
      <c r="X1792" s="53">
        <f t="shared" si="519"/>
        <v>0</v>
      </c>
      <c r="Y1792" s="53">
        <f t="shared" si="520"/>
        <v>0</v>
      </c>
      <c r="Z1792" s="54">
        <f t="shared" si="511"/>
        <v>0</v>
      </c>
      <c r="AA1792" s="54">
        <f t="shared" si="521"/>
        <v>0</v>
      </c>
      <c r="AB1792" s="55">
        <f t="shared" si="510"/>
        <v>0</v>
      </c>
      <c r="AC1792" s="55">
        <f t="shared" si="522"/>
        <v>0</v>
      </c>
      <c r="AD1792" s="56">
        <f t="shared" si="523"/>
        <v>3062.73</v>
      </c>
    </row>
    <row r="1793" spans="3:30">
      <c r="C1793" s="43" t="s">
        <v>3286</v>
      </c>
      <c r="D1793" s="44" t="s">
        <v>3287</v>
      </c>
      <c r="E1793" s="44"/>
      <c r="F1793" s="45">
        <v>43070.093553240738</v>
      </c>
      <c r="G1793" s="46">
        <v>9</v>
      </c>
      <c r="H1793" s="47">
        <v>43372</v>
      </c>
      <c r="I1793" s="47">
        <v>43392</v>
      </c>
      <c r="J1793" s="46">
        <v>182000</v>
      </c>
      <c r="K1793" s="46">
        <v>0</v>
      </c>
      <c r="L1793" s="46">
        <v>0</v>
      </c>
      <c r="M1793" s="46">
        <f t="shared" si="512"/>
        <v>182000</v>
      </c>
      <c r="N1793" s="46">
        <v>181500</v>
      </c>
      <c r="O1793" s="48">
        <f t="shared" si="513"/>
        <v>0</v>
      </c>
      <c r="P1793" s="46">
        <v>0</v>
      </c>
      <c r="Q1793" s="46">
        <v>182000</v>
      </c>
      <c r="R1793" s="49">
        <f t="shared" si="514"/>
        <v>1</v>
      </c>
      <c r="S1793" s="50">
        <f t="shared" si="515"/>
        <v>0.01</v>
      </c>
      <c r="T1793" s="49">
        <f t="shared" si="516"/>
        <v>1820</v>
      </c>
      <c r="U1793" s="51">
        <f t="shared" si="517"/>
        <v>0</v>
      </c>
      <c r="V1793" s="52">
        <f>IF(0&lt;0.8,0,IF(0&lt;1,Sheet3!L561,1))*IF(G1793&lt;3,0.12 - O1793,0.01) *U1793</f>
        <v>0</v>
      </c>
      <c r="W1793" s="52">
        <f t="shared" si="518"/>
        <v>0</v>
      </c>
      <c r="X1793" s="53">
        <f t="shared" si="519"/>
        <v>0</v>
      </c>
      <c r="Y1793" s="53">
        <f t="shared" si="520"/>
        <v>0</v>
      </c>
      <c r="Z1793" s="54">
        <f t="shared" si="511"/>
        <v>0</v>
      </c>
      <c r="AA1793" s="54">
        <f t="shared" si="521"/>
        <v>0</v>
      </c>
      <c r="AB1793" s="55">
        <f t="shared" si="510"/>
        <v>0</v>
      </c>
      <c r="AC1793" s="55">
        <f t="shared" si="522"/>
        <v>0</v>
      </c>
      <c r="AD1793" s="56">
        <f t="shared" si="523"/>
        <v>1820</v>
      </c>
    </row>
    <row r="1794" spans="3:30">
      <c r="C1794" s="43" t="s">
        <v>3288</v>
      </c>
      <c r="D1794" s="44" t="s">
        <v>3289</v>
      </c>
      <c r="E1794" s="44"/>
      <c r="F1794" s="45">
        <v>43087.299166666664</v>
      </c>
      <c r="G1794" s="46">
        <v>9</v>
      </c>
      <c r="H1794" s="47">
        <v>43378</v>
      </c>
      <c r="I1794" s="47">
        <v>43402</v>
      </c>
      <c r="J1794" s="46">
        <v>1043970</v>
      </c>
      <c r="K1794" s="46">
        <v>0</v>
      </c>
      <c r="L1794" s="46">
        <v>0</v>
      </c>
      <c r="M1794" s="46">
        <f t="shared" si="512"/>
        <v>1043970</v>
      </c>
      <c r="N1794" s="46">
        <v>1043970</v>
      </c>
      <c r="O1794" s="48">
        <f t="shared" si="513"/>
        <v>0</v>
      </c>
      <c r="P1794" s="46">
        <v>0</v>
      </c>
      <c r="Q1794" s="46">
        <v>1043970</v>
      </c>
      <c r="R1794" s="49">
        <f t="shared" si="514"/>
        <v>1</v>
      </c>
      <c r="S1794" s="50">
        <f t="shared" si="515"/>
        <v>0.01</v>
      </c>
      <c r="T1794" s="49">
        <f t="shared" si="516"/>
        <v>10439.700000000001</v>
      </c>
      <c r="U1794" s="51">
        <f t="shared" si="517"/>
        <v>0</v>
      </c>
      <c r="V1794" s="52">
        <f>IF(0&lt;0.8,0,IF(0&lt;1,Sheet3!L561,1))*IF(G1794&lt;3,0.12 - O1794,0.01) *U1794</f>
        <v>0</v>
      </c>
      <c r="W1794" s="52">
        <f t="shared" si="518"/>
        <v>0</v>
      </c>
      <c r="X1794" s="53">
        <f t="shared" si="519"/>
        <v>0</v>
      </c>
      <c r="Y1794" s="53">
        <f t="shared" si="520"/>
        <v>0</v>
      </c>
      <c r="Z1794" s="54">
        <f t="shared" si="511"/>
        <v>0</v>
      </c>
      <c r="AA1794" s="54">
        <f t="shared" si="521"/>
        <v>0</v>
      </c>
      <c r="AB1794" s="55">
        <f t="shared" si="510"/>
        <v>0</v>
      </c>
      <c r="AC1794" s="55">
        <f t="shared" si="522"/>
        <v>0</v>
      </c>
      <c r="AD1794" s="56">
        <f t="shared" si="523"/>
        <v>10439.700000000001</v>
      </c>
    </row>
    <row r="1795" spans="3:30">
      <c r="C1795" s="43" t="s">
        <v>3290</v>
      </c>
      <c r="D1795" s="44" t="s">
        <v>3291</v>
      </c>
      <c r="E1795" s="44"/>
      <c r="F1795" s="45">
        <v>43087.301874999997</v>
      </c>
      <c r="G1795" s="46">
        <v>9</v>
      </c>
      <c r="H1795" s="47">
        <v>43404</v>
      </c>
      <c r="I1795" s="47">
        <v>43473</v>
      </c>
      <c r="J1795" s="46">
        <v>591903</v>
      </c>
      <c r="K1795" s="46">
        <v>0</v>
      </c>
      <c r="L1795" s="46">
        <v>0</v>
      </c>
      <c r="M1795" s="46">
        <f t="shared" si="512"/>
        <v>591903</v>
      </c>
      <c r="N1795" s="46">
        <v>108902</v>
      </c>
      <c r="O1795" s="48">
        <f t="shared" si="513"/>
        <v>0</v>
      </c>
      <c r="P1795" s="46">
        <v>0</v>
      </c>
      <c r="Q1795" s="46">
        <v>591903</v>
      </c>
      <c r="R1795" s="49">
        <f t="shared" si="514"/>
        <v>1</v>
      </c>
      <c r="S1795" s="50">
        <f t="shared" si="515"/>
        <v>0.01</v>
      </c>
      <c r="T1795" s="49">
        <f t="shared" si="516"/>
        <v>5919.03</v>
      </c>
      <c r="U1795" s="51">
        <f t="shared" si="517"/>
        <v>0</v>
      </c>
      <c r="V1795" s="52">
        <f>IF(0&lt;0.8,0,IF(0&lt;1,Sheet3!L561,1))*IF(G1795&lt;3,0.12 - O1795,0.01) *U1795</f>
        <v>0</v>
      </c>
      <c r="W1795" s="52">
        <f t="shared" si="518"/>
        <v>0</v>
      </c>
      <c r="X1795" s="53">
        <f t="shared" si="519"/>
        <v>0</v>
      </c>
      <c r="Y1795" s="53">
        <f t="shared" si="520"/>
        <v>0</v>
      </c>
      <c r="Z1795" s="54">
        <f t="shared" si="511"/>
        <v>0</v>
      </c>
      <c r="AA1795" s="54">
        <f t="shared" si="521"/>
        <v>0</v>
      </c>
      <c r="AB1795" s="55">
        <f>IF(R1795=0,483000,0)</f>
        <v>0</v>
      </c>
      <c r="AC1795" s="55">
        <f t="shared" si="522"/>
        <v>0</v>
      </c>
      <c r="AD1795" s="56">
        <f t="shared" si="523"/>
        <v>5919.03</v>
      </c>
    </row>
    <row r="1796" spans="3:30">
      <c r="C1796" s="43" t="s">
        <v>3292</v>
      </c>
      <c r="D1796" s="44" t="s">
        <v>3293</v>
      </c>
      <c r="E1796" s="44"/>
      <c r="F1796" s="45">
        <v>43095.188321759255</v>
      </c>
      <c r="G1796" s="46">
        <v>9</v>
      </c>
      <c r="H1796" s="47">
        <v>43384</v>
      </c>
      <c r="I1796" s="47">
        <v>43404</v>
      </c>
      <c r="J1796" s="46">
        <v>339413</v>
      </c>
      <c r="K1796" s="46">
        <v>0</v>
      </c>
      <c r="L1796" s="46">
        <v>0</v>
      </c>
      <c r="M1796" s="46">
        <f t="shared" si="512"/>
        <v>339413</v>
      </c>
      <c r="N1796" s="46">
        <v>338813</v>
      </c>
      <c r="O1796" s="48">
        <f t="shared" si="513"/>
        <v>0</v>
      </c>
      <c r="P1796" s="46">
        <v>0</v>
      </c>
      <c r="Q1796" s="46">
        <v>339413</v>
      </c>
      <c r="R1796" s="49">
        <f t="shared" si="514"/>
        <v>1</v>
      </c>
      <c r="S1796" s="50">
        <f t="shared" si="515"/>
        <v>0.01</v>
      </c>
      <c r="T1796" s="49">
        <f t="shared" si="516"/>
        <v>3394.13</v>
      </c>
      <c r="U1796" s="51">
        <f t="shared" si="517"/>
        <v>0</v>
      </c>
      <c r="V1796" s="52">
        <f>IF(0&lt;0.8,0,IF(0&lt;1,Sheet3!L561,1))*IF(G1796&lt;3,0.12 - O1796,0.01) *U1796</f>
        <v>0</v>
      </c>
      <c r="W1796" s="52">
        <f t="shared" si="518"/>
        <v>0</v>
      </c>
      <c r="X1796" s="53">
        <f t="shared" si="519"/>
        <v>0</v>
      </c>
      <c r="Y1796" s="53">
        <f t="shared" si="520"/>
        <v>0</v>
      </c>
      <c r="Z1796" s="54">
        <f t="shared" si="511"/>
        <v>0</v>
      </c>
      <c r="AA1796" s="54">
        <f t="shared" si="521"/>
        <v>0</v>
      </c>
      <c r="AB1796" s="55">
        <f t="shared" ref="AB1796:AB1829" si="524">IF(R1796=0,0,0)</f>
        <v>0</v>
      </c>
      <c r="AC1796" s="55">
        <f t="shared" si="522"/>
        <v>0</v>
      </c>
      <c r="AD1796" s="56">
        <f t="shared" si="523"/>
        <v>3394.13</v>
      </c>
    </row>
    <row r="1797" spans="3:30">
      <c r="C1797" s="43" t="s">
        <v>3294</v>
      </c>
      <c r="D1797" s="44" t="s">
        <v>3295</v>
      </c>
      <c r="E1797" s="44"/>
      <c r="F1797" s="45">
        <v>43131.094942129625</v>
      </c>
      <c r="G1797" s="46">
        <v>8</v>
      </c>
      <c r="H1797" s="47">
        <v>43384</v>
      </c>
      <c r="I1797" s="47">
        <v>43399</v>
      </c>
      <c r="J1797" s="46">
        <v>187405</v>
      </c>
      <c r="K1797" s="46">
        <v>0</v>
      </c>
      <c r="L1797" s="46">
        <v>0</v>
      </c>
      <c r="M1797" s="46">
        <f t="shared" si="512"/>
        <v>187405</v>
      </c>
      <c r="N1797" s="46">
        <v>186873</v>
      </c>
      <c r="O1797" s="48">
        <f t="shared" si="513"/>
        <v>0</v>
      </c>
      <c r="P1797" s="46">
        <v>0</v>
      </c>
      <c r="Q1797" s="46">
        <v>187405</v>
      </c>
      <c r="R1797" s="49">
        <f t="shared" si="514"/>
        <v>1</v>
      </c>
      <c r="S1797" s="50">
        <f t="shared" si="515"/>
        <v>0.01</v>
      </c>
      <c r="T1797" s="49">
        <f t="shared" si="516"/>
        <v>1874.05</v>
      </c>
      <c r="U1797" s="51">
        <f t="shared" si="517"/>
        <v>0</v>
      </c>
      <c r="V1797" s="52">
        <f>IF(0&lt;0.8,0,IF(0&lt;1,Sheet3!L561,1))*IF(G1797&lt;3,0.12 - O1797,0.01) *U1797</f>
        <v>0</v>
      </c>
      <c r="W1797" s="52">
        <f t="shared" si="518"/>
        <v>0</v>
      </c>
      <c r="X1797" s="53">
        <f t="shared" si="519"/>
        <v>0</v>
      </c>
      <c r="Y1797" s="53">
        <f t="shared" si="520"/>
        <v>0</v>
      </c>
      <c r="Z1797" s="54">
        <f t="shared" si="511"/>
        <v>0</v>
      </c>
      <c r="AA1797" s="54">
        <f t="shared" si="521"/>
        <v>0</v>
      </c>
      <c r="AB1797" s="55">
        <f t="shared" si="524"/>
        <v>0</v>
      </c>
      <c r="AC1797" s="55">
        <f t="shared" si="522"/>
        <v>0</v>
      </c>
      <c r="AD1797" s="56">
        <f t="shared" si="523"/>
        <v>1874.05</v>
      </c>
    </row>
    <row r="1798" spans="3:30">
      <c r="C1798" s="43" t="s">
        <v>3296</v>
      </c>
      <c r="D1798" s="44" t="s">
        <v>3297</v>
      </c>
      <c r="E1798" s="44"/>
      <c r="F1798" s="45">
        <v>43134.18986111111</v>
      </c>
      <c r="G1798" s="46">
        <v>7</v>
      </c>
      <c r="H1798" s="47">
        <v>43459</v>
      </c>
      <c r="I1798" s="47">
        <v>43509</v>
      </c>
      <c r="J1798" s="46">
        <v>2757885</v>
      </c>
      <c r="K1798" s="46">
        <v>0</v>
      </c>
      <c r="L1798" s="46">
        <v>0</v>
      </c>
      <c r="M1798" s="46">
        <f t="shared" si="512"/>
        <v>2757885</v>
      </c>
      <c r="N1798" s="46">
        <v>2757885</v>
      </c>
      <c r="O1798" s="48">
        <f t="shared" si="513"/>
        <v>0</v>
      </c>
      <c r="P1798" s="46">
        <v>0</v>
      </c>
      <c r="Q1798" s="46">
        <v>2757885</v>
      </c>
      <c r="R1798" s="49">
        <f t="shared" si="514"/>
        <v>1</v>
      </c>
      <c r="S1798" s="50">
        <f t="shared" si="515"/>
        <v>0.01</v>
      </c>
      <c r="T1798" s="49">
        <f t="shared" si="516"/>
        <v>27578.850000000002</v>
      </c>
      <c r="U1798" s="51">
        <f t="shared" si="517"/>
        <v>0</v>
      </c>
      <c r="V1798" s="52">
        <f>IF(0&lt;0.8,0,IF(0&lt;1,Sheet3!L561,1))*IF(G1798&lt;3,0.12 - O1798,0.01) *U1798</f>
        <v>0</v>
      </c>
      <c r="W1798" s="52">
        <f t="shared" si="518"/>
        <v>0</v>
      </c>
      <c r="X1798" s="53">
        <f t="shared" si="519"/>
        <v>0</v>
      </c>
      <c r="Y1798" s="53">
        <f t="shared" si="520"/>
        <v>0</v>
      </c>
      <c r="Z1798" s="54">
        <f t="shared" si="511"/>
        <v>0</v>
      </c>
      <c r="AA1798" s="54">
        <f t="shared" si="521"/>
        <v>0</v>
      </c>
      <c r="AB1798" s="55">
        <f t="shared" si="524"/>
        <v>0</v>
      </c>
      <c r="AC1798" s="55">
        <f t="shared" si="522"/>
        <v>0</v>
      </c>
      <c r="AD1798" s="56">
        <f t="shared" si="523"/>
        <v>27578.850000000002</v>
      </c>
    </row>
    <row r="1799" spans="3:30">
      <c r="C1799" s="43" t="s">
        <v>3298</v>
      </c>
      <c r="D1799" s="44" t="s">
        <v>3299</v>
      </c>
      <c r="E1799" s="44"/>
      <c r="F1799" s="45">
        <v>43138.269282407404</v>
      </c>
      <c r="G1799" s="46">
        <v>7</v>
      </c>
      <c r="H1799" s="47" t="s">
        <v>24</v>
      </c>
      <c r="I1799" s="47" t="s">
        <v>24</v>
      </c>
      <c r="J1799" s="46">
        <v>1342500</v>
      </c>
      <c r="K1799" s="46">
        <v>726000</v>
      </c>
      <c r="L1799" s="46">
        <v>0</v>
      </c>
      <c r="M1799" s="46">
        <f t="shared" si="512"/>
        <v>616500</v>
      </c>
      <c r="N1799" s="46">
        <v>1732059</v>
      </c>
      <c r="O1799" s="48">
        <f t="shared" si="513"/>
        <v>0.64406524258122855</v>
      </c>
      <c r="P1799" s="46">
        <v>0</v>
      </c>
      <c r="Q1799" s="46">
        <v>616500</v>
      </c>
      <c r="R1799" s="49">
        <f t="shared" si="514"/>
        <v>1</v>
      </c>
      <c r="S1799" s="50">
        <f t="shared" si="515"/>
        <v>0.01</v>
      </c>
      <c r="T1799" s="49">
        <f t="shared" si="516"/>
        <v>6165</v>
      </c>
      <c r="U1799" s="51">
        <f t="shared" si="517"/>
        <v>0</v>
      </c>
      <c r="V1799" s="52">
        <f>IF(0&lt;0.8,0,IF(0&lt;1,Sheet3!L561,1))*IF(G1799&lt;3,0.12 - O1799,0.01) *U1799</f>
        <v>0</v>
      </c>
      <c r="W1799" s="52">
        <f t="shared" si="518"/>
        <v>0</v>
      </c>
      <c r="X1799" s="53">
        <f t="shared" si="519"/>
        <v>0</v>
      </c>
      <c r="Y1799" s="53">
        <f t="shared" si="520"/>
        <v>0</v>
      </c>
      <c r="Z1799" s="54">
        <f t="shared" si="511"/>
        <v>0</v>
      </c>
      <c r="AA1799" s="54">
        <f t="shared" si="521"/>
        <v>0</v>
      </c>
      <c r="AB1799" s="55">
        <f t="shared" si="524"/>
        <v>0</v>
      </c>
      <c r="AC1799" s="55">
        <f t="shared" si="522"/>
        <v>0</v>
      </c>
      <c r="AD1799" s="56">
        <f t="shared" si="523"/>
        <v>6165</v>
      </c>
    </row>
    <row r="1800" spans="3:30">
      <c r="C1800" s="43" t="s">
        <v>3300</v>
      </c>
      <c r="D1800" s="44" t="s">
        <v>3301</v>
      </c>
      <c r="E1800" s="44"/>
      <c r="F1800" s="45">
        <v>43171.384826388887</v>
      </c>
      <c r="G1800" s="46">
        <v>6</v>
      </c>
      <c r="H1800" s="47">
        <v>43432</v>
      </c>
      <c r="I1800" s="47">
        <v>43438</v>
      </c>
      <c r="J1800" s="46">
        <v>2185198</v>
      </c>
      <c r="K1800" s="46">
        <v>0</v>
      </c>
      <c r="L1800" s="46">
        <v>0</v>
      </c>
      <c r="M1800" s="46">
        <f t="shared" si="512"/>
        <v>2185198</v>
      </c>
      <c r="N1800" s="46">
        <v>2189212</v>
      </c>
      <c r="O1800" s="48">
        <f t="shared" si="513"/>
        <v>1.8335364505585039E-3</v>
      </c>
      <c r="P1800" s="46">
        <v>0</v>
      </c>
      <c r="Q1800" s="46">
        <v>2185198</v>
      </c>
      <c r="R1800" s="49">
        <f t="shared" si="514"/>
        <v>1</v>
      </c>
      <c r="S1800" s="50">
        <f t="shared" si="515"/>
        <v>0.01</v>
      </c>
      <c r="T1800" s="49">
        <f t="shared" si="516"/>
        <v>21851.98</v>
      </c>
      <c r="U1800" s="51">
        <f t="shared" si="517"/>
        <v>0</v>
      </c>
      <c r="V1800" s="52">
        <f>IF(0&lt;0.8,0,IF(0&lt;1,Sheet3!L561,1))*IF(G1800&lt;3,0.12 - O1800,0.01) *U1800</f>
        <v>0</v>
      </c>
      <c r="W1800" s="52">
        <f t="shared" si="518"/>
        <v>0</v>
      </c>
      <c r="X1800" s="53">
        <f t="shared" si="519"/>
        <v>0</v>
      </c>
      <c r="Y1800" s="53">
        <f t="shared" si="520"/>
        <v>0</v>
      </c>
      <c r="Z1800" s="54">
        <f t="shared" si="511"/>
        <v>0</v>
      </c>
      <c r="AA1800" s="54">
        <f t="shared" si="521"/>
        <v>0</v>
      </c>
      <c r="AB1800" s="55">
        <f t="shared" si="524"/>
        <v>0</v>
      </c>
      <c r="AC1800" s="55">
        <f t="shared" si="522"/>
        <v>0</v>
      </c>
      <c r="AD1800" s="56">
        <f t="shared" si="523"/>
        <v>21851.98</v>
      </c>
    </row>
    <row r="1801" spans="3:30">
      <c r="C1801" s="43" t="s">
        <v>3302</v>
      </c>
      <c r="D1801" s="44" t="s">
        <v>3303</v>
      </c>
      <c r="E1801" s="44"/>
      <c r="F1801" s="45">
        <v>43182.352372685185</v>
      </c>
      <c r="G1801" s="46">
        <v>6</v>
      </c>
      <c r="H1801" s="47">
        <v>43423</v>
      </c>
      <c r="I1801" s="47">
        <v>43428</v>
      </c>
      <c r="J1801" s="46">
        <v>60504</v>
      </c>
      <c r="K1801" s="46">
        <v>0</v>
      </c>
      <c r="L1801" s="46">
        <v>0</v>
      </c>
      <c r="M1801" s="46">
        <f t="shared" si="512"/>
        <v>60504</v>
      </c>
      <c r="N1801" s="46">
        <v>60504</v>
      </c>
      <c r="O1801" s="48">
        <f t="shared" si="513"/>
        <v>0</v>
      </c>
      <c r="P1801" s="46">
        <v>0</v>
      </c>
      <c r="Q1801" s="46">
        <v>60504</v>
      </c>
      <c r="R1801" s="49">
        <f t="shared" si="514"/>
        <v>1</v>
      </c>
      <c r="S1801" s="50">
        <f t="shared" si="515"/>
        <v>0.01</v>
      </c>
      <c r="T1801" s="49">
        <f t="shared" si="516"/>
        <v>605.04</v>
      </c>
      <c r="U1801" s="51">
        <f t="shared" si="517"/>
        <v>0</v>
      </c>
      <c r="V1801" s="52">
        <f>IF(0&lt;0.8,0,IF(0&lt;1,Sheet3!L561,1))*IF(G1801&lt;3,0.12 - O1801,0.01) *U1801</f>
        <v>0</v>
      </c>
      <c r="W1801" s="52">
        <f t="shared" si="518"/>
        <v>0</v>
      </c>
      <c r="X1801" s="53">
        <f t="shared" si="519"/>
        <v>0</v>
      </c>
      <c r="Y1801" s="53">
        <f t="shared" si="520"/>
        <v>0</v>
      </c>
      <c r="Z1801" s="54">
        <f t="shared" si="511"/>
        <v>0</v>
      </c>
      <c r="AA1801" s="54">
        <f t="shared" si="521"/>
        <v>0</v>
      </c>
      <c r="AB1801" s="55">
        <f t="shared" si="524"/>
        <v>0</v>
      </c>
      <c r="AC1801" s="55">
        <f t="shared" si="522"/>
        <v>0</v>
      </c>
      <c r="AD1801" s="56">
        <f t="shared" si="523"/>
        <v>605.04</v>
      </c>
    </row>
    <row r="1802" spans="3:30">
      <c r="C1802" s="43" t="s">
        <v>3304</v>
      </c>
      <c r="D1802" s="44" t="s">
        <v>2536</v>
      </c>
      <c r="E1802" s="44"/>
      <c r="F1802" s="45">
        <v>43200.420925925922</v>
      </c>
      <c r="G1802" s="46">
        <v>5</v>
      </c>
      <c r="H1802" s="47">
        <v>43372</v>
      </c>
      <c r="I1802" s="47">
        <v>43389</v>
      </c>
      <c r="J1802" s="46">
        <v>11130327</v>
      </c>
      <c r="K1802" s="46">
        <v>677166</v>
      </c>
      <c r="L1802" s="46">
        <v>0</v>
      </c>
      <c r="M1802" s="46">
        <f t="shared" si="512"/>
        <v>10453161</v>
      </c>
      <c r="N1802" s="46">
        <v>12819913</v>
      </c>
      <c r="O1802" s="48">
        <f t="shared" si="513"/>
        <v>0.18461529341111749</v>
      </c>
      <c r="P1802" s="46">
        <v>0</v>
      </c>
      <c r="Q1802" s="46">
        <v>11130327</v>
      </c>
      <c r="R1802" s="49">
        <f t="shared" si="514"/>
        <v>1</v>
      </c>
      <c r="S1802" s="50">
        <f t="shared" si="515"/>
        <v>0.01</v>
      </c>
      <c r="T1802" s="49">
        <f t="shared" si="516"/>
        <v>104531.61</v>
      </c>
      <c r="U1802" s="51">
        <f t="shared" si="517"/>
        <v>0</v>
      </c>
      <c r="V1802" s="52">
        <f>IF(0&lt;0.8,0,IF(0&lt;1,Sheet3!L561,1))*IF(G1802&lt;3,0.12 - O1802,0.01) *U1802</f>
        <v>0</v>
      </c>
      <c r="W1802" s="52">
        <f t="shared" si="518"/>
        <v>0</v>
      </c>
      <c r="X1802" s="53">
        <f t="shared" si="519"/>
        <v>0</v>
      </c>
      <c r="Y1802" s="53">
        <f t="shared" si="520"/>
        <v>0</v>
      </c>
      <c r="Z1802" s="54">
        <f t="shared" si="511"/>
        <v>0</v>
      </c>
      <c r="AA1802" s="54">
        <f t="shared" si="521"/>
        <v>0</v>
      </c>
      <c r="AB1802" s="55">
        <f t="shared" si="524"/>
        <v>0</v>
      </c>
      <c r="AC1802" s="55">
        <f t="shared" si="522"/>
        <v>0</v>
      </c>
      <c r="AD1802" s="56">
        <f t="shared" si="523"/>
        <v>104531.61</v>
      </c>
    </row>
    <row r="1803" spans="3:30">
      <c r="C1803" s="43" t="s">
        <v>3305</v>
      </c>
      <c r="D1803" s="44" t="s">
        <v>3306</v>
      </c>
      <c r="E1803" s="44"/>
      <c r="F1803" s="45">
        <v>43202.098796296297</v>
      </c>
      <c r="G1803" s="46">
        <v>5</v>
      </c>
      <c r="H1803" s="47">
        <v>43384</v>
      </c>
      <c r="I1803" s="47">
        <v>43389</v>
      </c>
      <c r="J1803" s="46">
        <v>80672</v>
      </c>
      <c r="K1803" s="46">
        <v>0</v>
      </c>
      <c r="L1803" s="46">
        <v>0</v>
      </c>
      <c r="M1803" s="46">
        <f t="shared" si="512"/>
        <v>80672</v>
      </c>
      <c r="N1803" s="46">
        <v>80672</v>
      </c>
      <c r="O1803" s="48">
        <f t="shared" si="513"/>
        <v>0</v>
      </c>
      <c r="P1803" s="46">
        <v>0</v>
      </c>
      <c r="Q1803" s="46">
        <v>80672</v>
      </c>
      <c r="R1803" s="49">
        <f t="shared" si="514"/>
        <v>1</v>
      </c>
      <c r="S1803" s="50">
        <f t="shared" si="515"/>
        <v>0.01</v>
      </c>
      <c r="T1803" s="49">
        <f t="shared" si="516"/>
        <v>806.72</v>
      </c>
      <c r="U1803" s="51">
        <f t="shared" si="517"/>
        <v>0</v>
      </c>
      <c r="V1803" s="52">
        <f>IF(0&lt;0.8,0,IF(0&lt;1,Sheet3!L561,1))*IF(G1803&lt;3,0.12 - O1803,0.01) *U1803</f>
        <v>0</v>
      </c>
      <c r="W1803" s="52">
        <f t="shared" si="518"/>
        <v>0</v>
      </c>
      <c r="X1803" s="53">
        <f t="shared" si="519"/>
        <v>0</v>
      </c>
      <c r="Y1803" s="53">
        <f t="shared" si="520"/>
        <v>0</v>
      </c>
      <c r="Z1803" s="54">
        <f t="shared" si="511"/>
        <v>0</v>
      </c>
      <c r="AA1803" s="54">
        <f t="shared" si="521"/>
        <v>0</v>
      </c>
      <c r="AB1803" s="55">
        <f t="shared" si="524"/>
        <v>0</v>
      </c>
      <c r="AC1803" s="55">
        <f t="shared" si="522"/>
        <v>0</v>
      </c>
      <c r="AD1803" s="56">
        <f t="shared" si="523"/>
        <v>806.72</v>
      </c>
    </row>
    <row r="1804" spans="3:30">
      <c r="C1804" s="43" t="s">
        <v>3307</v>
      </c>
      <c r="D1804" s="44" t="s">
        <v>3308</v>
      </c>
      <c r="E1804" s="44"/>
      <c r="F1804" s="45">
        <v>43202.125138888885</v>
      </c>
      <c r="G1804" s="46">
        <v>5</v>
      </c>
      <c r="H1804" s="47">
        <v>43384</v>
      </c>
      <c r="I1804" s="47">
        <v>43416</v>
      </c>
      <c r="J1804" s="46">
        <v>1567032</v>
      </c>
      <c r="K1804" s="46">
        <v>0</v>
      </c>
      <c r="L1804" s="46">
        <v>0</v>
      </c>
      <c r="M1804" s="46">
        <f t="shared" si="512"/>
        <v>1567032</v>
      </c>
      <c r="N1804" s="46">
        <v>1328945</v>
      </c>
      <c r="O1804" s="48">
        <f t="shared" si="513"/>
        <v>0</v>
      </c>
      <c r="P1804" s="46">
        <v>0</v>
      </c>
      <c r="Q1804" s="46">
        <v>1567032</v>
      </c>
      <c r="R1804" s="49">
        <f t="shared" si="514"/>
        <v>1</v>
      </c>
      <c r="S1804" s="50">
        <f t="shared" si="515"/>
        <v>0.01</v>
      </c>
      <c r="T1804" s="49">
        <f t="shared" si="516"/>
        <v>15670.32</v>
      </c>
      <c r="U1804" s="51">
        <f t="shared" si="517"/>
        <v>0</v>
      </c>
      <c r="V1804" s="52">
        <f>IF(0&lt;0.8,0,IF(0&lt;1,Sheet3!L561,1))*IF(G1804&lt;3,0.12 - O1804,0.01) *U1804</f>
        <v>0</v>
      </c>
      <c r="W1804" s="52">
        <f t="shared" si="518"/>
        <v>0</v>
      </c>
      <c r="X1804" s="53">
        <f t="shared" si="519"/>
        <v>0</v>
      </c>
      <c r="Y1804" s="53">
        <f t="shared" si="520"/>
        <v>0</v>
      </c>
      <c r="Z1804" s="54">
        <f t="shared" si="511"/>
        <v>0</v>
      </c>
      <c r="AA1804" s="54">
        <f t="shared" si="521"/>
        <v>0</v>
      </c>
      <c r="AB1804" s="55">
        <f t="shared" si="524"/>
        <v>0</v>
      </c>
      <c r="AC1804" s="55">
        <f t="shared" si="522"/>
        <v>0</v>
      </c>
      <c r="AD1804" s="56">
        <f t="shared" si="523"/>
        <v>15670.32</v>
      </c>
    </row>
    <row r="1805" spans="3:30">
      <c r="C1805" s="43" t="s">
        <v>3309</v>
      </c>
      <c r="D1805" s="44" t="s">
        <v>3310</v>
      </c>
      <c r="E1805" s="44"/>
      <c r="F1805" s="45">
        <v>43210.145173611112</v>
      </c>
      <c r="G1805" s="46">
        <v>5</v>
      </c>
      <c r="H1805" s="47">
        <v>43384</v>
      </c>
      <c r="I1805" s="47">
        <v>43420</v>
      </c>
      <c r="J1805" s="46">
        <v>657358</v>
      </c>
      <c r="K1805" s="46">
        <v>0</v>
      </c>
      <c r="L1805" s="46">
        <v>0</v>
      </c>
      <c r="M1805" s="46">
        <f t="shared" si="512"/>
        <v>657358</v>
      </c>
      <c r="N1805" s="46">
        <v>657358</v>
      </c>
      <c r="O1805" s="48">
        <f t="shared" si="513"/>
        <v>0</v>
      </c>
      <c r="P1805" s="46">
        <v>0</v>
      </c>
      <c r="Q1805" s="46">
        <v>657358</v>
      </c>
      <c r="R1805" s="49">
        <f t="shared" si="514"/>
        <v>1</v>
      </c>
      <c r="S1805" s="50">
        <f t="shared" si="515"/>
        <v>0.01</v>
      </c>
      <c r="T1805" s="49">
        <f t="shared" si="516"/>
        <v>6573.58</v>
      </c>
      <c r="U1805" s="51">
        <f t="shared" si="517"/>
        <v>0</v>
      </c>
      <c r="V1805" s="52">
        <f>IF(0&lt;0.8,0,IF(0&lt;1,Sheet3!L561,1))*IF(G1805&lt;3,0.12 - O1805,0.01) *U1805</f>
        <v>0</v>
      </c>
      <c r="W1805" s="52">
        <f t="shared" si="518"/>
        <v>0</v>
      </c>
      <c r="X1805" s="53">
        <f t="shared" si="519"/>
        <v>0</v>
      </c>
      <c r="Y1805" s="53">
        <f t="shared" si="520"/>
        <v>0</v>
      </c>
      <c r="Z1805" s="54">
        <f t="shared" si="511"/>
        <v>0</v>
      </c>
      <c r="AA1805" s="54">
        <f t="shared" si="521"/>
        <v>0</v>
      </c>
      <c r="AB1805" s="55">
        <f t="shared" si="524"/>
        <v>0</v>
      </c>
      <c r="AC1805" s="55">
        <f t="shared" si="522"/>
        <v>0</v>
      </c>
      <c r="AD1805" s="56">
        <f t="shared" si="523"/>
        <v>6573.58</v>
      </c>
    </row>
    <row r="1806" spans="3:30">
      <c r="C1806" s="43" t="s">
        <v>3311</v>
      </c>
      <c r="D1806" s="44" t="s">
        <v>3312</v>
      </c>
      <c r="E1806" s="44"/>
      <c r="F1806" s="45">
        <v>43231.126562500001</v>
      </c>
      <c r="G1806" s="46">
        <v>4</v>
      </c>
      <c r="H1806" s="47">
        <v>43434</v>
      </c>
      <c r="I1806" s="47">
        <v>43476</v>
      </c>
      <c r="J1806" s="46">
        <v>1845808</v>
      </c>
      <c r="K1806" s="46">
        <v>0</v>
      </c>
      <c r="L1806" s="46">
        <v>0</v>
      </c>
      <c r="M1806" s="46">
        <f t="shared" si="512"/>
        <v>1845808</v>
      </c>
      <c r="N1806" s="46">
        <v>2609181</v>
      </c>
      <c r="O1806" s="48">
        <f t="shared" si="513"/>
        <v>0.29257188366771025</v>
      </c>
      <c r="P1806" s="46">
        <v>0</v>
      </c>
      <c r="Q1806" s="46">
        <v>1907518</v>
      </c>
      <c r="R1806" s="49">
        <f t="shared" si="514"/>
        <v>1</v>
      </c>
      <c r="S1806" s="50">
        <f t="shared" si="515"/>
        <v>0.01</v>
      </c>
      <c r="T1806" s="49">
        <f t="shared" si="516"/>
        <v>18458.080000000002</v>
      </c>
      <c r="U1806" s="51">
        <f t="shared" si="517"/>
        <v>0</v>
      </c>
      <c r="V1806" s="52">
        <f>IF(0&lt;0.8,0,IF(0&lt;1,Sheet3!L561,1))*IF(G1806&lt;3,0.12 - O1806,0.01) *U1806</f>
        <v>0</v>
      </c>
      <c r="W1806" s="52">
        <f t="shared" si="518"/>
        <v>0</v>
      </c>
      <c r="X1806" s="53">
        <f t="shared" si="519"/>
        <v>0</v>
      </c>
      <c r="Y1806" s="53">
        <f t="shared" si="520"/>
        <v>0</v>
      </c>
      <c r="Z1806" s="54">
        <f t="shared" si="511"/>
        <v>0</v>
      </c>
      <c r="AA1806" s="54">
        <f t="shared" si="521"/>
        <v>0</v>
      </c>
      <c r="AB1806" s="55">
        <f t="shared" si="524"/>
        <v>0</v>
      </c>
      <c r="AC1806" s="55">
        <f t="shared" si="522"/>
        <v>0</v>
      </c>
      <c r="AD1806" s="56">
        <f t="shared" si="523"/>
        <v>18458.080000000002</v>
      </c>
    </row>
    <row r="1807" spans="3:30">
      <c r="C1807" s="43" t="s">
        <v>3313</v>
      </c>
      <c r="D1807" s="44" t="s">
        <v>3314</v>
      </c>
      <c r="E1807" s="44"/>
      <c r="F1807" s="45">
        <v>43238.392604166664</v>
      </c>
      <c r="G1807" s="46">
        <v>4</v>
      </c>
      <c r="H1807" s="47">
        <v>43384</v>
      </c>
      <c r="I1807" s="47">
        <v>43420</v>
      </c>
      <c r="J1807" s="46">
        <v>280518</v>
      </c>
      <c r="K1807" s="46">
        <v>0</v>
      </c>
      <c r="L1807" s="46">
        <v>0</v>
      </c>
      <c r="M1807" s="46">
        <f t="shared" si="512"/>
        <v>280518</v>
      </c>
      <c r="N1807" s="46">
        <v>280518</v>
      </c>
      <c r="O1807" s="48">
        <f t="shared" si="513"/>
        <v>0</v>
      </c>
      <c r="P1807" s="46">
        <v>0</v>
      </c>
      <c r="Q1807" s="46">
        <v>280518</v>
      </c>
      <c r="R1807" s="49">
        <f t="shared" si="514"/>
        <v>1</v>
      </c>
      <c r="S1807" s="50">
        <f t="shared" si="515"/>
        <v>0.01</v>
      </c>
      <c r="T1807" s="49">
        <f t="shared" si="516"/>
        <v>2805.18</v>
      </c>
      <c r="U1807" s="51">
        <f t="shared" si="517"/>
        <v>0</v>
      </c>
      <c r="V1807" s="52">
        <f>IF(0&lt;0.8,0,IF(0&lt;1,Sheet3!L561,1))*IF(G1807&lt;3,0.12 - O1807,0.01) *U1807</f>
        <v>0</v>
      </c>
      <c r="W1807" s="52">
        <f t="shared" si="518"/>
        <v>0</v>
      </c>
      <c r="X1807" s="53">
        <f t="shared" si="519"/>
        <v>0</v>
      </c>
      <c r="Y1807" s="53">
        <f t="shared" si="520"/>
        <v>0</v>
      </c>
      <c r="Z1807" s="54">
        <f t="shared" si="511"/>
        <v>0</v>
      </c>
      <c r="AA1807" s="54">
        <f t="shared" si="521"/>
        <v>0</v>
      </c>
      <c r="AB1807" s="55">
        <f t="shared" si="524"/>
        <v>0</v>
      </c>
      <c r="AC1807" s="55">
        <f t="shared" si="522"/>
        <v>0</v>
      </c>
      <c r="AD1807" s="56">
        <f t="shared" si="523"/>
        <v>2805.18</v>
      </c>
    </row>
    <row r="1808" spans="3:30">
      <c r="C1808" s="43" t="s">
        <v>3315</v>
      </c>
      <c r="D1808" s="44" t="s">
        <v>3316</v>
      </c>
      <c r="E1808" s="44"/>
      <c r="F1808" s="45">
        <v>43243.15420138889</v>
      </c>
      <c r="G1808" s="46">
        <v>4</v>
      </c>
      <c r="H1808" s="47">
        <v>43446</v>
      </c>
      <c r="I1808" s="47">
        <v>43441</v>
      </c>
      <c r="J1808" s="46">
        <v>1638370</v>
      </c>
      <c r="K1808" s="46">
        <v>0</v>
      </c>
      <c r="L1808" s="46">
        <v>0</v>
      </c>
      <c r="M1808" s="46">
        <f t="shared" si="512"/>
        <v>1638370</v>
      </c>
      <c r="N1808" s="46">
        <v>1637566</v>
      </c>
      <c r="O1808" s="48">
        <f t="shared" si="513"/>
        <v>0</v>
      </c>
      <c r="P1808" s="46">
        <v>0</v>
      </c>
      <c r="Q1808" s="46">
        <v>1638370</v>
      </c>
      <c r="R1808" s="49">
        <f t="shared" si="514"/>
        <v>1</v>
      </c>
      <c r="S1808" s="50">
        <f t="shared" si="515"/>
        <v>0.01</v>
      </c>
      <c r="T1808" s="49">
        <f t="shared" si="516"/>
        <v>16383.7</v>
      </c>
      <c r="U1808" s="51">
        <f t="shared" si="517"/>
        <v>0</v>
      </c>
      <c r="V1808" s="52">
        <f>IF(0&lt;0.8,0,IF(0&lt;1,Sheet3!L561,1))*IF(G1808&lt;3,0.12 - O1808,0.01) *U1808</f>
        <v>0</v>
      </c>
      <c r="W1808" s="52">
        <f t="shared" si="518"/>
        <v>0</v>
      </c>
      <c r="X1808" s="53">
        <f t="shared" si="519"/>
        <v>0</v>
      </c>
      <c r="Y1808" s="53">
        <f t="shared" si="520"/>
        <v>0</v>
      </c>
      <c r="Z1808" s="54">
        <f t="shared" si="511"/>
        <v>0</v>
      </c>
      <c r="AA1808" s="54">
        <f t="shared" si="521"/>
        <v>0</v>
      </c>
      <c r="AB1808" s="55">
        <f t="shared" si="524"/>
        <v>0</v>
      </c>
      <c r="AC1808" s="55">
        <f t="shared" si="522"/>
        <v>0</v>
      </c>
      <c r="AD1808" s="56">
        <f t="shared" si="523"/>
        <v>16383.7</v>
      </c>
    </row>
    <row r="1809" spans="3:30">
      <c r="C1809" s="43" t="s">
        <v>3317</v>
      </c>
      <c r="D1809" s="44" t="s">
        <v>3318</v>
      </c>
      <c r="E1809" s="44"/>
      <c r="F1809" s="45">
        <v>43243.159386574072</v>
      </c>
      <c r="G1809" s="46">
        <v>4</v>
      </c>
      <c r="H1809" s="47">
        <v>43384</v>
      </c>
      <c r="I1809" s="47">
        <v>43392</v>
      </c>
      <c r="J1809" s="46">
        <v>61052</v>
      </c>
      <c r="K1809" s="46">
        <v>0</v>
      </c>
      <c r="L1809" s="46">
        <v>0</v>
      </c>
      <c r="M1809" s="46">
        <f t="shared" si="512"/>
        <v>61052</v>
      </c>
      <c r="N1809" s="46">
        <v>61052</v>
      </c>
      <c r="O1809" s="48">
        <f t="shared" si="513"/>
        <v>0</v>
      </c>
      <c r="P1809" s="46">
        <v>0</v>
      </c>
      <c r="Q1809" s="46">
        <v>61052</v>
      </c>
      <c r="R1809" s="49">
        <f t="shared" si="514"/>
        <v>1</v>
      </c>
      <c r="S1809" s="50">
        <f t="shared" si="515"/>
        <v>0.01</v>
      </c>
      <c r="T1809" s="49">
        <f t="shared" si="516"/>
        <v>610.52</v>
      </c>
      <c r="U1809" s="51">
        <f t="shared" si="517"/>
        <v>0</v>
      </c>
      <c r="V1809" s="52">
        <f>IF(0&lt;0.8,0,IF(0&lt;1,Sheet3!L561,1))*IF(G1809&lt;3,0.12 - O1809,0.01) *U1809</f>
        <v>0</v>
      </c>
      <c r="W1809" s="52">
        <f t="shared" si="518"/>
        <v>0</v>
      </c>
      <c r="X1809" s="53">
        <f t="shared" si="519"/>
        <v>0</v>
      </c>
      <c r="Y1809" s="53">
        <f t="shared" si="520"/>
        <v>0</v>
      </c>
      <c r="Z1809" s="54">
        <f t="shared" si="511"/>
        <v>0</v>
      </c>
      <c r="AA1809" s="54">
        <f t="shared" si="521"/>
        <v>0</v>
      </c>
      <c r="AB1809" s="55">
        <f t="shared" si="524"/>
        <v>0</v>
      </c>
      <c r="AC1809" s="55">
        <f t="shared" si="522"/>
        <v>0</v>
      </c>
      <c r="AD1809" s="56">
        <f t="shared" si="523"/>
        <v>610.52</v>
      </c>
    </row>
    <row r="1810" spans="3:30">
      <c r="C1810" s="43" t="s">
        <v>3319</v>
      </c>
      <c r="D1810" s="44" t="s">
        <v>3320</v>
      </c>
      <c r="E1810" s="44"/>
      <c r="F1810" s="45">
        <v>43250.065659722219</v>
      </c>
      <c r="G1810" s="46">
        <v>4</v>
      </c>
      <c r="H1810" s="47">
        <v>43420</v>
      </c>
      <c r="I1810" s="47">
        <v>43420</v>
      </c>
      <c r="J1810" s="46">
        <v>709790</v>
      </c>
      <c r="K1810" s="46">
        <v>0</v>
      </c>
      <c r="L1810" s="46">
        <v>0</v>
      </c>
      <c r="M1810" s="46">
        <f t="shared" si="512"/>
        <v>709790</v>
      </c>
      <c r="N1810" s="46">
        <v>904790</v>
      </c>
      <c r="O1810" s="48">
        <f t="shared" si="513"/>
        <v>0.21551962333801211</v>
      </c>
      <c r="P1810" s="46">
        <v>0</v>
      </c>
      <c r="Q1810" s="46">
        <v>709790</v>
      </c>
      <c r="R1810" s="49">
        <f t="shared" si="514"/>
        <v>1</v>
      </c>
      <c r="S1810" s="50">
        <f t="shared" si="515"/>
        <v>0.01</v>
      </c>
      <c r="T1810" s="49">
        <f t="shared" si="516"/>
        <v>7097.9000000000005</v>
      </c>
      <c r="U1810" s="51">
        <f t="shared" si="517"/>
        <v>0</v>
      </c>
      <c r="V1810" s="52">
        <f>IF(0&lt;0.8,0,IF(0&lt;1,Sheet3!L561,1))*IF(G1810&lt;3,0.12 - O1810,0.01) *U1810</f>
        <v>0</v>
      </c>
      <c r="W1810" s="52">
        <f t="shared" si="518"/>
        <v>0</v>
      </c>
      <c r="X1810" s="53">
        <f t="shared" si="519"/>
        <v>0</v>
      </c>
      <c r="Y1810" s="53">
        <f t="shared" si="520"/>
        <v>0</v>
      </c>
      <c r="Z1810" s="54">
        <f t="shared" si="511"/>
        <v>0</v>
      </c>
      <c r="AA1810" s="54">
        <f t="shared" si="521"/>
        <v>0</v>
      </c>
      <c r="AB1810" s="55">
        <f t="shared" si="524"/>
        <v>0</v>
      </c>
      <c r="AC1810" s="55">
        <f t="shared" si="522"/>
        <v>0</v>
      </c>
      <c r="AD1810" s="56">
        <f t="shared" si="523"/>
        <v>7097.9000000000005</v>
      </c>
    </row>
    <row r="1811" spans="3:30">
      <c r="C1811" s="43" t="s">
        <v>3321</v>
      </c>
      <c r="D1811" s="44" t="s">
        <v>3322</v>
      </c>
      <c r="E1811" s="44"/>
      <c r="F1811" s="45">
        <v>43263.152384259258</v>
      </c>
      <c r="G1811" s="46">
        <v>3</v>
      </c>
      <c r="H1811" s="47">
        <v>43372</v>
      </c>
      <c r="I1811" s="47">
        <v>43423</v>
      </c>
      <c r="J1811" s="46">
        <v>157696</v>
      </c>
      <c r="K1811" s="46">
        <v>0</v>
      </c>
      <c r="L1811" s="46">
        <v>0</v>
      </c>
      <c r="M1811" s="46">
        <f t="shared" si="512"/>
        <v>157696</v>
      </c>
      <c r="N1811" s="46">
        <v>156570</v>
      </c>
      <c r="O1811" s="48">
        <f t="shared" si="513"/>
        <v>0</v>
      </c>
      <c r="P1811" s="46">
        <v>0</v>
      </c>
      <c r="Q1811" s="46">
        <v>0</v>
      </c>
      <c r="R1811" s="49">
        <f t="shared" si="514"/>
        <v>1</v>
      </c>
      <c r="S1811" s="50">
        <f t="shared" si="515"/>
        <v>0.01</v>
      </c>
      <c r="T1811" s="49">
        <f t="shared" si="516"/>
        <v>1576.96</v>
      </c>
      <c r="U1811" s="51">
        <f t="shared" si="517"/>
        <v>0</v>
      </c>
      <c r="V1811" s="52">
        <f>IF(0&lt;0.8,0,IF(0&lt;1,Sheet3!L561,1))*IF(G1811&lt;3,0.12 - O1811,0.01) *U1811</f>
        <v>0</v>
      </c>
      <c r="W1811" s="52">
        <f t="shared" si="518"/>
        <v>0</v>
      </c>
      <c r="X1811" s="53">
        <f t="shared" si="519"/>
        <v>0</v>
      </c>
      <c r="Y1811" s="53">
        <f t="shared" si="520"/>
        <v>0</v>
      </c>
      <c r="Z1811" s="54">
        <f t="shared" si="511"/>
        <v>0</v>
      </c>
      <c r="AA1811" s="54">
        <f t="shared" si="521"/>
        <v>0</v>
      </c>
      <c r="AB1811" s="55">
        <f t="shared" si="524"/>
        <v>0</v>
      </c>
      <c r="AC1811" s="55">
        <f t="shared" si="522"/>
        <v>0</v>
      </c>
      <c r="AD1811" s="56">
        <f t="shared" si="523"/>
        <v>1576.96</v>
      </c>
    </row>
    <row r="1812" spans="3:30">
      <c r="C1812" s="43" t="s">
        <v>3323</v>
      </c>
      <c r="D1812" s="44" t="s">
        <v>3324</v>
      </c>
      <c r="E1812" s="44"/>
      <c r="F1812" s="45">
        <v>43264.422939814816</v>
      </c>
      <c r="G1812" s="46">
        <v>3</v>
      </c>
      <c r="H1812" s="47">
        <v>43384</v>
      </c>
      <c r="I1812" s="47">
        <v>43425</v>
      </c>
      <c r="J1812" s="46">
        <v>493244</v>
      </c>
      <c r="K1812" s="46">
        <v>0</v>
      </c>
      <c r="L1812" s="46">
        <v>0</v>
      </c>
      <c r="M1812" s="46">
        <f t="shared" si="512"/>
        <v>493244</v>
      </c>
      <c r="N1812" s="46">
        <v>495975</v>
      </c>
      <c r="O1812" s="48">
        <f t="shared" si="513"/>
        <v>5.5063259236857176E-3</v>
      </c>
      <c r="P1812" s="46">
        <v>0</v>
      </c>
      <c r="Q1812" s="46">
        <v>0</v>
      </c>
      <c r="R1812" s="49">
        <f t="shared" si="514"/>
        <v>1</v>
      </c>
      <c r="S1812" s="50">
        <f t="shared" si="515"/>
        <v>0.01</v>
      </c>
      <c r="T1812" s="49">
        <f t="shared" si="516"/>
        <v>4932.4400000000005</v>
      </c>
      <c r="U1812" s="51">
        <f t="shared" si="517"/>
        <v>0</v>
      </c>
      <c r="V1812" s="52">
        <f>IF(0&lt;0.8,0,IF(0&lt;1,Sheet3!L561,1))*IF(G1812&lt;3,0.12 - O1812,0.01) *U1812</f>
        <v>0</v>
      </c>
      <c r="W1812" s="52">
        <f t="shared" si="518"/>
        <v>0</v>
      </c>
      <c r="X1812" s="53">
        <f t="shared" si="519"/>
        <v>0</v>
      </c>
      <c r="Y1812" s="53">
        <f t="shared" si="520"/>
        <v>0</v>
      </c>
      <c r="Z1812" s="54">
        <f t="shared" si="511"/>
        <v>0</v>
      </c>
      <c r="AA1812" s="54">
        <f t="shared" si="521"/>
        <v>0</v>
      </c>
      <c r="AB1812" s="55">
        <f t="shared" si="524"/>
        <v>0</v>
      </c>
      <c r="AC1812" s="55">
        <f t="shared" si="522"/>
        <v>0</v>
      </c>
      <c r="AD1812" s="56">
        <f t="shared" si="523"/>
        <v>4932.4400000000005</v>
      </c>
    </row>
    <row r="1813" spans="3:30">
      <c r="C1813" s="43" t="s">
        <v>3325</v>
      </c>
      <c r="D1813" s="44" t="s">
        <v>3326</v>
      </c>
      <c r="E1813" s="44"/>
      <c r="F1813" s="45">
        <v>43276.27444444444</v>
      </c>
      <c r="G1813" s="46">
        <v>3</v>
      </c>
      <c r="H1813" s="47">
        <v>43420</v>
      </c>
      <c r="I1813" s="47">
        <v>43309</v>
      </c>
      <c r="J1813" s="46">
        <v>1974141</v>
      </c>
      <c r="K1813" s="46">
        <v>0</v>
      </c>
      <c r="L1813" s="46">
        <v>0</v>
      </c>
      <c r="M1813" s="46">
        <f t="shared" si="512"/>
        <v>1974141</v>
      </c>
      <c r="N1813" s="46">
        <v>1940317</v>
      </c>
      <c r="O1813" s="48">
        <f t="shared" si="513"/>
        <v>0</v>
      </c>
      <c r="P1813" s="46">
        <v>0</v>
      </c>
      <c r="Q1813" s="46">
        <v>0</v>
      </c>
      <c r="R1813" s="49">
        <f t="shared" si="514"/>
        <v>1</v>
      </c>
      <c r="S1813" s="50">
        <f t="shared" si="515"/>
        <v>0.01</v>
      </c>
      <c r="T1813" s="49">
        <f t="shared" si="516"/>
        <v>19741.41</v>
      </c>
      <c r="U1813" s="51">
        <f t="shared" si="517"/>
        <v>0</v>
      </c>
      <c r="V1813" s="52">
        <f>IF(0&lt;0.8,0,IF(0&lt;1,Sheet3!L561,1))*IF(G1813&lt;3,0.12 - O1813,0.01) *U1813</f>
        <v>0</v>
      </c>
      <c r="W1813" s="52">
        <f t="shared" si="518"/>
        <v>0</v>
      </c>
      <c r="X1813" s="53">
        <f t="shared" si="519"/>
        <v>0</v>
      </c>
      <c r="Y1813" s="53">
        <f t="shared" si="520"/>
        <v>0</v>
      </c>
      <c r="Z1813" s="54">
        <f t="shared" si="511"/>
        <v>0</v>
      </c>
      <c r="AA1813" s="54">
        <f t="shared" si="521"/>
        <v>0</v>
      </c>
      <c r="AB1813" s="55">
        <f t="shared" si="524"/>
        <v>0</v>
      </c>
      <c r="AC1813" s="55">
        <f t="shared" si="522"/>
        <v>0</v>
      </c>
      <c r="AD1813" s="56">
        <f t="shared" si="523"/>
        <v>19741.41</v>
      </c>
    </row>
    <row r="1814" spans="3:30">
      <c r="C1814" s="43" t="s">
        <v>3327</v>
      </c>
      <c r="D1814" s="44" t="s">
        <v>3328</v>
      </c>
      <c r="E1814" s="44"/>
      <c r="F1814" s="45">
        <v>43283.446655092594</v>
      </c>
      <c r="G1814" s="46">
        <v>2</v>
      </c>
      <c r="H1814" s="47">
        <v>43373</v>
      </c>
      <c r="I1814" s="47">
        <v>43388</v>
      </c>
      <c r="J1814" s="46">
        <v>50797288</v>
      </c>
      <c r="K1814" s="46">
        <v>0</v>
      </c>
      <c r="L1814" s="46">
        <v>0</v>
      </c>
      <c r="M1814" s="46">
        <f t="shared" si="512"/>
        <v>50797288</v>
      </c>
      <c r="N1814" s="46">
        <v>499386947</v>
      </c>
      <c r="O1814" s="48">
        <f t="shared" si="513"/>
        <v>0.89828070536252924</v>
      </c>
      <c r="P1814" s="46">
        <v>50797288</v>
      </c>
      <c r="Q1814" s="46">
        <v>0</v>
      </c>
      <c r="R1814" s="49">
        <f t="shared" si="514"/>
        <v>0</v>
      </c>
      <c r="S1814" s="50">
        <f t="shared" si="515"/>
        <v>0</v>
      </c>
      <c r="T1814" s="49">
        <f t="shared" si="516"/>
        <v>0</v>
      </c>
      <c r="U1814" s="51">
        <f t="shared" si="517"/>
        <v>0</v>
      </c>
      <c r="V1814" s="52">
        <f>IF(0&lt;0.8,0,IF(0&lt;1,Sheet3!L561,1))*IF(G1814&lt;3,0.12 - O1814,0.01) *U1814</f>
        <v>0</v>
      </c>
      <c r="W1814" s="52">
        <f t="shared" si="518"/>
        <v>0</v>
      </c>
      <c r="X1814" s="53">
        <f t="shared" si="519"/>
        <v>0</v>
      </c>
      <c r="Y1814" s="53">
        <f t="shared" si="520"/>
        <v>0</v>
      </c>
      <c r="Z1814" s="54">
        <f>IF(R1814=1,0,35574000)</f>
        <v>35574000</v>
      </c>
      <c r="AA1814" s="54">
        <f t="shared" si="521"/>
        <v>711480</v>
      </c>
      <c r="AB1814" s="55">
        <f t="shared" si="524"/>
        <v>0</v>
      </c>
      <c r="AC1814" s="55">
        <f t="shared" si="522"/>
        <v>0</v>
      </c>
      <c r="AD1814" s="56">
        <f t="shared" si="523"/>
        <v>711480</v>
      </c>
    </row>
    <row r="1815" spans="3:30">
      <c r="C1815" s="43" t="s">
        <v>3329</v>
      </c>
      <c r="D1815" s="44" t="s">
        <v>3312</v>
      </c>
      <c r="E1815" s="44"/>
      <c r="F1815" s="45">
        <v>43297.316469907404</v>
      </c>
      <c r="G1815" s="46">
        <v>2</v>
      </c>
      <c r="H1815" s="47">
        <v>43413</v>
      </c>
      <c r="I1815" s="47">
        <v>43430</v>
      </c>
      <c r="J1815" s="46">
        <v>1689160</v>
      </c>
      <c r="K1815" s="46">
        <v>0</v>
      </c>
      <c r="L1815" s="46">
        <v>0</v>
      </c>
      <c r="M1815" s="46">
        <f t="shared" si="512"/>
        <v>1689160</v>
      </c>
      <c r="N1815" s="46">
        <v>1223623</v>
      </c>
      <c r="O1815" s="48">
        <f t="shared" si="513"/>
        <v>0</v>
      </c>
      <c r="P1815" s="46">
        <v>1689160</v>
      </c>
      <c r="Q1815" s="46">
        <v>0</v>
      </c>
      <c r="R1815" s="49">
        <f t="shared" si="514"/>
        <v>0</v>
      </c>
      <c r="S1815" s="50">
        <f t="shared" si="515"/>
        <v>0</v>
      </c>
      <c r="T1815" s="49">
        <f t="shared" si="516"/>
        <v>0</v>
      </c>
      <c r="U1815" s="51">
        <f t="shared" si="517"/>
        <v>1689160</v>
      </c>
      <c r="V1815" s="52">
        <f>IF(0&lt;0.8,0,IF(0&lt;1,Sheet3!L561,1))*IF(G1815&lt;3,0.12 - O1815,0.01) *U1815</f>
        <v>0</v>
      </c>
      <c r="W1815" s="52">
        <f t="shared" si="518"/>
        <v>0</v>
      </c>
      <c r="X1815" s="53">
        <f t="shared" si="519"/>
        <v>0</v>
      </c>
      <c r="Y1815" s="53">
        <f t="shared" si="520"/>
        <v>0</v>
      </c>
      <c r="Z1815" s="54">
        <f t="shared" ref="Z1815:Z1829" si="525">IF(R1815=1,0,0)</f>
        <v>0</v>
      </c>
      <c r="AA1815" s="54">
        <f t="shared" si="521"/>
        <v>0</v>
      </c>
      <c r="AB1815" s="55">
        <f t="shared" si="524"/>
        <v>0</v>
      </c>
      <c r="AC1815" s="55">
        <f t="shared" si="522"/>
        <v>0</v>
      </c>
      <c r="AD1815" s="56">
        <f t="shared" si="523"/>
        <v>0</v>
      </c>
    </row>
    <row r="1816" spans="3:30">
      <c r="C1816" s="43" t="s">
        <v>3330</v>
      </c>
      <c r="D1816" s="44" t="s">
        <v>3331</v>
      </c>
      <c r="E1816" s="44"/>
      <c r="F1816" s="45">
        <v>43300.338530092587</v>
      </c>
      <c r="G1816" s="46">
        <v>2</v>
      </c>
      <c r="H1816" s="47" t="s">
        <v>24</v>
      </c>
      <c r="I1816" s="47" t="s">
        <v>24</v>
      </c>
      <c r="J1816" s="46">
        <v>409225</v>
      </c>
      <c r="K1816" s="46">
        <v>0</v>
      </c>
      <c r="L1816" s="46">
        <v>0</v>
      </c>
      <c r="M1816" s="46">
        <f t="shared" si="512"/>
        <v>409225</v>
      </c>
      <c r="N1816" s="46">
        <v>409225</v>
      </c>
      <c r="O1816" s="48">
        <f t="shared" si="513"/>
        <v>0</v>
      </c>
      <c r="P1816" s="46">
        <v>409225</v>
      </c>
      <c r="Q1816" s="46">
        <v>0</v>
      </c>
      <c r="R1816" s="49">
        <f t="shared" si="514"/>
        <v>0</v>
      </c>
      <c r="S1816" s="50">
        <f t="shared" si="515"/>
        <v>0</v>
      </c>
      <c r="T1816" s="49">
        <f t="shared" si="516"/>
        <v>0</v>
      </c>
      <c r="U1816" s="51">
        <f t="shared" si="517"/>
        <v>409225</v>
      </c>
      <c r="V1816" s="52">
        <f>IF(0&lt;0.8,0,IF(0&lt;1,Sheet3!L561,1))*IF(G1816&lt;3,0.12 - O1816,0.01) *U1816</f>
        <v>0</v>
      </c>
      <c r="W1816" s="52">
        <f t="shared" si="518"/>
        <v>0</v>
      </c>
      <c r="X1816" s="53">
        <f t="shared" si="519"/>
        <v>0</v>
      </c>
      <c r="Y1816" s="53">
        <f t="shared" si="520"/>
        <v>0</v>
      </c>
      <c r="Z1816" s="54">
        <f t="shared" si="525"/>
        <v>0</v>
      </c>
      <c r="AA1816" s="54">
        <f t="shared" si="521"/>
        <v>0</v>
      </c>
      <c r="AB1816" s="55">
        <f t="shared" si="524"/>
        <v>0</v>
      </c>
      <c r="AC1816" s="55">
        <f t="shared" si="522"/>
        <v>0</v>
      </c>
      <c r="AD1816" s="56">
        <f t="shared" si="523"/>
        <v>0</v>
      </c>
    </row>
    <row r="1817" spans="3:30">
      <c r="C1817" s="43" t="s">
        <v>3332</v>
      </c>
      <c r="D1817" s="44" t="s">
        <v>3333</v>
      </c>
      <c r="E1817" s="44"/>
      <c r="F1817" s="45">
        <v>43305.31145833333</v>
      </c>
      <c r="G1817" s="46">
        <v>2</v>
      </c>
      <c r="H1817" s="47">
        <v>43384</v>
      </c>
      <c r="I1817" s="47">
        <v>43392</v>
      </c>
      <c r="J1817" s="46">
        <v>1370596</v>
      </c>
      <c r="K1817" s="46">
        <v>0</v>
      </c>
      <c r="L1817" s="46">
        <v>0</v>
      </c>
      <c r="M1817" s="46">
        <f t="shared" si="512"/>
        <v>1370596</v>
      </c>
      <c r="N1817" s="46">
        <v>1370596</v>
      </c>
      <c r="O1817" s="48">
        <f t="shared" si="513"/>
        <v>0</v>
      </c>
      <c r="P1817" s="46">
        <v>1370596</v>
      </c>
      <c r="Q1817" s="46">
        <v>0</v>
      </c>
      <c r="R1817" s="49">
        <f t="shared" si="514"/>
        <v>0</v>
      </c>
      <c r="S1817" s="50">
        <f t="shared" si="515"/>
        <v>0</v>
      </c>
      <c r="T1817" s="49">
        <f t="shared" si="516"/>
        <v>0</v>
      </c>
      <c r="U1817" s="51">
        <f t="shared" si="517"/>
        <v>1370596</v>
      </c>
      <c r="V1817" s="52">
        <f>IF(0&lt;0.8,0,IF(0&lt;1,Sheet3!L561,1))*IF(G1817&lt;3,0.12 - O1817,0.01) *U1817</f>
        <v>0</v>
      </c>
      <c r="W1817" s="52">
        <f t="shared" si="518"/>
        <v>0</v>
      </c>
      <c r="X1817" s="53">
        <f t="shared" si="519"/>
        <v>0</v>
      </c>
      <c r="Y1817" s="53">
        <f t="shared" si="520"/>
        <v>0</v>
      </c>
      <c r="Z1817" s="54">
        <f t="shared" si="525"/>
        <v>0</v>
      </c>
      <c r="AA1817" s="54">
        <f t="shared" si="521"/>
        <v>0</v>
      </c>
      <c r="AB1817" s="55">
        <f t="shared" si="524"/>
        <v>0</v>
      </c>
      <c r="AC1817" s="55">
        <f t="shared" si="522"/>
        <v>0</v>
      </c>
      <c r="AD1817" s="56">
        <f t="shared" si="523"/>
        <v>0</v>
      </c>
    </row>
    <row r="1818" spans="3:30">
      <c r="C1818" s="43" t="s">
        <v>3334</v>
      </c>
      <c r="D1818" s="44" t="s">
        <v>3335</v>
      </c>
      <c r="E1818" s="44"/>
      <c r="F1818" s="45">
        <v>43305.313148148147</v>
      </c>
      <c r="G1818" s="46">
        <v>2</v>
      </c>
      <c r="H1818" s="47">
        <v>43384</v>
      </c>
      <c r="I1818" s="47">
        <v>43406</v>
      </c>
      <c r="J1818" s="46">
        <v>1682052</v>
      </c>
      <c r="K1818" s="46">
        <v>0</v>
      </c>
      <c r="L1818" s="46">
        <v>0</v>
      </c>
      <c r="M1818" s="46">
        <f t="shared" si="512"/>
        <v>1682052</v>
      </c>
      <c r="N1818" s="46">
        <v>1660115</v>
      </c>
      <c r="O1818" s="48">
        <f t="shared" si="513"/>
        <v>0</v>
      </c>
      <c r="P1818" s="46">
        <v>1682052</v>
      </c>
      <c r="Q1818" s="46">
        <v>0</v>
      </c>
      <c r="R1818" s="49">
        <f t="shared" si="514"/>
        <v>0</v>
      </c>
      <c r="S1818" s="50">
        <f t="shared" si="515"/>
        <v>0</v>
      </c>
      <c r="T1818" s="49">
        <f t="shared" si="516"/>
        <v>0</v>
      </c>
      <c r="U1818" s="51">
        <f t="shared" si="517"/>
        <v>1682052</v>
      </c>
      <c r="V1818" s="52">
        <f>IF(0&lt;0.8,0,IF(0&lt;1,Sheet3!L561,1))*IF(G1818&lt;3,0.12 - O1818,0.01) *U1818</f>
        <v>0</v>
      </c>
      <c r="W1818" s="52">
        <f t="shared" si="518"/>
        <v>0</v>
      </c>
      <c r="X1818" s="53">
        <f t="shared" si="519"/>
        <v>0</v>
      </c>
      <c r="Y1818" s="53">
        <f t="shared" si="520"/>
        <v>0</v>
      </c>
      <c r="Z1818" s="54">
        <f t="shared" si="525"/>
        <v>0</v>
      </c>
      <c r="AA1818" s="54">
        <f t="shared" si="521"/>
        <v>0</v>
      </c>
      <c r="AB1818" s="55">
        <f t="shared" si="524"/>
        <v>0</v>
      </c>
      <c r="AC1818" s="55">
        <f t="shared" si="522"/>
        <v>0</v>
      </c>
      <c r="AD1818" s="56">
        <f t="shared" si="523"/>
        <v>0</v>
      </c>
    </row>
    <row r="1819" spans="3:30">
      <c r="C1819" s="43" t="s">
        <v>3336</v>
      </c>
      <c r="D1819" s="44" t="s">
        <v>3337</v>
      </c>
      <c r="E1819" s="44"/>
      <c r="F1819" s="45">
        <v>43306.090868055551</v>
      </c>
      <c r="G1819" s="46">
        <v>2</v>
      </c>
      <c r="H1819" s="47">
        <v>43388</v>
      </c>
      <c r="I1819" s="47">
        <v>43420</v>
      </c>
      <c r="J1819" s="46">
        <v>205965</v>
      </c>
      <c r="K1819" s="46">
        <v>0</v>
      </c>
      <c r="L1819" s="46">
        <v>0</v>
      </c>
      <c r="M1819" s="46">
        <f t="shared" si="512"/>
        <v>205965</v>
      </c>
      <c r="N1819" s="46">
        <v>205965</v>
      </c>
      <c r="O1819" s="48">
        <f t="shared" si="513"/>
        <v>0</v>
      </c>
      <c r="P1819" s="46">
        <v>205965</v>
      </c>
      <c r="Q1819" s="46">
        <v>0</v>
      </c>
      <c r="R1819" s="49">
        <f t="shared" si="514"/>
        <v>0</v>
      </c>
      <c r="S1819" s="50">
        <f t="shared" si="515"/>
        <v>0</v>
      </c>
      <c r="T1819" s="49">
        <f t="shared" si="516"/>
        <v>0</v>
      </c>
      <c r="U1819" s="51">
        <f t="shared" si="517"/>
        <v>205965</v>
      </c>
      <c r="V1819" s="52">
        <f>IF(0&lt;0.8,0,IF(0&lt;1,Sheet3!L561,1))*IF(G1819&lt;3,0.12 - O1819,0.01) *U1819</f>
        <v>0</v>
      </c>
      <c r="W1819" s="52">
        <f t="shared" si="518"/>
        <v>0</v>
      </c>
      <c r="X1819" s="53">
        <f t="shared" si="519"/>
        <v>0</v>
      </c>
      <c r="Y1819" s="53">
        <f t="shared" si="520"/>
        <v>0</v>
      </c>
      <c r="Z1819" s="54">
        <f t="shared" si="525"/>
        <v>0</v>
      </c>
      <c r="AA1819" s="54">
        <f t="shared" si="521"/>
        <v>0</v>
      </c>
      <c r="AB1819" s="55">
        <f t="shared" si="524"/>
        <v>0</v>
      </c>
      <c r="AC1819" s="55">
        <f t="shared" si="522"/>
        <v>0</v>
      </c>
      <c r="AD1819" s="56">
        <f t="shared" si="523"/>
        <v>0</v>
      </c>
    </row>
    <row r="1820" spans="3:30">
      <c r="C1820" s="43" t="s">
        <v>3338</v>
      </c>
      <c r="D1820" s="44" t="s">
        <v>3339</v>
      </c>
      <c r="E1820" s="44"/>
      <c r="F1820" s="45">
        <v>43306.093576388885</v>
      </c>
      <c r="G1820" s="46">
        <v>2</v>
      </c>
      <c r="H1820" s="47">
        <v>43373</v>
      </c>
      <c r="I1820" s="47">
        <v>43410</v>
      </c>
      <c r="J1820" s="46">
        <v>2934111</v>
      </c>
      <c r="K1820" s="46">
        <v>0</v>
      </c>
      <c r="L1820" s="46">
        <v>0</v>
      </c>
      <c r="M1820" s="46">
        <f t="shared" si="512"/>
        <v>2934111</v>
      </c>
      <c r="N1820" s="46">
        <v>2934111</v>
      </c>
      <c r="O1820" s="48">
        <f t="shared" si="513"/>
        <v>0</v>
      </c>
      <c r="P1820" s="46">
        <v>2934111</v>
      </c>
      <c r="Q1820" s="46">
        <v>0</v>
      </c>
      <c r="R1820" s="49">
        <f t="shared" si="514"/>
        <v>0</v>
      </c>
      <c r="S1820" s="50">
        <f t="shared" si="515"/>
        <v>0</v>
      </c>
      <c r="T1820" s="49">
        <f t="shared" si="516"/>
        <v>0</v>
      </c>
      <c r="U1820" s="51">
        <f t="shared" si="517"/>
        <v>2934111</v>
      </c>
      <c r="V1820" s="52">
        <f>IF(0&lt;0.8,0,IF(0&lt;1,Sheet3!L561,1))*IF(G1820&lt;3,0.12 - O1820,0.01) *U1820</f>
        <v>0</v>
      </c>
      <c r="W1820" s="52">
        <f t="shared" si="518"/>
        <v>0</v>
      </c>
      <c r="X1820" s="53">
        <f t="shared" si="519"/>
        <v>0</v>
      </c>
      <c r="Y1820" s="53">
        <f t="shared" si="520"/>
        <v>0</v>
      </c>
      <c r="Z1820" s="54">
        <f t="shared" si="525"/>
        <v>0</v>
      </c>
      <c r="AA1820" s="54">
        <f t="shared" si="521"/>
        <v>0</v>
      </c>
      <c r="AB1820" s="55">
        <f t="shared" si="524"/>
        <v>0</v>
      </c>
      <c r="AC1820" s="55">
        <f t="shared" si="522"/>
        <v>0</v>
      </c>
      <c r="AD1820" s="56">
        <f t="shared" si="523"/>
        <v>0</v>
      </c>
    </row>
    <row r="1821" spans="3:30">
      <c r="C1821" s="43" t="s">
        <v>3340</v>
      </c>
      <c r="D1821" s="44" t="s">
        <v>3341</v>
      </c>
      <c r="E1821" s="44"/>
      <c r="F1821" s="45">
        <v>43326.372743055552</v>
      </c>
      <c r="G1821" s="46">
        <v>1</v>
      </c>
      <c r="H1821" s="47">
        <v>43384</v>
      </c>
      <c r="I1821" s="47">
        <v>43404</v>
      </c>
      <c r="J1821" s="46">
        <v>3279606</v>
      </c>
      <c r="K1821" s="46">
        <v>0</v>
      </c>
      <c r="L1821" s="46">
        <v>0</v>
      </c>
      <c r="M1821" s="46">
        <f t="shared" si="512"/>
        <v>3279606</v>
      </c>
      <c r="N1821" s="46">
        <v>3279606</v>
      </c>
      <c r="O1821" s="48">
        <f t="shared" si="513"/>
        <v>0</v>
      </c>
      <c r="P1821" s="46">
        <v>0</v>
      </c>
      <c r="Q1821" s="46">
        <v>0</v>
      </c>
      <c r="R1821" s="49">
        <f t="shared" si="514"/>
        <v>0</v>
      </c>
      <c r="S1821" s="50">
        <f t="shared" si="515"/>
        <v>0</v>
      </c>
      <c r="T1821" s="49">
        <f t="shared" si="516"/>
        <v>0</v>
      </c>
      <c r="U1821" s="51">
        <f t="shared" si="517"/>
        <v>3279606</v>
      </c>
      <c r="V1821" s="52">
        <f>IF(0&lt;0.8,0,IF(0&lt;1,Sheet3!L561,1))*IF(G1821&lt;3,0.12 - O1821,0.01) *U1821</f>
        <v>0</v>
      </c>
      <c r="W1821" s="52">
        <f t="shared" si="518"/>
        <v>0</v>
      </c>
      <c r="X1821" s="53">
        <f t="shared" si="519"/>
        <v>0</v>
      </c>
      <c r="Y1821" s="53">
        <f t="shared" si="520"/>
        <v>0</v>
      </c>
      <c r="Z1821" s="54">
        <f t="shared" si="525"/>
        <v>0</v>
      </c>
      <c r="AA1821" s="54">
        <f t="shared" si="521"/>
        <v>0</v>
      </c>
      <c r="AB1821" s="55">
        <f t="shared" si="524"/>
        <v>0</v>
      </c>
      <c r="AC1821" s="55">
        <f t="shared" si="522"/>
        <v>0</v>
      </c>
      <c r="AD1821" s="56">
        <f t="shared" si="523"/>
        <v>0</v>
      </c>
    </row>
    <row r="1822" spans="3:30">
      <c r="C1822" s="43" t="s">
        <v>3342</v>
      </c>
      <c r="D1822" s="44" t="s">
        <v>3343</v>
      </c>
      <c r="E1822" s="44"/>
      <c r="F1822" s="45">
        <v>43326.37940972222</v>
      </c>
      <c r="G1822" s="46">
        <v>1</v>
      </c>
      <c r="H1822" s="47">
        <v>43384</v>
      </c>
      <c r="I1822" s="47">
        <v>43397</v>
      </c>
      <c r="J1822" s="46">
        <v>323955</v>
      </c>
      <c r="K1822" s="46">
        <v>0</v>
      </c>
      <c r="L1822" s="46">
        <v>0</v>
      </c>
      <c r="M1822" s="46">
        <f t="shared" si="512"/>
        <v>323955</v>
      </c>
      <c r="N1822" s="46">
        <v>315049</v>
      </c>
      <c r="O1822" s="48">
        <f t="shared" si="513"/>
        <v>0</v>
      </c>
      <c r="P1822" s="46">
        <v>0</v>
      </c>
      <c r="Q1822" s="46">
        <v>0</v>
      </c>
      <c r="R1822" s="49">
        <f t="shared" si="514"/>
        <v>0</v>
      </c>
      <c r="S1822" s="50">
        <f t="shared" si="515"/>
        <v>0</v>
      </c>
      <c r="T1822" s="49">
        <f t="shared" si="516"/>
        <v>0</v>
      </c>
      <c r="U1822" s="51">
        <f t="shared" si="517"/>
        <v>323955</v>
      </c>
      <c r="V1822" s="52">
        <f>IF(0&lt;0.8,0,IF(0&lt;1,Sheet3!L561,1))*IF(G1822&lt;3,0.12 - O1822,0.01) *U1822</f>
        <v>0</v>
      </c>
      <c r="W1822" s="52">
        <f t="shared" si="518"/>
        <v>0</v>
      </c>
      <c r="X1822" s="53">
        <f t="shared" si="519"/>
        <v>0</v>
      </c>
      <c r="Y1822" s="53">
        <f t="shared" si="520"/>
        <v>0</v>
      </c>
      <c r="Z1822" s="54">
        <f t="shared" si="525"/>
        <v>0</v>
      </c>
      <c r="AA1822" s="54">
        <f t="shared" si="521"/>
        <v>0</v>
      </c>
      <c r="AB1822" s="55">
        <f t="shared" si="524"/>
        <v>0</v>
      </c>
      <c r="AC1822" s="55">
        <f t="shared" si="522"/>
        <v>0</v>
      </c>
      <c r="AD1822" s="56">
        <f t="shared" si="523"/>
        <v>0</v>
      </c>
    </row>
    <row r="1823" spans="3:30">
      <c r="C1823" s="43" t="s">
        <v>3344</v>
      </c>
      <c r="D1823" s="44" t="s">
        <v>3345</v>
      </c>
      <c r="E1823" s="44"/>
      <c r="F1823" s="45">
        <v>43329.347546296296</v>
      </c>
      <c r="G1823" s="46">
        <v>1</v>
      </c>
      <c r="H1823" s="47" t="s">
        <v>24</v>
      </c>
      <c r="I1823" s="47" t="s">
        <v>24</v>
      </c>
      <c r="J1823" s="46">
        <v>50784</v>
      </c>
      <c r="K1823" s="46">
        <v>0</v>
      </c>
      <c r="L1823" s="46">
        <v>0</v>
      </c>
      <c r="M1823" s="46">
        <f t="shared" si="512"/>
        <v>50784</v>
      </c>
      <c r="N1823" s="46">
        <v>50784</v>
      </c>
      <c r="O1823" s="48">
        <f t="shared" si="513"/>
        <v>0</v>
      </c>
      <c r="P1823" s="46">
        <v>0</v>
      </c>
      <c r="Q1823" s="46">
        <v>0</v>
      </c>
      <c r="R1823" s="49">
        <f t="shared" si="514"/>
        <v>0</v>
      </c>
      <c r="S1823" s="50">
        <f t="shared" si="515"/>
        <v>0</v>
      </c>
      <c r="T1823" s="49">
        <f t="shared" si="516"/>
        <v>0</v>
      </c>
      <c r="U1823" s="51">
        <f t="shared" si="517"/>
        <v>50784</v>
      </c>
      <c r="V1823" s="52">
        <f>IF(0&lt;0.8,0,IF(0&lt;1,Sheet3!L561,1))*IF(G1823&lt;3,0.12 - O1823,0.01) *U1823</f>
        <v>0</v>
      </c>
      <c r="W1823" s="52">
        <f t="shared" si="518"/>
        <v>0</v>
      </c>
      <c r="X1823" s="53">
        <f t="shared" si="519"/>
        <v>0</v>
      </c>
      <c r="Y1823" s="53">
        <f t="shared" si="520"/>
        <v>0</v>
      </c>
      <c r="Z1823" s="54">
        <f t="shared" si="525"/>
        <v>0</v>
      </c>
      <c r="AA1823" s="54">
        <f t="shared" si="521"/>
        <v>0</v>
      </c>
      <c r="AB1823" s="55">
        <f t="shared" si="524"/>
        <v>0</v>
      </c>
      <c r="AC1823" s="55">
        <f t="shared" si="522"/>
        <v>0</v>
      </c>
      <c r="AD1823" s="56">
        <f t="shared" si="523"/>
        <v>0</v>
      </c>
    </row>
    <row r="1824" spans="3:30">
      <c r="C1824" s="43" t="s">
        <v>3346</v>
      </c>
      <c r="D1824" s="44" t="s">
        <v>3347</v>
      </c>
      <c r="E1824" s="44"/>
      <c r="F1824" s="45">
        <v>43339.213425925926</v>
      </c>
      <c r="G1824" s="46">
        <v>1</v>
      </c>
      <c r="H1824" s="47" t="s">
        <v>24</v>
      </c>
      <c r="I1824" s="47" t="s">
        <v>24</v>
      </c>
      <c r="J1824" s="46">
        <v>6711435</v>
      </c>
      <c r="K1824" s="46">
        <v>0</v>
      </c>
      <c r="L1824" s="46">
        <v>0</v>
      </c>
      <c r="M1824" s="46">
        <f t="shared" si="512"/>
        <v>6711435</v>
      </c>
      <c r="N1824" s="46">
        <v>5154499</v>
      </c>
      <c r="O1824" s="48">
        <f t="shared" si="513"/>
        <v>0</v>
      </c>
      <c r="P1824" s="46">
        <v>0</v>
      </c>
      <c r="Q1824" s="46">
        <v>0</v>
      </c>
      <c r="R1824" s="49">
        <f t="shared" si="514"/>
        <v>0</v>
      </c>
      <c r="S1824" s="50">
        <f t="shared" si="515"/>
        <v>0</v>
      </c>
      <c r="T1824" s="49">
        <f t="shared" si="516"/>
        <v>0</v>
      </c>
      <c r="U1824" s="51">
        <f t="shared" si="517"/>
        <v>6711435</v>
      </c>
      <c r="V1824" s="52">
        <f>IF(0&lt;0.8,0,IF(0&lt;1,Sheet3!L561,1))*IF(G1824&lt;3,0.12 - O1824,0.01) *U1824</f>
        <v>0</v>
      </c>
      <c r="W1824" s="52">
        <f t="shared" si="518"/>
        <v>0</v>
      </c>
      <c r="X1824" s="53">
        <f t="shared" si="519"/>
        <v>0</v>
      </c>
      <c r="Y1824" s="53">
        <f t="shared" si="520"/>
        <v>0</v>
      </c>
      <c r="Z1824" s="54">
        <f t="shared" si="525"/>
        <v>0</v>
      </c>
      <c r="AA1824" s="54">
        <f t="shared" si="521"/>
        <v>0</v>
      </c>
      <c r="AB1824" s="55">
        <f t="shared" si="524"/>
        <v>0</v>
      </c>
      <c r="AC1824" s="55">
        <f t="shared" si="522"/>
        <v>0</v>
      </c>
      <c r="AD1824" s="56">
        <f t="shared" si="523"/>
        <v>0</v>
      </c>
    </row>
    <row r="1825" spans="3:30">
      <c r="C1825" s="43" t="s">
        <v>3348</v>
      </c>
      <c r="D1825" s="44" t="s">
        <v>3349</v>
      </c>
      <c r="E1825" s="44"/>
      <c r="F1825" s="45">
        <v>43341.293009259258</v>
      </c>
      <c r="G1825" s="46">
        <v>1</v>
      </c>
      <c r="H1825" s="47" t="s">
        <v>24</v>
      </c>
      <c r="I1825" s="47" t="s">
        <v>24</v>
      </c>
      <c r="J1825" s="46">
        <v>620633</v>
      </c>
      <c r="K1825" s="46">
        <v>0</v>
      </c>
      <c r="L1825" s="46">
        <v>0</v>
      </c>
      <c r="M1825" s="46">
        <f t="shared" si="512"/>
        <v>620633</v>
      </c>
      <c r="N1825" s="46">
        <v>1225009</v>
      </c>
      <c r="O1825" s="48">
        <f t="shared" si="513"/>
        <v>0.4933645385462474</v>
      </c>
      <c r="P1825" s="46">
        <v>0</v>
      </c>
      <c r="Q1825" s="46">
        <v>0</v>
      </c>
      <c r="R1825" s="49">
        <f t="shared" si="514"/>
        <v>0</v>
      </c>
      <c r="S1825" s="50">
        <f t="shared" si="515"/>
        <v>0</v>
      </c>
      <c r="T1825" s="49">
        <f t="shared" si="516"/>
        <v>0</v>
      </c>
      <c r="U1825" s="51">
        <f t="shared" si="517"/>
        <v>0</v>
      </c>
      <c r="V1825" s="52">
        <f>IF(0&lt;0.8,0,IF(0&lt;1,Sheet3!L561,1))*IF(G1825&lt;3,0.12 - O1825,0.01) *U1825</f>
        <v>0</v>
      </c>
      <c r="W1825" s="52">
        <f t="shared" si="518"/>
        <v>0</v>
      </c>
      <c r="X1825" s="53">
        <f t="shared" si="519"/>
        <v>0</v>
      </c>
      <c r="Y1825" s="53">
        <f t="shared" si="520"/>
        <v>0</v>
      </c>
      <c r="Z1825" s="54">
        <f t="shared" si="525"/>
        <v>0</v>
      </c>
      <c r="AA1825" s="54">
        <f t="shared" si="521"/>
        <v>0</v>
      </c>
      <c r="AB1825" s="55">
        <f t="shared" si="524"/>
        <v>0</v>
      </c>
      <c r="AC1825" s="55">
        <f t="shared" si="522"/>
        <v>0</v>
      </c>
      <c r="AD1825" s="56">
        <f t="shared" si="523"/>
        <v>0</v>
      </c>
    </row>
    <row r="1826" spans="3:30">
      <c r="C1826" s="43" t="s">
        <v>3350</v>
      </c>
      <c r="D1826" s="44" t="s">
        <v>3351</v>
      </c>
      <c r="E1826" s="44"/>
      <c r="F1826" s="45">
        <v>43346.082152777773</v>
      </c>
      <c r="G1826" s="46">
        <v>0</v>
      </c>
      <c r="H1826" s="47">
        <v>43385</v>
      </c>
      <c r="I1826" s="47">
        <v>43432</v>
      </c>
      <c r="J1826" s="46">
        <v>1314667</v>
      </c>
      <c r="K1826" s="46">
        <v>0</v>
      </c>
      <c r="L1826" s="46">
        <v>0</v>
      </c>
      <c r="M1826" s="46">
        <f t="shared" si="512"/>
        <v>1314667</v>
      </c>
      <c r="N1826" s="46">
        <v>1410192</v>
      </c>
      <c r="O1826" s="48">
        <f t="shared" si="513"/>
        <v>6.7739002915914948E-2</v>
      </c>
      <c r="P1826" s="46">
        <v>0</v>
      </c>
      <c r="Q1826" s="46">
        <v>0</v>
      </c>
      <c r="R1826" s="49">
        <f t="shared" si="514"/>
        <v>0</v>
      </c>
      <c r="S1826" s="50">
        <f t="shared" si="515"/>
        <v>0</v>
      </c>
      <c r="T1826" s="49">
        <f t="shared" si="516"/>
        <v>0</v>
      </c>
      <c r="U1826" s="51">
        <f t="shared" si="517"/>
        <v>1314667</v>
      </c>
      <c r="V1826" s="52">
        <f>IF(0&lt;0.8,0,IF(0&lt;1,Sheet3!L561,1))*IF(G1826&lt;3,0.12 - O1826,0.01) *U1826</f>
        <v>0</v>
      </c>
      <c r="W1826" s="52">
        <f t="shared" si="518"/>
        <v>0</v>
      </c>
      <c r="X1826" s="53">
        <f t="shared" si="519"/>
        <v>0</v>
      </c>
      <c r="Y1826" s="53">
        <f t="shared" si="520"/>
        <v>0</v>
      </c>
      <c r="Z1826" s="54">
        <f t="shared" si="525"/>
        <v>0</v>
      </c>
      <c r="AA1826" s="54">
        <f t="shared" si="521"/>
        <v>0</v>
      </c>
      <c r="AB1826" s="55">
        <f t="shared" si="524"/>
        <v>0</v>
      </c>
      <c r="AC1826" s="55">
        <f t="shared" si="522"/>
        <v>0</v>
      </c>
      <c r="AD1826" s="56">
        <f t="shared" si="523"/>
        <v>0</v>
      </c>
    </row>
    <row r="1827" spans="3:30">
      <c r="C1827" s="43" t="s">
        <v>3352</v>
      </c>
      <c r="D1827" s="44" t="s">
        <v>2832</v>
      </c>
      <c r="E1827" s="44"/>
      <c r="F1827" s="45">
        <v>43348.297256944439</v>
      </c>
      <c r="G1827" s="46">
        <v>0</v>
      </c>
      <c r="H1827" s="47">
        <v>43487</v>
      </c>
      <c r="I1827" s="47">
        <v>43495</v>
      </c>
      <c r="J1827" s="46">
        <v>86626</v>
      </c>
      <c r="K1827" s="46">
        <v>0</v>
      </c>
      <c r="L1827" s="46">
        <v>0</v>
      </c>
      <c r="M1827" s="46">
        <f t="shared" si="512"/>
        <v>86626</v>
      </c>
      <c r="N1827" s="46">
        <v>86626</v>
      </c>
      <c r="O1827" s="48">
        <f t="shared" si="513"/>
        <v>0</v>
      </c>
      <c r="P1827" s="46">
        <v>0</v>
      </c>
      <c r="Q1827" s="46">
        <v>0</v>
      </c>
      <c r="R1827" s="49">
        <f t="shared" si="514"/>
        <v>0</v>
      </c>
      <c r="S1827" s="50">
        <f t="shared" si="515"/>
        <v>0</v>
      </c>
      <c r="T1827" s="49">
        <f t="shared" si="516"/>
        <v>0</v>
      </c>
      <c r="U1827" s="51">
        <f t="shared" si="517"/>
        <v>86626</v>
      </c>
      <c r="V1827" s="52">
        <f>IF(0&lt;0.8,0,IF(0&lt;1,Sheet3!L561,1))*IF(G1827&lt;3,0.12 - O1827,0.01) *U1827</f>
        <v>0</v>
      </c>
      <c r="W1827" s="52">
        <f t="shared" si="518"/>
        <v>0</v>
      </c>
      <c r="X1827" s="53">
        <f t="shared" si="519"/>
        <v>0</v>
      </c>
      <c r="Y1827" s="53">
        <f t="shared" si="520"/>
        <v>0</v>
      </c>
      <c r="Z1827" s="54">
        <f t="shared" si="525"/>
        <v>0</v>
      </c>
      <c r="AA1827" s="54">
        <f t="shared" si="521"/>
        <v>0</v>
      </c>
      <c r="AB1827" s="55">
        <f t="shared" si="524"/>
        <v>0</v>
      </c>
      <c r="AC1827" s="55">
        <f t="shared" si="522"/>
        <v>0</v>
      </c>
      <c r="AD1827" s="56">
        <f t="shared" si="523"/>
        <v>0</v>
      </c>
    </row>
    <row r="1828" spans="3:30">
      <c r="C1828" s="43" t="s">
        <v>3353</v>
      </c>
      <c r="D1828" s="44" t="s">
        <v>3354</v>
      </c>
      <c r="E1828" s="44"/>
      <c r="F1828" s="45">
        <v>40130.410497685181</v>
      </c>
      <c r="G1828" s="46">
        <v>106</v>
      </c>
      <c r="H1828" s="47">
        <v>43418</v>
      </c>
      <c r="I1828" s="47">
        <v>43473</v>
      </c>
      <c r="J1828" s="46">
        <v>138477</v>
      </c>
      <c r="K1828" s="46">
        <v>0</v>
      </c>
      <c r="L1828" s="46">
        <v>0</v>
      </c>
      <c r="M1828" s="46">
        <f t="shared" si="512"/>
        <v>138477</v>
      </c>
      <c r="N1828" s="46">
        <v>140707</v>
      </c>
      <c r="O1828" s="48">
        <f t="shared" si="513"/>
        <v>1.5848536320154594E-2</v>
      </c>
      <c r="P1828" s="46">
        <v>0</v>
      </c>
      <c r="Q1828" s="46">
        <v>138477</v>
      </c>
      <c r="R1828" s="49">
        <f t="shared" si="514"/>
        <v>1</v>
      </c>
      <c r="S1828" s="50">
        <f t="shared" si="515"/>
        <v>0.01</v>
      </c>
      <c r="T1828" s="49">
        <f t="shared" si="516"/>
        <v>1384.77</v>
      </c>
      <c r="U1828" s="51">
        <f t="shared" si="517"/>
        <v>0</v>
      </c>
      <c r="V1828" s="52">
        <f>IF(0&lt;0.8,0,IF(0&lt;1,Sheet3!L561,1))*IF(G1828&lt;3,0.12 - O1828,0.01) *U1828</f>
        <v>0</v>
      </c>
      <c r="W1828" s="52">
        <f t="shared" si="518"/>
        <v>0</v>
      </c>
      <c r="X1828" s="53">
        <f t="shared" si="519"/>
        <v>0</v>
      </c>
      <c r="Y1828" s="53">
        <f t="shared" si="520"/>
        <v>0</v>
      </c>
      <c r="Z1828" s="54">
        <f t="shared" si="525"/>
        <v>0</v>
      </c>
      <c r="AA1828" s="54">
        <f t="shared" si="521"/>
        <v>0</v>
      </c>
      <c r="AB1828" s="55">
        <f t="shared" si="524"/>
        <v>0</v>
      </c>
      <c r="AC1828" s="55">
        <f t="shared" si="522"/>
        <v>0</v>
      </c>
      <c r="AD1828" s="56">
        <f t="shared" si="523"/>
        <v>1384.77</v>
      </c>
    </row>
    <row r="1829" spans="3:30">
      <c r="C1829" s="43" t="s">
        <v>3355</v>
      </c>
      <c r="D1829" s="44" t="s">
        <v>3356</v>
      </c>
      <c r="E1829" s="44"/>
      <c r="F1829" s="45">
        <v>43368.318449074075</v>
      </c>
      <c r="G1829" s="46">
        <v>0</v>
      </c>
      <c r="H1829" s="47">
        <v>43384</v>
      </c>
      <c r="I1829" s="47">
        <v>43410</v>
      </c>
      <c r="J1829" s="46">
        <v>429744</v>
      </c>
      <c r="K1829" s="46">
        <v>0</v>
      </c>
      <c r="L1829" s="46">
        <v>0</v>
      </c>
      <c r="M1829" s="46">
        <f t="shared" si="512"/>
        <v>429744</v>
      </c>
      <c r="N1829" s="46">
        <v>419650</v>
      </c>
      <c r="O1829" s="48">
        <f t="shared" si="513"/>
        <v>0</v>
      </c>
      <c r="P1829" s="46">
        <v>0</v>
      </c>
      <c r="Q1829" s="46">
        <v>0</v>
      </c>
      <c r="R1829" s="49">
        <f t="shared" si="514"/>
        <v>0</v>
      </c>
      <c r="S1829" s="50">
        <f t="shared" si="515"/>
        <v>0</v>
      </c>
      <c r="T1829" s="49">
        <f t="shared" si="516"/>
        <v>0</v>
      </c>
      <c r="U1829" s="51">
        <f t="shared" si="517"/>
        <v>429744</v>
      </c>
      <c r="V1829" s="52">
        <f>IF(0&lt;0.8,0,IF(0&lt;1,Sheet3!L561,1))*IF(G1829&lt;3,0.12 - O1829,0.01) *U1829</f>
        <v>0</v>
      </c>
      <c r="W1829" s="52">
        <f t="shared" si="518"/>
        <v>0</v>
      </c>
      <c r="X1829" s="53">
        <f t="shared" si="519"/>
        <v>0</v>
      </c>
      <c r="Y1829" s="53">
        <f t="shared" si="520"/>
        <v>0</v>
      </c>
      <c r="Z1829" s="54">
        <f t="shared" si="525"/>
        <v>0</v>
      </c>
      <c r="AA1829" s="54">
        <f t="shared" si="521"/>
        <v>0</v>
      </c>
      <c r="AB1829" s="55">
        <f t="shared" si="524"/>
        <v>0</v>
      </c>
      <c r="AC1829" s="55">
        <f t="shared" si="522"/>
        <v>0</v>
      </c>
      <c r="AD1829" s="56">
        <f t="shared" si="523"/>
        <v>0</v>
      </c>
    </row>
    <row r="1830" spans="3:30">
      <c r="C1830" s="43" t="s">
        <v>3357</v>
      </c>
      <c r="D1830" s="44" t="s">
        <v>3358</v>
      </c>
      <c r="E1830" s="44"/>
      <c r="F1830" s="45">
        <v>42521.300555555557</v>
      </c>
      <c r="G1830" s="46">
        <v>28</v>
      </c>
      <c r="H1830" s="47" t="s">
        <v>24</v>
      </c>
      <c r="I1830" s="47" t="s">
        <v>24</v>
      </c>
      <c r="J1830" s="46">
        <v>0</v>
      </c>
      <c r="K1830" s="46">
        <v>0</v>
      </c>
      <c r="L1830" s="46">
        <v>0</v>
      </c>
      <c r="M1830" s="46">
        <f t="shared" si="512"/>
        <v>0</v>
      </c>
      <c r="N1830" s="46">
        <v>3232338</v>
      </c>
      <c r="O1830" s="48">
        <f t="shared" si="513"/>
        <v>1</v>
      </c>
      <c r="P1830" s="46">
        <v>0</v>
      </c>
      <c r="Q1830" s="46">
        <v>0</v>
      </c>
      <c r="R1830" s="49">
        <f t="shared" si="514"/>
        <v>1</v>
      </c>
      <c r="S1830" s="50">
        <f t="shared" si="515"/>
        <v>0.01</v>
      </c>
      <c r="T1830" s="49">
        <f t="shared" si="516"/>
        <v>0</v>
      </c>
      <c r="U1830" s="51">
        <f t="shared" si="517"/>
        <v>0</v>
      </c>
      <c r="V1830" s="52">
        <f>IF(0&lt;0.8,0,IF(0&lt;1,Sheet3!L561,1))*IF(G1830&lt;3,0.12 - O1830,0.01) *U1830</f>
        <v>0</v>
      </c>
      <c r="W1830" s="52">
        <f t="shared" si="518"/>
        <v>0</v>
      </c>
      <c r="X1830" s="53">
        <f t="shared" si="519"/>
        <v>0</v>
      </c>
      <c r="Y1830" s="53">
        <f t="shared" si="520"/>
        <v>0</v>
      </c>
      <c r="Z1830" s="54">
        <f>IF(R1830=1,0,"")</f>
        <v>0</v>
      </c>
      <c r="AA1830" s="54">
        <f t="shared" si="521"/>
        <v>0</v>
      </c>
      <c r="AB1830" s="55">
        <f>IF(R1830=0,"",0)</f>
        <v>0</v>
      </c>
      <c r="AC1830" s="55">
        <f t="shared" si="522"/>
        <v>0</v>
      </c>
      <c r="AD1830" s="56">
        <f t="shared" si="523"/>
        <v>0</v>
      </c>
    </row>
    <row r="1831" spans="3:30">
      <c r="C1831" s="43" t="s">
        <v>3359</v>
      </c>
      <c r="D1831" s="44" t="s">
        <v>995</v>
      </c>
      <c r="E1831" s="44"/>
      <c r="F1831" s="45">
        <v>43326.137013888889</v>
      </c>
      <c r="G1831" s="46">
        <v>1</v>
      </c>
      <c r="H1831" s="47">
        <v>43459</v>
      </c>
      <c r="I1831" s="47">
        <v>43487</v>
      </c>
      <c r="J1831" s="46">
        <v>32073359</v>
      </c>
      <c r="K1831" s="46">
        <v>0</v>
      </c>
      <c r="L1831" s="46">
        <v>0</v>
      </c>
      <c r="M1831" s="46">
        <f t="shared" si="512"/>
        <v>32073359</v>
      </c>
      <c r="N1831" s="46">
        <v>53782520</v>
      </c>
      <c r="O1831" s="48">
        <f t="shared" si="513"/>
        <v>0.40364715152804298</v>
      </c>
      <c r="P1831" s="46">
        <v>0</v>
      </c>
      <c r="Q1831" s="46">
        <v>0</v>
      </c>
      <c r="R1831" s="49">
        <f t="shared" si="514"/>
        <v>0</v>
      </c>
      <c r="S1831" s="50">
        <f t="shared" si="515"/>
        <v>0</v>
      </c>
      <c r="T1831" s="49">
        <f t="shared" si="516"/>
        <v>0</v>
      </c>
      <c r="U1831" s="51">
        <f t="shared" si="517"/>
        <v>0</v>
      </c>
      <c r="V1831" s="52">
        <f>IF(0&lt;0.8,0,IF(0&lt;1,Sheet3!L561,1))*IF(G1831&lt;3,0.12 - O1831,0.01) *U1831</f>
        <v>0</v>
      </c>
      <c r="W1831" s="52">
        <f t="shared" si="518"/>
        <v>0</v>
      </c>
      <c r="X1831" s="53">
        <f t="shared" si="519"/>
        <v>0</v>
      </c>
      <c r="Y1831" s="53">
        <f t="shared" si="520"/>
        <v>0</v>
      </c>
      <c r="Z1831" s="54">
        <f t="shared" ref="Z1831:Z1836" si="526">IF(R1831=1,0,0)</f>
        <v>0</v>
      </c>
      <c r="AA1831" s="54">
        <f t="shared" si="521"/>
        <v>0</v>
      </c>
      <c r="AB1831" s="55">
        <f t="shared" ref="AB1831:AB1836" si="527">IF(R1831=0,0,0)</f>
        <v>0</v>
      </c>
      <c r="AC1831" s="55">
        <f t="shared" si="522"/>
        <v>0</v>
      </c>
      <c r="AD1831" s="56">
        <f t="shared" si="523"/>
        <v>0</v>
      </c>
    </row>
    <row r="1832" spans="3:30">
      <c r="C1832" s="43" t="s">
        <v>3360</v>
      </c>
      <c r="D1832" s="44" t="s">
        <v>995</v>
      </c>
      <c r="E1832" s="44"/>
      <c r="F1832" s="45">
        <v>43316.214363425926</v>
      </c>
      <c r="G1832" s="46">
        <v>1</v>
      </c>
      <c r="H1832" s="47">
        <v>43431</v>
      </c>
      <c r="I1832" s="47">
        <v>43462</v>
      </c>
      <c r="J1832" s="46">
        <v>712899</v>
      </c>
      <c r="K1832" s="46">
        <v>0</v>
      </c>
      <c r="L1832" s="46">
        <v>0</v>
      </c>
      <c r="M1832" s="46">
        <f t="shared" si="512"/>
        <v>712899</v>
      </c>
      <c r="N1832" s="46">
        <v>674427</v>
      </c>
      <c r="O1832" s="48">
        <f t="shared" si="513"/>
        <v>0</v>
      </c>
      <c r="P1832" s="46">
        <v>0</v>
      </c>
      <c r="Q1832" s="46">
        <v>0</v>
      </c>
      <c r="R1832" s="49">
        <f t="shared" si="514"/>
        <v>0</v>
      </c>
      <c r="S1832" s="50">
        <f t="shared" si="515"/>
        <v>0</v>
      </c>
      <c r="T1832" s="49">
        <f t="shared" si="516"/>
        <v>0</v>
      </c>
      <c r="U1832" s="51">
        <f t="shared" si="517"/>
        <v>712899</v>
      </c>
      <c r="V1832" s="52">
        <f>IF(0&lt;0.8,0,IF(0&lt;1,Sheet3!L561,1))*IF(G1832&lt;3,0.12 - O1832,0.01) *U1832</f>
        <v>0</v>
      </c>
      <c r="W1832" s="52">
        <f t="shared" si="518"/>
        <v>0</v>
      </c>
      <c r="X1832" s="53">
        <f t="shared" si="519"/>
        <v>0</v>
      </c>
      <c r="Y1832" s="53">
        <f t="shared" si="520"/>
        <v>0</v>
      </c>
      <c r="Z1832" s="54">
        <f t="shared" si="526"/>
        <v>0</v>
      </c>
      <c r="AA1832" s="54">
        <f t="shared" si="521"/>
        <v>0</v>
      </c>
      <c r="AB1832" s="55">
        <f t="shared" si="527"/>
        <v>0</v>
      </c>
      <c r="AC1832" s="55">
        <f t="shared" si="522"/>
        <v>0</v>
      </c>
      <c r="AD1832" s="56">
        <f t="shared" si="523"/>
        <v>0</v>
      </c>
    </row>
    <row r="1833" spans="3:30">
      <c r="C1833" s="43" t="s">
        <v>3361</v>
      </c>
      <c r="D1833" s="44" t="s">
        <v>995</v>
      </c>
      <c r="E1833" s="44"/>
      <c r="F1833" s="45">
        <v>43316.215069444443</v>
      </c>
      <c r="G1833" s="46">
        <v>1</v>
      </c>
      <c r="H1833" s="47">
        <v>43459</v>
      </c>
      <c r="I1833" s="47">
        <v>43487</v>
      </c>
      <c r="J1833" s="46">
        <v>346495</v>
      </c>
      <c r="K1833" s="46">
        <v>0</v>
      </c>
      <c r="L1833" s="46">
        <v>0</v>
      </c>
      <c r="M1833" s="46">
        <f t="shared" si="512"/>
        <v>346495</v>
      </c>
      <c r="N1833" s="46">
        <v>340388</v>
      </c>
      <c r="O1833" s="48">
        <f t="shared" si="513"/>
        <v>0</v>
      </c>
      <c r="P1833" s="46">
        <v>0</v>
      </c>
      <c r="Q1833" s="46">
        <v>0</v>
      </c>
      <c r="R1833" s="49">
        <f t="shared" si="514"/>
        <v>0</v>
      </c>
      <c r="S1833" s="50">
        <f t="shared" si="515"/>
        <v>0</v>
      </c>
      <c r="T1833" s="49">
        <f t="shared" si="516"/>
        <v>0</v>
      </c>
      <c r="U1833" s="51">
        <f t="shared" si="517"/>
        <v>346495</v>
      </c>
      <c r="V1833" s="52">
        <f>IF(0&lt;0.8,0,IF(0&lt;1,Sheet3!L561,1))*IF(G1833&lt;3,0.12 - O1833,0.01) *U1833</f>
        <v>0</v>
      </c>
      <c r="W1833" s="52">
        <f t="shared" si="518"/>
        <v>0</v>
      </c>
      <c r="X1833" s="53">
        <f t="shared" si="519"/>
        <v>0</v>
      </c>
      <c r="Y1833" s="53">
        <f t="shared" si="520"/>
        <v>0</v>
      </c>
      <c r="Z1833" s="54">
        <f t="shared" si="526"/>
        <v>0</v>
      </c>
      <c r="AA1833" s="54">
        <f t="shared" si="521"/>
        <v>0</v>
      </c>
      <c r="AB1833" s="55">
        <f t="shared" si="527"/>
        <v>0</v>
      </c>
      <c r="AC1833" s="55">
        <f t="shared" si="522"/>
        <v>0</v>
      </c>
      <c r="AD1833" s="56">
        <f t="shared" si="523"/>
        <v>0</v>
      </c>
    </row>
    <row r="1834" spans="3:30">
      <c r="C1834" s="43" t="s">
        <v>3362</v>
      </c>
      <c r="D1834" s="44" t="s">
        <v>995</v>
      </c>
      <c r="E1834" s="44"/>
      <c r="F1834" s="45">
        <v>43316.226365740738</v>
      </c>
      <c r="G1834" s="46">
        <v>1</v>
      </c>
      <c r="H1834" s="47">
        <v>43431</v>
      </c>
      <c r="I1834" s="47">
        <v>43462</v>
      </c>
      <c r="J1834" s="46">
        <v>915764</v>
      </c>
      <c r="K1834" s="46">
        <v>0</v>
      </c>
      <c r="L1834" s="46">
        <v>0</v>
      </c>
      <c r="M1834" s="46">
        <f t="shared" si="512"/>
        <v>915764</v>
      </c>
      <c r="N1834" s="46">
        <v>940564</v>
      </c>
      <c r="O1834" s="48">
        <f t="shared" si="513"/>
        <v>2.6367158428347248E-2</v>
      </c>
      <c r="P1834" s="46">
        <v>0</v>
      </c>
      <c r="Q1834" s="46">
        <v>0</v>
      </c>
      <c r="R1834" s="49">
        <f t="shared" si="514"/>
        <v>0</v>
      </c>
      <c r="S1834" s="50">
        <f t="shared" si="515"/>
        <v>0</v>
      </c>
      <c r="T1834" s="49">
        <f t="shared" si="516"/>
        <v>0</v>
      </c>
      <c r="U1834" s="51">
        <f t="shared" si="517"/>
        <v>915764</v>
      </c>
      <c r="V1834" s="52">
        <f>IF(0&lt;0.8,0,IF(0&lt;1,Sheet3!L561,1))*IF(G1834&lt;3,0.12 - O1834,0.01) *U1834</f>
        <v>0</v>
      </c>
      <c r="W1834" s="52">
        <f t="shared" si="518"/>
        <v>0</v>
      </c>
      <c r="X1834" s="53">
        <f t="shared" si="519"/>
        <v>0</v>
      </c>
      <c r="Y1834" s="53">
        <f t="shared" si="520"/>
        <v>0</v>
      </c>
      <c r="Z1834" s="54">
        <f t="shared" si="526"/>
        <v>0</v>
      </c>
      <c r="AA1834" s="54">
        <f t="shared" si="521"/>
        <v>0</v>
      </c>
      <c r="AB1834" s="55">
        <f t="shared" si="527"/>
        <v>0</v>
      </c>
      <c r="AC1834" s="55">
        <f t="shared" si="522"/>
        <v>0</v>
      </c>
      <c r="AD1834" s="56">
        <f t="shared" si="523"/>
        <v>0</v>
      </c>
    </row>
    <row r="1835" spans="3:30">
      <c r="C1835" s="43" t="s">
        <v>3363</v>
      </c>
      <c r="D1835" s="44" t="s">
        <v>995</v>
      </c>
      <c r="E1835" s="44"/>
      <c r="F1835" s="45">
        <v>43316.230266203704</v>
      </c>
      <c r="G1835" s="46">
        <v>1</v>
      </c>
      <c r="H1835" s="47">
        <v>43431</v>
      </c>
      <c r="I1835" s="47">
        <v>43462</v>
      </c>
      <c r="J1835" s="46">
        <v>451814</v>
      </c>
      <c r="K1835" s="46">
        <v>0</v>
      </c>
      <c r="L1835" s="46">
        <v>0</v>
      </c>
      <c r="M1835" s="46">
        <f t="shared" si="512"/>
        <v>451814</v>
      </c>
      <c r="N1835" s="46">
        <v>479880</v>
      </c>
      <c r="O1835" s="48">
        <f t="shared" si="513"/>
        <v>5.8485454697007611E-2</v>
      </c>
      <c r="P1835" s="46">
        <v>0</v>
      </c>
      <c r="Q1835" s="46">
        <v>0</v>
      </c>
      <c r="R1835" s="49">
        <f t="shared" si="514"/>
        <v>0</v>
      </c>
      <c r="S1835" s="50">
        <f t="shared" si="515"/>
        <v>0</v>
      </c>
      <c r="T1835" s="49">
        <f t="shared" si="516"/>
        <v>0</v>
      </c>
      <c r="U1835" s="51">
        <f t="shared" si="517"/>
        <v>451814</v>
      </c>
      <c r="V1835" s="52">
        <f>IF(0&lt;0.8,0,IF(0&lt;1,Sheet3!L561,1))*IF(G1835&lt;3,0.12 - O1835,0.01) *U1835</f>
        <v>0</v>
      </c>
      <c r="W1835" s="52">
        <f t="shared" si="518"/>
        <v>0</v>
      </c>
      <c r="X1835" s="53">
        <f t="shared" si="519"/>
        <v>0</v>
      </c>
      <c r="Y1835" s="53">
        <f t="shared" si="520"/>
        <v>0</v>
      </c>
      <c r="Z1835" s="54">
        <f t="shared" si="526"/>
        <v>0</v>
      </c>
      <c r="AA1835" s="54">
        <f t="shared" si="521"/>
        <v>0</v>
      </c>
      <c r="AB1835" s="55">
        <f t="shared" si="527"/>
        <v>0</v>
      </c>
      <c r="AC1835" s="55">
        <f t="shared" si="522"/>
        <v>0</v>
      </c>
      <c r="AD1835" s="56">
        <f t="shared" si="523"/>
        <v>0</v>
      </c>
    </row>
    <row r="1836" spans="3:30">
      <c r="C1836" s="43" t="s">
        <v>3364</v>
      </c>
      <c r="D1836" s="44" t="s">
        <v>995</v>
      </c>
      <c r="E1836" s="44"/>
      <c r="F1836" s="45">
        <v>43316.236574074072</v>
      </c>
      <c r="G1836" s="46">
        <v>1</v>
      </c>
      <c r="H1836" s="47">
        <v>43431</v>
      </c>
      <c r="I1836" s="47">
        <v>43460</v>
      </c>
      <c r="J1836" s="46">
        <v>733379</v>
      </c>
      <c r="K1836" s="46">
        <v>0</v>
      </c>
      <c r="L1836" s="46">
        <v>0</v>
      </c>
      <c r="M1836" s="46">
        <f t="shared" si="512"/>
        <v>733379</v>
      </c>
      <c r="N1836" s="46">
        <v>718869</v>
      </c>
      <c r="O1836" s="48">
        <f t="shared" si="513"/>
        <v>0</v>
      </c>
      <c r="P1836" s="46">
        <v>0</v>
      </c>
      <c r="Q1836" s="46">
        <v>0</v>
      </c>
      <c r="R1836" s="49">
        <f t="shared" si="514"/>
        <v>0</v>
      </c>
      <c r="S1836" s="50">
        <f t="shared" si="515"/>
        <v>0</v>
      </c>
      <c r="T1836" s="49">
        <f t="shared" si="516"/>
        <v>0</v>
      </c>
      <c r="U1836" s="51">
        <f t="shared" si="517"/>
        <v>733379</v>
      </c>
      <c r="V1836" s="52">
        <f>IF(0&lt;0.8,0,IF(0&lt;1,Sheet3!L561,1))*IF(G1836&lt;3,0.12 - O1836,0.01) *U1836</f>
        <v>0</v>
      </c>
      <c r="W1836" s="52">
        <f t="shared" si="518"/>
        <v>0</v>
      </c>
      <c r="X1836" s="53">
        <f t="shared" si="519"/>
        <v>0</v>
      </c>
      <c r="Y1836" s="53">
        <f t="shared" si="520"/>
        <v>0</v>
      </c>
      <c r="Z1836" s="54">
        <f t="shared" si="526"/>
        <v>0</v>
      </c>
      <c r="AA1836" s="54">
        <f t="shared" si="521"/>
        <v>0</v>
      </c>
      <c r="AB1836" s="55">
        <f t="shared" si="527"/>
        <v>0</v>
      </c>
      <c r="AC1836" s="55">
        <f t="shared" si="522"/>
        <v>0</v>
      </c>
      <c r="AD1836" s="56">
        <f t="shared" si="523"/>
        <v>0</v>
      </c>
    </row>
    <row r="1837" spans="3:30">
      <c r="C1837" s="43" t="s">
        <v>3365</v>
      </c>
      <c r="D1837" s="44" t="s">
        <v>3366</v>
      </c>
      <c r="E1837" s="44"/>
      <c r="F1837" s="45">
        <v>43222.345717592594</v>
      </c>
      <c r="G1837" s="46">
        <v>4</v>
      </c>
      <c r="H1837" s="47" t="s">
        <v>24</v>
      </c>
      <c r="I1837" s="47" t="s">
        <v>24</v>
      </c>
      <c r="J1837" s="46">
        <v>61072</v>
      </c>
      <c r="K1837" s="46">
        <v>0</v>
      </c>
      <c r="L1837" s="46">
        <v>0</v>
      </c>
      <c r="M1837" s="46">
        <f t="shared" si="512"/>
        <v>61072</v>
      </c>
      <c r="N1837" s="46">
        <v>16500</v>
      </c>
      <c r="O1837" s="48">
        <f t="shared" si="513"/>
        <v>0</v>
      </c>
      <c r="P1837" s="46">
        <v>0</v>
      </c>
      <c r="Q1837" s="46">
        <v>0</v>
      </c>
      <c r="R1837" s="49">
        <f t="shared" si="514"/>
        <v>1</v>
      </c>
      <c r="S1837" s="50">
        <f t="shared" si="515"/>
        <v>0.01</v>
      </c>
      <c r="T1837" s="49">
        <f t="shared" si="516"/>
        <v>610.72</v>
      </c>
      <c r="U1837" s="51">
        <f t="shared" si="517"/>
        <v>0</v>
      </c>
      <c r="V1837" s="52">
        <f>IF(0&lt;0.8,0,IF(0&lt;1,Sheet3!L561,1))*IF(G1837&lt;3,0.12 - O1837,0.01) *U1837</f>
        <v>0</v>
      </c>
      <c r="W1837" s="52">
        <f t="shared" si="518"/>
        <v>0</v>
      </c>
      <c r="X1837" s="53">
        <f t="shared" si="519"/>
        <v>0</v>
      </c>
      <c r="Y1837" s="53">
        <f t="shared" si="520"/>
        <v>0</v>
      </c>
      <c r="Z1837" s="54">
        <f>IF(R1837=1,0,"")</f>
        <v>0</v>
      </c>
      <c r="AA1837" s="54">
        <f t="shared" si="521"/>
        <v>0</v>
      </c>
      <c r="AB1837" s="55">
        <f>IF(R1837=0,"",0)</f>
        <v>0</v>
      </c>
      <c r="AC1837" s="55">
        <f t="shared" si="522"/>
        <v>0</v>
      </c>
      <c r="AD1837" s="56">
        <f t="shared" si="523"/>
        <v>610.72</v>
      </c>
    </row>
    <row r="1838" spans="3:30">
      <c r="C1838" s="43" t="s">
        <v>3367</v>
      </c>
      <c r="D1838" s="44" t="s">
        <v>3368</v>
      </c>
      <c r="E1838" s="44"/>
      <c r="F1838" s="45">
        <v>41130.427488425921</v>
      </c>
      <c r="G1838" s="46">
        <v>73</v>
      </c>
      <c r="H1838" s="47">
        <v>43373</v>
      </c>
      <c r="I1838" s="47">
        <v>43381</v>
      </c>
      <c r="J1838" s="46">
        <v>692439</v>
      </c>
      <c r="K1838" s="46">
        <v>0</v>
      </c>
      <c r="L1838" s="46">
        <v>0</v>
      </c>
      <c r="M1838" s="46">
        <f t="shared" si="512"/>
        <v>692439</v>
      </c>
      <c r="N1838" s="46">
        <v>749282</v>
      </c>
      <c r="O1838" s="48">
        <f t="shared" si="513"/>
        <v>7.5863293125952524E-2</v>
      </c>
      <c r="P1838" s="46">
        <v>0</v>
      </c>
      <c r="Q1838" s="46">
        <v>692439</v>
      </c>
      <c r="R1838" s="49">
        <f t="shared" si="514"/>
        <v>1</v>
      </c>
      <c r="S1838" s="50">
        <f t="shared" si="515"/>
        <v>0.01</v>
      </c>
      <c r="T1838" s="49">
        <f t="shared" si="516"/>
        <v>6924.39</v>
      </c>
      <c r="U1838" s="51">
        <f t="shared" si="517"/>
        <v>0</v>
      </c>
      <c r="V1838" s="52">
        <f>IF(0&lt;0.8,0,IF(0&lt;1,Sheet3!L561,1))*IF(G1838&lt;3,0.12 - O1838,0.01) *U1838</f>
        <v>0</v>
      </c>
      <c r="W1838" s="52">
        <f t="shared" si="518"/>
        <v>0</v>
      </c>
      <c r="X1838" s="53">
        <f t="shared" si="519"/>
        <v>0</v>
      </c>
      <c r="Y1838" s="53">
        <f t="shared" si="520"/>
        <v>0</v>
      </c>
      <c r="Z1838" s="54">
        <f t="shared" ref="Z1838:Z1851" si="528">IF(R1838=1,0,0)</f>
        <v>0</v>
      </c>
      <c r="AA1838" s="54">
        <f t="shared" si="521"/>
        <v>0</v>
      </c>
      <c r="AB1838" s="55">
        <f t="shared" ref="AB1838:AB1851" si="529">IF(R1838=0,0,0)</f>
        <v>0</v>
      </c>
      <c r="AC1838" s="55">
        <f t="shared" si="522"/>
        <v>0</v>
      </c>
      <c r="AD1838" s="56">
        <f t="shared" si="523"/>
        <v>6924.39</v>
      </c>
    </row>
    <row r="1839" spans="3:30">
      <c r="C1839" s="43" t="s">
        <v>3369</v>
      </c>
      <c r="D1839" s="44" t="s">
        <v>3370</v>
      </c>
      <c r="E1839" s="44"/>
      <c r="F1839" s="45">
        <v>41130.428865740738</v>
      </c>
      <c r="G1839" s="46">
        <v>73</v>
      </c>
      <c r="H1839" s="47">
        <v>43404</v>
      </c>
      <c r="I1839" s="47">
        <v>43413</v>
      </c>
      <c r="J1839" s="46">
        <v>1825909</v>
      </c>
      <c r="K1839" s="46">
        <v>0</v>
      </c>
      <c r="L1839" s="46">
        <v>0</v>
      </c>
      <c r="M1839" s="46">
        <f t="shared" si="512"/>
        <v>1825909</v>
      </c>
      <c r="N1839" s="46">
        <v>2540287</v>
      </c>
      <c r="O1839" s="48">
        <f t="shared" si="513"/>
        <v>0.28121940552386404</v>
      </c>
      <c r="P1839" s="46">
        <v>0</v>
      </c>
      <c r="Q1839" s="46">
        <v>1825909</v>
      </c>
      <c r="R1839" s="49">
        <f t="shared" si="514"/>
        <v>1</v>
      </c>
      <c r="S1839" s="50">
        <f t="shared" si="515"/>
        <v>0.01</v>
      </c>
      <c r="T1839" s="49">
        <f t="shared" si="516"/>
        <v>18259.09</v>
      </c>
      <c r="U1839" s="51">
        <f t="shared" si="517"/>
        <v>0</v>
      </c>
      <c r="V1839" s="52">
        <f>IF(0&lt;0.8,0,IF(0&lt;1,Sheet3!L561,1))*IF(G1839&lt;3,0.12 - O1839,0.01) *U1839</f>
        <v>0</v>
      </c>
      <c r="W1839" s="52">
        <f t="shared" si="518"/>
        <v>0</v>
      </c>
      <c r="X1839" s="53">
        <f t="shared" si="519"/>
        <v>0</v>
      </c>
      <c r="Y1839" s="53">
        <f t="shared" si="520"/>
        <v>0</v>
      </c>
      <c r="Z1839" s="54">
        <f t="shared" si="528"/>
        <v>0</v>
      </c>
      <c r="AA1839" s="54">
        <f t="shared" si="521"/>
        <v>0</v>
      </c>
      <c r="AB1839" s="55">
        <f t="shared" si="529"/>
        <v>0</v>
      </c>
      <c r="AC1839" s="55">
        <f t="shared" si="522"/>
        <v>0</v>
      </c>
      <c r="AD1839" s="56">
        <f t="shared" si="523"/>
        <v>18259.09</v>
      </c>
    </row>
    <row r="1840" spans="3:30">
      <c r="C1840" s="43" t="s">
        <v>3371</v>
      </c>
      <c r="D1840" s="44" t="s">
        <v>3372</v>
      </c>
      <c r="E1840" s="44"/>
      <c r="F1840" s="45">
        <v>41806.410868055551</v>
      </c>
      <c r="G1840" s="46">
        <v>51</v>
      </c>
      <c r="H1840" s="47">
        <v>43373</v>
      </c>
      <c r="I1840" s="47">
        <v>43434</v>
      </c>
      <c r="J1840" s="46">
        <v>5077039</v>
      </c>
      <c r="K1840" s="46">
        <v>0</v>
      </c>
      <c r="L1840" s="46">
        <v>0</v>
      </c>
      <c r="M1840" s="46">
        <f t="shared" si="512"/>
        <v>5077039</v>
      </c>
      <c r="N1840" s="46">
        <v>5675337</v>
      </c>
      <c r="O1840" s="48">
        <f t="shared" si="513"/>
        <v>0.10542070012758709</v>
      </c>
      <c r="P1840" s="46">
        <v>0</v>
      </c>
      <c r="Q1840" s="46">
        <v>5077039</v>
      </c>
      <c r="R1840" s="49">
        <f t="shared" si="514"/>
        <v>1</v>
      </c>
      <c r="S1840" s="50">
        <f t="shared" si="515"/>
        <v>0.01</v>
      </c>
      <c r="T1840" s="49">
        <f t="shared" si="516"/>
        <v>50770.39</v>
      </c>
      <c r="U1840" s="51">
        <f t="shared" si="517"/>
        <v>0</v>
      </c>
      <c r="V1840" s="52">
        <f>IF(0&lt;0.8,0,IF(0&lt;1,Sheet3!L561,1))*IF(G1840&lt;3,0.12 - O1840,0.01) *U1840</f>
        <v>0</v>
      </c>
      <c r="W1840" s="52">
        <f t="shared" si="518"/>
        <v>0</v>
      </c>
      <c r="X1840" s="53">
        <f t="shared" si="519"/>
        <v>0</v>
      </c>
      <c r="Y1840" s="53">
        <f t="shared" si="520"/>
        <v>0</v>
      </c>
      <c r="Z1840" s="54">
        <f t="shared" si="528"/>
        <v>0</v>
      </c>
      <c r="AA1840" s="54">
        <f t="shared" si="521"/>
        <v>0</v>
      </c>
      <c r="AB1840" s="55">
        <f t="shared" si="529"/>
        <v>0</v>
      </c>
      <c r="AC1840" s="55">
        <f t="shared" si="522"/>
        <v>0</v>
      </c>
      <c r="AD1840" s="56">
        <f t="shared" si="523"/>
        <v>50770.39</v>
      </c>
    </row>
    <row r="1841" spans="3:30">
      <c r="C1841" s="43" t="s">
        <v>3373</v>
      </c>
      <c r="D1841" s="44" t="s">
        <v>3374</v>
      </c>
      <c r="E1841" s="44"/>
      <c r="F1841" s="45">
        <v>42075.385902777773</v>
      </c>
      <c r="G1841" s="46">
        <v>42</v>
      </c>
      <c r="H1841" s="47">
        <v>43404</v>
      </c>
      <c r="I1841" s="47">
        <v>43413</v>
      </c>
      <c r="J1841" s="46">
        <v>1004829</v>
      </c>
      <c r="K1841" s="46">
        <v>0</v>
      </c>
      <c r="L1841" s="46">
        <v>0</v>
      </c>
      <c r="M1841" s="46">
        <f t="shared" si="512"/>
        <v>1004829</v>
      </c>
      <c r="N1841" s="46">
        <v>1291196</v>
      </c>
      <c r="O1841" s="48">
        <f t="shared" si="513"/>
        <v>0.22178429920786624</v>
      </c>
      <c r="P1841" s="46">
        <v>0</v>
      </c>
      <c r="Q1841" s="46">
        <v>1004829</v>
      </c>
      <c r="R1841" s="49">
        <f t="shared" si="514"/>
        <v>1</v>
      </c>
      <c r="S1841" s="50">
        <f t="shared" si="515"/>
        <v>0.01</v>
      </c>
      <c r="T1841" s="49">
        <f t="shared" si="516"/>
        <v>10048.290000000001</v>
      </c>
      <c r="U1841" s="51">
        <f t="shared" si="517"/>
        <v>0</v>
      </c>
      <c r="V1841" s="52">
        <f>IF(0&lt;0.8,0,IF(0&lt;1,Sheet3!L561,1))*IF(G1841&lt;3,0.12 - O1841,0.01) *U1841</f>
        <v>0</v>
      </c>
      <c r="W1841" s="52">
        <f t="shared" si="518"/>
        <v>0</v>
      </c>
      <c r="X1841" s="53">
        <f t="shared" si="519"/>
        <v>0</v>
      </c>
      <c r="Y1841" s="53">
        <f t="shared" si="520"/>
        <v>0</v>
      </c>
      <c r="Z1841" s="54">
        <f t="shared" si="528"/>
        <v>0</v>
      </c>
      <c r="AA1841" s="54">
        <f t="shared" si="521"/>
        <v>0</v>
      </c>
      <c r="AB1841" s="55">
        <f t="shared" si="529"/>
        <v>0</v>
      </c>
      <c r="AC1841" s="55">
        <f t="shared" si="522"/>
        <v>0</v>
      </c>
      <c r="AD1841" s="56">
        <f t="shared" si="523"/>
        <v>10048.290000000001</v>
      </c>
    </row>
    <row r="1842" spans="3:30">
      <c r="C1842" s="43" t="s">
        <v>3375</v>
      </c>
      <c r="D1842" s="44" t="s">
        <v>3376</v>
      </c>
      <c r="E1842" s="44"/>
      <c r="F1842" s="45">
        <v>42075.388043981482</v>
      </c>
      <c r="G1842" s="46">
        <v>42</v>
      </c>
      <c r="H1842" s="47">
        <v>43373</v>
      </c>
      <c r="I1842" s="47">
        <v>43416</v>
      </c>
      <c r="J1842" s="46">
        <v>3904718</v>
      </c>
      <c r="K1842" s="46">
        <v>0</v>
      </c>
      <c r="L1842" s="46">
        <v>0</v>
      </c>
      <c r="M1842" s="46">
        <f t="shared" si="512"/>
        <v>3904718</v>
      </c>
      <c r="N1842" s="46">
        <v>4438240</v>
      </c>
      <c r="O1842" s="48">
        <f t="shared" si="513"/>
        <v>0.12021026352788489</v>
      </c>
      <c r="P1842" s="46">
        <v>0</v>
      </c>
      <c r="Q1842" s="46">
        <v>3904718</v>
      </c>
      <c r="R1842" s="49">
        <f t="shared" si="514"/>
        <v>1</v>
      </c>
      <c r="S1842" s="50">
        <f t="shared" si="515"/>
        <v>0.01</v>
      </c>
      <c r="T1842" s="49">
        <f t="shared" si="516"/>
        <v>39047.18</v>
      </c>
      <c r="U1842" s="51">
        <f t="shared" si="517"/>
        <v>0</v>
      </c>
      <c r="V1842" s="52">
        <f>IF(0&lt;0.8,0,IF(0&lt;1,Sheet3!L561,1))*IF(G1842&lt;3,0.12 - O1842,0.01) *U1842</f>
        <v>0</v>
      </c>
      <c r="W1842" s="52">
        <f t="shared" si="518"/>
        <v>0</v>
      </c>
      <c r="X1842" s="53">
        <f t="shared" si="519"/>
        <v>0</v>
      </c>
      <c r="Y1842" s="53">
        <f t="shared" si="520"/>
        <v>0</v>
      </c>
      <c r="Z1842" s="54">
        <f t="shared" si="528"/>
        <v>0</v>
      </c>
      <c r="AA1842" s="54">
        <f t="shared" si="521"/>
        <v>0</v>
      </c>
      <c r="AB1842" s="55">
        <f t="shared" si="529"/>
        <v>0</v>
      </c>
      <c r="AC1842" s="55">
        <f t="shared" si="522"/>
        <v>0</v>
      </c>
      <c r="AD1842" s="56">
        <f t="shared" si="523"/>
        <v>39047.18</v>
      </c>
    </row>
    <row r="1843" spans="3:30">
      <c r="C1843" s="43" t="s">
        <v>3377</v>
      </c>
      <c r="D1843" s="44" t="s">
        <v>3378</v>
      </c>
      <c r="E1843" s="44"/>
      <c r="F1843" s="45">
        <v>42380.631435185183</v>
      </c>
      <c r="G1843" s="46">
        <v>32</v>
      </c>
      <c r="H1843" s="47">
        <v>43373</v>
      </c>
      <c r="I1843" s="47">
        <v>43416</v>
      </c>
      <c r="J1843" s="46">
        <v>133354</v>
      </c>
      <c r="K1843" s="46">
        <v>0</v>
      </c>
      <c r="L1843" s="46">
        <v>0</v>
      </c>
      <c r="M1843" s="46">
        <f t="shared" ref="M1843:M1906" si="530">IFERROR(J1843-K1843-L1843,0)</f>
        <v>133354</v>
      </c>
      <c r="N1843" s="46">
        <v>159248</v>
      </c>
      <c r="O1843" s="48">
        <f t="shared" ref="O1843:O1906" si="531">IFERROR(IF(1 - M1843/N1843&lt;0,0,1-M1843/N1843),0)</f>
        <v>0.16260172812217422</v>
      </c>
      <c r="P1843" s="46">
        <v>0</v>
      </c>
      <c r="Q1843" s="46">
        <v>133354</v>
      </c>
      <c r="R1843" s="49">
        <f t="shared" ref="R1843:R1906" si="532">IF(F1843&lt;DATEVALUE("2018-07-01"),1,0)</f>
        <v>1</v>
      </c>
      <c r="S1843" s="50">
        <f t="shared" ref="S1843:S1906" si="533">IF(R1843=1,1%,0)</f>
        <v>0.01</v>
      </c>
      <c r="T1843" s="49">
        <f t="shared" ref="T1843:T1906" si="534">IFERROR(S1843*M1843,0)</f>
        <v>1333.54</v>
      </c>
      <c r="U1843" s="51">
        <f t="shared" ref="U1843:U1906" si="535">IF(O1843&lt;=0.12,1,0)*(1-R1843)*M1843</f>
        <v>0</v>
      </c>
      <c r="V1843" s="52">
        <f>IF(0&lt;0.8,0,IF(0&lt;1,Sheet3!L561,1))*IF(G1843&lt;3,0.12 - O1843,0.01) *U1843</f>
        <v>0</v>
      </c>
      <c r="W1843" s="52">
        <f t="shared" ref="W1843:W1906" si="536">IF(0&gt;1,IF(0&lt;=1.1,1,IF(0&lt;=1.2,2,IF(0&lt;=1.5,3,5))),0) * 1000000</f>
        <v>0</v>
      </c>
      <c r="X1843" s="53">
        <f t="shared" ref="X1843:X1906" si="537">IF(AND(P1843&gt;=150000000,P1843&lt;300000000),5000000,IF(AND(P1843&gt;=300000000,P1843&lt;500000000),10000000,IF(AND(P1843&gt;=300000000,P1843&lt;500000000),15000000,IF(AND(P1843&gt;=500000000,P1843&lt;3000000000),20000000,IF(P1843&gt;=30000000000,35000000,0))))) * (1-R1843)</f>
        <v>0</v>
      </c>
      <c r="Y1843" s="53">
        <f t="shared" ref="Y1843:Y1906" si="538">IFERROR(Q1843 * (1-R1843),0)</f>
        <v>0</v>
      </c>
      <c r="Z1843" s="54">
        <f t="shared" si="528"/>
        <v>0</v>
      </c>
      <c r="AA1843" s="54">
        <f t="shared" ref="AA1843:AA1906" si="539">IFERROR((1-R1843) * Z1843 * 2%,0)</f>
        <v>0</v>
      </c>
      <c r="AB1843" s="55">
        <f t="shared" si="529"/>
        <v>0</v>
      </c>
      <c r="AC1843" s="55">
        <f t="shared" ref="AC1843:AC1906" si="540">IFERROR(AB1843 * (1-R1843) * 2%,0)</f>
        <v>0</v>
      </c>
      <c r="AD1843" s="56">
        <f t="shared" ref="AD1843:AD1906" si="541">T1843+V1843+W1843+X1843+AA1843+AC1843</f>
        <v>1333.54</v>
      </c>
    </row>
    <row r="1844" spans="3:30">
      <c r="C1844" s="43" t="s">
        <v>3379</v>
      </c>
      <c r="D1844" s="44" t="s">
        <v>3380</v>
      </c>
      <c r="E1844" s="44"/>
      <c r="F1844" s="45">
        <v>42474.376238425924</v>
      </c>
      <c r="G1844" s="46">
        <v>29</v>
      </c>
      <c r="H1844" s="47">
        <v>43373</v>
      </c>
      <c r="I1844" s="47">
        <v>43434</v>
      </c>
      <c r="J1844" s="46">
        <v>2943601</v>
      </c>
      <c r="K1844" s="46">
        <v>0</v>
      </c>
      <c r="L1844" s="46">
        <v>0</v>
      </c>
      <c r="M1844" s="46">
        <f t="shared" si="530"/>
        <v>2943601</v>
      </c>
      <c r="N1844" s="46">
        <v>4011597</v>
      </c>
      <c r="O1844" s="48">
        <f t="shared" si="531"/>
        <v>0.26622714096156719</v>
      </c>
      <c r="P1844" s="46">
        <v>0</v>
      </c>
      <c r="Q1844" s="46">
        <v>2943601</v>
      </c>
      <c r="R1844" s="49">
        <f t="shared" si="532"/>
        <v>1</v>
      </c>
      <c r="S1844" s="50">
        <f t="shared" si="533"/>
        <v>0.01</v>
      </c>
      <c r="T1844" s="49">
        <f t="shared" si="534"/>
        <v>29436.010000000002</v>
      </c>
      <c r="U1844" s="51">
        <f t="shared" si="535"/>
        <v>0</v>
      </c>
      <c r="V1844" s="52">
        <f>IF(0&lt;0.8,0,IF(0&lt;1,Sheet3!L561,1))*IF(G1844&lt;3,0.12 - O1844,0.01) *U1844</f>
        <v>0</v>
      </c>
      <c r="W1844" s="52">
        <f t="shared" si="536"/>
        <v>0</v>
      </c>
      <c r="X1844" s="53">
        <f t="shared" si="537"/>
        <v>0</v>
      </c>
      <c r="Y1844" s="53">
        <f t="shared" si="538"/>
        <v>0</v>
      </c>
      <c r="Z1844" s="54">
        <f t="shared" si="528"/>
        <v>0</v>
      </c>
      <c r="AA1844" s="54">
        <f t="shared" si="539"/>
        <v>0</v>
      </c>
      <c r="AB1844" s="55">
        <f t="shared" si="529"/>
        <v>0</v>
      </c>
      <c r="AC1844" s="55">
        <f t="shared" si="540"/>
        <v>0</v>
      </c>
      <c r="AD1844" s="56">
        <f t="shared" si="541"/>
        <v>29436.010000000002</v>
      </c>
    </row>
    <row r="1845" spans="3:30">
      <c r="C1845" s="43" t="s">
        <v>3381</v>
      </c>
      <c r="D1845" s="44" t="s">
        <v>3382</v>
      </c>
      <c r="E1845" s="44"/>
      <c r="F1845" s="45">
        <v>42717.157685185186</v>
      </c>
      <c r="G1845" s="46">
        <v>21</v>
      </c>
      <c r="H1845" s="47">
        <v>43383</v>
      </c>
      <c r="I1845" s="47">
        <v>43418</v>
      </c>
      <c r="J1845" s="46">
        <v>9269527</v>
      </c>
      <c r="K1845" s="46">
        <v>0</v>
      </c>
      <c r="L1845" s="46">
        <v>0</v>
      </c>
      <c r="M1845" s="46">
        <f t="shared" si="530"/>
        <v>9269527</v>
      </c>
      <c r="N1845" s="46">
        <v>11069435</v>
      </c>
      <c r="O1845" s="48">
        <f t="shared" si="531"/>
        <v>0.16260161426486541</v>
      </c>
      <c r="P1845" s="46">
        <v>0</v>
      </c>
      <c r="Q1845" s="46">
        <v>9491029</v>
      </c>
      <c r="R1845" s="49">
        <f t="shared" si="532"/>
        <v>1</v>
      </c>
      <c r="S1845" s="50">
        <f t="shared" si="533"/>
        <v>0.01</v>
      </c>
      <c r="T1845" s="49">
        <f t="shared" si="534"/>
        <v>92695.27</v>
      </c>
      <c r="U1845" s="51">
        <f t="shared" si="535"/>
        <v>0</v>
      </c>
      <c r="V1845" s="52">
        <f>IF(0&lt;0.8,0,IF(0&lt;1,Sheet3!L561,1))*IF(G1845&lt;3,0.12 - O1845,0.01) *U1845</f>
        <v>0</v>
      </c>
      <c r="W1845" s="52">
        <f t="shared" si="536"/>
        <v>0</v>
      </c>
      <c r="X1845" s="53">
        <f t="shared" si="537"/>
        <v>0</v>
      </c>
      <c r="Y1845" s="53">
        <f t="shared" si="538"/>
        <v>0</v>
      </c>
      <c r="Z1845" s="54">
        <f t="shared" si="528"/>
        <v>0</v>
      </c>
      <c r="AA1845" s="54">
        <f t="shared" si="539"/>
        <v>0</v>
      </c>
      <c r="AB1845" s="55">
        <f t="shared" si="529"/>
        <v>0</v>
      </c>
      <c r="AC1845" s="55">
        <f t="shared" si="540"/>
        <v>0</v>
      </c>
      <c r="AD1845" s="56">
        <f t="shared" si="541"/>
        <v>92695.27</v>
      </c>
    </row>
    <row r="1846" spans="3:30">
      <c r="C1846" s="43" t="s">
        <v>3383</v>
      </c>
      <c r="D1846" s="44" t="s">
        <v>3384</v>
      </c>
      <c r="E1846" s="44"/>
      <c r="F1846" s="45">
        <v>42748.339907407404</v>
      </c>
      <c r="G1846" s="46">
        <v>20</v>
      </c>
      <c r="H1846" s="47">
        <v>43404</v>
      </c>
      <c r="I1846" s="47">
        <v>43413</v>
      </c>
      <c r="J1846" s="46">
        <v>1962698</v>
      </c>
      <c r="K1846" s="46">
        <v>1025083</v>
      </c>
      <c r="L1846" s="46">
        <v>0</v>
      </c>
      <c r="M1846" s="46">
        <f t="shared" si="530"/>
        <v>937615</v>
      </c>
      <c r="N1846" s="46">
        <v>2309072</v>
      </c>
      <c r="O1846" s="48">
        <f t="shared" si="531"/>
        <v>0.59394293465080339</v>
      </c>
      <c r="P1846" s="46">
        <v>0</v>
      </c>
      <c r="Q1846" s="46">
        <v>1962698</v>
      </c>
      <c r="R1846" s="49">
        <f t="shared" si="532"/>
        <v>1</v>
      </c>
      <c r="S1846" s="50">
        <f t="shared" si="533"/>
        <v>0.01</v>
      </c>
      <c r="T1846" s="49">
        <f t="shared" si="534"/>
        <v>9376.15</v>
      </c>
      <c r="U1846" s="51">
        <f t="shared" si="535"/>
        <v>0</v>
      </c>
      <c r="V1846" s="52">
        <f>IF(0&lt;0.8,0,IF(0&lt;1,Sheet3!L561,1))*IF(G1846&lt;3,0.12 - O1846,0.01) *U1846</f>
        <v>0</v>
      </c>
      <c r="W1846" s="52">
        <f t="shared" si="536"/>
        <v>0</v>
      </c>
      <c r="X1846" s="53">
        <f t="shared" si="537"/>
        <v>0</v>
      </c>
      <c r="Y1846" s="53">
        <f t="shared" si="538"/>
        <v>0</v>
      </c>
      <c r="Z1846" s="54">
        <f t="shared" si="528"/>
        <v>0</v>
      </c>
      <c r="AA1846" s="54">
        <f t="shared" si="539"/>
        <v>0</v>
      </c>
      <c r="AB1846" s="55">
        <f t="shared" si="529"/>
        <v>0</v>
      </c>
      <c r="AC1846" s="55">
        <f t="shared" si="540"/>
        <v>0</v>
      </c>
      <c r="AD1846" s="56">
        <f t="shared" si="541"/>
        <v>9376.15</v>
      </c>
    </row>
    <row r="1847" spans="3:30">
      <c r="C1847" s="43" t="s">
        <v>3385</v>
      </c>
      <c r="D1847" s="44" t="s">
        <v>3384</v>
      </c>
      <c r="E1847" s="44"/>
      <c r="F1847" s="45">
        <v>42811.187997685185</v>
      </c>
      <c r="G1847" s="46">
        <v>18</v>
      </c>
      <c r="H1847" s="47">
        <v>43404</v>
      </c>
      <c r="I1847" s="47">
        <v>43413</v>
      </c>
      <c r="J1847" s="46">
        <v>600133</v>
      </c>
      <c r="K1847" s="46">
        <v>0</v>
      </c>
      <c r="L1847" s="46">
        <v>0</v>
      </c>
      <c r="M1847" s="46">
        <f t="shared" si="530"/>
        <v>600133</v>
      </c>
      <c r="N1847" s="46">
        <v>798214</v>
      </c>
      <c r="O1847" s="48">
        <f t="shared" si="531"/>
        <v>0.24815525661038262</v>
      </c>
      <c r="P1847" s="46">
        <v>0</v>
      </c>
      <c r="Q1847" s="46">
        <v>600133</v>
      </c>
      <c r="R1847" s="49">
        <f t="shared" si="532"/>
        <v>1</v>
      </c>
      <c r="S1847" s="50">
        <f t="shared" si="533"/>
        <v>0.01</v>
      </c>
      <c r="T1847" s="49">
        <f t="shared" si="534"/>
        <v>6001.33</v>
      </c>
      <c r="U1847" s="51">
        <f t="shared" si="535"/>
        <v>0</v>
      </c>
      <c r="V1847" s="52">
        <f>IF(0&lt;0.8,0,IF(0&lt;1,Sheet3!L561,1))*IF(G1847&lt;3,0.12 - O1847,0.01) *U1847</f>
        <v>0</v>
      </c>
      <c r="W1847" s="52">
        <f t="shared" si="536"/>
        <v>0</v>
      </c>
      <c r="X1847" s="53">
        <f t="shared" si="537"/>
        <v>0</v>
      </c>
      <c r="Y1847" s="53">
        <f t="shared" si="538"/>
        <v>0</v>
      </c>
      <c r="Z1847" s="54">
        <f t="shared" si="528"/>
        <v>0</v>
      </c>
      <c r="AA1847" s="54">
        <f t="shared" si="539"/>
        <v>0</v>
      </c>
      <c r="AB1847" s="55">
        <f t="shared" si="529"/>
        <v>0</v>
      </c>
      <c r="AC1847" s="55">
        <f t="shared" si="540"/>
        <v>0</v>
      </c>
      <c r="AD1847" s="56">
        <f t="shared" si="541"/>
        <v>6001.33</v>
      </c>
    </row>
    <row r="1848" spans="3:30">
      <c r="C1848" s="43" t="s">
        <v>3386</v>
      </c>
      <c r="D1848" s="44" t="s">
        <v>3387</v>
      </c>
      <c r="E1848" s="44"/>
      <c r="F1848" s="45">
        <v>42811.199872685182</v>
      </c>
      <c r="G1848" s="46">
        <v>18</v>
      </c>
      <c r="H1848" s="47">
        <v>43373</v>
      </c>
      <c r="I1848" s="47">
        <v>43392</v>
      </c>
      <c r="J1848" s="46">
        <v>1434000</v>
      </c>
      <c r="K1848" s="46">
        <v>0</v>
      </c>
      <c r="L1848" s="46">
        <v>0</v>
      </c>
      <c r="M1848" s="46">
        <f t="shared" si="530"/>
        <v>1434000</v>
      </c>
      <c r="N1848" s="46">
        <v>1686108</v>
      </c>
      <c r="O1848" s="48">
        <f t="shared" si="531"/>
        <v>0.14952067127372626</v>
      </c>
      <c r="P1848" s="46">
        <v>0</v>
      </c>
      <c r="Q1848" s="46">
        <v>1434000</v>
      </c>
      <c r="R1848" s="49">
        <f t="shared" si="532"/>
        <v>1</v>
      </c>
      <c r="S1848" s="50">
        <f t="shared" si="533"/>
        <v>0.01</v>
      </c>
      <c r="T1848" s="49">
        <f t="shared" si="534"/>
        <v>14340</v>
      </c>
      <c r="U1848" s="51">
        <f t="shared" si="535"/>
        <v>0</v>
      </c>
      <c r="V1848" s="52">
        <f>IF(0&lt;0.8,0,IF(0&lt;1,Sheet3!L561,1))*IF(G1848&lt;3,0.12 - O1848,0.01) *U1848</f>
        <v>0</v>
      </c>
      <c r="W1848" s="52">
        <f t="shared" si="536"/>
        <v>0</v>
      </c>
      <c r="X1848" s="53">
        <f t="shared" si="537"/>
        <v>0</v>
      </c>
      <c r="Y1848" s="53">
        <f t="shared" si="538"/>
        <v>0</v>
      </c>
      <c r="Z1848" s="54">
        <f t="shared" si="528"/>
        <v>0</v>
      </c>
      <c r="AA1848" s="54">
        <f t="shared" si="539"/>
        <v>0</v>
      </c>
      <c r="AB1848" s="55">
        <f t="shared" si="529"/>
        <v>0</v>
      </c>
      <c r="AC1848" s="55">
        <f t="shared" si="540"/>
        <v>0</v>
      </c>
      <c r="AD1848" s="56">
        <f t="shared" si="541"/>
        <v>14340</v>
      </c>
    </row>
    <row r="1849" spans="3:30">
      <c r="C1849" s="43" t="s">
        <v>3388</v>
      </c>
      <c r="D1849" s="44" t="s">
        <v>3384</v>
      </c>
      <c r="E1849" s="44"/>
      <c r="F1849" s="45">
        <v>42824.361076388886</v>
      </c>
      <c r="G1849" s="46">
        <v>18</v>
      </c>
      <c r="H1849" s="47">
        <v>43404</v>
      </c>
      <c r="I1849" s="47">
        <v>43413</v>
      </c>
      <c r="J1849" s="46">
        <v>2279173</v>
      </c>
      <c r="K1849" s="46">
        <v>0</v>
      </c>
      <c r="L1849" s="46">
        <v>0</v>
      </c>
      <c r="M1849" s="46">
        <f t="shared" si="530"/>
        <v>2279173</v>
      </c>
      <c r="N1849" s="46">
        <v>3045519</v>
      </c>
      <c r="O1849" s="48">
        <f t="shared" si="531"/>
        <v>0.25163067444333787</v>
      </c>
      <c r="P1849" s="46">
        <v>0</v>
      </c>
      <c r="Q1849" s="46">
        <v>2279173</v>
      </c>
      <c r="R1849" s="49">
        <f t="shared" si="532"/>
        <v>1</v>
      </c>
      <c r="S1849" s="50">
        <f t="shared" si="533"/>
        <v>0.01</v>
      </c>
      <c r="T1849" s="49">
        <f t="shared" si="534"/>
        <v>22791.73</v>
      </c>
      <c r="U1849" s="51">
        <f t="shared" si="535"/>
        <v>0</v>
      </c>
      <c r="V1849" s="52">
        <f>IF(0&lt;0.8,0,IF(0&lt;1,Sheet3!L561,1))*IF(G1849&lt;3,0.12 - O1849,0.01) *U1849</f>
        <v>0</v>
      </c>
      <c r="W1849" s="52">
        <f t="shared" si="536"/>
        <v>0</v>
      </c>
      <c r="X1849" s="53">
        <f t="shared" si="537"/>
        <v>0</v>
      </c>
      <c r="Y1849" s="53">
        <f t="shared" si="538"/>
        <v>0</v>
      </c>
      <c r="Z1849" s="54">
        <f t="shared" si="528"/>
        <v>0</v>
      </c>
      <c r="AA1849" s="54">
        <f t="shared" si="539"/>
        <v>0</v>
      </c>
      <c r="AB1849" s="55">
        <f t="shared" si="529"/>
        <v>0</v>
      </c>
      <c r="AC1849" s="55">
        <f t="shared" si="540"/>
        <v>0</v>
      </c>
      <c r="AD1849" s="56">
        <f t="shared" si="541"/>
        <v>22791.73</v>
      </c>
    </row>
    <row r="1850" spans="3:30">
      <c r="C1850" s="43" t="s">
        <v>3389</v>
      </c>
      <c r="D1850" s="44" t="s">
        <v>3390</v>
      </c>
      <c r="E1850" s="44"/>
      <c r="F1850" s="45">
        <v>43028.296238425923</v>
      </c>
      <c r="G1850" s="46">
        <v>11</v>
      </c>
      <c r="H1850" s="47">
        <v>43373</v>
      </c>
      <c r="I1850" s="47">
        <v>43426</v>
      </c>
      <c r="J1850" s="46">
        <v>5353618</v>
      </c>
      <c r="K1850" s="46">
        <v>0</v>
      </c>
      <c r="L1850" s="46">
        <v>0</v>
      </c>
      <c r="M1850" s="46">
        <f t="shared" si="530"/>
        <v>5353618</v>
      </c>
      <c r="N1850" s="46">
        <v>7486462</v>
      </c>
      <c r="O1850" s="48">
        <f t="shared" si="531"/>
        <v>0.28489345167316682</v>
      </c>
      <c r="P1850" s="46">
        <v>0</v>
      </c>
      <c r="Q1850" s="46">
        <v>5353618</v>
      </c>
      <c r="R1850" s="49">
        <f t="shared" si="532"/>
        <v>1</v>
      </c>
      <c r="S1850" s="50">
        <f t="shared" si="533"/>
        <v>0.01</v>
      </c>
      <c r="T1850" s="49">
        <f t="shared" si="534"/>
        <v>53536.18</v>
      </c>
      <c r="U1850" s="51">
        <f t="shared" si="535"/>
        <v>0</v>
      </c>
      <c r="V1850" s="52">
        <f>IF(0&lt;0.8,0,IF(0&lt;1,Sheet3!L561,1))*IF(G1850&lt;3,0.12 - O1850,0.01) *U1850</f>
        <v>0</v>
      </c>
      <c r="W1850" s="52">
        <f t="shared" si="536"/>
        <v>0</v>
      </c>
      <c r="X1850" s="53">
        <f t="shared" si="537"/>
        <v>0</v>
      </c>
      <c r="Y1850" s="53">
        <f t="shared" si="538"/>
        <v>0</v>
      </c>
      <c r="Z1850" s="54">
        <f t="shared" si="528"/>
        <v>0</v>
      </c>
      <c r="AA1850" s="54">
        <f t="shared" si="539"/>
        <v>0</v>
      </c>
      <c r="AB1850" s="55">
        <f t="shared" si="529"/>
        <v>0</v>
      </c>
      <c r="AC1850" s="55">
        <f t="shared" si="540"/>
        <v>0</v>
      </c>
      <c r="AD1850" s="56">
        <f t="shared" si="541"/>
        <v>53536.18</v>
      </c>
    </row>
    <row r="1851" spans="3:30">
      <c r="C1851" s="43" t="s">
        <v>3391</v>
      </c>
      <c r="D1851" s="44" t="s">
        <v>3392</v>
      </c>
      <c r="E1851" s="44"/>
      <c r="F1851" s="45">
        <v>43337.399884259255</v>
      </c>
      <c r="G1851" s="46">
        <v>1</v>
      </c>
      <c r="H1851" s="47">
        <v>43373</v>
      </c>
      <c r="I1851" s="47">
        <v>43427</v>
      </c>
      <c r="J1851" s="46">
        <v>9621968</v>
      </c>
      <c r="K1851" s="46">
        <v>0</v>
      </c>
      <c r="L1851" s="46">
        <v>0</v>
      </c>
      <c r="M1851" s="46">
        <f t="shared" si="530"/>
        <v>9621968</v>
      </c>
      <c r="N1851" s="46">
        <v>11785823</v>
      </c>
      <c r="O1851" s="48">
        <f t="shared" si="531"/>
        <v>0.18359812462820801</v>
      </c>
      <c r="P1851" s="46">
        <v>0</v>
      </c>
      <c r="Q1851" s="46">
        <v>0</v>
      </c>
      <c r="R1851" s="49">
        <f t="shared" si="532"/>
        <v>0</v>
      </c>
      <c r="S1851" s="50">
        <f t="shared" si="533"/>
        <v>0</v>
      </c>
      <c r="T1851" s="49">
        <f t="shared" si="534"/>
        <v>0</v>
      </c>
      <c r="U1851" s="51">
        <f t="shared" si="535"/>
        <v>0</v>
      </c>
      <c r="V1851" s="52">
        <f>IF(0&lt;0.8,0,IF(0&lt;1,Sheet3!L561,1))*IF(G1851&lt;3,0.12 - O1851,0.01) *U1851</f>
        <v>0</v>
      </c>
      <c r="W1851" s="52">
        <f t="shared" si="536"/>
        <v>0</v>
      </c>
      <c r="X1851" s="53">
        <f t="shared" si="537"/>
        <v>0</v>
      </c>
      <c r="Y1851" s="53">
        <f t="shared" si="538"/>
        <v>0</v>
      </c>
      <c r="Z1851" s="54">
        <f t="shared" si="528"/>
        <v>0</v>
      </c>
      <c r="AA1851" s="54">
        <f t="shared" si="539"/>
        <v>0</v>
      </c>
      <c r="AB1851" s="55">
        <f t="shared" si="529"/>
        <v>0</v>
      </c>
      <c r="AC1851" s="55">
        <f t="shared" si="540"/>
        <v>0</v>
      </c>
      <c r="AD1851" s="56">
        <f t="shared" si="541"/>
        <v>0</v>
      </c>
    </row>
    <row r="1852" spans="3:30">
      <c r="C1852" s="43" t="s">
        <v>3393</v>
      </c>
      <c r="D1852" s="44" t="s">
        <v>3394</v>
      </c>
      <c r="E1852" s="44"/>
      <c r="F1852" s="45">
        <v>42521.378240740742</v>
      </c>
      <c r="G1852" s="46">
        <v>28</v>
      </c>
      <c r="H1852" s="47" t="s">
        <v>24</v>
      </c>
      <c r="I1852" s="47" t="s">
        <v>24</v>
      </c>
      <c r="J1852" s="46">
        <v>0</v>
      </c>
      <c r="K1852" s="46">
        <v>0</v>
      </c>
      <c r="L1852" s="46">
        <v>0</v>
      </c>
      <c r="M1852" s="46">
        <f t="shared" si="530"/>
        <v>0</v>
      </c>
      <c r="N1852" s="46">
        <v>1535086</v>
      </c>
      <c r="O1852" s="48">
        <f t="shared" si="531"/>
        <v>1</v>
      </c>
      <c r="P1852" s="46">
        <v>0</v>
      </c>
      <c r="Q1852" s="46">
        <v>0</v>
      </c>
      <c r="R1852" s="49">
        <f t="shared" si="532"/>
        <v>1</v>
      </c>
      <c r="S1852" s="50">
        <f t="shared" si="533"/>
        <v>0.01</v>
      </c>
      <c r="T1852" s="49">
        <f t="shared" si="534"/>
        <v>0</v>
      </c>
      <c r="U1852" s="51">
        <f t="shared" si="535"/>
        <v>0</v>
      </c>
      <c r="V1852" s="52">
        <f>IF(0&lt;0.8,0,IF(0&lt;1,Sheet3!L561,1))*IF(G1852&lt;3,0.12 - O1852,0.01) *U1852</f>
        <v>0</v>
      </c>
      <c r="W1852" s="52">
        <f t="shared" si="536"/>
        <v>0</v>
      </c>
      <c r="X1852" s="53">
        <f t="shared" si="537"/>
        <v>0</v>
      </c>
      <c r="Y1852" s="53">
        <f t="shared" si="538"/>
        <v>0</v>
      </c>
      <c r="Z1852" s="54">
        <f>IF(R1852=1,0,"")</f>
        <v>0</v>
      </c>
      <c r="AA1852" s="54">
        <f t="shared" si="539"/>
        <v>0</v>
      </c>
      <c r="AB1852" s="55">
        <f>IF(R1852=0,"",0)</f>
        <v>0</v>
      </c>
      <c r="AC1852" s="55">
        <f t="shared" si="540"/>
        <v>0</v>
      </c>
      <c r="AD1852" s="56">
        <f t="shared" si="541"/>
        <v>0</v>
      </c>
    </row>
    <row r="1853" spans="3:30">
      <c r="C1853" s="43" t="s">
        <v>3395</v>
      </c>
      <c r="D1853" s="44" t="s">
        <v>995</v>
      </c>
      <c r="E1853" s="44"/>
      <c r="F1853" s="45">
        <v>43315.278564814813</v>
      </c>
      <c r="G1853" s="46">
        <v>1</v>
      </c>
      <c r="H1853" s="47">
        <v>43404</v>
      </c>
      <c r="I1853" s="47">
        <v>43431</v>
      </c>
      <c r="J1853" s="46">
        <v>47715</v>
      </c>
      <c r="K1853" s="46">
        <v>0</v>
      </c>
      <c r="L1853" s="46">
        <v>0</v>
      </c>
      <c r="M1853" s="46">
        <f t="shared" si="530"/>
        <v>47715</v>
      </c>
      <c r="N1853" s="46">
        <v>46842</v>
      </c>
      <c r="O1853" s="48">
        <f t="shared" si="531"/>
        <v>0</v>
      </c>
      <c r="P1853" s="46">
        <v>0</v>
      </c>
      <c r="Q1853" s="46">
        <v>0</v>
      </c>
      <c r="R1853" s="49">
        <f t="shared" si="532"/>
        <v>0</v>
      </c>
      <c r="S1853" s="50">
        <f t="shared" si="533"/>
        <v>0</v>
      </c>
      <c r="T1853" s="49">
        <f t="shared" si="534"/>
        <v>0</v>
      </c>
      <c r="U1853" s="51">
        <f t="shared" si="535"/>
        <v>47715</v>
      </c>
      <c r="V1853" s="52">
        <f>IF(0&lt;0.8,0,IF(0&lt;1,Sheet3!L561,1))*IF(G1853&lt;3,0.12 - O1853,0.01) *U1853</f>
        <v>0</v>
      </c>
      <c r="W1853" s="52">
        <f t="shared" si="536"/>
        <v>0</v>
      </c>
      <c r="X1853" s="53">
        <f t="shared" si="537"/>
        <v>0</v>
      </c>
      <c r="Y1853" s="53">
        <f t="shared" si="538"/>
        <v>0</v>
      </c>
      <c r="Z1853" s="54">
        <f t="shared" ref="Z1853:Z1860" si="542">IF(R1853=1,0,0)</f>
        <v>0</v>
      </c>
      <c r="AA1853" s="54">
        <f t="shared" si="539"/>
        <v>0</v>
      </c>
      <c r="AB1853" s="55">
        <f t="shared" ref="AB1853:AB1860" si="543">IF(R1853=0,0,0)</f>
        <v>0</v>
      </c>
      <c r="AC1853" s="55">
        <f t="shared" si="540"/>
        <v>0</v>
      </c>
      <c r="AD1853" s="56">
        <f t="shared" si="541"/>
        <v>0</v>
      </c>
    </row>
    <row r="1854" spans="3:30">
      <c r="C1854" s="43" t="s">
        <v>3396</v>
      </c>
      <c r="D1854" s="44" t="s">
        <v>995</v>
      </c>
      <c r="E1854" s="44"/>
      <c r="F1854" s="45">
        <v>43316.21262731481</v>
      </c>
      <c r="G1854" s="46">
        <v>1</v>
      </c>
      <c r="H1854" s="47">
        <v>43431</v>
      </c>
      <c r="I1854" s="47">
        <v>43462</v>
      </c>
      <c r="J1854" s="46">
        <v>994720</v>
      </c>
      <c r="K1854" s="46">
        <v>0</v>
      </c>
      <c r="L1854" s="46">
        <v>0</v>
      </c>
      <c r="M1854" s="46">
        <f t="shared" si="530"/>
        <v>994720</v>
      </c>
      <c r="N1854" s="46">
        <v>1440102</v>
      </c>
      <c r="O1854" s="48">
        <f t="shared" si="531"/>
        <v>0.30927114884917872</v>
      </c>
      <c r="P1854" s="46">
        <v>0</v>
      </c>
      <c r="Q1854" s="46">
        <v>0</v>
      </c>
      <c r="R1854" s="49">
        <f t="shared" si="532"/>
        <v>0</v>
      </c>
      <c r="S1854" s="50">
        <f t="shared" si="533"/>
        <v>0</v>
      </c>
      <c r="T1854" s="49">
        <f t="shared" si="534"/>
        <v>0</v>
      </c>
      <c r="U1854" s="51">
        <f t="shared" si="535"/>
        <v>0</v>
      </c>
      <c r="V1854" s="52">
        <f>IF(0&lt;0.8,0,IF(0&lt;1,Sheet3!L561,1))*IF(G1854&lt;3,0.12 - O1854,0.01) *U1854</f>
        <v>0</v>
      </c>
      <c r="W1854" s="52">
        <f t="shared" si="536"/>
        <v>0</v>
      </c>
      <c r="X1854" s="53">
        <f t="shared" si="537"/>
        <v>0</v>
      </c>
      <c r="Y1854" s="53">
        <f t="shared" si="538"/>
        <v>0</v>
      </c>
      <c r="Z1854" s="54">
        <f t="shared" si="542"/>
        <v>0</v>
      </c>
      <c r="AA1854" s="54">
        <f t="shared" si="539"/>
        <v>0</v>
      </c>
      <c r="AB1854" s="55">
        <f t="shared" si="543"/>
        <v>0</v>
      </c>
      <c r="AC1854" s="55">
        <f t="shared" si="540"/>
        <v>0</v>
      </c>
      <c r="AD1854" s="56">
        <f t="shared" si="541"/>
        <v>0</v>
      </c>
    </row>
    <row r="1855" spans="3:30">
      <c r="C1855" s="43" t="s">
        <v>3397</v>
      </c>
      <c r="D1855" s="44" t="s">
        <v>995</v>
      </c>
      <c r="E1855" s="44"/>
      <c r="F1855" s="45">
        <v>43316.213263888887</v>
      </c>
      <c r="G1855" s="46">
        <v>1</v>
      </c>
      <c r="H1855" s="47">
        <v>43431</v>
      </c>
      <c r="I1855" s="47">
        <v>43462</v>
      </c>
      <c r="J1855" s="46">
        <v>473699</v>
      </c>
      <c r="K1855" s="46">
        <v>0</v>
      </c>
      <c r="L1855" s="46">
        <v>0</v>
      </c>
      <c r="M1855" s="46">
        <f t="shared" si="530"/>
        <v>473699</v>
      </c>
      <c r="N1855" s="46">
        <v>690275</v>
      </c>
      <c r="O1855" s="48">
        <f t="shared" si="531"/>
        <v>0.31375321429864911</v>
      </c>
      <c r="P1855" s="46">
        <v>0</v>
      </c>
      <c r="Q1855" s="46">
        <v>0</v>
      </c>
      <c r="R1855" s="49">
        <f t="shared" si="532"/>
        <v>0</v>
      </c>
      <c r="S1855" s="50">
        <f t="shared" si="533"/>
        <v>0</v>
      </c>
      <c r="T1855" s="49">
        <f t="shared" si="534"/>
        <v>0</v>
      </c>
      <c r="U1855" s="51">
        <f t="shared" si="535"/>
        <v>0</v>
      </c>
      <c r="V1855" s="52">
        <f>IF(0&lt;0.8,0,IF(0&lt;1,Sheet3!L561,1))*IF(G1855&lt;3,0.12 - O1855,0.01) *U1855</f>
        <v>0</v>
      </c>
      <c r="W1855" s="52">
        <f t="shared" si="536"/>
        <v>0</v>
      </c>
      <c r="X1855" s="53">
        <f t="shared" si="537"/>
        <v>0</v>
      </c>
      <c r="Y1855" s="53">
        <f t="shared" si="538"/>
        <v>0</v>
      </c>
      <c r="Z1855" s="54">
        <f t="shared" si="542"/>
        <v>0</v>
      </c>
      <c r="AA1855" s="54">
        <f t="shared" si="539"/>
        <v>0</v>
      </c>
      <c r="AB1855" s="55">
        <f t="shared" si="543"/>
        <v>0</v>
      </c>
      <c r="AC1855" s="55">
        <f t="shared" si="540"/>
        <v>0</v>
      </c>
      <c r="AD1855" s="56">
        <f t="shared" si="541"/>
        <v>0</v>
      </c>
    </row>
    <row r="1856" spans="3:30">
      <c r="C1856" s="43" t="s">
        <v>3398</v>
      </c>
      <c r="D1856" s="44" t="s">
        <v>995</v>
      </c>
      <c r="E1856" s="44"/>
      <c r="F1856" s="45">
        <v>43316.213854166665</v>
      </c>
      <c r="G1856" s="46">
        <v>1</v>
      </c>
      <c r="H1856" s="47">
        <v>43459</v>
      </c>
      <c r="I1856" s="47">
        <v>43487</v>
      </c>
      <c r="J1856" s="46">
        <v>1008985</v>
      </c>
      <c r="K1856" s="46">
        <v>0</v>
      </c>
      <c r="L1856" s="46">
        <v>0</v>
      </c>
      <c r="M1856" s="46">
        <f t="shared" si="530"/>
        <v>1008985</v>
      </c>
      <c r="N1856" s="46">
        <v>1401514</v>
      </c>
      <c r="O1856" s="48">
        <f t="shared" si="531"/>
        <v>0.28007497606160192</v>
      </c>
      <c r="P1856" s="46">
        <v>0</v>
      </c>
      <c r="Q1856" s="46">
        <v>0</v>
      </c>
      <c r="R1856" s="49">
        <f t="shared" si="532"/>
        <v>0</v>
      </c>
      <c r="S1856" s="50">
        <f t="shared" si="533"/>
        <v>0</v>
      </c>
      <c r="T1856" s="49">
        <f t="shared" si="534"/>
        <v>0</v>
      </c>
      <c r="U1856" s="51">
        <f t="shared" si="535"/>
        <v>0</v>
      </c>
      <c r="V1856" s="52">
        <f>IF(0&lt;0.8,0,IF(0&lt;1,Sheet3!L561,1))*IF(G1856&lt;3,0.12 - O1856,0.01) *U1856</f>
        <v>0</v>
      </c>
      <c r="W1856" s="52">
        <f t="shared" si="536"/>
        <v>0</v>
      </c>
      <c r="X1856" s="53">
        <f t="shared" si="537"/>
        <v>0</v>
      </c>
      <c r="Y1856" s="53">
        <f t="shared" si="538"/>
        <v>0</v>
      </c>
      <c r="Z1856" s="54">
        <f t="shared" si="542"/>
        <v>0</v>
      </c>
      <c r="AA1856" s="54">
        <f t="shared" si="539"/>
        <v>0</v>
      </c>
      <c r="AB1856" s="55">
        <f t="shared" si="543"/>
        <v>0</v>
      </c>
      <c r="AC1856" s="55">
        <f t="shared" si="540"/>
        <v>0</v>
      </c>
      <c r="AD1856" s="56">
        <f t="shared" si="541"/>
        <v>0</v>
      </c>
    </row>
    <row r="1857" spans="3:30">
      <c r="C1857" s="43" t="s">
        <v>3399</v>
      </c>
      <c r="D1857" s="44" t="s">
        <v>995</v>
      </c>
      <c r="E1857" s="44"/>
      <c r="F1857" s="45">
        <v>43316.215787037036</v>
      </c>
      <c r="G1857" s="46">
        <v>1</v>
      </c>
      <c r="H1857" s="47">
        <v>43431</v>
      </c>
      <c r="I1857" s="47">
        <v>43462</v>
      </c>
      <c r="J1857" s="46">
        <v>668494</v>
      </c>
      <c r="K1857" s="46">
        <v>0</v>
      </c>
      <c r="L1857" s="46">
        <v>0</v>
      </c>
      <c r="M1857" s="46">
        <f t="shared" si="530"/>
        <v>668494</v>
      </c>
      <c r="N1857" s="46">
        <v>996217</v>
      </c>
      <c r="O1857" s="48">
        <f t="shared" si="531"/>
        <v>0.32896748399194153</v>
      </c>
      <c r="P1857" s="46">
        <v>0</v>
      </c>
      <c r="Q1857" s="46">
        <v>0</v>
      </c>
      <c r="R1857" s="49">
        <f t="shared" si="532"/>
        <v>0</v>
      </c>
      <c r="S1857" s="50">
        <f t="shared" si="533"/>
        <v>0</v>
      </c>
      <c r="T1857" s="49">
        <f t="shared" si="534"/>
        <v>0</v>
      </c>
      <c r="U1857" s="51">
        <f t="shared" si="535"/>
        <v>0</v>
      </c>
      <c r="V1857" s="52">
        <f>IF(0&lt;0.8,0,IF(0&lt;1,Sheet3!L561,1))*IF(G1857&lt;3,0.12 - O1857,0.01) *U1857</f>
        <v>0</v>
      </c>
      <c r="W1857" s="52">
        <f t="shared" si="536"/>
        <v>0</v>
      </c>
      <c r="X1857" s="53">
        <f t="shared" si="537"/>
        <v>0</v>
      </c>
      <c r="Y1857" s="53">
        <f t="shared" si="538"/>
        <v>0</v>
      </c>
      <c r="Z1857" s="54">
        <f t="shared" si="542"/>
        <v>0</v>
      </c>
      <c r="AA1857" s="54">
        <f t="shared" si="539"/>
        <v>0</v>
      </c>
      <c r="AB1857" s="55">
        <f t="shared" si="543"/>
        <v>0</v>
      </c>
      <c r="AC1857" s="55">
        <f t="shared" si="540"/>
        <v>0</v>
      </c>
      <c r="AD1857" s="56">
        <f t="shared" si="541"/>
        <v>0</v>
      </c>
    </row>
    <row r="1858" spans="3:30">
      <c r="C1858" s="43" t="s">
        <v>3400</v>
      </c>
      <c r="D1858" s="44" t="s">
        <v>3401</v>
      </c>
      <c r="E1858" s="44"/>
      <c r="F1858" s="45">
        <v>41849.379178240742</v>
      </c>
      <c r="G1858" s="46">
        <v>50</v>
      </c>
      <c r="H1858" s="47">
        <v>43404</v>
      </c>
      <c r="I1858" s="47">
        <v>43416</v>
      </c>
      <c r="J1858" s="46">
        <v>4078094</v>
      </c>
      <c r="K1858" s="46">
        <v>216222</v>
      </c>
      <c r="L1858" s="46">
        <v>0</v>
      </c>
      <c r="M1858" s="46">
        <f t="shared" si="530"/>
        <v>3861872</v>
      </c>
      <c r="N1858" s="46">
        <v>6133934</v>
      </c>
      <c r="O1858" s="48">
        <f t="shared" si="531"/>
        <v>0.37040861541712056</v>
      </c>
      <c r="P1858" s="46">
        <v>0</v>
      </c>
      <c r="Q1858" s="46">
        <v>4078094</v>
      </c>
      <c r="R1858" s="49">
        <f t="shared" si="532"/>
        <v>1</v>
      </c>
      <c r="S1858" s="50">
        <f t="shared" si="533"/>
        <v>0.01</v>
      </c>
      <c r="T1858" s="49">
        <f t="shared" si="534"/>
        <v>38618.720000000001</v>
      </c>
      <c r="U1858" s="51">
        <f t="shared" si="535"/>
        <v>0</v>
      </c>
      <c r="V1858" s="52">
        <f>IF(0&lt;0.8,0,IF(0&lt;1,Sheet3!L561,1))*IF(G1858&lt;3,0.12 - O1858,0.01) *U1858</f>
        <v>0</v>
      </c>
      <c r="W1858" s="52">
        <f t="shared" si="536"/>
        <v>0</v>
      </c>
      <c r="X1858" s="53">
        <f t="shared" si="537"/>
        <v>0</v>
      </c>
      <c r="Y1858" s="53">
        <f t="shared" si="538"/>
        <v>0</v>
      </c>
      <c r="Z1858" s="54">
        <f t="shared" si="542"/>
        <v>0</v>
      </c>
      <c r="AA1858" s="54">
        <f t="shared" si="539"/>
        <v>0</v>
      </c>
      <c r="AB1858" s="55">
        <f t="shared" si="543"/>
        <v>0</v>
      </c>
      <c r="AC1858" s="55">
        <f t="shared" si="540"/>
        <v>0</v>
      </c>
      <c r="AD1858" s="56">
        <f t="shared" si="541"/>
        <v>38618.720000000001</v>
      </c>
    </row>
    <row r="1859" spans="3:30">
      <c r="C1859" s="43" t="s">
        <v>3402</v>
      </c>
      <c r="D1859" s="44" t="s">
        <v>3403</v>
      </c>
      <c r="E1859" s="44"/>
      <c r="F1859" s="45">
        <v>43000.152685185181</v>
      </c>
      <c r="G1859" s="46">
        <v>12</v>
      </c>
      <c r="H1859" s="47">
        <v>43420</v>
      </c>
      <c r="I1859" s="47">
        <v>43430</v>
      </c>
      <c r="J1859" s="46">
        <v>364122</v>
      </c>
      <c r="K1859" s="46">
        <v>0</v>
      </c>
      <c r="L1859" s="46">
        <v>0</v>
      </c>
      <c r="M1859" s="46">
        <f t="shared" si="530"/>
        <v>364122</v>
      </c>
      <c r="N1859" s="46">
        <v>466517</v>
      </c>
      <c r="O1859" s="48">
        <f t="shared" si="531"/>
        <v>0.21948825016022999</v>
      </c>
      <c r="P1859" s="46">
        <v>0</v>
      </c>
      <c r="Q1859" s="46">
        <v>364122</v>
      </c>
      <c r="R1859" s="49">
        <f t="shared" si="532"/>
        <v>1</v>
      </c>
      <c r="S1859" s="50">
        <f t="shared" si="533"/>
        <v>0.01</v>
      </c>
      <c r="T1859" s="49">
        <f t="shared" si="534"/>
        <v>3641.2200000000003</v>
      </c>
      <c r="U1859" s="51">
        <f t="shared" si="535"/>
        <v>0</v>
      </c>
      <c r="V1859" s="52">
        <f>IF(0&lt;0.8,0,IF(0&lt;1,Sheet3!L561,1))*IF(G1859&lt;3,0.12 - O1859,0.01) *U1859</f>
        <v>0</v>
      </c>
      <c r="W1859" s="52">
        <f t="shared" si="536"/>
        <v>0</v>
      </c>
      <c r="X1859" s="53">
        <f t="shared" si="537"/>
        <v>0</v>
      </c>
      <c r="Y1859" s="53">
        <f t="shared" si="538"/>
        <v>0</v>
      </c>
      <c r="Z1859" s="54">
        <f t="shared" si="542"/>
        <v>0</v>
      </c>
      <c r="AA1859" s="54">
        <f t="shared" si="539"/>
        <v>0</v>
      </c>
      <c r="AB1859" s="55">
        <f t="shared" si="543"/>
        <v>0</v>
      </c>
      <c r="AC1859" s="55">
        <f t="shared" si="540"/>
        <v>0</v>
      </c>
      <c r="AD1859" s="56">
        <f t="shared" si="541"/>
        <v>3641.2200000000003</v>
      </c>
    </row>
    <row r="1860" spans="3:30">
      <c r="C1860" s="43" t="s">
        <v>3404</v>
      </c>
      <c r="D1860" s="44" t="s">
        <v>3405</v>
      </c>
      <c r="E1860" s="44"/>
      <c r="F1860" s="45">
        <v>43192.266284722224</v>
      </c>
      <c r="G1860" s="46">
        <v>5</v>
      </c>
      <c r="H1860" s="47">
        <v>43373</v>
      </c>
      <c r="I1860" s="47">
        <v>43390</v>
      </c>
      <c r="J1860" s="46">
        <v>1346000</v>
      </c>
      <c r="K1860" s="46">
        <v>0</v>
      </c>
      <c r="L1860" s="46">
        <v>0</v>
      </c>
      <c r="M1860" s="46">
        <f t="shared" si="530"/>
        <v>1346000</v>
      </c>
      <c r="N1860" s="46">
        <v>1756199</v>
      </c>
      <c r="O1860" s="48">
        <f t="shared" si="531"/>
        <v>0.23357204963674394</v>
      </c>
      <c r="P1860" s="46">
        <v>0</v>
      </c>
      <c r="Q1860" s="46">
        <v>1346000</v>
      </c>
      <c r="R1860" s="49">
        <f t="shared" si="532"/>
        <v>1</v>
      </c>
      <c r="S1860" s="50">
        <f t="shared" si="533"/>
        <v>0.01</v>
      </c>
      <c r="T1860" s="49">
        <f t="shared" si="534"/>
        <v>13460</v>
      </c>
      <c r="U1860" s="51">
        <f t="shared" si="535"/>
        <v>0</v>
      </c>
      <c r="V1860" s="52">
        <f>IF(0&lt;0.8,0,IF(0&lt;1,Sheet3!L561,1))*IF(G1860&lt;3,0.12 - O1860,0.01) *U1860</f>
        <v>0</v>
      </c>
      <c r="W1860" s="52">
        <f t="shared" si="536"/>
        <v>0</v>
      </c>
      <c r="X1860" s="53">
        <f t="shared" si="537"/>
        <v>0</v>
      </c>
      <c r="Y1860" s="53">
        <f t="shared" si="538"/>
        <v>0</v>
      </c>
      <c r="Z1860" s="54">
        <f t="shared" si="542"/>
        <v>0</v>
      </c>
      <c r="AA1860" s="54">
        <f t="shared" si="539"/>
        <v>0</v>
      </c>
      <c r="AB1860" s="55">
        <f t="shared" si="543"/>
        <v>0</v>
      </c>
      <c r="AC1860" s="55">
        <f t="shared" si="540"/>
        <v>0</v>
      </c>
      <c r="AD1860" s="56">
        <f t="shared" si="541"/>
        <v>13460</v>
      </c>
    </row>
    <row r="1861" spans="3:30">
      <c r="C1861" s="43" t="s">
        <v>3406</v>
      </c>
      <c r="D1861" s="44" t="s">
        <v>3407</v>
      </c>
      <c r="E1861" s="44"/>
      <c r="F1861" s="45">
        <v>42521.377754629626</v>
      </c>
      <c r="G1861" s="46">
        <v>28</v>
      </c>
      <c r="H1861" s="47" t="s">
        <v>24</v>
      </c>
      <c r="I1861" s="47" t="s">
        <v>24</v>
      </c>
      <c r="J1861" s="46">
        <v>0</v>
      </c>
      <c r="K1861" s="46">
        <v>0</v>
      </c>
      <c r="L1861" s="46">
        <v>0</v>
      </c>
      <c r="M1861" s="46">
        <f t="shared" si="530"/>
        <v>0</v>
      </c>
      <c r="N1861" s="46">
        <v>816130</v>
      </c>
      <c r="O1861" s="48">
        <f t="shared" si="531"/>
        <v>1</v>
      </c>
      <c r="P1861" s="46">
        <v>0</v>
      </c>
      <c r="Q1861" s="46">
        <v>0</v>
      </c>
      <c r="R1861" s="49">
        <f t="shared" si="532"/>
        <v>1</v>
      </c>
      <c r="S1861" s="50">
        <f t="shared" si="533"/>
        <v>0.01</v>
      </c>
      <c r="T1861" s="49">
        <f t="shared" si="534"/>
        <v>0</v>
      </c>
      <c r="U1861" s="51">
        <f t="shared" si="535"/>
        <v>0</v>
      </c>
      <c r="V1861" s="52">
        <f>IF(0&lt;0.8,0,IF(0&lt;1,Sheet3!L561,1))*IF(G1861&lt;3,0.12 - O1861,0.01) *U1861</f>
        <v>0</v>
      </c>
      <c r="W1861" s="52">
        <f t="shared" si="536"/>
        <v>0</v>
      </c>
      <c r="X1861" s="53">
        <f t="shared" si="537"/>
        <v>0</v>
      </c>
      <c r="Y1861" s="53">
        <f t="shared" si="538"/>
        <v>0</v>
      </c>
      <c r="Z1861" s="54">
        <f>IF(R1861=1,0,"")</f>
        <v>0</v>
      </c>
      <c r="AA1861" s="54">
        <f t="shared" si="539"/>
        <v>0</v>
      </c>
      <c r="AB1861" s="55">
        <f>IF(R1861=0,"",0)</f>
        <v>0</v>
      </c>
      <c r="AC1861" s="55">
        <f t="shared" si="540"/>
        <v>0</v>
      </c>
      <c r="AD1861" s="56">
        <f t="shared" si="541"/>
        <v>0</v>
      </c>
    </row>
    <row r="1862" spans="3:30">
      <c r="C1862" s="43" t="s">
        <v>3408</v>
      </c>
      <c r="D1862" s="44" t="s">
        <v>995</v>
      </c>
      <c r="E1862" s="44"/>
      <c r="F1862" s="45">
        <v>43316.234155092592</v>
      </c>
      <c r="G1862" s="46">
        <v>1</v>
      </c>
      <c r="H1862" s="47">
        <v>43459</v>
      </c>
      <c r="I1862" s="47">
        <v>43487</v>
      </c>
      <c r="J1862" s="46">
        <v>1149742</v>
      </c>
      <c r="K1862" s="46">
        <v>0</v>
      </c>
      <c r="L1862" s="46">
        <v>0</v>
      </c>
      <c r="M1862" s="46">
        <f t="shared" si="530"/>
        <v>1149742</v>
      </c>
      <c r="N1862" s="46">
        <v>1726370</v>
      </c>
      <c r="O1862" s="48">
        <f t="shared" si="531"/>
        <v>0.33401182828709952</v>
      </c>
      <c r="P1862" s="46">
        <v>0</v>
      </c>
      <c r="Q1862" s="46">
        <v>0</v>
      </c>
      <c r="R1862" s="49">
        <f t="shared" si="532"/>
        <v>0</v>
      </c>
      <c r="S1862" s="50">
        <f t="shared" si="533"/>
        <v>0</v>
      </c>
      <c r="T1862" s="49">
        <f t="shared" si="534"/>
        <v>0</v>
      </c>
      <c r="U1862" s="51">
        <f t="shared" si="535"/>
        <v>0</v>
      </c>
      <c r="V1862" s="52">
        <f>IF(0&lt;0.8,0,IF(0&lt;1,Sheet3!L561,1))*IF(G1862&lt;3,0.12 - O1862,0.01) *U1862</f>
        <v>0</v>
      </c>
      <c r="W1862" s="52">
        <f t="shared" si="536"/>
        <v>0</v>
      </c>
      <c r="X1862" s="53">
        <f t="shared" si="537"/>
        <v>0</v>
      </c>
      <c r="Y1862" s="53">
        <f t="shared" si="538"/>
        <v>0</v>
      </c>
      <c r="Z1862" s="54">
        <f t="shared" ref="Z1862:Z1872" si="544">IF(R1862=1,0,0)</f>
        <v>0</v>
      </c>
      <c r="AA1862" s="54">
        <f t="shared" si="539"/>
        <v>0</v>
      </c>
      <c r="AB1862" s="55">
        <f t="shared" ref="AB1862:AB1872" si="545">IF(R1862=0,0,0)</f>
        <v>0</v>
      </c>
      <c r="AC1862" s="55">
        <f t="shared" si="540"/>
        <v>0</v>
      </c>
      <c r="AD1862" s="56">
        <f t="shared" si="541"/>
        <v>0</v>
      </c>
    </row>
    <row r="1863" spans="3:30">
      <c r="C1863" s="43" t="s">
        <v>3409</v>
      </c>
      <c r="D1863" s="44" t="s">
        <v>3410</v>
      </c>
      <c r="E1863" s="44"/>
      <c r="F1863" s="45">
        <v>41193.704976851848</v>
      </c>
      <c r="G1863" s="46">
        <v>71</v>
      </c>
      <c r="H1863" s="47">
        <v>43399</v>
      </c>
      <c r="I1863" s="47">
        <v>43409</v>
      </c>
      <c r="J1863" s="46">
        <v>2425536</v>
      </c>
      <c r="K1863" s="46">
        <v>288084</v>
      </c>
      <c r="L1863" s="46">
        <v>0</v>
      </c>
      <c r="M1863" s="46">
        <f t="shared" si="530"/>
        <v>2137452</v>
      </c>
      <c r="N1863" s="46">
        <v>3699258</v>
      </c>
      <c r="O1863" s="48">
        <f t="shared" si="531"/>
        <v>0.42219439682228166</v>
      </c>
      <c r="P1863" s="46">
        <v>0</v>
      </c>
      <c r="Q1863" s="46">
        <v>2425536</v>
      </c>
      <c r="R1863" s="49">
        <f t="shared" si="532"/>
        <v>1</v>
      </c>
      <c r="S1863" s="50">
        <f t="shared" si="533"/>
        <v>0.01</v>
      </c>
      <c r="T1863" s="49">
        <f t="shared" si="534"/>
        <v>21374.52</v>
      </c>
      <c r="U1863" s="51">
        <f t="shared" si="535"/>
        <v>0</v>
      </c>
      <c r="V1863" s="52">
        <f>IF(0&lt;0.8,0,IF(0&lt;1,Sheet3!L561,1))*IF(G1863&lt;3,0.12 - O1863,0.01) *U1863</f>
        <v>0</v>
      </c>
      <c r="W1863" s="52">
        <f t="shared" si="536"/>
        <v>0</v>
      </c>
      <c r="X1863" s="53">
        <f t="shared" si="537"/>
        <v>0</v>
      </c>
      <c r="Y1863" s="53">
        <f t="shared" si="538"/>
        <v>0</v>
      </c>
      <c r="Z1863" s="54">
        <f t="shared" si="544"/>
        <v>0</v>
      </c>
      <c r="AA1863" s="54">
        <f t="shared" si="539"/>
        <v>0</v>
      </c>
      <c r="AB1863" s="55">
        <f t="shared" si="545"/>
        <v>0</v>
      </c>
      <c r="AC1863" s="55">
        <f t="shared" si="540"/>
        <v>0</v>
      </c>
      <c r="AD1863" s="56">
        <f t="shared" si="541"/>
        <v>21374.52</v>
      </c>
    </row>
    <row r="1864" spans="3:30">
      <c r="C1864" s="43" t="s">
        <v>3411</v>
      </c>
      <c r="D1864" s="44" t="s">
        <v>3412</v>
      </c>
      <c r="E1864" s="44"/>
      <c r="F1864" s="45">
        <v>41500.398912037039</v>
      </c>
      <c r="G1864" s="46">
        <v>61</v>
      </c>
      <c r="H1864" s="47">
        <v>43399</v>
      </c>
      <c r="I1864" s="47">
        <v>43409</v>
      </c>
      <c r="J1864" s="46">
        <v>3203731</v>
      </c>
      <c r="K1864" s="46">
        <v>380511</v>
      </c>
      <c r="L1864" s="46">
        <v>0</v>
      </c>
      <c r="M1864" s="46">
        <f t="shared" si="530"/>
        <v>2823220</v>
      </c>
      <c r="N1864" s="46">
        <v>4050167</v>
      </c>
      <c r="O1864" s="48">
        <f t="shared" si="531"/>
        <v>0.30293738505103618</v>
      </c>
      <c r="P1864" s="46">
        <v>0</v>
      </c>
      <c r="Q1864" s="46">
        <v>3203731</v>
      </c>
      <c r="R1864" s="49">
        <f t="shared" si="532"/>
        <v>1</v>
      </c>
      <c r="S1864" s="50">
        <f t="shared" si="533"/>
        <v>0.01</v>
      </c>
      <c r="T1864" s="49">
        <f t="shared" si="534"/>
        <v>28232.2</v>
      </c>
      <c r="U1864" s="51">
        <f t="shared" si="535"/>
        <v>0</v>
      </c>
      <c r="V1864" s="52">
        <f>IF(0&lt;0.8,0,IF(0&lt;1,Sheet3!L561,1))*IF(G1864&lt;3,0.12 - O1864,0.01) *U1864</f>
        <v>0</v>
      </c>
      <c r="W1864" s="52">
        <f t="shared" si="536"/>
        <v>0</v>
      </c>
      <c r="X1864" s="53">
        <f t="shared" si="537"/>
        <v>0</v>
      </c>
      <c r="Y1864" s="53">
        <f t="shared" si="538"/>
        <v>0</v>
      </c>
      <c r="Z1864" s="54">
        <f t="shared" si="544"/>
        <v>0</v>
      </c>
      <c r="AA1864" s="54">
        <f t="shared" si="539"/>
        <v>0</v>
      </c>
      <c r="AB1864" s="55">
        <f t="shared" si="545"/>
        <v>0</v>
      </c>
      <c r="AC1864" s="55">
        <f t="shared" si="540"/>
        <v>0</v>
      </c>
      <c r="AD1864" s="56">
        <f t="shared" si="541"/>
        <v>28232.2</v>
      </c>
    </row>
    <row r="1865" spans="3:30">
      <c r="C1865" s="43" t="s">
        <v>3413</v>
      </c>
      <c r="D1865" s="44" t="s">
        <v>3414</v>
      </c>
      <c r="E1865" s="44"/>
      <c r="F1865" s="45">
        <v>42077.591608796298</v>
      </c>
      <c r="G1865" s="46">
        <v>42</v>
      </c>
      <c r="H1865" s="47">
        <v>43399</v>
      </c>
      <c r="I1865" s="47">
        <v>43409</v>
      </c>
      <c r="J1865" s="46">
        <v>5574140</v>
      </c>
      <c r="K1865" s="46">
        <v>662044</v>
      </c>
      <c r="L1865" s="46">
        <v>0</v>
      </c>
      <c r="M1865" s="46">
        <f t="shared" si="530"/>
        <v>4912096</v>
      </c>
      <c r="N1865" s="46">
        <v>7013904</v>
      </c>
      <c r="O1865" s="48">
        <f t="shared" si="531"/>
        <v>0.29966306924075381</v>
      </c>
      <c r="P1865" s="46">
        <v>0</v>
      </c>
      <c r="Q1865" s="46">
        <v>5574140</v>
      </c>
      <c r="R1865" s="49">
        <f t="shared" si="532"/>
        <v>1</v>
      </c>
      <c r="S1865" s="50">
        <f t="shared" si="533"/>
        <v>0.01</v>
      </c>
      <c r="T1865" s="49">
        <f t="shared" si="534"/>
        <v>49120.959999999999</v>
      </c>
      <c r="U1865" s="51">
        <f t="shared" si="535"/>
        <v>0</v>
      </c>
      <c r="V1865" s="52">
        <f>IF(0&lt;0.8,0,IF(0&lt;1,Sheet3!L561,1))*IF(G1865&lt;3,0.12 - O1865,0.01) *U1865</f>
        <v>0</v>
      </c>
      <c r="W1865" s="52">
        <f t="shared" si="536"/>
        <v>0</v>
      </c>
      <c r="X1865" s="53">
        <f t="shared" si="537"/>
        <v>0</v>
      </c>
      <c r="Y1865" s="53">
        <f t="shared" si="538"/>
        <v>0</v>
      </c>
      <c r="Z1865" s="54">
        <f t="shared" si="544"/>
        <v>0</v>
      </c>
      <c r="AA1865" s="54">
        <f t="shared" si="539"/>
        <v>0</v>
      </c>
      <c r="AB1865" s="55">
        <f t="shared" si="545"/>
        <v>0</v>
      </c>
      <c r="AC1865" s="55">
        <f t="shared" si="540"/>
        <v>0</v>
      </c>
      <c r="AD1865" s="56">
        <f t="shared" si="541"/>
        <v>49120.959999999999</v>
      </c>
    </row>
    <row r="1866" spans="3:30">
      <c r="C1866" s="43" t="s">
        <v>3415</v>
      </c>
      <c r="D1866" s="44" t="s">
        <v>3416</v>
      </c>
      <c r="E1866" s="44"/>
      <c r="F1866" s="45">
        <v>42383.395219907405</v>
      </c>
      <c r="G1866" s="46">
        <v>32</v>
      </c>
      <c r="H1866" s="47">
        <v>43399</v>
      </c>
      <c r="I1866" s="47">
        <v>43409</v>
      </c>
      <c r="J1866" s="46">
        <v>1753918</v>
      </c>
      <c r="K1866" s="46">
        <v>208318</v>
      </c>
      <c r="L1866" s="46">
        <v>0</v>
      </c>
      <c r="M1866" s="46">
        <f t="shared" si="530"/>
        <v>1545600</v>
      </c>
      <c r="N1866" s="46">
        <v>2794042</v>
      </c>
      <c r="O1866" s="48">
        <f t="shared" si="531"/>
        <v>0.4468229181952168</v>
      </c>
      <c r="P1866" s="46">
        <v>0</v>
      </c>
      <c r="Q1866" s="46">
        <v>1753918</v>
      </c>
      <c r="R1866" s="49">
        <f t="shared" si="532"/>
        <v>1</v>
      </c>
      <c r="S1866" s="50">
        <f t="shared" si="533"/>
        <v>0.01</v>
      </c>
      <c r="T1866" s="49">
        <f t="shared" si="534"/>
        <v>15456</v>
      </c>
      <c r="U1866" s="51">
        <f t="shared" si="535"/>
        <v>0</v>
      </c>
      <c r="V1866" s="52">
        <f>IF(0&lt;0.8,0,IF(0&lt;1,Sheet3!L561,1))*IF(G1866&lt;3,0.12 - O1866,0.01) *U1866</f>
        <v>0</v>
      </c>
      <c r="W1866" s="52">
        <f t="shared" si="536"/>
        <v>0</v>
      </c>
      <c r="X1866" s="53">
        <f t="shared" si="537"/>
        <v>0</v>
      </c>
      <c r="Y1866" s="53">
        <f t="shared" si="538"/>
        <v>0</v>
      </c>
      <c r="Z1866" s="54">
        <f t="shared" si="544"/>
        <v>0</v>
      </c>
      <c r="AA1866" s="54">
        <f t="shared" si="539"/>
        <v>0</v>
      </c>
      <c r="AB1866" s="55">
        <f t="shared" si="545"/>
        <v>0</v>
      </c>
      <c r="AC1866" s="55">
        <f t="shared" si="540"/>
        <v>0</v>
      </c>
      <c r="AD1866" s="56">
        <f t="shared" si="541"/>
        <v>15456</v>
      </c>
    </row>
    <row r="1867" spans="3:30">
      <c r="C1867" s="43" t="s">
        <v>3417</v>
      </c>
      <c r="D1867" s="44" t="s">
        <v>3418</v>
      </c>
      <c r="E1867" s="44"/>
      <c r="F1867" s="45">
        <v>42524.394212962958</v>
      </c>
      <c r="G1867" s="46">
        <v>27</v>
      </c>
      <c r="H1867" s="47">
        <v>43399</v>
      </c>
      <c r="I1867" s="47">
        <v>43409</v>
      </c>
      <c r="J1867" s="46">
        <v>2797290</v>
      </c>
      <c r="K1867" s="46">
        <v>332234</v>
      </c>
      <c r="L1867" s="46">
        <v>0</v>
      </c>
      <c r="M1867" s="46">
        <f t="shared" si="530"/>
        <v>2465056</v>
      </c>
      <c r="N1867" s="46">
        <v>3450051</v>
      </c>
      <c r="O1867" s="48">
        <f t="shared" si="531"/>
        <v>0.28550157664335973</v>
      </c>
      <c r="P1867" s="46">
        <v>0</v>
      </c>
      <c r="Q1867" s="46">
        <v>2797290</v>
      </c>
      <c r="R1867" s="49">
        <f t="shared" si="532"/>
        <v>1</v>
      </c>
      <c r="S1867" s="50">
        <f t="shared" si="533"/>
        <v>0.01</v>
      </c>
      <c r="T1867" s="49">
        <f t="shared" si="534"/>
        <v>24650.560000000001</v>
      </c>
      <c r="U1867" s="51">
        <f t="shared" si="535"/>
        <v>0</v>
      </c>
      <c r="V1867" s="52">
        <f>IF(0&lt;0.8,0,IF(0&lt;1,Sheet3!L561,1))*IF(G1867&lt;3,0.12 - O1867,0.01) *U1867</f>
        <v>0</v>
      </c>
      <c r="W1867" s="52">
        <f t="shared" si="536"/>
        <v>0</v>
      </c>
      <c r="X1867" s="53">
        <f t="shared" si="537"/>
        <v>0</v>
      </c>
      <c r="Y1867" s="53">
        <f t="shared" si="538"/>
        <v>0</v>
      </c>
      <c r="Z1867" s="54">
        <f t="shared" si="544"/>
        <v>0</v>
      </c>
      <c r="AA1867" s="54">
        <f t="shared" si="539"/>
        <v>0</v>
      </c>
      <c r="AB1867" s="55">
        <f t="shared" si="545"/>
        <v>0</v>
      </c>
      <c r="AC1867" s="55">
        <f t="shared" si="540"/>
        <v>0</v>
      </c>
      <c r="AD1867" s="56">
        <f t="shared" si="541"/>
        <v>24650.560000000001</v>
      </c>
    </row>
    <row r="1868" spans="3:30">
      <c r="C1868" s="43" t="s">
        <v>3419</v>
      </c>
      <c r="D1868" s="44" t="s">
        <v>3420</v>
      </c>
      <c r="E1868" s="44"/>
      <c r="F1868" s="45">
        <v>42944.117800925924</v>
      </c>
      <c r="G1868" s="46">
        <v>14</v>
      </c>
      <c r="H1868" s="47">
        <v>43399</v>
      </c>
      <c r="I1868" s="47">
        <v>43409</v>
      </c>
      <c r="J1868" s="46">
        <v>1036365</v>
      </c>
      <c r="K1868" s="46">
        <v>123089</v>
      </c>
      <c r="L1868" s="46">
        <v>0</v>
      </c>
      <c r="M1868" s="46">
        <f t="shared" si="530"/>
        <v>913276</v>
      </c>
      <c r="N1868" s="46">
        <v>1268635</v>
      </c>
      <c r="O1868" s="48">
        <f t="shared" si="531"/>
        <v>0.28011130072873602</v>
      </c>
      <c r="P1868" s="46">
        <v>0</v>
      </c>
      <c r="Q1868" s="46">
        <v>1036365</v>
      </c>
      <c r="R1868" s="49">
        <f t="shared" si="532"/>
        <v>1</v>
      </c>
      <c r="S1868" s="50">
        <f t="shared" si="533"/>
        <v>0.01</v>
      </c>
      <c r="T1868" s="49">
        <f t="shared" si="534"/>
        <v>9132.76</v>
      </c>
      <c r="U1868" s="51">
        <f t="shared" si="535"/>
        <v>0</v>
      </c>
      <c r="V1868" s="52">
        <f>IF(0&lt;0.8,0,IF(0&lt;1,Sheet3!L561,1))*IF(G1868&lt;3,0.12 - O1868,0.01) *U1868</f>
        <v>0</v>
      </c>
      <c r="W1868" s="52">
        <f t="shared" si="536"/>
        <v>0</v>
      </c>
      <c r="X1868" s="53">
        <f t="shared" si="537"/>
        <v>0</v>
      </c>
      <c r="Y1868" s="53">
        <f t="shared" si="538"/>
        <v>0</v>
      </c>
      <c r="Z1868" s="54">
        <f t="shared" si="544"/>
        <v>0</v>
      </c>
      <c r="AA1868" s="54">
        <f t="shared" si="539"/>
        <v>0</v>
      </c>
      <c r="AB1868" s="55">
        <f t="shared" si="545"/>
        <v>0</v>
      </c>
      <c r="AC1868" s="55">
        <f t="shared" si="540"/>
        <v>0</v>
      </c>
      <c r="AD1868" s="56">
        <f t="shared" si="541"/>
        <v>9132.76</v>
      </c>
    </row>
    <row r="1869" spans="3:30">
      <c r="C1869" s="43" t="s">
        <v>3421</v>
      </c>
      <c r="D1869" s="44" t="s">
        <v>3422</v>
      </c>
      <c r="E1869" s="44"/>
      <c r="F1869" s="45">
        <v>42957.338854166665</v>
      </c>
      <c r="G1869" s="46">
        <v>13</v>
      </c>
      <c r="H1869" s="47">
        <v>43399</v>
      </c>
      <c r="I1869" s="47">
        <v>43409</v>
      </c>
      <c r="J1869" s="46">
        <v>1022643</v>
      </c>
      <c r="K1869" s="46">
        <v>121462</v>
      </c>
      <c r="L1869" s="46">
        <v>0</v>
      </c>
      <c r="M1869" s="46">
        <f t="shared" si="530"/>
        <v>901181</v>
      </c>
      <c r="N1869" s="46">
        <v>1695689</v>
      </c>
      <c r="O1869" s="48">
        <f t="shared" si="531"/>
        <v>0.46854582414581925</v>
      </c>
      <c r="P1869" s="46">
        <v>0</v>
      </c>
      <c r="Q1869" s="46">
        <v>1022643</v>
      </c>
      <c r="R1869" s="49">
        <f t="shared" si="532"/>
        <v>1</v>
      </c>
      <c r="S1869" s="50">
        <f t="shared" si="533"/>
        <v>0.01</v>
      </c>
      <c r="T1869" s="49">
        <f t="shared" si="534"/>
        <v>9011.81</v>
      </c>
      <c r="U1869" s="51">
        <f t="shared" si="535"/>
        <v>0</v>
      </c>
      <c r="V1869" s="52">
        <f>IF(0&lt;0.8,0,IF(0&lt;1,Sheet3!L561,1))*IF(G1869&lt;3,0.12 - O1869,0.01) *U1869</f>
        <v>0</v>
      </c>
      <c r="W1869" s="52">
        <f t="shared" si="536"/>
        <v>0</v>
      </c>
      <c r="X1869" s="53">
        <f t="shared" si="537"/>
        <v>0</v>
      </c>
      <c r="Y1869" s="53">
        <f t="shared" si="538"/>
        <v>0</v>
      </c>
      <c r="Z1869" s="54">
        <f t="shared" si="544"/>
        <v>0</v>
      </c>
      <c r="AA1869" s="54">
        <f t="shared" si="539"/>
        <v>0</v>
      </c>
      <c r="AB1869" s="55">
        <f t="shared" si="545"/>
        <v>0</v>
      </c>
      <c r="AC1869" s="55">
        <f t="shared" si="540"/>
        <v>0</v>
      </c>
      <c r="AD1869" s="56">
        <f t="shared" si="541"/>
        <v>9011.81</v>
      </c>
    </row>
    <row r="1870" spans="3:30">
      <c r="C1870" s="43" t="s">
        <v>3423</v>
      </c>
      <c r="D1870" s="44" t="s">
        <v>3424</v>
      </c>
      <c r="E1870" s="44"/>
      <c r="F1870" s="45">
        <v>43000.161736111106</v>
      </c>
      <c r="G1870" s="46">
        <v>12</v>
      </c>
      <c r="H1870" s="47">
        <v>43487</v>
      </c>
      <c r="I1870" s="47">
        <v>43511</v>
      </c>
      <c r="J1870" s="46">
        <v>219142</v>
      </c>
      <c r="K1870" s="46">
        <v>0</v>
      </c>
      <c r="L1870" s="46">
        <v>0</v>
      </c>
      <c r="M1870" s="46">
        <f t="shared" si="530"/>
        <v>219142</v>
      </c>
      <c r="N1870" s="46">
        <v>353683</v>
      </c>
      <c r="O1870" s="48">
        <f t="shared" si="531"/>
        <v>0.38039996267844367</v>
      </c>
      <c r="P1870" s="46">
        <v>0</v>
      </c>
      <c r="Q1870" s="46">
        <v>219142</v>
      </c>
      <c r="R1870" s="49">
        <f t="shared" si="532"/>
        <v>1</v>
      </c>
      <c r="S1870" s="50">
        <f t="shared" si="533"/>
        <v>0.01</v>
      </c>
      <c r="T1870" s="49">
        <f t="shared" si="534"/>
        <v>2191.42</v>
      </c>
      <c r="U1870" s="51">
        <f t="shared" si="535"/>
        <v>0</v>
      </c>
      <c r="V1870" s="52">
        <f>IF(0&lt;0.8,0,IF(0&lt;1,Sheet3!L561,1))*IF(G1870&lt;3,0.12 - O1870,0.01) *U1870</f>
        <v>0</v>
      </c>
      <c r="W1870" s="52">
        <f t="shared" si="536"/>
        <v>0</v>
      </c>
      <c r="X1870" s="53">
        <f t="shared" si="537"/>
        <v>0</v>
      </c>
      <c r="Y1870" s="53">
        <f t="shared" si="538"/>
        <v>0</v>
      </c>
      <c r="Z1870" s="54">
        <f t="shared" si="544"/>
        <v>0</v>
      </c>
      <c r="AA1870" s="54">
        <f t="shared" si="539"/>
        <v>0</v>
      </c>
      <c r="AB1870" s="55">
        <f t="shared" si="545"/>
        <v>0</v>
      </c>
      <c r="AC1870" s="55">
        <f t="shared" si="540"/>
        <v>0</v>
      </c>
      <c r="AD1870" s="56">
        <f t="shared" si="541"/>
        <v>2191.42</v>
      </c>
    </row>
    <row r="1871" spans="3:30">
      <c r="C1871" s="43" t="s">
        <v>3425</v>
      </c>
      <c r="D1871" s="44" t="s">
        <v>3426</v>
      </c>
      <c r="E1871" s="44"/>
      <c r="F1871" s="45">
        <v>43097.260381944441</v>
      </c>
      <c r="G1871" s="46">
        <v>9</v>
      </c>
      <c r="H1871" s="47">
        <v>43399</v>
      </c>
      <c r="I1871" s="47">
        <v>43409</v>
      </c>
      <c r="J1871" s="46">
        <v>1306577</v>
      </c>
      <c r="K1871" s="46">
        <v>155150</v>
      </c>
      <c r="L1871" s="46">
        <v>0</v>
      </c>
      <c r="M1871" s="46">
        <f t="shared" si="530"/>
        <v>1151427</v>
      </c>
      <c r="N1871" s="46">
        <v>2008177</v>
      </c>
      <c r="O1871" s="48">
        <f t="shared" si="531"/>
        <v>0.42663072030005322</v>
      </c>
      <c r="P1871" s="46">
        <v>0</v>
      </c>
      <c r="Q1871" s="46">
        <v>1306577</v>
      </c>
      <c r="R1871" s="49">
        <f t="shared" si="532"/>
        <v>1</v>
      </c>
      <c r="S1871" s="50">
        <f t="shared" si="533"/>
        <v>0.01</v>
      </c>
      <c r="T1871" s="49">
        <f t="shared" si="534"/>
        <v>11514.27</v>
      </c>
      <c r="U1871" s="51">
        <f t="shared" si="535"/>
        <v>0</v>
      </c>
      <c r="V1871" s="52">
        <f>IF(0&lt;0.8,0,IF(0&lt;1,Sheet3!L561,1))*IF(G1871&lt;3,0.12 - O1871,0.01) *U1871</f>
        <v>0</v>
      </c>
      <c r="W1871" s="52">
        <f t="shared" si="536"/>
        <v>0</v>
      </c>
      <c r="X1871" s="53">
        <f t="shared" si="537"/>
        <v>0</v>
      </c>
      <c r="Y1871" s="53">
        <f t="shared" si="538"/>
        <v>0</v>
      </c>
      <c r="Z1871" s="54">
        <f t="shared" si="544"/>
        <v>0</v>
      </c>
      <c r="AA1871" s="54">
        <f t="shared" si="539"/>
        <v>0</v>
      </c>
      <c r="AB1871" s="55">
        <f t="shared" si="545"/>
        <v>0</v>
      </c>
      <c r="AC1871" s="55">
        <f t="shared" si="540"/>
        <v>0</v>
      </c>
      <c r="AD1871" s="56">
        <f t="shared" si="541"/>
        <v>11514.27</v>
      </c>
    </row>
    <row r="1872" spans="3:30">
      <c r="C1872" s="43" t="s">
        <v>3427</v>
      </c>
      <c r="D1872" s="44" t="s">
        <v>3428</v>
      </c>
      <c r="E1872" s="44"/>
      <c r="F1872" s="45">
        <v>43162.168657407405</v>
      </c>
      <c r="G1872" s="46">
        <v>6</v>
      </c>
      <c r="H1872" s="47" t="s">
        <v>24</v>
      </c>
      <c r="I1872" s="47" t="s">
        <v>24</v>
      </c>
      <c r="J1872" s="46">
        <v>5413480</v>
      </c>
      <c r="K1872" s="46">
        <v>0</v>
      </c>
      <c r="L1872" s="46">
        <v>0</v>
      </c>
      <c r="M1872" s="46">
        <f t="shared" si="530"/>
        <v>5413480</v>
      </c>
      <c r="N1872" s="46">
        <v>6936567</v>
      </c>
      <c r="O1872" s="48">
        <f t="shared" si="531"/>
        <v>0.21957360175429719</v>
      </c>
      <c r="P1872" s="46">
        <v>0</v>
      </c>
      <c r="Q1872" s="46">
        <v>5413480</v>
      </c>
      <c r="R1872" s="49">
        <f t="shared" si="532"/>
        <v>1</v>
      </c>
      <c r="S1872" s="50">
        <f t="shared" si="533"/>
        <v>0.01</v>
      </c>
      <c r="T1872" s="49">
        <f t="shared" si="534"/>
        <v>54134.8</v>
      </c>
      <c r="U1872" s="51">
        <f t="shared" si="535"/>
        <v>0</v>
      </c>
      <c r="V1872" s="52">
        <f>IF(0&lt;0.8,0,IF(0&lt;1,Sheet3!L561,1))*IF(G1872&lt;3,0.12 - O1872,0.01) *U1872</f>
        <v>0</v>
      </c>
      <c r="W1872" s="52">
        <f t="shared" si="536"/>
        <v>0</v>
      </c>
      <c r="X1872" s="53">
        <f t="shared" si="537"/>
        <v>0</v>
      </c>
      <c r="Y1872" s="53">
        <f t="shared" si="538"/>
        <v>0</v>
      </c>
      <c r="Z1872" s="54">
        <f t="shared" si="544"/>
        <v>0</v>
      </c>
      <c r="AA1872" s="54">
        <f t="shared" si="539"/>
        <v>0</v>
      </c>
      <c r="AB1872" s="55">
        <f t="shared" si="545"/>
        <v>0</v>
      </c>
      <c r="AC1872" s="55">
        <f t="shared" si="540"/>
        <v>0</v>
      </c>
      <c r="AD1872" s="56">
        <f t="shared" si="541"/>
        <v>54134.8</v>
      </c>
    </row>
    <row r="1873" spans="3:30">
      <c r="C1873" s="43" t="s">
        <v>3429</v>
      </c>
      <c r="D1873" s="44" t="s">
        <v>3430</v>
      </c>
      <c r="E1873" s="44"/>
      <c r="F1873" s="45">
        <v>42521.377291666664</v>
      </c>
      <c r="G1873" s="46">
        <v>28</v>
      </c>
      <c r="H1873" s="47" t="s">
        <v>24</v>
      </c>
      <c r="I1873" s="47" t="s">
        <v>24</v>
      </c>
      <c r="J1873" s="46">
        <v>0</v>
      </c>
      <c r="K1873" s="46">
        <v>0</v>
      </c>
      <c r="L1873" s="46">
        <v>0</v>
      </c>
      <c r="M1873" s="46">
        <f t="shared" si="530"/>
        <v>0</v>
      </c>
      <c r="N1873" s="46">
        <v>1008459</v>
      </c>
      <c r="O1873" s="48">
        <f t="shared" si="531"/>
        <v>1</v>
      </c>
      <c r="P1873" s="46">
        <v>0</v>
      </c>
      <c r="Q1873" s="46">
        <v>0</v>
      </c>
      <c r="R1873" s="49">
        <f t="shared" si="532"/>
        <v>1</v>
      </c>
      <c r="S1873" s="50">
        <f t="shared" si="533"/>
        <v>0.01</v>
      </c>
      <c r="T1873" s="49">
        <f t="shared" si="534"/>
        <v>0</v>
      </c>
      <c r="U1873" s="51">
        <f t="shared" si="535"/>
        <v>0</v>
      </c>
      <c r="V1873" s="52">
        <f>IF(0&lt;0.8,0,IF(0&lt;1,Sheet3!L561,1))*IF(G1873&lt;3,0.12 - O1873,0.01) *U1873</f>
        <v>0</v>
      </c>
      <c r="W1873" s="52">
        <f t="shared" si="536"/>
        <v>0</v>
      </c>
      <c r="X1873" s="53">
        <f t="shared" si="537"/>
        <v>0</v>
      </c>
      <c r="Y1873" s="53">
        <f t="shared" si="538"/>
        <v>0</v>
      </c>
      <c r="Z1873" s="54">
        <f>IF(R1873=1,0,"")</f>
        <v>0</v>
      </c>
      <c r="AA1873" s="54">
        <f t="shared" si="539"/>
        <v>0</v>
      </c>
      <c r="AB1873" s="55">
        <f>IF(R1873=0,"",0)</f>
        <v>0</v>
      </c>
      <c r="AC1873" s="55">
        <f t="shared" si="540"/>
        <v>0</v>
      </c>
      <c r="AD1873" s="56">
        <f t="shared" si="541"/>
        <v>0</v>
      </c>
    </row>
    <row r="1874" spans="3:30">
      <c r="C1874" s="43" t="s">
        <v>3431</v>
      </c>
      <c r="D1874" s="44" t="s">
        <v>995</v>
      </c>
      <c r="E1874" s="44"/>
      <c r="F1874" s="45">
        <v>43316.679525462961</v>
      </c>
      <c r="G1874" s="46">
        <v>1</v>
      </c>
      <c r="H1874" s="47">
        <v>43459</v>
      </c>
      <c r="I1874" s="47">
        <v>43487</v>
      </c>
      <c r="J1874" s="46">
        <v>873480</v>
      </c>
      <c r="K1874" s="46">
        <v>0</v>
      </c>
      <c r="L1874" s="46">
        <v>0</v>
      </c>
      <c r="M1874" s="46">
        <f t="shared" si="530"/>
        <v>873480</v>
      </c>
      <c r="N1874" s="46">
        <v>1028258</v>
      </c>
      <c r="O1874" s="48">
        <f t="shared" si="531"/>
        <v>0.15052447926493151</v>
      </c>
      <c r="P1874" s="46">
        <v>0</v>
      </c>
      <c r="Q1874" s="46">
        <v>0</v>
      </c>
      <c r="R1874" s="49">
        <f t="shared" si="532"/>
        <v>0</v>
      </c>
      <c r="S1874" s="50">
        <f t="shared" si="533"/>
        <v>0</v>
      </c>
      <c r="T1874" s="49">
        <f t="shared" si="534"/>
        <v>0</v>
      </c>
      <c r="U1874" s="51">
        <f t="shared" si="535"/>
        <v>0</v>
      </c>
      <c r="V1874" s="52">
        <f>IF(0&lt;0.8,0,IF(0&lt;1,Sheet3!L561,1))*IF(G1874&lt;3,0.12 - O1874,0.01) *U1874</f>
        <v>0</v>
      </c>
      <c r="W1874" s="52">
        <f t="shared" si="536"/>
        <v>0</v>
      </c>
      <c r="X1874" s="53">
        <f t="shared" si="537"/>
        <v>0</v>
      </c>
      <c r="Y1874" s="53">
        <f t="shared" si="538"/>
        <v>0</v>
      </c>
      <c r="Z1874" s="54">
        <f t="shared" ref="Z1874:Z1937" si="546">IF(R1874=1,0,0)</f>
        <v>0</v>
      </c>
      <c r="AA1874" s="54">
        <f t="shared" si="539"/>
        <v>0</v>
      </c>
      <c r="AB1874" s="55">
        <f t="shared" ref="AB1874:AB1889" si="547">IF(R1874=0,0,0)</f>
        <v>0</v>
      </c>
      <c r="AC1874" s="55">
        <f t="shared" si="540"/>
        <v>0</v>
      </c>
      <c r="AD1874" s="56">
        <f t="shared" si="541"/>
        <v>0</v>
      </c>
    </row>
    <row r="1875" spans="3:30">
      <c r="C1875" s="43" t="s">
        <v>3432</v>
      </c>
      <c r="D1875" s="44" t="s">
        <v>995</v>
      </c>
      <c r="E1875" s="44"/>
      <c r="F1875" s="45">
        <v>43316.680300925924</v>
      </c>
      <c r="G1875" s="46">
        <v>1</v>
      </c>
      <c r="H1875" s="47">
        <v>43459</v>
      </c>
      <c r="I1875" s="47">
        <v>43487</v>
      </c>
      <c r="J1875" s="46">
        <v>633342</v>
      </c>
      <c r="K1875" s="46">
        <v>0</v>
      </c>
      <c r="L1875" s="46">
        <v>0</v>
      </c>
      <c r="M1875" s="46">
        <f t="shared" si="530"/>
        <v>633342</v>
      </c>
      <c r="N1875" s="46">
        <v>774642</v>
      </c>
      <c r="O1875" s="48">
        <f t="shared" si="531"/>
        <v>0.18240684083744496</v>
      </c>
      <c r="P1875" s="46">
        <v>0</v>
      </c>
      <c r="Q1875" s="46">
        <v>0</v>
      </c>
      <c r="R1875" s="49">
        <f t="shared" si="532"/>
        <v>0</v>
      </c>
      <c r="S1875" s="50">
        <f t="shared" si="533"/>
        <v>0</v>
      </c>
      <c r="T1875" s="49">
        <f t="shared" si="534"/>
        <v>0</v>
      </c>
      <c r="U1875" s="51">
        <f t="shared" si="535"/>
        <v>0</v>
      </c>
      <c r="V1875" s="52">
        <f>IF(0&lt;0.8,0,IF(0&lt;1,Sheet3!L561,1))*IF(G1875&lt;3,0.12 - O1875,0.01) *U1875</f>
        <v>0</v>
      </c>
      <c r="W1875" s="52">
        <f t="shared" si="536"/>
        <v>0</v>
      </c>
      <c r="X1875" s="53">
        <f t="shared" si="537"/>
        <v>0</v>
      </c>
      <c r="Y1875" s="53">
        <f t="shared" si="538"/>
        <v>0</v>
      </c>
      <c r="Z1875" s="54">
        <f t="shared" si="546"/>
        <v>0</v>
      </c>
      <c r="AA1875" s="54">
        <f t="shared" si="539"/>
        <v>0</v>
      </c>
      <c r="AB1875" s="55">
        <f t="shared" si="547"/>
        <v>0</v>
      </c>
      <c r="AC1875" s="55">
        <f t="shared" si="540"/>
        <v>0</v>
      </c>
      <c r="AD1875" s="56">
        <f t="shared" si="541"/>
        <v>0</v>
      </c>
    </row>
    <row r="1876" spans="3:30">
      <c r="C1876" s="43" t="s">
        <v>3433</v>
      </c>
      <c r="D1876" s="44" t="s">
        <v>995</v>
      </c>
      <c r="E1876" s="44"/>
      <c r="F1876" s="45">
        <v>43316.680868055555</v>
      </c>
      <c r="G1876" s="46">
        <v>1</v>
      </c>
      <c r="H1876" s="47">
        <v>43459</v>
      </c>
      <c r="I1876" s="47">
        <v>43487</v>
      </c>
      <c r="J1876" s="46">
        <v>954699</v>
      </c>
      <c r="K1876" s="46">
        <v>0</v>
      </c>
      <c r="L1876" s="46">
        <v>0</v>
      </c>
      <c r="M1876" s="46">
        <f t="shared" si="530"/>
        <v>954699</v>
      </c>
      <c r="N1876" s="46">
        <v>1047618</v>
      </c>
      <c r="O1876" s="48">
        <f t="shared" si="531"/>
        <v>8.8695497786406841E-2</v>
      </c>
      <c r="P1876" s="46">
        <v>0</v>
      </c>
      <c r="Q1876" s="46">
        <v>0</v>
      </c>
      <c r="R1876" s="49">
        <f t="shared" si="532"/>
        <v>0</v>
      </c>
      <c r="S1876" s="50">
        <f t="shared" si="533"/>
        <v>0</v>
      </c>
      <c r="T1876" s="49">
        <f t="shared" si="534"/>
        <v>0</v>
      </c>
      <c r="U1876" s="51">
        <f t="shared" si="535"/>
        <v>954699</v>
      </c>
      <c r="V1876" s="52">
        <f>IF(0&lt;0.8,0,IF(0&lt;1,Sheet3!L561,1))*IF(G1876&lt;3,0.12 - O1876,0.01) *U1876</f>
        <v>0</v>
      </c>
      <c r="W1876" s="52">
        <f t="shared" si="536"/>
        <v>0</v>
      </c>
      <c r="X1876" s="53">
        <f t="shared" si="537"/>
        <v>0</v>
      </c>
      <c r="Y1876" s="53">
        <f t="shared" si="538"/>
        <v>0</v>
      </c>
      <c r="Z1876" s="54">
        <f t="shared" si="546"/>
        <v>0</v>
      </c>
      <c r="AA1876" s="54">
        <f t="shared" si="539"/>
        <v>0</v>
      </c>
      <c r="AB1876" s="55">
        <f t="shared" si="547"/>
        <v>0</v>
      </c>
      <c r="AC1876" s="55">
        <f t="shared" si="540"/>
        <v>0</v>
      </c>
      <c r="AD1876" s="56">
        <f t="shared" si="541"/>
        <v>0</v>
      </c>
    </row>
    <row r="1877" spans="3:30">
      <c r="C1877" s="43" t="s">
        <v>3434</v>
      </c>
      <c r="D1877" s="44" t="s">
        <v>3435</v>
      </c>
      <c r="E1877" s="44"/>
      <c r="F1877" s="45">
        <v>38960.638541666667</v>
      </c>
      <c r="G1877" s="46">
        <v>145</v>
      </c>
      <c r="H1877" s="47">
        <v>43399</v>
      </c>
      <c r="I1877" s="47">
        <v>43402</v>
      </c>
      <c r="J1877" s="46">
        <v>9087988</v>
      </c>
      <c r="K1877" s="46">
        <v>0</v>
      </c>
      <c r="L1877" s="46">
        <v>0</v>
      </c>
      <c r="M1877" s="46">
        <f t="shared" si="530"/>
        <v>9087988</v>
      </c>
      <c r="N1877" s="46">
        <v>8810698</v>
      </c>
      <c r="O1877" s="48">
        <f t="shared" si="531"/>
        <v>0</v>
      </c>
      <c r="P1877" s="46">
        <v>0</v>
      </c>
      <c r="Q1877" s="46">
        <v>9087988</v>
      </c>
      <c r="R1877" s="49">
        <f t="shared" si="532"/>
        <v>1</v>
      </c>
      <c r="S1877" s="50">
        <f t="shared" si="533"/>
        <v>0.01</v>
      </c>
      <c r="T1877" s="49">
        <f t="shared" si="534"/>
        <v>90879.88</v>
      </c>
      <c r="U1877" s="51">
        <f t="shared" si="535"/>
        <v>0</v>
      </c>
      <c r="V1877" s="52">
        <f>IF(0&lt;0.8,0,IF(0&lt;1,Sheet3!L561,1))*IF(G1877&lt;3,0.12 - O1877,0.01) *U1877</f>
        <v>0</v>
      </c>
      <c r="W1877" s="52">
        <f t="shared" si="536"/>
        <v>0</v>
      </c>
      <c r="X1877" s="53">
        <f t="shared" si="537"/>
        <v>0</v>
      </c>
      <c r="Y1877" s="53">
        <f t="shared" si="538"/>
        <v>0</v>
      </c>
      <c r="Z1877" s="54">
        <f t="shared" si="546"/>
        <v>0</v>
      </c>
      <c r="AA1877" s="54">
        <f t="shared" si="539"/>
        <v>0</v>
      </c>
      <c r="AB1877" s="55">
        <f t="shared" si="547"/>
        <v>0</v>
      </c>
      <c r="AC1877" s="55">
        <f t="shared" si="540"/>
        <v>0</v>
      </c>
      <c r="AD1877" s="56">
        <f t="shared" si="541"/>
        <v>90879.88</v>
      </c>
    </row>
    <row r="1878" spans="3:30">
      <c r="C1878" s="43" t="s">
        <v>3436</v>
      </c>
      <c r="D1878" s="44" t="s">
        <v>3437</v>
      </c>
      <c r="E1878" s="44"/>
      <c r="F1878" s="45">
        <v>38960.63857638889</v>
      </c>
      <c r="G1878" s="46">
        <v>145</v>
      </c>
      <c r="H1878" s="47">
        <v>43393</v>
      </c>
      <c r="I1878" s="47">
        <v>43432</v>
      </c>
      <c r="J1878" s="46">
        <v>1779208</v>
      </c>
      <c r="K1878" s="46">
        <v>0</v>
      </c>
      <c r="L1878" s="46">
        <v>0</v>
      </c>
      <c r="M1878" s="46">
        <f t="shared" si="530"/>
        <v>1779208</v>
      </c>
      <c r="N1878" s="46">
        <v>1779208</v>
      </c>
      <c r="O1878" s="48">
        <f t="shared" si="531"/>
        <v>0</v>
      </c>
      <c r="P1878" s="46">
        <v>0</v>
      </c>
      <c r="Q1878" s="46">
        <v>1779208</v>
      </c>
      <c r="R1878" s="49">
        <f t="shared" si="532"/>
        <v>1</v>
      </c>
      <c r="S1878" s="50">
        <f t="shared" si="533"/>
        <v>0.01</v>
      </c>
      <c r="T1878" s="49">
        <f t="shared" si="534"/>
        <v>17792.080000000002</v>
      </c>
      <c r="U1878" s="51">
        <f t="shared" si="535"/>
        <v>0</v>
      </c>
      <c r="V1878" s="52">
        <f>IF(0&lt;0.8,0,IF(0&lt;1,Sheet3!L561,1))*IF(G1878&lt;3,0.12 - O1878,0.01) *U1878</f>
        <v>0</v>
      </c>
      <c r="W1878" s="52">
        <f t="shared" si="536"/>
        <v>0</v>
      </c>
      <c r="X1878" s="53">
        <f t="shared" si="537"/>
        <v>0</v>
      </c>
      <c r="Y1878" s="53">
        <f t="shared" si="538"/>
        <v>0</v>
      </c>
      <c r="Z1878" s="54">
        <f t="shared" si="546"/>
        <v>0</v>
      </c>
      <c r="AA1878" s="54">
        <f t="shared" si="539"/>
        <v>0</v>
      </c>
      <c r="AB1878" s="55">
        <f t="shared" si="547"/>
        <v>0</v>
      </c>
      <c r="AC1878" s="55">
        <f t="shared" si="540"/>
        <v>0</v>
      </c>
      <c r="AD1878" s="56">
        <f t="shared" si="541"/>
        <v>17792.080000000002</v>
      </c>
    </row>
    <row r="1879" spans="3:30">
      <c r="C1879" s="43" t="s">
        <v>3438</v>
      </c>
      <c r="D1879" s="44" t="s">
        <v>3439</v>
      </c>
      <c r="E1879" s="44"/>
      <c r="F1879" s="45">
        <v>38960.638599537036</v>
      </c>
      <c r="G1879" s="46">
        <v>145</v>
      </c>
      <c r="H1879" s="47">
        <v>43384</v>
      </c>
      <c r="I1879" s="47">
        <v>43392</v>
      </c>
      <c r="J1879" s="46">
        <v>3208509</v>
      </c>
      <c r="K1879" s="46">
        <v>291683</v>
      </c>
      <c r="L1879" s="46">
        <v>0</v>
      </c>
      <c r="M1879" s="46">
        <f t="shared" si="530"/>
        <v>2916826</v>
      </c>
      <c r="N1879" s="46">
        <v>3208509</v>
      </c>
      <c r="O1879" s="48">
        <f t="shared" si="531"/>
        <v>9.0909204244089659E-2</v>
      </c>
      <c r="P1879" s="46">
        <v>0</v>
      </c>
      <c r="Q1879" s="46">
        <v>3208509</v>
      </c>
      <c r="R1879" s="49">
        <f t="shared" si="532"/>
        <v>1</v>
      </c>
      <c r="S1879" s="50">
        <f t="shared" si="533"/>
        <v>0.01</v>
      </c>
      <c r="T1879" s="49">
        <f t="shared" si="534"/>
        <v>29168.260000000002</v>
      </c>
      <c r="U1879" s="51">
        <f t="shared" si="535"/>
        <v>0</v>
      </c>
      <c r="V1879" s="52">
        <f>IF(0&lt;0.8,0,IF(0&lt;1,Sheet3!L561,1))*IF(G1879&lt;3,0.12 - O1879,0.01) *U1879</f>
        <v>0</v>
      </c>
      <c r="W1879" s="52">
        <f t="shared" si="536"/>
        <v>0</v>
      </c>
      <c r="X1879" s="53">
        <f t="shared" si="537"/>
        <v>0</v>
      </c>
      <c r="Y1879" s="53">
        <f t="shared" si="538"/>
        <v>0</v>
      </c>
      <c r="Z1879" s="54">
        <f t="shared" si="546"/>
        <v>0</v>
      </c>
      <c r="AA1879" s="54">
        <f t="shared" si="539"/>
        <v>0</v>
      </c>
      <c r="AB1879" s="55">
        <f t="shared" si="547"/>
        <v>0</v>
      </c>
      <c r="AC1879" s="55">
        <f t="shared" si="540"/>
        <v>0</v>
      </c>
      <c r="AD1879" s="56">
        <f t="shared" si="541"/>
        <v>29168.260000000002</v>
      </c>
    </row>
    <row r="1880" spans="3:30">
      <c r="C1880" s="43" t="s">
        <v>3440</v>
      </c>
      <c r="D1880" s="44" t="s">
        <v>3441</v>
      </c>
      <c r="E1880" s="44"/>
      <c r="F1880" s="45">
        <v>38960.638599537036</v>
      </c>
      <c r="G1880" s="46">
        <v>145</v>
      </c>
      <c r="H1880" s="47">
        <v>43384</v>
      </c>
      <c r="I1880" s="47">
        <v>43425</v>
      </c>
      <c r="J1880" s="46">
        <v>8528964</v>
      </c>
      <c r="K1880" s="46">
        <v>387655</v>
      </c>
      <c r="L1880" s="46">
        <v>0</v>
      </c>
      <c r="M1880" s="46">
        <f t="shared" si="530"/>
        <v>8141309</v>
      </c>
      <c r="N1880" s="46">
        <v>8528964</v>
      </c>
      <c r="O1880" s="48">
        <f t="shared" si="531"/>
        <v>4.5451592948451913E-2</v>
      </c>
      <c r="P1880" s="46">
        <v>0</v>
      </c>
      <c r="Q1880" s="46">
        <v>8528964</v>
      </c>
      <c r="R1880" s="49">
        <f t="shared" si="532"/>
        <v>1</v>
      </c>
      <c r="S1880" s="50">
        <f t="shared" si="533"/>
        <v>0.01</v>
      </c>
      <c r="T1880" s="49">
        <f t="shared" si="534"/>
        <v>81413.09</v>
      </c>
      <c r="U1880" s="51">
        <f t="shared" si="535"/>
        <v>0</v>
      </c>
      <c r="V1880" s="52">
        <f>IF(0&lt;0.8,0,IF(0&lt;1,Sheet3!L561,1))*IF(G1880&lt;3,0.12 - O1880,0.01) *U1880</f>
        <v>0</v>
      </c>
      <c r="W1880" s="52">
        <f t="shared" si="536"/>
        <v>0</v>
      </c>
      <c r="X1880" s="53">
        <f t="shared" si="537"/>
        <v>0</v>
      </c>
      <c r="Y1880" s="53">
        <f t="shared" si="538"/>
        <v>0</v>
      </c>
      <c r="Z1880" s="54">
        <f t="shared" si="546"/>
        <v>0</v>
      </c>
      <c r="AA1880" s="54">
        <f t="shared" si="539"/>
        <v>0</v>
      </c>
      <c r="AB1880" s="55">
        <f t="shared" si="547"/>
        <v>0</v>
      </c>
      <c r="AC1880" s="55">
        <f t="shared" si="540"/>
        <v>0</v>
      </c>
      <c r="AD1880" s="56">
        <f t="shared" si="541"/>
        <v>81413.09</v>
      </c>
    </row>
    <row r="1881" spans="3:30">
      <c r="C1881" s="43" t="s">
        <v>3442</v>
      </c>
      <c r="D1881" s="44" t="s">
        <v>3443</v>
      </c>
      <c r="E1881" s="44"/>
      <c r="F1881" s="45">
        <v>38960.63863425926</v>
      </c>
      <c r="G1881" s="46">
        <v>145</v>
      </c>
      <c r="H1881" s="47">
        <v>43384</v>
      </c>
      <c r="I1881" s="47">
        <v>43390</v>
      </c>
      <c r="J1881" s="46">
        <v>10780254</v>
      </c>
      <c r="K1881" s="46">
        <v>0</v>
      </c>
      <c r="L1881" s="46">
        <v>0</v>
      </c>
      <c r="M1881" s="46">
        <f t="shared" si="530"/>
        <v>10780254</v>
      </c>
      <c r="N1881" s="46">
        <v>10723580</v>
      </c>
      <c r="O1881" s="48">
        <f t="shared" si="531"/>
        <v>0</v>
      </c>
      <c r="P1881" s="46">
        <v>0</v>
      </c>
      <c r="Q1881" s="46">
        <v>10780254</v>
      </c>
      <c r="R1881" s="49">
        <f t="shared" si="532"/>
        <v>1</v>
      </c>
      <c r="S1881" s="50">
        <f t="shared" si="533"/>
        <v>0.01</v>
      </c>
      <c r="T1881" s="49">
        <f t="shared" si="534"/>
        <v>107802.54000000001</v>
      </c>
      <c r="U1881" s="51">
        <f t="shared" si="535"/>
        <v>0</v>
      </c>
      <c r="V1881" s="52">
        <f>IF(0&lt;0.8,0,IF(0&lt;1,Sheet3!L561,1))*IF(G1881&lt;3,0.12 - O1881,0.01) *U1881</f>
        <v>0</v>
      </c>
      <c r="W1881" s="52">
        <f t="shared" si="536"/>
        <v>0</v>
      </c>
      <c r="X1881" s="53">
        <f t="shared" si="537"/>
        <v>0</v>
      </c>
      <c r="Y1881" s="53">
        <f t="shared" si="538"/>
        <v>0</v>
      </c>
      <c r="Z1881" s="54">
        <f t="shared" si="546"/>
        <v>0</v>
      </c>
      <c r="AA1881" s="54">
        <f t="shared" si="539"/>
        <v>0</v>
      </c>
      <c r="AB1881" s="55">
        <f t="shared" si="547"/>
        <v>0</v>
      </c>
      <c r="AC1881" s="55">
        <f t="shared" si="540"/>
        <v>0</v>
      </c>
      <c r="AD1881" s="56">
        <f t="shared" si="541"/>
        <v>107802.54000000001</v>
      </c>
    </row>
    <row r="1882" spans="3:30">
      <c r="C1882" s="43" t="s">
        <v>3444</v>
      </c>
      <c r="D1882" s="44" t="s">
        <v>3445</v>
      </c>
      <c r="E1882" s="44"/>
      <c r="F1882" s="45">
        <v>38960.638379629629</v>
      </c>
      <c r="G1882" s="46">
        <v>145</v>
      </c>
      <c r="H1882" s="47">
        <v>43384</v>
      </c>
      <c r="I1882" s="47">
        <v>43399</v>
      </c>
      <c r="J1882" s="46">
        <v>1805078</v>
      </c>
      <c r="K1882" s="46">
        <v>0</v>
      </c>
      <c r="L1882" s="46">
        <v>0</v>
      </c>
      <c r="M1882" s="46">
        <f t="shared" si="530"/>
        <v>1805078</v>
      </c>
      <c r="N1882" s="46">
        <v>1805078</v>
      </c>
      <c r="O1882" s="48">
        <f t="shared" si="531"/>
        <v>0</v>
      </c>
      <c r="P1882" s="46">
        <v>0</v>
      </c>
      <c r="Q1882" s="46">
        <v>1805078</v>
      </c>
      <c r="R1882" s="49">
        <f t="shared" si="532"/>
        <v>1</v>
      </c>
      <c r="S1882" s="50">
        <f t="shared" si="533"/>
        <v>0.01</v>
      </c>
      <c r="T1882" s="49">
        <f t="shared" si="534"/>
        <v>18050.78</v>
      </c>
      <c r="U1882" s="51">
        <f t="shared" si="535"/>
        <v>0</v>
      </c>
      <c r="V1882" s="52">
        <f>IF(0&lt;0.8,0,IF(0&lt;1,Sheet3!L561,1))*IF(G1882&lt;3,0.12 - O1882,0.01) *U1882</f>
        <v>0</v>
      </c>
      <c r="W1882" s="52">
        <f t="shared" si="536"/>
        <v>0</v>
      </c>
      <c r="X1882" s="53">
        <f t="shared" si="537"/>
        <v>0</v>
      </c>
      <c r="Y1882" s="53">
        <f t="shared" si="538"/>
        <v>0</v>
      </c>
      <c r="Z1882" s="54">
        <f t="shared" si="546"/>
        <v>0</v>
      </c>
      <c r="AA1882" s="54">
        <f t="shared" si="539"/>
        <v>0</v>
      </c>
      <c r="AB1882" s="55">
        <f t="shared" si="547"/>
        <v>0</v>
      </c>
      <c r="AC1882" s="55">
        <f t="shared" si="540"/>
        <v>0</v>
      </c>
      <c r="AD1882" s="56">
        <f t="shared" si="541"/>
        <v>18050.78</v>
      </c>
    </row>
    <row r="1883" spans="3:30">
      <c r="C1883" s="43" t="s">
        <v>3446</v>
      </c>
      <c r="D1883" s="44" t="s">
        <v>3447</v>
      </c>
      <c r="E1883" s="44"/>
      <c r="F1883" s="45">
        <v>38960.638391203705</v>
      </c>
      <c r="G1883" s="46">
        <v>145</v>
      </c>
      <c r="H1883" s="47">
        <v>43376</v>
      </c>
      <c r="I1883" s="47">
        <v>43385</v>
      </c>
      <c r="J1883" s="46">
        <v>1730663</v>
      </c>
      <c r="K1883" s="46">
        <v>0</v>
      </c>
      <c r="L1883" s="46">
        <v>0</v>
      </c>
      <c r="M1883" s="46">
        <f t="shared" si="530"/>
        <v>1730663</v>
      </c>
      <c r="N1883" s="46">
        <v>1730663</v>
      </c>
      <c r="O1883" s="48">
        <f t="shared" si="531"/>
        <v>0</v>
      </c>
      <c r="P1883" s="46">
        <v>0</v>
      </c>
      <c r="Q1883" s="46">
        <v>1730663</v>
      </c>
      <c r="R1883" s="49">
        <f t="shared" si="532"/>
        <v>1</v>
      </c>
      <c r="S1883" s="50">
        <f t="shared" si="533"/>
        <v>0.01</v>
      </c>
      <c r="T1883" s="49">
        <f t="shared" si="534"/>
        <v>17306.63</v>
      </c>
      <c r="U1883" s="51">
        <f t="shared" si="535"/>
        <v>0</v>
      </c>
      <c r="V1883" s="52">
        <f>IF(0&lt;0.8,0,IF(0&lt;1,Sheet3!L561,1))*IF(G1883&lt;3,0.12 - O1883,0.01) *U1883</f>
        <v>0</v>
      </c>
      <c r="W1883" s="52">
        <f t="shared" si="536"/>
        <v>0</v>
      </c>
      <c r="X1883" s="53">
        <f t="shared" si="537"/>
        <v>0</v>
      </c>
      <c r="Y1883" s="53">
        <f t="shared" si="538"/>
        <v>0</v>
      </c>
      <c r="Z1883" s="54">
        <f t="shared" si="546"/>
        <v>0</v>
      </c>
      <c r="AA1883" s="54">
        <f t="shared" si="539"/>
        <v>0</v>
      </c>
      <c r="AB1883" s="55">
        <f t="shared" si="547"/>
        <v>0</v>
      </c>
      <c r="AC1883" s="55">
        <f t="shared" si="540"/>
        <v>0</v>
      </c>
      <c r="AD1883" s="56">
        <f t="shared" si="541"/>
        <v>17306.63</v>
      </c>
    </row>
    <row r="1884" spans="3:30">
      <c r="C1884" s="43" t="s">
        <v>3448</v>
      </c>
      <c r="D1884" s="44" t="s">
        <v>3449</v>
      </c>
      <c r="E1884" s="44"/>
      <c r="F1884" s="45">
        <v>38972.759583333333</v>
      </c>
      <c r="G1884" s="46">
        <v>144</v>
      </c>
      <c r="H1884" s="47">
        <v>43384</v>
      </c>
      <c r="I1884" s="47">
        <v>43388</v>
      </c>
      <c r="J1884" s="46">
        <v>12092377</v>
      </c>
      <c r="K1884" s="46">
        <v>0</v>
      </c>
      <c r="L1884" s="46">
        <v>0</v>
      </c>
      <c r="M1884" s="46">
        <f t="shared" si="530"/>
        <v>12092377</v>
      </c>
      <c r="N1884" s="46">
        <v>12092377</v>
      </c>
      <c r="O1884" s="48">
        <f t="shared" si="531"/>
        <v>0</v>
      </c>
      <c r="P1884" s="46">
        <v>0</v>
      </c>
      <c r="Q1884" s="46">
        <v>12092377</v>
      </c>
      <c r="R1884" s="49">
        <f t="shared" si="532"/>
        <v>1</v>
      </c>
      <c r="S1884" s="50">
        <f t="shared" si="533"/>
        <v>0.01</v>
      </c>
      <c r="T1884" s="49">
        <f t="shared" si="534"/>
        <v>120923.77</v>
      </c>
      <c r="U1884" s="51">
        <f t="shared" si="535"/>
        <v>0</v>
      </c>
      <c r="V1884" s="52">
        <f>IF(0&lt;0.8,0,IF(0&lt;1,Sheet3!L561,1))*IF(G1884&lt;3,0.12 - O1884,0.01) *U1884</f>
        <v>0</v>
      </c>
      <c r="W1884" s="52">
        <f t="shared" si="536"/>
        <v>0</v>
      </c>
      <c r="X1884" s="53">
        <f t="shared" si="537"/>
        <v>0</v>
      </c>
      <c r="Y1884" s="53">
        <f t="shared" si="538"/>
        <v>0</v>
      </c>
      <c r="Z1884" s="54">
        <f t="shared" si="546"/>
        <v>0</v>
      </c>
      <c r="AA1884" s="54">
        <f t="shared" si="539"/>
        <v>0</v>
      </c>
      <c r="AB1884" s="55">
        <f t="shared" si="547"/>
        <v>0</v>
      </c>
      <c r="AC1884" s="55">
        <f t="shared" si="540"/>
        <v>0</v>
      </c>
      <c r="AD1884" s="56">
        <f t="shared" si="541"/>
        <v>120923.77</v>
      </c>
    </row>
    <row r="1885" spans="3:30">
      <c r="C1885" s="43" t="s">
        <v>3450</v>
      </c>
      <c r="D1885" s="44" t="s">
        <v>3451</v>
      </c>
      <c r="E1885" s="44"/>
      <c r="F1885" s="45">
        <v>38973.398726851847</v>
      </c>
      <c r="G1885" s="46">
        <v>144</v>
      </c>
      <c r="H1885" s="47">
        <v>43388</v>
      </c>
      <c r="I1885" s="47">
        <v>43423</v>
      </c>
      <c r="J1885" s="46">
        <v>637307</v>
      </c>
      <c r="K1885" s="46">
        <v>0</v>
      </c>
      <c r="L1885" s="46">
        <v>0</v>
      </c>
      <c r="M1885" s="46">
        <f t="shared" si="530"/>
        <v>637307</v>
      </c>
      <c r="N1885" s="46">
        <v>637307</v>
      </c>
      <c r="O1885" s="48">
        <f t="shared" si="531"/>
        <v>0</v>
      </c>
      <c r="P1885" s="46">
        <v>0</v>
      </c>
      <c r="Q1885" s="46">
        <v>637307</v>
      </c>
      <c r="R1885" s="49">
        <f t="shared" si="532"/>
        <v>1</v>
      </c>
      <c r="S1885" s="50">
        <f t="shared" si="533"/>
        <v>0.01</v>
      </c>
      <c r="T1885" s="49">
        <f t="shared" si="534"/>
        <v>6373.07</v>
      </c>
      <c r="U1885" s="51">
        <f t="shared" si="535"/>
        <v>0</v>
      </c>
      <c r="V1885" s="52">
        <f>IF(0&lt;0.8,0,IF(0&lt;1,Sheet3!L561,1))*IF(G1885&lt;3,0.12 - O1885,0.01) *U1885</f>
        <v>0</v>
      </c>
      <c r="W1885" s="52">
        <f t="shared" si="536"/>
        <v>0</v>
      </c>
      <c r="X1885" s="53">
        <f t="shared" si="537"/>
        <v>0</v>
      </c>
      <c r="Y1885" s="53">
        <f t="shared" si="538"/>
        <v>0</v>
      </c>
      <c r="Z1885" s="54">
        <f t="shared" si="546"/>
        <v>0</v>
      </c>
      <c r="AA1885" s="54">
        <f t="shared" si="539"/>
        <v>0</v>
      </c>
      <c r="AB1885" s="55">
        <f t="shared" si="547"/>
        <v>0</v>
      </c>
      <c r="AC1885" s="55">
        <f t="shared" si="540"/>
        <v>0</v>
      </c>
      <c r="AD1885" s="56">
        <f t="shared" si="541"/>
        <v>6373.07</v>
      </c>
    </row>
    <row r="1886" spans="3:30">
      <c r="C1886" s="43" t="s">
        <v>3452</v>
      </c>
      <c r="D1886" s="44" t="s">
        <v>3453</v>
      </c>
      <c r="E1886" s="44"/>
      <c r="F1886" s="45">
        <v>38989.431018518517</v>
      </c>
      <c r="G1886" s="46">
        <v>144</v>
      </c>
      <c r="H1886" s="47">
        <v>43384</v>
      </c>
      <c r="I1886" s="47">
        <v>43392</v>
      </c>
      <c r="J1886" s="46">
        <v>6217681</v>
      </c>
      <c r="K1886" s="46">
        <v>0</v>
      </c>
      <c r="L1886" s="46">
        <v>0</v>
      </c>
      <c r="M1886" s="46">
        <f t="shared" si="530"/>
        <v>6217681</v>
      </c>
      <c r="N1886" s="46">
        <v>6217681</v>
      </c>
      <c r="O1886" s="48">
        <f t="shared" si="531"/>
        <v>0</v>
      </c>
      <c r="P1886" s="46">
        <v>0</v>
      </c>
      <c r="Q1886" s="46">
        <v>6217681</v>
      </c>
      <c r="R1886" s="49">
        <f t="shared" si="532"/>
        <v>1</v>
      </c>
      <c r="S1886" s="50">
        <f t="shared" si="533"/>
        <v>0.01</v>
      </c>
      <c r="T1886" s="49">
        <f t="shared" si="534"/>
        <v>62176.81</v>
      </c>
      <c r="U1886" s="51">
        <f t="shared" si="535"/>
        <v>0</v>
      </c>
      <c r="V1886" s="52">
        <f>IF(0&lt;0.8,0,IF(0&lt;1,Sheet3!L561,1))*IF(G1886&lt;3,0.12 - O1886,0.01) *U1886</f>
        <v>0</v>
      </c>
      <c r="W1886" s="52">
        <f t="shared" si="536"/>
        <v>0</v>
      </c>
      <c r="X1886" s="53">
        <f t="shared" si="537"/>
        <v>0</v>
      </c>
      <c r="Y1886" s="53">
        <f t="shared" si="538"/>
        <v>0</v>
      </c>
      <c r="Z1886" s="54">
        <f t="shared" si="546"/>
        <v>0</v>
      </c>
      <c r="AA1886" s="54">
        <f t="shared" si="539"/>
        <v>0</v>
      </c>
      <c r="AB1886" s="55">
        <f t="shared" si="547"/>
        <v>0</v>
      </c>
      <c r="AC1886" s="55">
        <f t="shared" si="540"/>
        <v>0</v>
      </c>
      <c r="AD1886" s="56">
        <f t="shared" si="541"/>
        <v>62176.81</v>
      </c>
    </row>
    <row r="1887" spans="3:30">
      <c r="C1887" s="43" t="s">
        <v>3454</v>
      </c>
      <c r="D1887" s="44" t="s">
        <v>3455</v>
      </c>
      <c r="E1887" s="44"/>
      <c r="F1887" s="45">
        <v>39087.744675925926</v>
      </c>
      <c r="G1887" s="46">
        <v>140</v>
      </c>
      <c r="H1887" s="47">
        <v>43384</v>
      </c>
      <c r="I1887" s="47">
        <v>43392</v>
      </c>
      <c r="J1887" s="46">
        <v>669130</v>
      </c>
      <c r="K1887" s="46">
        <v>0</v>
      </c>
      <c r="L1887" s="46">
        <v>0</v>
      </c>
      <c r="M1887" s="46">
        <f t="shared" si="530"/>
        <v>669130</v>
      </c>
      <c r="N1887" s="46">
        <v>669130</v>
      </c>
      <c r="O1887" s="48">
        <f t="shared" si="531"/>
        <v>0</v>
      </c>
      <c r="P1887" s="46">
        <v>0</v>
      </c>
      <c r="Q1887" s="46">
        <v>669130</v>
      </c>
      <c r="R1887" s="49">
        <f t="shared" si="532"/>
        <v>1</v>
      </c>
      <c r="S1887" s="50">
        <f t="shared" si="533"/>
        <v>0.01</v>
      </c>
      <c r="T1887" s="49">
        <f t="shared" si="534"/>
        <v>6691.3</v>
      </c>
      <c r="U1887" s="51">
        <f t="shared" si="535"/>
        <v>0</v>
      </c>
      <c r="V1887" s="52">
        <f>IF(0&lt;0.8,0,IF(0&lt;1,Sheet3!L561,1))*IF(G1887&lt;3,0.12 - O1887,0.01) *U1887</f>
        <v>0</v>
      </c>
      <c r="W1887" s="52">
        <f t="shared" si="536"/>
        <v>0</v>
      </c>
      <c r="X1887" s="53">
        <f t="shared" si="537"/>
        <v>0</v>
      </c>
      <c r="Y1887" s="53">
        <f t="shared" si="538"/>
        <v>0</v>
      </c>
      <c r="Z1887" s="54">
        <f t="shared" si="546"/>
        <v>0</v>
      </c>
      <c r="AA1887" s="54">
        <f t="shared" si="539"/>
        <v>0</v>
      </c>
      <c r="AB1887" s="55">
        <f t="shared" si="547"/>
        <v>0</v>
      </c>
      <c r="AC1887" s="55">
        <f t="shared" si="540"/>
        <v>0</v>
      </c>
      <c r="AD1887" s="56">
        <f t="shared" si="541"/>
        <v>6691.3</v>
      </c>
    </row>
    <row r="1888" spans="3:30">
      <c r="C1888" s="43" t="s">
        <v>3456</v>
      </c>
      <c r="D1888" s="44" t="s">
        <v>3457</v>
      </c>
      <c r="E1888" s="44"/>
      <c r="F1888" s="45">
        <v>39185.601099537038</v>
      </c>
      <c r="G1888" s="46">
        <v>137</v>
      </c>
      <c r="H1888" s="47">
        <v>43384</v>
      </c>
      <c r="I1888" s="47">
        <v>43390</v>
      </c>
      <c r="J1888" s="46">
        <v>562650</v>
      </c>
      <c r="K1888" s="46">
        <v>0</v>
      </c>
      <c r="L1888" s="46">
        <v>0</v>
      </c>
      <c r="M1888" s="46">
        <f t="shared" si="530"/>
        <v>562650</v>
      </c>
      <c r="N1888" s="46">
        <v>562650</v>
      </c>
      <c r="O1888" s="48">
        <f t="shared" si="531"/>
        <v>0</v>
      </c>
      <c r="P1888" s="46">
        <v>0</v>
      </c>
      <c r="Q1888" s="46">
        <v>562650</v>
      </c>
      <c r="R1888" s="49">
        <f t="shared" si="532"/>
        <v>1</v>
      </c>
      <c r="S1888" s="50">
        <f t="shared" si="533"/>
        <v>0.01</v>
      </c>
      <c r="T1888" s="49">
        <f t="shared" si="534"/>
        <v>5626.5</v>
      </c>
      <c r="U1888" s="51">
        <f t="shared" si="535"/>
        <v>0</v>
      </c>
      <c r="V1888" s="52">
        <f>IF(0&lt;0.8,0,IF(0&lt;1,Sheet3!L561,1))*IF(G1888&lt;3,0.12 - O1888,0.01) *U1888</f>
        <v>0</v>
      </c>
      <c r="W1888" s="52">
        <f t="shared" si="536"/>
        <v>0</v>
      </c>
      <c r="X1888" s="53">
        <f t="shared" si="537"/>
        <v>0</v>
      </c>
      <c r="Y1888" s="53">
        <f t="shared" si="538"/>
        <v>0</v>
      </c>
      <c r="Z1888" s="54">
        <f t="shared" si="546"/>
        <v>0</v>
      </c>
      <c r="AA1888" s="54">
        <f t="shared" si="539"/>
        <v>0</v>
      </c>
      <c r="AB1888" s="55">
        <f t="shared" si="547"/>
        <v>0</v>
      </c>
      <c r="AC1888" s="55">
        <f t="shared" si="540"/>
        <v>0</v>
      </c>
      <c r="AD1888" s="56">
        <f t="shared" si="541"/>
        <v>5626.5</v>
      </c>
    </row>
    <row r="1889" spans="3:30">
      <c r="C1889" s="43" t="s">
        <v>3458</v>
      </c>
      <c r="D1889" s="44" t="s">
        <v>3459</v>
      </c>
      <c r="E1889" s="44"/>
      <c r="F1889" s="45">
        <v>39310.403449074074</v>
      </c>
      <c r="G1889" s="46">
        <v>133</v>
      </c>
      <c r="H1889" s="47">
        <v>43385</v>
      </c>
      <c r="I1889" s="47">
        <v>43425</v>
      </c>
      <c r="J1889" s="46">
        <v>16287495</v>
      </c>
      <c r="K1889" s="46">
        <v>0</v>
      </c>
      <c r="L1889" s="46">
        <v>0</v>
      </c>
      <c r="M1889" s="46">
        <f t="shared" si="530"/>
        <v>16287495</v>
      </c>
      <c r="N1889" s="46">
        <v>15612436</v>
      </c>
      <c r="O1889" s="48">
        <f t="shared" si="531"/>
        <v>0</v>
      </c>
      <c r="P1889" s="46">
        <v>0</v>
      </c>
      <c r="Q1889" s="46">
        <v>16287495</v>
      </c>
      <c r="R1889" s="49">
        <f t="shared" si="532"/>
        <v>1</v>
      </c>
      <c r="S1889" s="50">
        <f t="shared" si="533"/>
        <v>0.01</v>
      </c>
      <c r="T1889" s="49">
        <f t="shared" si="534"/>
        <v>162874.95000000001</v>
      </c>
      <c r="U1889" s="51">
        <f t="shared" si="535"/>
        <v>0</v>
      </c>
      <c r="V1889" s="52">
        <f>IF(0&lt;0.8,0,IF(0&lt;1,Sheet3!L561,1))*IF(G1889&lt;3,0.12 - O1889,0.01) *U1889</f>
        <v>0</v>
      </c>
      <c r="W1889" s="52">
        <f t="shared" si="536"/>
        <v>0</v>
      </c>
      <c r="X1889" s="53">
        <f t="shared" si="537"/>
        <v>0</v>
      </c>
      <c r="Y1889" s="53">
        <f t="shared" si="538"/>
        <v>0</v>
      </c>
      <c r="Z1889" s="54">
        <f t="shared" si="546"/>
        <v>0</v>
      </c>
      <c r="AA1889" s="54">
        <f t="shared" si="539"/>
        <v>0</v>
      </c>
      <c r="AB1889" s="55">
        <f t="shared" si="547"/>
        <v>0</v>
      </c>
      <c r="AC1889" s="55">
        <f t="shared" si="540"/>
        <v>0</v>
      </c>
      <c r="AD1889" s="56">
        <f t="shared" si="541"/>
        <v>162874.95000000001</v>
      </c>
    </row>
    <row r="1890" spans="3:30">
      <c r="C1890" s="43" t="s">
        <v>3460</v>
      </c>
      <c r="D1890" s="44" t="s">
        <v>3461</v>
      </c>
      <c r="E1890" s="44"/>
      <c r="F1890" s="45">
        <v>39462.407557870371</v>
      </c>
      <c r="G1890" s="46">
        <v>128</v>
      </c>
      <c r="H1890" s="47">
        <v>43384</v>
      </c>
      <c r="I1890" s="47">
        <v>43402</v>
      </c>
      <c r="J1890" s="46">
        <v>16931886</v>
      </c>
      <c r="K1890" s="46">
        <v>0</v>
      </c>
      <c r="L1890" s="46">
        <v>0</v>
      </c>
      <c r="M1890" s="46">
        <f t="shared" si="530"/>
        <v>16931886</v>
      </c>
      <c r="N1890" s="46">
        <v>11235936</v>
      </c>
      <c r="O1890" s="48">
        <f t="shared" si="531"/>
        <v>0</v>
      </c>
      <c r="P1890" s="46">
        <v>0</v>
      </c>
      <c r="Q1890" s="46">
        <v>16931886</v>
      </c>
      <c r="R1890" s="49">
        <f t="shared" si="532"/>
        <v>1</v>
      </c>
      <c r="S1890" s="50">
        <f t="shared" si="533"/>
        <v>0.01</v>
      </c>
      <c r="T1890" s="49">
        <f t="shared" si="534"/>
        <v>169318.86000000002</v>
      </c>
      <c r="U1890" s="51">
        <f t="shared" si="535"/>
        <v>0</v>
      </c>
      <c r="V1890" s="52">
        <f>IF(0&lt;0.8,0,IF(0&lt;1,Sheet3!L561,1))*IF(G1890&lt;3,0.12 - O1890,0.01) *U1890</f>
        <v>0</v>
      </c>
      <c r="W1890" s="52">
        <f t="shared" si="536"/>
        <v>0</v>
      </c>
      <c r="X1890" s="53">
        <f t="shared" si="537"/>
        <v>0</v>
      </c>
      <c r="Y1890" s="53">
        <f t="shared" si="538"/>
        <v>0</v>
      </c>
      <c r="Z1890" s="54">
        <f t="shared" si="546"/>
        <v>0</v>
      </c>
      <c r="AA1890" s="54">
        <f t="shared" si="539"/>
        <v>0</v>
      </c>
      <c r="AB1890" s="55">
        <f>IF(R1890=0,6717000,0)</f>
        <v>0</v>
      </c>
      <c r="AC1890" s="55">
        <f t="shared" si="540"/>
        <v>0</v>
      </c>
      <c r="AD1890" s="56">
        <f t="shared" si="541"/>
        <v>169318.86000000002</v>
      </c>
    </row>
    <row r="1891" spans="3:30">
      <c r="C1891" s="43" t="s">
        <v>3462</v>
      </c>
      <c r="D1891" s="44" t="s">
        <v>3463</v>
      </c>
      <c r="E1891" s="44"/>
      <c r="F1891" s="45">
        <v>39595.693923611107</v>
      </c>
      <c r="G1891" s="46">
        <v>124</v>
      </c>
      <c r="H1891" s="47">
        <v>43376</v>
      </c>
      <c r="I1891" s="47">
        <v>43386</v>
      </c>
      <c r="J1891" s="46">
        <v>4909091</v>
      </c>
      <c r="K1891" s="46">
        <v>223140</v>
      </c>
      <c r="L1891" s="46">
        <v>0</v>
      </c>
      <c r="M1891" s="46">
        <f t="shared" si="530"/>
        <v>4685951</v>
      </c>
      <c r="N1891" s="46">
        <v>4909091</v>
      </c>
      <c r="O1891" s="48">
        <f t="shared" si="531"/>
        <v>4.545444360269546E-2</v>
      </c>
      <c r="P1891" s="46">
        <v>0</v>
      </c>
      <c r="Q1891" s="46">
        <v>4909091</v>
      </c>
      <c r="R1891" s="49">
        <f t="shared" si="532"/>
        <v>1</v>
      </c>
      <c r="S1891" s="50">
        <f t="shared" si="533"/>
        <v>0.01</v>
      </c>
      <c r="T1891" s="49">
        <f t="shared" si="534"/>
        <v>46859.51</v>
      </c>
      <c r="U1891" s="51">
        <f t="shared" si="535"/>
        <v>0</v>
      </c>
      <c r="V1891" s="52">
        <f>IF(0&lt;0.8,0,IF(0&lt;1,Sheet3!L561,1))*IF(G1891&lt;3,0.12 - O1891,0.01) *U1891</f>
        <v>0</v>
      </c>
      <c r="W1891" s="52">
        <f t="shared" si="536"/>
        <v>0</v>
      </c>
      <c r="X1891" s="53">
        <f t="shared" si="537"/>
        <v>0</v>
      </c>
      <c r="Y1891" s="53">
        <f t="shared" si="538"/>
        <v>0</v>
      </c>
      <c r="Z1891" s="54">
        <f t="shared" si="546"/>
        <v>0</v>
      </c>
      <c r="AA1891" s="54">
        <f t="shared" si="539"/>
        <v>0</v>
      </c>
      <c r="AB1891" s="55">
        <f t="shared" ref="AB1891:AB1923" si="548">IF(R1891=0,0,0)</f>
        <v>0</v>
      </c>
      <c r="AC1891" s="55">
        <f t="shared" si="540"/>
        <v>0</v>
      </c>
      <c r="AD1891" s="56">
        <f t="shared" si="541"/>
        <v>46859.51</v>
      </c>
    </row>
    <row r="1892" spans="3:30">
      <c r="C1892" s="43" t="s">
        <v>3464</v>
      </c>
      <c r="D1892" s="44" t="s">
        <v>3465</v>
      </c>
      <c r="E1892" s="44"/>
      <c r="F1892" s="45">
        <v>39639.646284722221</v>
      </c>
      <c r="G1892" s="46">
        <v>122</v>
      </c>
      <c r="H1892" s="47">
        <v>43376</v>
      </c>
      <c r="I1892" s="47">
        <v>43386</v>
      </c>
      <c r="J1892" s="46">
        <v>784806</v>
      </c>
      <c r="K1892" s="46">
        <v>0</v>
      </c>
      <c r="L1892" s="46">
        <v>0</v>
      </c>
      <c r="M1892" s="46">
        <f t="shared" si="530"/>
        <v>784806</v>
      </c>
      <c r="N1892" s="46">
        <v>784806</v>
      </c>
      <c r="O1892" s="48">
        <f t="shared" si="531"/>
        <v>0</v>
      </c>
      <c r="P1892" s="46">
        <v>0</v>
      </c>
      <c r="Q1892" s="46">
        <v>784806</v>
      </c>
      <c r="R1892" s="49">
        <f t="shared" si="532"/>
        <v>1</v>
      </c>
      <c r="S1892" s="50">
        <f t="shared" si="533"/>
        <v>0.01</v>
      </c>
      <c r="T1892" s="49">
        <f t="shared" si="534"/>
        <v>7848.06</v>
      </c>
      <c r="U1892" s="51">
        <f t="shared" si="535"/>
        <v>0</v>
      </c>
      <c r="V1892" s="52">
        <f>IF(0&lt;0.8,0,IF(0&lt;1,Sheet3!L561,1))*IF(G1892&lt;3,0.12 - O1892,0.01) *U1892</f>
        <v>0</v>
      </c>
      <c r="W1892" s="52">
        <f t="shared" si="536"/>
        <v>0</v>
      </c>
      <c r="X1892" s="53">
        <f t="shared" si="537"/>
        <v>0</v>
      </c>
      <c r="Y1892" s="53">
        <f t="shared" si="538"/>
        <v>0</v>
      </c>
      <c r="Z1892" s="54">
        <f t="shared" si="546"/>
        <v>0</v>
      </c>
      <c r="AA1892" s="54">
        <f t="shared" si="539"/>
        <v>0</v>
      </c>
      <c r="AB1892" s="55">
        <f t="shared" si="548"/>
        <v>0</v>
      </c>
      <c r="AC1892" s="55">
        <f t="shared" si="540"/>
        <v>0</v>
      </c>
      <c r="AD1892" s="56">
        <f t="shared" si="541"/>
        <v>7848.06</v>
      </c>
    </row>
    <row r="1893" spans="3:30">
      <c r="C1893" s="43" t="s">
        <v>3466</v>
      </c>
      <c r="D1893" s="44" t="s">
        <v>3467</v>
      </c>
      <c r="E1893" s="44"/>
      <c r="F1893" s="45">
        <v>39798.384421296294</v>
      </c>
      <c r="G1893" s="46">
        <v>117</v>
      </c>
      <c r="H1893" s="47">
        <v>43391</v>
      </c>
      <c r="I1893" s="47">
        <v>43413</v>
      </c>
      <c r="J1893" s="46">
        <v>1314968</v>
      </c>
      <c r="K1893" s="46">
        <v>0</v>
      </c>
      <c r="L1893" s="46">
        <v>0</v>
      </c>
      <c r="M1893" s="46">
        <f t="shared" si="530"/>
        <v>1314968</v>
      </c>
      <c r="N1893" s="46">
        <v>1314968</v>
      </c>
      <c r="O1893" s="48">
        <f t="shared" si="531"/>
        <v>0</v>
      </c>
      <c r="P1893" s="46">
        <v>0</v>
      </c>
      <c r="Q1893" s="46">
        <v>1314968</v>
      </c>
      <c r="R1893" s="49">
        <f t="shared" si="532"/>
        <v>1</v>
      </c>
      <c r="S1893" s="50">
        <f t="shared" si="533"/>
        <v>0.01</v>
      </c>
      <c r="T1893" s="49">
        <f t="shared" si="534"/>
        <v>13149.68</v>
      </c>
      <c r="U1893" s="51">
        <f t="shared" si="535"/>
        <v>0</v>
      </c>
      <c r="V1893" s="52">
        <f>IF(0&lt;0.8,0,IF(0&lt;1,Sheet3!L561,1))*IF(G1893&lt;3,0.12 - O1893,0.01) *U1893</f>
        <v>0</v>
      </c>
      <c r="W1893" s="52">
        <f t="shared" si="536"/>
        <v>0</v>
      </c>
      <c r="X1893" s="53">
        <f t="shared" si="537"/>
        <v>0</v>
      </c>
      <c r="Y1893" s="53">
        <f t="shared" si="538"/>
        <v>0</v>
      </c>
      <c r="Z1893" s="54">
        <f t="shared" si="546"/>
        <v>0</v>
      </c>
      <c r="AA1893" s="54">
        <f t="shared" si="539"/>
        <v>0</v>
      </c>
      <c r="AB1893" s="55">
        <f t="shared" si="548"/>
        <v>0</v>
      </c>
      <c r="AC1893" s="55">
        <f t="shared" si="540"/>
        <v>0</v>
      </c>
      <c r="AD1893" s="56">
        <f t="shared" si="541"/>
        <v>13149.68</v>
      </c>
    </row>
    <row r="1894" spans="3:30">
      <c r="C1894" s="43" t="s">
        <v>3468</v>
      </c>
      <c r="D1894" s="44" t="s">
        <v>3469</v>
      </c>
      <c r="E1894" s="44"/>
      <c r="F1894" s="45">
        <v>39813.365578703699</v>
      </c>
      <c r="G1894" s="46">
        <v>117</v>
      </c>
      <c r="H1894" s="47">
        <v>43383</v>
      </c>
      <c r="I1894" s="47">
        <v>43395</v>
      </c>
      <c r="J1894" s="46">
        <v>2472080</v>
      </c>
      <c r="K1894" s="46">
        <v>0</v>
      </c>
      <c r="L1894" s="46">
        <v>0</v>
      </c>
      <c r="M1894" s="46">
        <f t="shared" si="530"/>
        <v>2472080</v>
      </c>
      <c r="N1894" s="46">
        <v>2471280</v>
      </c>
      <c r="O1894" s="48">
        <f t="shared" si="531"/>
        <v>0</v>
      </c>
      <c r="P1894" s="46">
        <v>0</v>
      </c>
      <c r="Q1894" s="46">
        <v>2472080</v>
      </c>
      <c r="R1894" s="49">
        <f t="shared" si="532"/>
        <v>1</v>
      </c>
      <c r="S1894" s="50">
        <f t="shared" si="533"/>
        <v>0.01</v>
      </c>
      <c r="T1894" s="49">
        <f t="shared" si="534"/>
        <v>24720.799999999999</v>
      </c>
      <c r="U1894" s="51">
        <f t="shared" si="535"/>
        <v>0</v>
      </c>
      <c r="V1894" s="52">
        <f>IF(0&lt;0.8,0,IF(0&lt;1,Sheet3!L561,1))*IF(G1894&lt;3,0.12 - O1894,0.01) *U1894</f>
        <v>0</v>
      </c>
      <c r="W1894" s="52">
        <f t="shared" si="536"/>
        <v>0</v>
      </c>
      <c r="X1894" s="53">
        <f t="shared" si="537"/>
        <v>0</v>
      </c>
      <c r="Y1894" s="53">
        <f t="shared" si="538"/>
        <v>0</v>
      </c>
      <c r="Z1894" s="54">
        <f t="shared" si="546"/>
        <v>0</v>
      </c>
      <c r="AA1894" s="54">
        <f t="shared" si="539"/>
        <v>0</v>
      </c>
      <c r="AB1894" s="55">
        <f t="shared" si="548"/>
        <v>0</v>
      </c>
      <c r="AC1894" s="55">
        <f t="shared" si="540"/>
        <v>0</v>
      </c>
      <c r="AD1894" s="56">
        <f t="shared" si="541"/>
        <v>24720.799999999999</v>
      </c>
    </row>
    <row r="1895" spans="3:30">
      <c r="C1895" s="43" t="s">
        <v>3470</v>
      </c>
      <c r="D1895" s="44" t="s">
        <v>3471</v>
      </c>
      <c r="E1895" s="44"/>
      <c r="F1895" s="45">
        <v>39869.558888888889</v>
      </c>
      <c r="G1895" s="46">
        <v>115</v>
      </c>
      <c r="H1895" s="47">
        <v>43384</v>
      </c>
      <c r="I1895" s="47">
        <v>43390</v>
      </c>
      <c r="J1895" s="46">
        <v>178475</v>
      </c>
      <c r="K1895" s="46">
        <v>0</v>
      </c>
      <c r="L1895" s="46">
        <v>0</v>
      </c>
      <c r="M1895" s="46">
        <f t="shared" si="530"/>
        <v>178475</v>
      </c>
      <c r="N1895" s="46">
        <v>178475</v>
      </c>
      <c r="O1895" s="48">
        <f t="shared" si="531"/>
        <v>0</v>
      </c>
      <c r="P1895" s="46">
        <v>0</v>
      </c>
      <c r="Q1895" s="46">
        <v>178475</v>
      </c>
      <c r="R1895" s="49">
        <f t="shared" si="532"/>
        <v>1</v>
      </c>
      <c r="S1895" s="50">
        <f t="shared" si="533"/>
        <v>0.01</v>
      </c>
      <c r="T1895" s="49">
        <f t="shared" si="534"/>
        <v>1784.75</v>
      </c>
      <c r="U1895" s="51">
        <f t="shared" si="535"/>
        <v>0</v>
      </c>
      <c r="V1895" s="52">
        <f>IF(0&lt;0.8,0,IF(0&lt;1,Sheet3!L561,1))*IF(G1895&lt;3,0.12 - O1895,0.01) *U1895</f>
        <v>0</v>
      </c>
      <c r="W1895" s="52">
        <f t="shared" si="536"/>
        <v>0</v>
      </c>
      <c r="X1895" s="53">
        <f t="shared" si="537"/>
        <v>0</v>
      </c>
      <c r="Y1895" s="53">
        <f t="shared" si="538"/>
        <v>0</v>
      </c>
      <c r="Z1895" s="54">
        <f t="shared" si="546"/>
        <v>0</v>
      </c>
      <c r="AA1895" s="54">
        <f t="shared" si="539"/>
        <v>0</v>
      </c>
      <c r="AB1895" s="55">
        <f t="shared" si="548"/>
        <v>0</v>
      </c>
      <c r="AC1895" s="55">
        <f t="shared" si="540"/>
        <v>0</v>
      </c>
      <c r="AD1895" s="56">
        <f t="shared" si="541"/>
        <v>1784.75</v>
      </c>
    </row>
    <row r="1896" spans="3:30">
      <c r="C1896" s="43" t="s">
        <v>3472</v>
      </c>
      <c r="D1896" s="44" t="s">
        <v>3473</v>
      </c>
      <c r="E1896" s="44"/>
      <c r="F1896" s="45">
        <v>39896.439745370371</v>
      </c>
      <c r="G1896" s="46">
        <v>114</v>
      </c>
      <c r="H1896" s="47">
        <v>43386</v>
      </c>
      <c r="I1896" s="47">
        <v>43402</v>
      </c>
      <c r="J1896" s="46">
        <v>1381868</v>
      </c>
      <c r="K1896" s="46">
        <v>0</v>
      </c>
      <c r="L1896" s="46">
        <v>0</v>
      </c>
      <c r="M1896" s="46">
        <f t="shared" si="530"/>
        <v>1381868</v>
      </c>
      <c r="N1896" s="46">
        <v>1380332</v>
      </c>
      <c r="O1896" s="48">
        <f t="shared" si="531"/>
        <v>0</v>
      </c>
      <c r="P1896" s="46">
        <v>0</v>
      </c>
      <c r="Q1896" s="46">
        <v>1381868</v>
      </c>
      <c r="R1896" s="49">
        <f t="shared" si="532"/>
        <v>1</v>
      </c>
      <c r="S1896" s="50">
        <f t="shared" si="533"/>
        <v>0.01</v>
      </c>
      <c r="T1896" s="49">
        <f t="shared" si="534"/>
        <v>13818.68</v>
      </c>
      <c r="U1896" s="51">
        <f t="shared" si="535"/>
        <v>0</v>
      </c>
      <c r="V1896" s="52">
        <f>IF(0&lt;0.8,0,IF(0&lt;1,Sheet3!L561,1))*IF(G1896&lt;3,0.12 - O1896,0.01) *U1896</f>
        <v>0</v>
      </c>
      <c r="W1896" s="52">
        <f t="shared" si="536"/>
        <v>0</v>
      </c>
      <c r="X1896" s="53">
        <f t="shared" si="537"/>
        <v>0</v>
      </c>
      <c r="Y1896" s="53">
        <f t="shared" si="538"/>
        <v>0</v>
      </c>
      <c r="Z1896" s="54">
        <f t="shared" si="546"/>
        <v>0</v>
      </c>
      <c r="AA1896" s="54">
        <f t="shared" si="539"/>
        <v>0</v>
      </c>
      <c r="AB1896" s="55">
        <f t="shared" si="548"/>
        <v>0</v>
      </c>
      <c r="AC1896" s="55">
        <f t="shared" si="540"/>
        <v>0</v>
      </c>
      <c r="AD1896" s="56">
        <f t="shared" si="541"/>
        <v>13818.68</v>
      </c>
    </row>
    <row r="1897" spans="3:30">
      <c r="C1897" s="43" t="s">
        <v>3474</v>
      </c>
      <c r="D1897" s="44" t="s">
        <v>3475</v>
      </c>
      <c r="E1897" s="44"/>
      <c r="F1897" s="45">
        <v>39976.432453703703</v>
      </c>
      <c r="G1897" s="46">
        <v>111</v>
      </c>
      <c r="H1897" s="47">
        <v>43384</v>
      </c>
      <c r="I1897" s="47">
        <v>43390</v>
      </c>
      <c r="J1897" s="46">
        <v>1780648</v>
      </c>
      <c r="K1897" s="46">
        <v>78891</v>
      </c>
      <c r="L1897" s="46">
        <v>0</v>
      </c>
      <c r="M1897" s="46">
        <f t="shared" si="530"/>
        <v>1701757</v>
      </c>
      <c r="N1897" s="46">
        <v>1779208</v>
      </c>
      <c r="O1897" s="48">
        <f t="shared" si="531"/>
        <v>4.3531166676408883E-2</v>
      </c>
      <c r="P1897" s="46">
        <v>0</v>
      </c>
      <c r="Q1897" s="46">
        <v>1780648</v>
      </c>
      <c r="R1897" s="49">
        <f t="shared" si="532"/>
        <v>1</v>
      </c>
      <c r="S1897" s="50">
        <f t="shared" si="533"/>
        <v>0.01</v>
      </c>
      <c r="T1897" s="49">
        <f t="shared" si="534"/>
        <v>17017.57</v>
      </c>
      <c r="U1897" s="51">
        <f t="shared" si="535"/>
        <v>0</v>
      </c>
      <c r="V1897" s="52">
        <f>IF(0&lt;0.8,0,IF(0&lt;1,Sheet3!L561,1))*IF(G1897&lt;3,0.12 - O1897,0.01) *U1897</f>
        <v>0</v>
      </c>
      <c r="W1897" s="52">
        <f t="shared" si="536"/>
        <v>0</v>
      </c>
      <c r="X1897" s="53">
        <f t="shared" si="537"/>
        <v>0</v>
      </c>
      <c r="Y1897" s="53">
        <f t="shared" si="538"/>
        <v>0</v>
      </c>
      <c r="Z1897" s="54">
        <f t="shared" si="546"/>
        <v>0</v>
      </c>
      <c r="AA1897" s="54">
        <f t="shared" si="539"/>
        <v>0</v>
      </c>
      <c r="AB1897" s="55">
        <f t="shared" si="548"/>
        <v>0</v>
      </c>
      <c r="AC1897" s="55">
        <f t="shared" si="540"/>
        <v>0</v>
      </c>
      <c r="AD1897" s="56">
        <f t="shared" si="541"/>
        <v>17017.57</v>
      </c>
    </row>
    <row r="1898" spans="3:30">
      <c r="C1898" s="43" t="s">
        <v>3476</v>
      </c>
      <c r="D1898" s="44" t="s">
        <v>3477</v>
      </c>
      <c r="E1898" s="44"/>
      <c r="F1898" s="45">
        <v>39976.379976851851</v>
      </c>
      <c r="G1898" s="46">
        <v>111</v>
      </c>
      <c r="H1898" s="47">
        <v>43384</v>
      </c>
      <c r="I1898" s="47">
        <v>43389</v>
      </c>
      <c r="J1898" s="46">
        <v>1419808</v>
      </c>
      <c r="K1898" s="46">
        <v>0</v>
      </c>
      <c r="L1898" s="46">
        <v>0</v>
      </c>
      <c r="M1898" s="46">
        <f t="shared" si="530"/>
        <v>1419808</v>
      </c>
      <c r="N1898" s="46">
        <v>1419052</v>
      </c>
      <c r="O1898" s="48">
        <f t="shared" si="531"/>
        <v>0</v>
      </c>
      <c r="P1898" s="46">
        <v>0</v>
      </c>
      <c r="Q1898" s="46">
        <v>1419808</v>
      </c>
      <c r="R1898" s="49">
        <f t="shared" si="532"/>
        <v>1</v>
      </c>
      <c r="S1898" s="50">
        <f t="shared" si="533"/>
        <v>0.01</v>
      </c>
      <c r="T1898" s="49">
        <f t="shared" si="534"/>
        <v>14198.08</v>
      </c>
      <c r="U1898" s="51">
        <f t="shared" si="535"/>
        <v>0</v>
      </c>
      <c r="V1898" s="52">
        <f>IF(0&lt;0.8,0,IF(0&lt;1,Sheet3!L561,1))*IF(G1898&lt;3,0.12 - O1898,0.01) *U1898</f>
        <v>0</v>
      </c>
      <c r="W1898" s="52">
        <f t="shared" si="536"/>
        <v>0</v>
      </c>
      <c r="X1898" s="53">
        <f t="shared" si="537"/>
        <v>0</v>
      </c>
      <c r="Y1898" s="53">
        <f t="shared" si="538"/>
        <v>0</v>
      </c>
      <c r="Z1898" s="54">
        <f t="shared" si="546"/>
        <v>0</v>
      </c>
      <c r="AA1898" s="54">
        <f t="shared" si="539"/>
        <v>0</v>
      </c>
      <c r="AB1898" s="55">
        <f t="shared" si="548"/>
        <v>0</v>
      </c>
      <c r="AC1898" s="55">
        <f t="shared" si="540"/>
        <v>0</v>
      </c>
      <c r="AD1898" s="56">
        <f t="shared" si="541"/>
        <v>14198.08</v>
      </c>
    </row>
    <row r="1899" spans="3:30">
      <c r="C1899" s="43" t="s">
        <v>3478</v>
      </c>
      <c r="D1899" s="44" t="s">
        <v>3479</v>
      </c>
      <c r="E1899" s="44"/>
      <c r="F1899" s="45">
        <v>40056.454166666663</v>
      </c>
      <c r="G1899" s="46">
        <v>109</v>
      </c>
      <c r="H1899" s="47">
        <v>43384</v>
      </c>
      <c r="I1899" s="47">
        <v>43398</v>
      </c>
      <c r="J1899" s="46">
        <v>2294281</v>
      </c>
      <c r="K1899" s="46">
        <v>0</v>
      </c>
      <c r="L1899" s="46">
        <v>0</v>
      </c>
      <c r="M1899" s="46">
        <f t="shared" si="530"/>
        <v>2294281</v>
      </c>
      <c r="N1899" s="46">
        <v>2294281</v>
      </c>
      <c r="O1899" s="48">
        <f t="shared" si="531"/>
        <v>0</v>
      </c>
      <c r="P1899" s="46">
        <v>0</v>
      </c>
      <c r="Q1899" s="46">
        <v>2294281</v>
      </c>
      <c r="R1899" s="49">
        <f t="shared" si="532"/>
        <v>1</v>
      </c>
      <c r="S1899" s="50">
        <f t="shared" si="533"/>
        <v>0.01</v>
      </c>
      <c r="T1899" s="49">
        <f t="shared" si="534"/>
        <v>22942.81</v>
      </c>
      <c r="U1899" s="51">
        <f t="shared" si="535"/>
        <v>0</v>
      </c>
      <c r="V1899" s="52">
        <f>IF(0&lt;0.8,0,IF(0&lt;1,Sheet3!L561,1))*IF(G1899&lt;3,0.12 - O1899,0.01) *U1899</f>
        <v>0</v>
      </c>
      <c r="W1899" s="52">
        <f t="shared" si="536"/>
        <v>0</v>
      </c>
      <c r="X1899" s="53">
        <f t="shared" si="537"/>
        <v>0</v>
      </c>
      <c r="Y1899" s="53">
        <f t="shared" si="538"/>
        <v>0</v>
      </c>
      <c r="Z1899" s="54">
        <f t="shared" si="546"/>
        <v>0</v>
      </c>
      <c r="AA1899" s="54">
        <f t="shared" si="539"/>
        <v>0</v>
      </c>
      <c r="AB1899" s="55">
        <f t="shared" si="548"/>
        <v>0</v>
      </c>
      <c r="AC1899" s="55">
        <f t="shared" si="540"/>
        <v>0</v>
      </c>
      <c r="AD1899" s="56">
        <f t="shared" si="541"/>
        <v>22942.81</v>
      </c>
    </row>
    <row r="1900" spans="3:30">
      <c r="C1900" s="43" t="s">
        <v>3480</v>
      </c>
      <c r="D1900" s="44" t="s">
        <v>3481</v>
      </c>
      <c r="E1900" s="44"/>
      <c r="F1900" s="45">
        <v>40268.362164351849</v>
      </c>
      <c r="G1900" s="46">
        <v>102</v>
      </c>
      <c r="H1900" s="47">
        <v>43384</v>
      </c>
      <c r="I1900" s="47">
        <v>43395</v>
      </c>
      <c r="J1900" s="46">
        <v>126722365</v>
      </c>
      <c r="K1900" s="46">
        <v>0</v>
      </c>
      <c r="L1900" s="46">
        <v>0</v>
      </c>
      <c r="M1900" s="46">
        <f t="shared" si="530"/>
        <v>126722365</v>
      </c>
      <c r="N1900" s="46">
        <v>123272737</v>
      </c>
      <c r="O1900" s="48">
        <f t="shared" si="531"/>
        <v>0</v>
      </c>
      <c r="P1900" s="46">
        <v>0</v>
      </c>
      <c r="Q1900" s="46">
        <v>126722365</v>
      </c>
      <c r="R1900" s="49">
        <f t="shared" si="532"/>
        <v>1</v>
      </c>
      <c r="S1900" s="50">
        <f t="shared" si="533"/>
        <v>0.01</v>
      </c>
      <c r="T1900" s="49">
        <f t="shared" si="534"/>
        <v>1267223.6500000001</v>
      </c>
      <c r="U1900" s="51">
        <f t="shared" si="535"/>
        <v>0</v>
      </c>
      <c r="V1900" s="52">
        <f>IF(0&lt;0.8,0,IF(0&lt;1,Sheet3!L561,1))*IF(G1900&lt;3,0.12 - O1900,0.01) *U1900</f>
        <v>0</v>
      </c>
      <c r="W1900" s="52">
        <f t="shared" si="536"/>
        <v>0</v>
      </c>
      <c r="X1900" s="53">
        <f t="shared" si="537"/>
        <v>0</v>
      </c>
      <c r="Y1900" s="53">
        <f t="shared" si="538"/>
        <v>0</v>
      </c>
      <c r="Z1900" s="54">
        <f t="shared" si="546"/>
        <v>0</v>
      </c>
      <c r="AA1900" s="54">
        <f t="shared" si="539"/>
        <v>0</v>
      </c>
      <c r="AB1900" s="55">
        <f t="shared" si="548"/>
        <v>0</v>
      </c>
      <c r="AC1900" s="55">
        <f t="shared" si="540"/>
        <v>0</v>
      </c>
      <c r="AD1900" s="56">
        <f t="shared" si="541"/>
        <v>1267223.6500000001</v>
      </c>
    </row>
    <row r="1901" spans="3:30">
      <c r="C1901" s="43" t="s">
        <v>3482</v>
      </c>
      <c r="D1901" s="44" t="s">
        <v>3483</v>
      </c>
      <c r="E1901" s="44"/>
      <c r="F1901" s="45">
        <v>40294.357187499998</v>
      </c>
      <c r="G1901" s="46">
        <v>101</v>
      </c>
      <c r="H1901" s="47">
        <v>43384</v>
      </c>
      <c r="I1901" s="47">
        <v>43397</v>
      </c>
      <c r="J1901" s="46">
        <v>733532</v>
      </c>
      <c r="K1901" s="46">
        <v>0</v>
      </c>
      <c r="L1901" s="46">
        <v>0</v>
      </c>
      <c r="M1901" s="46">
        <f t="shared" si="530"/>
        <v>733532</v>
      </c>
      <c r="N1901" s="46">
        <v>733532</v>
      </c>
      <c r="O1901" s="48">
        <f t="shared" si="531"/>
        <v>0</v>
      </c>
      <c r="P1901" s="46">
        <v>0</v>
      </c>
      <c r="Q1901" s="46">
        <v>733532</v>
      </c>
      <c r="R1901" s="49">
        <f t="shared" si="532"/>
        <v>1</v>
      </c>
      <c r="S1901" s="50">
        <f t="shared" si="533"/>
        <v>0.01</v>
      </c>
      <c r="T1901" s="49">
        <f t="shared" si="534"/>
        <v>7335.32</v>
      </c>
      <c r="U1901" s="51">
        <f t="shared" si="535"/>
        <v>0</v>
      </c>
      <c r="V1901" s="52">
        <f>IF(0&lt;0.8,0,IF(0&lt;1,Sheet3!L561,1))*IF(G1901&lt;3,0.12 - O1901,0.01) *U1901</f>
        <v>0</v>
      </c>
      <c r="W1901" s="52">
        <f t="shared" si="536"/>
        <v>0</v>
      </c>
      <c r="X1901" s="53">
        <f t="shared" si="537"/>
        <v>0</v>
      </c>
      <c r="Y1901" s="53">
        <f t="shared" si="538"/>
        <v>0</v>
      </c>
      <c r="Z1901" s="54">
        <f t="shared" si="546"/>
        <v>0</v>
      </c>
      <c r="AA1901" s="54">
        <f t="shared" si="539"/>
        <v>0</v>
      </c>
      <c r="AB1901" s="55">
        <f t="shared" si="548"/>
        <v>0</v>
      </c>
      <c r="AC1901" s="55">
        <f t="shared" si="540"/>
        <v>0</v>
      </c>
      <c r="AD1901" s="56">
        <f t="shared" si="541"/>
        <v>7335.32</v>
      </c>
    </row>
    <row r="1902" spans="3:30">
      <c r="C1902" s="43" t="s">
        <v>3484</v>
      </c>
      <c r="D1902" s="44" t="s">
        <v>3485</v>
      </c>
      <c r="E1902" s="44"/>
      <c r="F1902" s="45">
        <v>40344.5543287037</v>
      </c>
      <c r="G1902" s="46">
        <v>99</v>
      </c>
      <c r="H1902" s="47">
        <v>43383</v>
      </c>
      <c r="I1902" s="47">
        <v>43389</v>
      </c>
      <c r="J1902" s="46">
        <v>1497980</v>
      </c>
      <c r="K1902" s="46">
        <v>0</v>
      </c>
      <c r="L1902" s="46">
        <v>0</v>
      </c>
      <c r="M1902" s="46">
        <f t="shared" si="530"/>
        <v>1497980</v>
      </c>
      <c r="N1902" s="46">
        <v>1497980</v>
      </c>
      <c r="O1902" s="48">
        <f t="shared" si="531"/>
        <v>0</v>
      </c>
      <c r="P1902" s="46">
        <v>0</v>
      </c>
      <c r="Q1902" s="46">
        <v>1497980</v>
      </c>
      <c r="R1902" s="49">
        <f t="shared" si="532"/>
        <v>1</v>
      </c>
      <c r="S1902" s="50">
        <f t="shared" si="533"/>
        <v>0.01</v>
      </c>
      <c r="T1902" s="49">
        <f t="shared" si="534"/>
        <v>14979.800000000001</v>
      </c>
      <c r="U1902" s="51">
        <f t="shared" si="535"/>
        <v>0</v>
      </c>
      <c r="V1902" s="52">
        <f>IF(0&lt;0.8,0,IF(0&lt;1,Sheet3!L561,1))*IF(G1902&lt;3,0.12 - O1902,0.01) *U1902</f>
        <v>0</v>
      </c>
      <c r="W1902" s="52">
        <f t="shared" si="536"/>
        <v>0</v>
      </c>
      <c r="X1902" s="53">
        <f t="shared" si="537"/>
        <v>0</v>
      </c>
      <c r="Y1902" s="53">
        <f t="shared" si="538"/>
        <v>0</v>
      </c>
      <c r="Z1902" s="54">
        <f t="shared" si="546"/>
        <v>0</v>
      </c>
      <c r="AA1902" s="54">
        <f t="shared" si="539"/>
        <v>0</v>
      </c>
      <c r="AB1902" s="55">
        <f t="shared" si="548"/>
        <v>0</v>
      </c>
      <c r="AC1902" s="55">
        <f t="shared" si="540"/>
        <v>0</v>
      </c>
      <c r="AD1902" s="56">
        <f t="shared" si="541"/>
        <v>14979.800000000001</v>
      </c>
    </row>
    <row r="1903" spans="3:30">
      <c r="C1903" s="43" t="s">
        <v>3486</v>
      </c>
      <c r="D1903" s="44" t="s">
        <v>3487</v>
      </c>
      <c r="E1903" s="44"/>
      <c r="F1903" s="45">
        <v>40395.423784722218</v>
      </c>
      <c r="G1903" s="46">
        <v>97</v>
      </c>
      <c r="H1903" s="47">
        <v>43376</v>
      </c>
      <c r="I1903" s="47">
        <v>43416</v>
      </c>
      <c r="J1903" s="46">
        <v>5523475</v>
      </c>
      <c r="K1903" s="46">
        <v>0</v>
      </c>
      <c r="L1903" s="46">
        <v>0</v>
      </c>
      <c r="M1903" s="46">
        <f t="shared" si="530"/>
        <v>5523475</v>
      </c>
      <c r="N1903" s="46">
        <v>5496855</v>
      </c>
      <c r="O1903" s="48">
        <f t="shared" si="531"/>
        <v>0</v>
      </c>
      <c r="P1903" s="46">
        <v>0</v>
      </c>
      <c r="Q1903" s="46">
        <v>5523475</v>
      </c>
      <c r="R1903" s="49">
        <f t="shared" si="532"/>
        <v>1</v>
      </c>
      <c r="S1903" s="50">
        <f t="shared" si="533"/>
        <v>0.01</v>
      </c>
      <c r="T1903" s="49">
        <f t="shared" si="534"/>
        <v>55234.75</v>
      </c>
      <c r="U1903" s="51">
        <f t="shared" si="535"/>
        <v>0</v>
      </c>
      <c r="V1903" s="52">
        <f>IF(0&lt;0.8,0,IF(0&lt;1,Sheet3!L561,1))*IF(G1903&lt;3,0.12 - O1903,0.01) *U1903</f>
        <v>0</v>
      </c>
      <c r="W1903" s="52">
        <f t="shared" si="536"/>
        <v>0</v>
      </c>
      <c r="X1903" s="53">
        <f t="shared" si="537"/>
        <v>0</v>
      </c>
      <c r="Y1903" s="53">
        <f t="shared" si="538"/>
        <v>0</v>
      </c>
      <c r="Z1903" s="54">
        <f t="shared" si="546"/>
        <v>0</v>
      </c>
      <c r="AA1903" s="54">
        <f t="shared" si="539"/>
        <v>0</v>
      </c>
      <c r="AB1903" s="55">
        <f t="shared" si="548"/>
        <v>0</v>
      </c>
      <c r="AC1903" s="55">
        <f t="shared" si="540"/>
        <v>0</v>
      </c>
      <c r="AD1903" s="56">
        <f t="shared" si="541"/>
        <v>55234.75</v>
      </c>
    </row>
    <row r="1904" spans="3:30">
      <c r="C1904" s="43" t="s">
        <v>3488</v>
      </c>
      <c r="D1904" s="44" t="s">
        <v>3489</v>
      </c>
      <c r="E1904" s="44"/>
      <c r="F1904" s="45">
        <v>40632.632870370369</v>
      </c>
      <c r="G1904" s="46">
        <v>90</v>
      </c>
      <c r="H1904" s="47">
        <v>43376</v>
      </c>
      <c r="I1904" s="47">
        <v>43392</v>
      </c>
      <c r="J1904" s="46">
        <v>267555</v>
      </c>
      <c r="K1904" s="46">
        <v>0</v>
      </c>
      <c r="L1904" s="46">
        <v>0</v>
      </c>
      <c r="M1904" s="46">
        <f t="shared" si="530"/>
        <v>267555</v>
      </c>
      <c r="N1904" s="46">
        <v>267555</v>
      </c>
      <c r="O1904" s="48">
        <f t="shared" si="531"/>
        <v>0</v>
      </c>
      <c r="P1904" s="46">
        <v>0</v>
      </c>
      <c r="Q1904" s="46">
        <v>267555</v>
      </c>
      <c r="R1904" s="49">
        <f t="shared" si="532"/>
        <v>1</v>
      </c>
      <c r="S1904" s="50">
        <f t="shared" si="533"/>
        <v>0.01</v>
      </c>
      <c r="T1904" s="49">
        <f t="shared" si="534"/>
        <v>2675.55</v>
      </c>
      <c r="U1904" s="51">
        <f t="shared" si="535"/>
        <v>0</v>
      </c>
      <c r="V1904" s="52">
        <f>IF(0&lt;0.8,0,IF(0&lt;1,Sheet3!L561,1))*IF(G1904&lt;3,0.12 - O1904,0.01) *U1904</f>
        <v>0</v>
      </c>
      <c r="W1904" s="52">
        <f t="shared" si="536"/>
        <v>0</v>
      </c>
      <c r="X1904" s="53">
        <f t="shared" si="537"/>
        <v>0</v>
      </c>
      <c r="Y1904" s="53">
        <f t="shared" si="538"/>
        <v>0</v>
      </c>
      <c r="Z1904" s="54">
        <f t="shared" si="546"/>
        <v>0</v>
      </c>
      <c r="AA1904" s="54">
        <f t="shared" si="539"/>
        <v>0</v>
      </c>
      <c r="AB1904" s="55">
        <f t="shared" si="548"/>
        <v>0</v>
      </c>
      <c r="AC1904" s="55">
        <f t="shared" si="540"/>
        <v>0</v>
      </c>
      <c r="AD1904" s="56">
        <f t="shared" si="541"/>
        <v>2675.55</v>
      </c>
    </row>
    <row r="1905" spans="3:30">
      <c r="C1905" s="43" t="s">
        <v>3490</v>
      </c>
      <c r="D1905" s="44" t="s">
        <v>3491</v>
      </c>
      <c r="E1905" s="44"/>
      <c r="F1905" s="45">
        <v>40655.422731481478</v>
      </c>
      <c r="G1905" s="46">
        <v>89</v>
      </c>
      <c r="H1905" s="47">
        <v>43384</v>
      </c>
      <c r="I1905" s="47">
        <v>43453</v>
      </c>
      <c r="J1905" s="46">
        <v>145055</v>
      </c>
      <c r="K1905" s="46">
        <v>0</v>
      </c>
      <c r="L1905" s="46">
        <v>0</v>
      </c>
      <c r="M1905" s="46">
        <f t="shared" si="530"/>
        <v>145055</v>
      </c>
      <c r="N1905" s="46">
        <v>145055</v>
      </c>
      <c r="O1905" s="48">
        <f t="shared" si="531"/>
        <v>0</v>
      </c>
      <c r="P1905" s="46">
        <v>0</v>
      </c>
      <c r="Q1905" s="46">
        <v>145055</v>
      </c>
      <c r="R1905" s="49">
        <f t="shared" si="532"/>
        <v>1</v>
      </c>
      <c r="S1905" s="50">
        <f t="shared" si="533"/>
        <v>0.01</v>
      </c>
      <c r="T1905" s="49">
        <f t="shared" si="534"/>
        <v>1450.55</v>
      </c>
      <c r="U1905" s="51">
        <f t="shared" si="535"/>
        <v>0</v>
      </c>
      <c r="V1905" s="52">
        <f>IF(0&lt;0.8,0,IF(0&lt;1,Sheet3!L561,1))*IF(G1905&lt;3,0.12 - O1905,0.01) *U1905</f>
        <v>0</v>
      </c>
      <c r="W1905" s="52">
        <f t="shared" si="536"/>
        <v>0</v>
      </c>
      <c r="X1905" s="53">
        <f t="shared" si="537"/>
        <v>0</v>
      </c>
      <c r="Y1905" s="53">
        <f t="shared" si="538"/>
        <v>0</v>
      </c>
      <c r="Z1905" s="54">
        <f t="shared" si="546"/>
        <v>0</v>
      </c>
      <c r="AA1905" s="54">
        <f t="shared" si="539"/>
        <v>0</v>
      </c>
      <c r="AB1905" s="55">
        <f t="shared" si="548"/>
        <v>0</v>
      </c>
      <c r="AC1905" s="55">
        <f t="shared" si="540"/>
        <v>0</v>
      </c>
      <c r="AD1905" s="56">
        <f t="shared" si="541"/>
        <v>1450.55</v>
      </c>
    </row>
    <row r="1906" spans="3:30">
      <c r="C1906" s="43" t="s">
        <v>3492</v>
      </c>
      <c r="D1906" s="44" t="s">
        <v>3493</v>
      </c>
      <c r="E1906" s="44"/>
      <c r="F1906" s="45">
        <v>40728.488981481481</v>
      </c>
      <c r="G1906" s="46">
        <v>86</v>
      </c>
      <c r="H1906" s="47">
        <v>43384</v>
      </c>
      <c r="I1906" s="47">
        <v>43434</v>
      </c>
      <c r="J1906" s="46">
        <v>290400</v>
      </c>
      <c r="K1906" s="46">
        <v>0</v>
      </c>
      <c r="L1906" s="46">
        <v>0</v>
      </c>
      <c r="M1906" s="46">
        <f t="shared" si="530"/>
        <v>290400</v>
      </c>
      <c r="N1906" s="46">
        <v>290400</v>
      </c>
      <c r="O1906" s="48">
        <f t="shared" si="531"/>
        <v>0</v>
      </c>
      <c r="P1906" s="46">
        <v>0</v>
      </c>
      <c r="Q1906" s="46">
        <v>290400</v>
      </c>
      <c r="R1906" s="49">
        <f t="shared" si="532"/>
        <v>1</v>
      </c>
      <c r="S1906" s="50">
        <f t="shared" si="533"/>
        <v>0.01</v>
      </c>
      <c r="T1906" s="49">
        <f t="shared" si="534"/>
        <v>2904</v>
      </c>
      <c r="U1906" s="51">
        <f t="shared" si="535"/>
        <v>0</v>
      </c>
      <c r="V1906" s="52">
        <f>IF(0&lt;0.8,0,IF(0&lt;1,Sheet3!L561,1))*IF(G1906&lt;3,0.12 - O1906,0.01) *U1906</f>
        <v>0</v>
      </c>
      <c r="W1906" s="52">
        <f t="shared" si="536"/>
        <v>0</v>
      </c>
      <c r="X1906" s="53">
        <f t="shared" si="537"/>
        <v>0</v>
      </c>
      <c r="Y1906" s="53">
        <f t="shared" si="538"/>
        <v>0</v>
      </c>
      <c r="Z1906" s="54">
        <f t="shared" si="546"/>
        <v>0</v>
      </c>
      <c r="AA1906" s="54">
        <f t="shared" si="539"/>
        <v>0</v>
      </c>
      <c r="AB1906" s="55">
        <f t="shared" si="548"/>
        <v>0</v>
      </c>
      <c r="AC1906" s="55">
        <f t="shared" si="540"/>
        <v>0</v>
      </c>
      <c r="AD1906" s="56">
        <f t="shared" si="541"/>
        <v>2904</v>
      </c>
    </row>
    <row r="1907" spans="3:30">
      <c r="C1907" s="43" t="s">
        <v>3494</v>
      </c>
      <c r="D1907" s="44" t="s">
        <v>3495</v>
      </c>
      <c r="E1907" s="44"/>
      <c r="F1907" s="45">
        <v>40812.391412037032</v>
      </c>
      <c r="G1907" s="46">
        <v>84</v>
      </c>
      <c r="H1907" s="47">
        <v>43376</v>
      </c>
      <c r="I1907" s="47">
        <v>43460</v>
      </c>
      <c r="J1907" s="46">
        <v>10508003</v>
      </c>
      <c r="K1907" s="46">
        <v>0</v>
      </c>
      <c r="L1907" s="46">
        <v>0</v>
      </c>
      <c r="M1907" s="46">
        <f t="shared" ref="M1907:M1970" si="549">IFERROR(J1907-K1907-L1907,0)</f>
        <v>10508003</v>
      </c>
      <c r="N1907" s="46">
        <v>10508003</v>
      </c>
      <c r="O1907" s="48">
        <f t="shared" ref="O1907:O1970" si="550">IFERROR(IF(1 - M1907/N1907&lt;0,0,1-M1907/N1907),0)</f>
        <v>0</v>
      </c>
      <c r="P1907" s="46">
        <v>0</v>
      </c>
      <c r="Q1907" s="46">
        <v>10508003</v>
      </c>
      <c r="R1907" s="49">
        <f t="shared" ref="R1907:R1970" si="551">IF(F1907&lt;DATEVALUE("2018-07-01"),1,0)</f>
        <v>1</v>
      </c>
      <c r="S1907" s="50">
        <f t="shared" ref="S1907:S1970" si="552">IF(R1907=1,1%,0)</f>
        <v>0.01</v>
      </c>
      <c r="T1907" s="49">
        <f t="shared" ref="T1907:T1970" si="553">IFERROR(S1907*M1907,0)</f>
        <v>105080.03</v>
      </c>
      <c r="U1907" s="51">
        <f t="shared" ref="U1907:U1970" si="554">IF(O1907&lt;=0.12,1,0)*(1-R1907)*M1907</f>
        <v>0</v>
      </c>
      <c r="V1907" s="52">
        <f>IF(0&lt;0.8,0,IF(0&lt;1,Sheet3!L561,1))*IF(G1907&lt;3,0.12 - O1907,0.01) *U1907</f>
        <v>0</v>
      </c>
      <c r="W1907" s="52">
        <f t="shared" ref="W1907:W1970" si="555">IF(0&gt;1,IF(0&lt;=1.1,1,IF(0&lt;=1.2,2,IF(0&lt;=1.5,3,5))),0) * 1000000</f>
        <v>0</v>
      </c>
      <c r="X1907" s="53">
        <f t="shared" ref="X1907:X1970" si="556">IF(AND(P1907&gt;=150000000,P1907&lt;300000000),5000000,IF(AND(P1907&gt;=300000000,P1907&lt;500000000),10000000,IF(AND(P1907&gt;=300000000,P1907&lt;500000000),15000000,IF(AND(P1907&gt;=500000000,P1907&lt;3000000000),20000000,IF(P1907&gt;=30000000000,35000000,0))))) * (1-R1907)</f>
        <v>0</v>
      </c>
      <c r="Y1907" s="53">
        <f t="shared" ref="Y1907:Y1970" si="557">IFERROR(Q1907 * (1-R1907),0)</f>
        <v>0</v>
      </c>
      <c r="Z1907" s="54">
        <f t="shared" si="546"/>
        <v>0</v>
      </c>
      <c r="AA1907" s="54">
        <f t="shared" ref="AA1907:AA1970" si="558">IFERROR((1-R1907) * Z1907 * 2%,0)</f>
        <v>0</v>
      </c>
      <c r="AB1907" s="55">
        <f t="shared" si="548"/>
        <v>0</v>
      </c>
      <c r="AC1907" s="55">
        <f t="shared" ref="AC1907:AC1970" si="559">IFERROR(AB1907 * (1-R1907) * 2%,0)</f>
        <v>0</v>
      </c>
      <c r="AD1907" s="56">
        <f t="shared" ref="AD1907:AD1970" si="560">T1907+V1907+W1907+X1907+AA1907+AC1907</f>
        <v>105080.03</v>
      </c>
    </row>
    <row r="1908" spans="3:30">
      <c r="C1908" s="43" t="s">
        <v>3496</v>
      </c>
      <c r="D1908" s="44" t="s">
        <v>3497</v>
      </c>
      <c r="E1908" s="44"/>
      <c r="F1908" s="45">
        <v>40842.476238425923</v>
      </c>
      <c r="G1908" s="46">
        <v>83</v>
      </c>
      <c r="H1908" s="47">
        <v>43376</v>
      </c>
      <c r="I1908" s="47">
        <v>43405</v>
      </c>
      <c r="J1908" s="46">
        <v>1571500</v>
      </c>
      <c r="K1908" s="46">
        <v>0</v>
      </c>
      <c r="L1908" s="46">
        <v>0</v>
      </c>
      <c r="M1908" s="46">
        <f t="shared" si="549"/>
        <v>1571500</v>
      </c>
      <c r="N1908" s="46">
        <v>1571500</v>
      </c>
      <c r="O1908" s="48">
        <f t="shared" si="550"/>
        <v>0</v>
      </c>
      <c r="P1908" s="46">
        <v>0</v>
      </c>
      <c r="Q1908" s="46">
        <v>1571500</v>
      </c>
      <c r="R1908" s="49">
        <f t="shared" si="551"/>
        <v>1</v>
      </c>
      <c r="S1908" s="50">
        <f t="shared" si="552"/>
        <v>0.01</v>
      </c>
      <c r="T1908" s="49">
        <f t="shared" si="553"/>
        <v>15715</v>
      </c>
      <c r="U1908" s="51">
        <f t="shared" si="554"/>
        <v>0</v>
      </c>
      <c r="V1908" s="52">
        <f>IF(0&lt;0.8,0,IF(0&lt;1,Sheet3!L561,1))*IF(G1908&lt;3,0.12 - O1908,0.01) *U1908</f>
        <v>0</v>
      </c>
      <c r="W1908" s="52">
        <f t="shared" si="555"/>
        <v>0</v>
      </c>
      <c r="X1908" s="53">
        <f t="shared" si="556"/>
        <v>0</v>
      </c>
      <c r="Y1908" s="53">
        <f t="shared" si="557"/>
        <v>0</v>
      </c>
      <c r="Z1908" s="54">
        <f t="shared" si="546"/>
        <v>0</v>
      </c>
      <c r="AA1908" s="54">
        <f t="shared" si="558"/>
        <v>0</v>
      </c>
      <c r="AB1908" s="55">
        <f t="shared" si="548"/>
        <v>0</v>
      </c>
      <c r="AC1908" s="55">
        <f t="shared" si="559"/>
        <v>0</v>
      </c>
      <c r="AD1908" s="56">
        <f t="shared" si="560"/>
        <v>15715</v>
      </c>
    </row>
    <row r="1909" spans="3:30">
      <c r="C1909" s="43" t="s">
        <v>3498</v>
      </c>
      <c r="D1909" s="44" t="s">
        <v>3499</v>
      </c>
      <c r="E1909" s="44"/>
      <c r="F1909" s="45">
        <v>40970.375057870369</v>
      </c>
      <c r="G1909" s="46">
        <v>78</v>
      </c>
      <c r="H1909" s="47">
        <v>43384</v>
      </c>
      <c r="I1909" s="47">
        <v>43392</v>
      </c>
      <c r="J1909" s="46">
        <v>1413764</v>
      </c>
      <c r="K1909" s="46">
        <v>0</v>
      </c>
      <c r="L1909" s="46">
        <v>0</v>
      </c>
      <c r="M1909" s="46">
        <f t="shared" si="549"/>
        <v>1413764</v>
      </c>
      <c r="N1909" s="46">
        <v>1413764</v>
      </c>
      <c r="O1909" s="48">
        <f t="shared" si="550"/>
        <v>0</v>
      </c>
      <c r="P1909" s="46">
        <v>0</v>
      </c>
      <c r="Q1909" s="46">
        <v>1413764</v>
      </c>
      <c r="R1909" s="49">
        <f t="shared" si="551"/>
        <v>1</v>
      </c>
      <c r="S1909" s="50">
        <f t="shared" si="552"/>
        <v>0.01</v>
      </c>
      <c r="T1909" s="49">
        <f t="shared" si="553"/>
        <v>14137.64</v>
      </c>
      <c r="U1909" s="51">
        <f t="shared" si="554"/>
        <v>0</v>
      </c>
      <c r="V1909" s="52">
        <f>IF(0&lt;0.8,0,IF(0&lt;1,Sheet3!L561,1))*IF(G1909&lt;3,0.12 - O1909,0.01) *U1909</f>
        <v>0</v>
      </c>
      <c r="W1909" s="52">
        <f t="shared" si="555"/>
        <v>0</v>
      </c>
      <c r="X1909" s="53">
        <f t="shared" si="556"/>
        <v>0</v>
      </c>
      <c r="Y1909" s="53">
        <f t="shared" si="557"/>
        <v>0</v>
      </c>
      <c r="Z1909" s="54">
        <f t="shared" si="546"/>
        <v>0</v>
      </c>
      <c r="AA1909" s="54">
        <f t="shared" si="558"/>
        <v>0</v>
      </c>
      <c r="AB1909" s="55">
        <f t="shared" si="548"/>
        <v>0</v>
      </c>
      <c r="AC1909" s="55">
        <f t="shared" si="559"/>
        <v>0</v>
      </c>
      <c r="AD1909" s="56">
        <f t="shared" si="560"/>
        <v>14137.64</v>
      </c>
    </row>
    <row r="1910" spans="3:30">
      <c r="C1910" s="43" t="s">
        <v>3500</v>
      </c>
      <c r="D1910" s="44" t="s">
        <v>3501</v>
      </c>
      <c r="E1910" s="44"/>
      <c r="F1910" s="45">
        <v>41016.451874999999</v>
      </c>
      <c r="G1910" s="46">
        <v>77</v>
      </c>
      <c r="H1910" s="47">
        <v>43384</v>
      </c>
      <c r="I1910" s="47">
        <v>43397</v>
      </c>
      <c r="J1910" s="46">
        <v>491938</v>
      </c>
      <c r="K1910" s="46">
        <v>0</v>
      </c>
      <c r="L1910" s="46">
        <v>0</v>
      </c>
      <c r="M1910" s="46">
        <f t="shared" si="549"/>
        <v>491938</v>
      </c>
      <c r="N1910" s="46">
        <v>462172</v>
      </c>
      <c r="O1910" s="48">
        <f t="shared" si="550"/>
        <v>0</v>
      </c>
      <c r="P1910" s="46">
        <v>0</v>
      </c>
      <c r="Q1910" s="46">
        <v>491938</v>
      </c>
      <c r="R1910" s="49">
        <f t="shared" si="551"/>
        <v>1</v>
      </c>
      <c r="S1910" s="50">
        <f t="shared" si="552"/>
        <v>0.01</v>
      </c>
      <c r="T1910" s="49">
        <f t="shared" si="553"/>
        <v>4919.38</v>
      </c>
      <c r="U1910" s="51">
        <f t="shared" si="554"/>
        <v>0</v>
      </c>
      <c r="V1910" s="52">
        <f>IF(0&lt;0.8,0,IF(0&lt;1,Sheet3!L561,1))*IF(G1910&lt;3,0.12 - O1910,0.01) *U1910</f>
        <v>0</v>
      </c>
      <c r="W1910" s="52">
        <f t="shared" si="555"/>
        <v>0</v>
      </c>
      <c r="X1910" s="53">
        <f t="shared" si="556"/>
        <v>0</v>
      </c>
      <c r="Y1910" s="53">
        <f t="shared" si="557"/>
        <v>0</v>
      </c>
      <c r="Z1910" s="54">
        <f t="shared" si="546"/>
        <v>0</v>
      </c>
      <c r="AA1910" s="54">
        <f t="shared" si="558"/>
        <v>0</v>
      </c>
      <c r="AB1910" s="55">
        <f t="shared" si="548"/>
        <v>0</v>
      </c>
      <c r="AC1910" s="55">
        <f t="shared" si="559"/>
        <v>0</v>
      </c>
      <c r="AD1910" s="56">
        <f t="shared" si="560"/>
        <v>4919.38</v>
      </c>
    </row>
    <row r="1911" spans="3:30">
      <c r="C1911" s="43" t="s">
        <v>3502</v>
      </c>
      <c r="D1911" s="44" t="s">
        <v>3503</v>
      </c>
      <c r="E1911" s="44"/>
      <c r="F1911" s="45">
        <v>41057.369143518517</v>
      </c>
      <c r="G1911" s="46">
        <v>76</v>
      </c>
      <c r="H1911" s="47">
        <v>43376</v>
      </c>
      <c r="I1911" s="47">
        <v>43405</v>
      </c>
      <c r="J1911" s="46">
        <v>880614</v>
      </c>
      <c r="K1911" s="46">
        <v>0</v>
      </c>
      <c r="L1911" s="46">
        <v>0</v>
      </c>
      <c r="M1911" s="46">
        <f t="shared" si="549"/>
        <v>880614</v>
      </c>
      <c r="N1911" s="46">
        <v>880614</v>
      </c>
      <c r="O1911" s="48">
        <f t="shared" si="550"/>
        <v>0</v>
      </c>
      <c r="P1911" s="46">
        <v>0</v>
      </c>
      <c r="Q1911" s="46">
        <v>880614</v>
      </c>
      <c r="R1911" s="49">
        <f t="shared" si="551"/>
        <v>1</v>
      </c>
      <c r="S1911" s="50">
        <f t="shared" si="552"/>
        <v>0.01</v>
      </c>
      <c r="T1911" s="49">
        <f t="shared" si="553"/>
        <v>8806.14</v>
      </c>
      <c r="U1911" s="51">
        <f t="shared" si="554"/>
        <v>0</v>
      </c>
      <c r="V1911" s="52">
        <f>IF(0&lt;0.8,0,IF(0&lt;1,Sheet3!L561,1))*IF(G1911&lt;3,0.12 - O1911,0.01) *U1911</f>
        <v>0</v>
      </c>
      <c r="W1911" s="52">
        <f t="shared" si="555"/>
        <v>0</v>
      </c>
      <c r="X1911" s="53">
        <f t="shared" si="556"/>
        <v>0</v>
      </c>
      <c r="Y1911" s="53">
        <f t="shared" si="557"/>
        <v>0</v>
      </c>
      <c r="Z1911" s="54">
        <f t="shared" si="546"/>
        <v>0</v>
      </c>
      <c r="AA1911" s="54">
        <f t="shared" si="558"/>
        <v>0</v>
      </c>
      <c r="AB1911" s="55">
        <f t="shared" si="548"/>
        <v>0</v>
      </c>
      <c r="AC1911" s="55">
        <f t="shared" si="559"/>
        <v>0</v>
      </c>
      <c r="AD1911" s="56">
        <f t="shared" si="560"/>
        <v>8806.14</v>
      </c>
    </row>
    <row r="1912" spans="3:30">
      <c r="C1912" s="43" t="s">
        <v>3504</v>
      </c>
      <c r="D1912" s="44" t="s">
        <v>3505</v>
      </c>
      <c r="E1912" s="44"/>
      <c r="F1912" s="45">
        <v>41062.364803240736</v>
      </c>
      <c r="G1912" s="46">
        <v>75</v>
      </c>
      <c r="H1912" s="47">
        <v>43384</v>
      </c>
      <c r="I1912" s="47">
        <v>43397</v>
      </c>
      <c r="J1912" s="46">
        <v>1449338</v>
      </c>
      <c r="K1912" s="46">
        <v>0</v>
      </c>
      <c r="L1912" s="46">
        <v>0</v>
      </c>
      <c r="M1912" s="46">
        <f t="shared" si="549"/>
        <v>1449338</v>
      </c>
      <c r="N1912" s="46">
        <v>1449338</v>
      </c>
      <c r="O1912" s="48">
        <f t="shared" si="550"/>
        <v>0</v>
      </c>
      <c r="P1912" s="46">
        <v>0</v>
      </c>
      <c r="Q1912" s="46">
        <v>1449338</v>
      </c>
      <c r="R1912" s="49">
        <f t="shared" si="551"/>
        <v>1</v>
      </c>
      <c r="S1912" s="50">
        <f t="shared" si="552"/>
        <v>0.01</v>
      </c>
      <c r="T1912" s="49">
        <f t="shared" si="553"/>
        <v>14493.380000000001</v>
      </c>
      <c r="U1912" s="51">
        <f t="shared" si="554"/>
        <v>0</v>
      </c>
      <c r="V1912" s="52">
        <f>IF(0&lt;0.8,0,IF(0&lt;1,Sheet3!L561,1))*IF(G1912&lt;3,0.12 - O1912,0.01) *U1912</f>
        <v>0</v>
      </c>
      <c r="W1912" s="52">
        <f t="shared" si="555"/>
        <v>0</v>
      </c>
      <c r="X1912" s="53">
        <f t="shared" si="556"/>
        <v>0</v>
      </c>
      <c r="Y1912" s="53">
        <f t="shared" si="557"/>
        <v>0</v>
      </c>
      <c r="Z1912" s="54">
        <f t="shared" si="546"/>
        <v>0</v>
      </c>
      <c r="AA1912" s="54">
        <f t="shared" si="558"/>
        <v>0</v>
      </c>
      <c r="AB1912" s="55">
        <f t="shared" si="548"/>
        <v>0</v>
      </c>
      <c r="AC1912" s="55">
        <f t="shared" si="559"/>
        <v>0</v>
      </c>
      <c r="AD1912" s="56">
        <f t="shared" si="560"/>
        <v>14493.380000000001</v>
      </c>
    </row>
    <row r="1913" spans="3:30">
      <c r="C1913" s="43" t="s">
        <v>3506</v>
      </c>
      <c r="D1913" s="44" t="s">
        <v>3507</v>
      </c>
      <c r="E1913" s="44"/>
      <c r="F1913" s="45">
        <v>41086.566562499997</v>
      </c>
      <c r="G1913" s="46">
        <v>75</v>
      </c>
      <c r="H1913" s="47">
        <v>43376</v>
      </c>
      <c r="I1913" s="47">
        <v>43405</v>
      </c>
      <c r="J1913" s="46">
        <v>800294</v>
      </c>
      <c r="K1913" s="46">
        <v>0</v>
      </c>
      <c r="L1913" s="46">
        <v>0</v>
      </c>
      <c r="M1913" s="46">
        <f t="shared" si="549"/>
        <v>800294</v>
      </c>
      <c r="N1913" s="46">
        <v>800294</v>
      </c>
      <c r="O1913" s="48">
        <f t="shared" si="550"/>
        <v>0</v>
      </c>
      <c r="P1913" s="46">
        <v>0</v>
      </c>
      <c r="Q1913" s="46">
        <v>800294</v>
      </c>
      <c r="R1913" s="49">
        <f t="shared" si="551"/>
        <v>1</v>
      </c>
      <c r="S1913" s="50">
        <f t="shared" si="552"/>
        <v>0.01</v>
      </c>
      <c r="T1913" s="49">
        <f t="shared" si="553"/>
        <v>8002.9400000000005</v>
      </c>
      <c r="U1913" s="51">
        <f t="shared" si="554"/>
        <v>0</v>
      </c>
      <c r="V1913" s="52">
        <f>IF(0&lt;0.8,0,IF(0&lt;1,Sheet3!L561,1))*IF(G1913&lt;3,0.12 - O1913,0.01) *U1913</f>
        <v>0</v>
      </c>
      <c r="W1913" s="52">
        <f t="shared" si="555"/>
        <v>0</v>
      </c>
      <c r="X1913" s="53">
        <f t="shared" si="556"/>
        <v>0</v>
      </c>
      <c r="Y1913" s="53">
        <f t="shared" si="557"/>
        <v>0</v>
      </c>
      <c r="Z1913" s="54">
        <f t="shared" si="546"/>
        <v>0</v>
      </c>
      <c r="AA1913" s="54">
        <f t="shared" si="558"/>
        <v>0</v>
      </c>
      <c r="AB1913" s="55">
        <f t="shared" si="548"/>
        <v>0</v>
      </c>
      <c r="AC1913" s="55">
        <f t="shared" si="559"/>
        <v>0</v>
      </c>
      <c r="AD1913" s="56">
        <f t="shared" si="560"/>
        <v>8002.9400000000005</v>
      </c>
    </row>
    <row r="1914" spans="3:30">
      <c r="C1914" s="43" t="s">
        <v>3508</v>
      </c>
      <c r="D1914" s="44" t="s">
        <v>3509</v>
      </c>
      <c r="E1914" s="44"/>
      <c r="F1914" s="45">
        <v>41193.417731481481</v>
      </c>
      <c r="G1914" s="46">
        <v>71</v>
      </c>
      <c r="H1914" s="47">
        <v>43384</v>
      </c>
      <c r="I1914" s="47">
        <v>43406</v>
      </c>
      <c r="J1914" s="46">
        <v>50061230</v>
      </c>
      <c r="K1914" s="46">
        <v>0</v>
      </c>
      <c r="L1914" s="46">
        <v>0</v>
      </c>
      <c r="M1914" s="46">
        <f t="shared" si="549"/>
        <v>50061230</v>
      </c>
      <c r="N1914" s="46">
        <v>50044833</v>
      </c>
      <c r="O1914" s="48">
        <f t="shared" si="550"/>
        <v>0</v>
      </c>
      <c r="P1914" s="46">
        <v>0</v>
      </c>
      <c r="Q1914" s="46">
        <v>50061230</v>
      </c>
      <c r="R1914" s="49">
        <f t="shared" si="551"/>
        <v>1</v>
      </c>
      <c r="S1914" s="50">
        <f t="shared" si="552"/>
        <v>0.01</v>
      </c>
      <c r="T1914" s="49">
        <f t="shared" si="553"/>
        <v>500612.3</v>
      </c>
      <c r="U1914" s="51">
        <f t="shared" si="554"/>
        <v>0</v>
      </c>
      <c r="V1914" s="52">
        <f>IF(0&lt;0.8,0,IF(0&lt;1,Sheet3!L561,1))*IF(G1914&lt;3,0.12 - O1914,0.01) *U1914</f>
        <v>0</v>
      </c>
      <c r="W1914" s="52">
        <f t="shared" si="555"/>
        <v>0</v>
      </c>
      <c r="X1914" s="53">
        <f t="shared" si="556"/>
        <v>0</v>
      </c>
      <c r="Y1914" s="53">
        <f t="shared" si="557"/>
        <v>0</v>
      </c>
      <c r="Z1914" s="54">
        <f t="shared" si="546"/>
        <v>0</v>
      </c>
      <c r="AA1914" s="54">
        <f t="shared" si="558"/>
        <v>0</v>
      </c>
      <c r="AB1914" s="55">
        <f t="shared" si="548"/>
        <v>0</v>
      </c>
      <c r="AC1914" s="55">
        <f t="shared" si="559"/>
        <v>0</v>
      </c>
      <c r="AD1914" s="56">
        <f t="shared" si="560"/>
        <v>500612.3</v>
      </c>
    </row>
    <row r="1915" spans="3:30">
      <c r="C1915" s="43" t="s">
        <v>3510</v>
      </c>
      <c r="D1915" s="44" t="s">
        <v>3511</v>
      </c>
      <c r="E1915" s="44"/>
      <c r="F1915" s="45">
        <v>41256.598356481481</v>
      </c>
      <c r="G1915" s="46">
        <v>69</v>
      </c>
      <c r="H1915" s="47">
        <v>43376</v>
      </c>
      <c r="I1915" s="47">
        <v>43386</v>
      </c>
      <c r="J1915" s="46">
        <v>1802460</v>
      </c>
      <c r="K1915" s="46">
        <v>0</v>
      </c>
      <c r="L1915" s="46">
        <v>0</v>
      </c>
      <c r="M1915" s="46">
        <f t="shared" si="549"/>
        <v>1802460</v>
      </c>
      <c r="N1915" s="46">
        <v>1705149</v>
      </c>
      <c r="O1915" s="48">
        <f t="shared" si="550"/>
        <v>0</v>
      </c>
      <c r="P1915" s="46">
        <v>0</v>
      </c>
      <c r="Q1915" s="46">
        <v>1802460</v>
      </c>
      <c r="R1915" s="49">
        <f t="shared" si="551"/>
        <v>1</v>
      </c>
      <c r="S1915" s="50">
        <f t="shared" si="552"/>
        <v>0.01</v>
      </c>
      <c r="T1915" s="49">
        <f t="shared" si="553"/>
        <v>18024.600000000002</v>
      </c>
      <c r="U1915" s="51">
        <f t="shared" si="554"/>
        <v>0</v>
      </c>
      <c r="V1915" s="52">
        <f>IF(0&lt;0.8,0,IF(0&lt;1,Sheet3!L561,1))*IF(G1915&lt;3,0.12 - O1915,0.01) *U1915</f>
        <v>0</v>
      </c>
      <c r="W1915" s="52">
        <f t="shared" si="555"/>
        <v>0</v>
      </c>
      <c r="X1915" s="53">
        <f t="shared" si="556"/>
        <v>0</v>
      </c>
      <c r="Y1915" s="53">
        <f t="shared" si="557"/>
        <v>0</v>
      </c>
      <c r="Z1915" s="54">
        <f t="shared" si="546"/>
        <v>0</v>
      </c>
      <c r="AA1915" s="54">
        <f t="shared" si="558"/>
        <v>0</v>
      </c>
      <c r="AB1915" s="55">
        <f t="shared" si="548"/>
        <v>0</v>
      </c>
      <c r="AC1915" s="55">
        <f t="shared" si="559"/>
        <v>0</v>
      </c>
      <c r="AD1915" s="56">
        <f t="shared" si="560"/>
        <v>18024.600000000002</v>
      </c>
    </row>
    <row r="1916" spans="3:30">
      <c r="C1916" s="43" t="s">
        <v>3512</v>
      </c>
      <c r="D1916" s="44" t="s">
        <v>3513</v>
      </c>
      <c r="E1916" s="44"/>
      <c r="F1916" s="45">
        <v>41375.423819444441</v>
      </c>
      <c r="G1916" s="46">
        <v>65</v>
      </c>
      <c r="H1916" s="47">
        <v>43376</v>
      </c>
      <c r="I1916" s="47">
        <v>43395</v>
      </c>
      <c r="J1916" s="46">
        <v>1115910</v>
      </c>
      <c r="K1916" s="46">
        <v>0</v>
      </c>
      <c r="L1916" s="46">
        <v>0</v>
      </c>
      <c r="M1916" s="46">
        <f t="shared" si="549"/>
        <v>1115910</v>
      </c>
      <c r="N1916" s="46">
        <v>1115910</v>
      </c>
      <c r="O1916" s="48">
        <f t="shared" si="550"/>
        <v>0</v>
      </c>
      <c r="P1916" s="46">
        <v>0</v>
      </c>
      <c r="Q1916" s="46">
        <v>1115910</v>
      </c>
      <c r="R1916" s="49">
        <f t="shared" si="551"/>
        <v>1</v>
      </c>
      <c r="S1916" s="50">
        <f t="shared" si="552"/>
        <v>0.01</v>
      </c>
      <c r="T1916" s="49">
        <f t="shared" si="553"/>
        <v>11159.1</v>
      </c>
      <c r="U1916" s="51">
        <f t="shared" si="554"/>
        <v>0</v>
      </c>
      <c r="V1916" s="52">
        <f>IF(0&lt;0.8,0,IF(0&lt;1,Sheet3!L561,1))*IF(G1916&lt;3,0.12 - O1916,0.01) *U1916</f>
        <v>0</v>
      </c>
      <c r="W1916" s="52">
        <f t="shared" si="555"/>
        <v>0</v>
      </c>
      <c r="X1916" s="53">
        <f t="shared" si="556"/>
        <v>0</v>
      </c>
      <c r="Y1916" s="53">
        <f t="shared" si="557"/>
        <v>0</v>
      </c>
      <c r="Z1916" s="54">
        <f t="shared" si="546"/>
        <v>0</v>
      </c>
      <c r="AA1916" s="54">
        <f t="shared" si="558"/>
        <v>0</v>
      </c>
      <c r="AB1916" s="55">
        <f t="shared" si="548"/>
        <v>0</v>
      </c>
      <c r="AC1916" s="55">
        <f t="shared" si="559"/>
        <v>0</v>
      </c>
      <c r="AD1916" s="56">
        <f t="shared" si="560"/>
        <v>11159.1</v>
      </c>
    </row>
    <row r="1917" spans="3:30">
      <c r="C1917" s="43" t="s">
        <v>3514</v>
      </c>
      <c r="D1917" s="44" t="s">
        <v>3515</v>
      </c>
      <c r="E1917" s="44"/>
      <c r="F1917" s="45">
        <v>41390.468124999999</v>
      </c>
      <c r="G1917" s="46">
        <v>65</v>
      </c>
      <c r="H1917" s="47">
        <v>43384</v>
      </c>
      <c r="I1917" s="47">
        <v>43427</v>
      </c>
      <c r="J1917" s="46">
        <v>4319192</v>
      </c>
      <c r="K1917" s="46">
        <v>0</v>
      </c>
      <c r="L1917" s="46">
        <v>0</v>
      </c>
      <c r="M1917" s="46">
        <f t="shared" si="549"/>
        <v>4319192</v>
      </c>
      <c r="N1917" s="46">
        <v>4319192</v>
      </c>
      <c r="O1917" s="48">
        <f t="shared" si="550"/>
        <v>0</v>
      </c>
      <c r="P1917" s="46">
        <v>0</v>
      </c>
      <c r="Q1917" s="46">
        <v>4319192</v>
      </c>
      <c r="R1917" s="49">
        <f t="shared" si="551"/>
        <v>1</v>
      </c>
      <c r="S1917" s="50">
        <f t="shared" si="552"/>
        <v>0.01</v>
      </c>
      <c r="T1917" s="49">
        <f t="shared" si="553"/>
        <v>43191.92</v>
      </c>
      <c r="U1917" s="51">
        <f t="shared" si="554"/>
        <v>0</v>
      </c>
      <c r="V1917" s="52">
        <f>IF(0&lt;0.8,0,IF(0&lt;1,Sheet3!L561,1))*IF(G1917&lt;3,0.12 - O1917,0.01) *U1917</f>
        <v>0</v>
      </c>
      <c r="W1917" s="52">
        <f t="shared" si="555"/>
        <v>0</v>
      </c>
      <c r="X1917" s="53">
        <f t="shared" si="556"/>
        <v>0</v>
      </c>
      <c r="Y1917" s="53">
        <f t="shared" si="557"/>
        <v>0</v>
      </c>
      <c r="Z1917" s="54">
        <f t="shared" si="546"/>
        <v>0</v>
      </c>
      <c r="AA1917" s="54">
        <f t="shared" si="558"/>
        <v>0</v>
      </c>
      <c r="AB1917" s="55">
        <f t="shared" si="548"/>
        <v>0</v>
      </c>
      <c r="AC1917" s="55">
        <f t="shared" si="559"/>
        <v>0</v>
      </c>
      <c r="AD1917" s="56">
        <f t="shared" si="560"/>
        <v>43191.92</v>
      </c>
    </row>
    <row r="1918" spans="3:30">
      <c r="C1918" s="43" t="s">
        <v>3516</v>
      </c>
      <c r="D1918" s="44" t="s">
        <v>3517</v>
      </c>
      <c r="E1918" s="44"/>
      <c r="F1918" s="45">
        <v>41418.496851851851</v>
      </c>
      <c r="G1918" s="46">
        <v>64</v>
      </c>
      <c r="H1918" s="47">
        <v>43384</v>
      </c>
      <c r="I1918" s="47">
        <v>43427</v>
      </c>
      <c r="J1918" s="46">
        <v>2633695</v>
      </c>
      <c r="K1918" s="46">
        <v>0</v>
      </c>
      <c r="L1918" s="46">
        <v>0</v>
      </c>
      <c r="M1918" s="46">
        <f t="shared" si="549"/>
        <v>2633695</v>
      </c>
      <c r="N1918" s="46">
        <v>2629202</v>
      </c>
      <c r="O1918" s="48">
        <f t="shared" si="550"/>
        <v>0</v>
      </c>
      <c r="P1918" s="46">
        <v>0</v>
      </c>
      <c r="Q1918" s="46">
        <v>2633695</v>
      </c>
      <c r="R1918" s="49">
        <f t="shared" si="551"/>
        <v>1</v>
      </c>
      <c r="S1918" s="50">
        <f t="shared" si="552"/>
        <v>0.01</v>
      </c>
      <c r="T1918" s="49">
        <f t="shared" si="553"/>
        <v>26336.95</v>
      </c>
      <c r="U1918" s="51">
        <f t="shared" si="554"/>
        <v>0</v>
      </c>
      <c r="V1918" s="52">
        <f>IF(0&lt;0.8,0,IF(0&lt;1,Sheet3!L561,1))*IF(G1918&lt;3,0.12 - O1918,0.01) *U1918</f>
        <v>0</v>
      </c>
      <c r="W1918" s="52">
        <f t="shared" si="555"/>
        <v>0</v>
      </c>
      <c r="X1918" s="53">
        <f t="shared" si="556"/>
        <v>0</v>
      </c>
      <c r="Y1918" s="53">
        <f t="shared" si="557"/>
        <v>0</v>
      </c>
      <c r="Z1918" s="54">
        <f t="shared" si="546"/>
        <v>0</v>
      </c>
      <c r="AA1918" s="54">
        <f t="shared" si="558"/>
        <v>0</v>
      </c>
      <c r="AB1918" s="55">
        <f t="shared" si="548"/>
        <v>0</v>
      </c>
      <c r="AC1918" s="55">
        <f t="shared" si="559"/>
        <v>0</v>
      </c>
      <c r="AD1918" s="56">
        <f t="shared" si="560"/>
        <v>26336.95</v>
      </c>
    </row>
    <row r="1919" spans="3:30">
      <c r="C1919" s="43" t="s">
        <v>3518</v>
      </c>
      <c r="D1919" s="44" t="s">
        <v>3519</v>
      </c>
      <c r="E1919" s="44"/>
      <c r="F1919" s="45">
        <v>41444.415763888886</v>
      </c>
      <c r="G1919" s="46">
        <v>63</v>
      </c>
      <c r="H1919" s="47">
        <v>43376</v>
      </c>
      <c r="I1919" s="47">
        <v>43390</v>
      </c>
      <c r="J1919" s="46">
        <v>552945</v>
      </c>
      <c r="K1919" s="46">
        <v>0</v>
      </c>
      <c r="L1919" s="46">
        <v>0</v>
      </c>
      <c r="M1919" s="46">
        <f t="shared" si="549"/>
        <v>552945</v>
      </c>
      <c r="N1919" s="46">
        <v>552945</v>
      </c>
      <c r="O1919" s="48">
        <f t="shared" si="550"/>
        <v>0</v>
      </c>
      <c r="P1919" s="46">
        <v>0</v>
      </c>
      <c r="Q1919" s="46">
        <v>552945</v>
      </c>
      <c r="R1919" s="49">
        <f t="shared" si="551"/>
        <v>1</v>
      </c>
      <c r="S1919" s="50">
        <f t="shared" si="552"/>
        <v>0.01</v>
      </c>
      <c r="T1919" s="49">
        <f t="shared" si="553"/>
        <v>5529.45</v>
      </c>
      <c r="U1919" s="51">
        <f t="shared" si="554"/>
        <v>0</v>
      </c>
      <c r="V1919" s="52">
        <f>IF(0&lt;0.8,0,IF(0&lt;1,Sheet3!L561,1))*IF(G1919&lt;3,0.12 - O1919,0.01) *U1919</f>
        <v>0</v>
      </c>
      <c r="W1919" s="52">
        <f t="shared" si="555"/>
        <v>0</v>
      </c>
      <c r="X1919" s="53">
        <f t="shared" si="556"/>
        <v>0</v>
      </c>
      <c r="Y1919" s="53">
        <f t="shared" si="557"/>
        <v>0</v>
      </c>
      <c r="Z1919" s="54">
        <f t="shared" si="546"/>
        <v>0</v>
      </c>
      <c r="AA1919" s="54">
        <f t="shared" si="558"/>
        <v>0</v>
      </c>
      <c r="AB1919" s="55">
        <f t="shared" si="548"/>
        <v>0</v>
      </c>
      <c r="AC1919" s="55">
        <f t="shared" si="559"/>
        <v>0</v>
      </c>
      <c r="AD1919" s="56">
        <f t="shared" si="560"/>
        <v>5529.45</v>
      </c>
    </row>
    <row r="1920" spans="3:30">
      <c r="C1920" s="43" t="s">
        <v>3520</v>
      </c>
      <c r="D1920" s="44" t="s">
        <v>3521</v>
      </c>
      <c r="E1920" s="44"/>
      <c r="F1920" s="45">
        <v>41450.413321759261</v>
      </c>
      <c r="G1920" s="46">
        <v>63</v>
      </c>
      <c r="H1920" s="47">
        <v>43385</v>
      </c>
      <c r="I1920" s="47">
        <v>43416</v>
      </c>
      <c r="J1920" s="46">
        <v>12687572</v>
      </c>
      <c r="K1920" s="46">
        <v>0</v>
      </c>
      <c r="L1920" s="46">
        <v>0</v>
      </c>
      <c r="M1920" s="46">
        <f t="shared" si="549"/>
        <v>12687572</v>
      </c>
      <c r="N1920" s="46">
        <v>14020781</v>
      </c>
      <c r="O1920" s="48">
        <f t="shared" si="550"/>
        <v>9.5088069630357985E-2</v>
      </c>
      <c r="P1920" s="46">
        <v>0</v>
      </c>
      <c r="Q1920" s="46">
        <v>12687572</v>
      </c>
      <c r="R1920" s="49">
        <f t="shared" si="551"/>
        <v>1</v>
      </c>
      <c r="S1920" s="50">
        <f t="shared" si="552"/>
        <v>0.01</v>
      </c>
      <c r="T1920" s="49">
        <f t="shared" si="553"/>
        <v>126875.72</v>
      </c>
      <c r="U1920" s="51">
        <f t="shared" si="554"/>
        <v>0</v>
      </c>
      <c r="V1920" s="52">
        <f>IF(0&lt;0.8,0,IF(0&lt;1,Sheet3!L561,1))*IF(G1920&lt;3,0.12 - O1920,0.01) *U1920</f>
        <v>0</v>
      </c>
      <c r="W1920" s="52">
        <f t="shared" si="555"/>
        <v>0</v>
      </c>
      <c r="X1920" s="53">
        <f t="shared" si="556"/>
        <v>0</v>
      </c>
      <c r="Y1920" s="53">
        <f t="shared" si="557"/>
        <v>0</v>
      </c>
      <c r="Z1920" s="54">
        <f t="shared" si="546"/>
        <v>0</v>
      </c>
      <c r="AA1920" s="54">
        <f t="shared" si="558"/>
        <v>0</v>
      </c>
      <c r="AB1920" s="55">
        <f t="shared" si="548"/>
        <v>0</v>
      </c>
      <c r="AC1920" s="55">
        <f t="shared" si="559"/>
        <v>0</v>
      </c>
      <c r="AD1920" s="56">
        <f t="shared" si="560"/>
        <v>126875.72</v>
      </c>
    </row>
    <row r="1921" spans="3:30">
      <c r="C1921" s="43" t="s">
        <v>3522</v>
      </c>
      <c r="D1921" s="44" t="s">
        <v>3523</v>
      </c>
      <c r="E1921" s="44"/>
      <c r="F1921" s="45">
        <v>41460.453379629631</v>
      </c>
      <c r="G1921" s="46">
        <v>62</v>
      </c>
      <c r="H1921" s="47">
        <v>43385</v>
      </c>
      <c r="I1921" s="47">
        <v>43395</v>
      </c>
      <c r="J1921" s="46">
        <v>5601962</v>
      </c>
      <c r="K1921" s="46">
        <v>0</v>
      </c>
      <c r="L1921" s="46">
        <v>0</v>
      </c>
      <c r="M1921" s="46">
        <f t="shared" si="549"/>
        <v>5601962</v>
      </c>
      <c r="N1921" s="46">
        <v>5601962</v>
      </c>
      <c r="O1921" s="48">
        <f t="shared" si="550"/>
        <v>0</v>
      </c>
      <c r="P1921" s="46">
        <v>0</v>
      </c>
      <c r="Q1921" s="46">
        <v>5601962</v>
      </c>
      <c r="R1921" s="49">
        <f t="shared" si="551"/>
        <v>1</v>
      </c>
      <c r="S1921" s="50">
        <f t="shared" si="552"/>
        <v>0.01</v>
      </c>
      <c r="T1921" s="49">
        <f t="shared" si="553"/>
        <v>56019.62</v>
      </c>
      <c r="U1921" s="51">
        <f t="shared" si="554"/>
        <v>0</v>
      </c>
      <c r="V1921" s="52">
        <f>IF(0&lt;0.8,0,IF(0&lt;1,Sheet3!L561,1))*IF(G1921&lt;3,0.12 - O1921,0.01) *U1921</f>
        <v>0</v>
      </c>
      <c r="W1921" s="52">
        <f t="shared" si="555"/>
        <v>0</v>
      </c>
      <c r="X1921" s="53">
        <f t="shared" si="556"/>
        <v>0</v>
      </c>
      <c r="Y1921" s="53">
        <f t="shared" si="557"/>
        <v>0</v>
      </c>
      <c r="Z1921" s="54">
        <f t="shared" si="546"/>
        <v>0</v>
      </c>
      <c r="AA1921" s="54">
        <f t="shared" si="558"/>
        <v>0</v>
      </c>
      <c r="AB1921" s="55">
        <f t="shared" si="548"/>
        <v>0</v>
      </c>
      <c r="AC1921" s="55">
        <f t="shared" si="559"/>
        <v>0</v>
      </c>
      <c r="AD1921" s="56">
        <f t="shared" si="560"/>
        <v>56019.62</v>
      </c>
    </row>
    <row r="1922" spans="3:30">
      <c r="C1922" s="43" t="s">
        <v>3524</v>
      </c>
      <c r="D1922" s="44" t="s">
        <v>3525</v>
      </c>
      <c r="E1922" s="44"/>
      <c r="F1922" s="45">
        <v>41522.428819444445</v>
      </c>
      <c r="G1922" s="46">
        <v>60</v>
      </c>
      <c r="H1922" s="47">
        <v>43385</v>
      </c>
      <c r="I1922" s="47">
        <v>43396</v>
      </c>
      <c r="J1922" s="46">
        <v>1224689</v>
      </c>
      <c r="K1922" s="46">
        <v>0</v>
      </c>
      <c r="L1922" s="46">
        <v>0</v>
      </c>
      <c r="M1922" s="46">
        <f t="shared" si="549"/>
        <v>1224689</v>
      </c>
      <c r="N1922" s="46">
        <v>1224689</v>
      </c>
      <c r="O1922" s="48">
        <f t="shared" si="550"/>
        <v>0</v>
      </c>
      <c r="P1922" s="46">
        <v>0</v>
      </c>
      <c r="Q1922" s="46">
        <v>1224689</v>
      </c>
      <c r="R1922" s="49">
        <f t="shared" si="551"/>
        <v>1</v>
      </c>
      <c r="S1922" s="50">
        <f t="shared" si="552"/>
        <v>0.01</v>
      </c>
      <c r="T1922" s="49">
        <f t="shared" si="553"/>
        <v>12246.89</v>
      </c>
      <c r="U1922" s="51">
        <f t="shared" si="554"/>
        <v>0</v>
      </c>
      <c r="V1922" s="52">
        <f>IF(0&lt;0.8,0,IF(0&lt;1,Sheet3!L561,1))*IF(G1922&lt;3,0.12 - O1922,0.01) *U1922</f>
        <v>0</v>
      </c>
      <c r="W1922" s="52">
        <f t="shared" si="555"/>
        <v>0</v>
      </c>
      <c r="X1922" s="53">
        <f t="shared" si="556"/>
        <v>0</v>
      </c>
      <c r="Y1922" s="53">
        <f t="shared" si="557"/>
        <v>0</v>
      </c>
      <c r="Z1922" s="54">
        <f t="shared" si="546"/>
        <v>0</v>
      </c>
      <c r="AA1922" s="54">
        <f t="shared" si="558"/>
        <v>0</v>
      </c>
      <c r="AB1922" s="55">
        <f t="shared" si="548"/>
        <v>0</v>
      </c>
      <c r="AC1922" s="55">
        <f t="shared" si="559"/>
        <v>0</v>
      </c>
      <c r="AD1922" s="56">
        <f t="shared" si="560"/>
        <v>12246.89</v>
      </c>
    </row>
    <row r="1923" spans="3:30">
      <c r="C1923" s="43" t="s">
        <v>3526</v>
      </c>
      <c r="D1923" s="44" t="s">
        <v>3527</v>
      </c>
      <c r="E1923" s="44"/>
      <c r="F1923" s="45">
        <v>41549.405810185184</v>
      </c>
      <c r="G1923" s="46">
        <v>59</v>
      </c>
      <c r="H1923" s="47">
        <v>43376</v>
      </c>
      <c r="I1923" s="47">
        <v>43390</v>
      </c>
      <c r="J1923" s="46">
        <v>138230</v>
      </c>
      <c r="K1923" s="46">
        <v>0</v>
      </c>
      <c r="L1923" s="46">
        <v>0</v>
      </c>
      <c r="M1923" s="46">
        <f t="shared" si="549"/>
        <v>138230</v>
      </c>
      <c r="N1923" s="46">
        <v>138230</v>
      </c>
      <c r="O1923" s="48">
        <f t="shared" si="550"/>
        <v>0</v>
      </c>
      <c r="P1923" s="46">
        <v>0</v>
      </c>
      <c r="Q1923" s="46">
        <v>138230</v>
      </c>
      <c r="R1923" s="49">
        <f t="shared" si="551"/>
        <v>1</v>
      </c>
      <c r="S1923" s="50">
        <f t="shared" si="552"/>
        <v>0.01</v>
      </c>
      <c r="T1923" s="49">
        <f t="shared" si="553"/>
        <v>1382.3</v>
      </c>
      <c r="U1923" s="51">
        <f t="shared" si="554"/>
        <v>0</v>
      </c>
      <c r="V1923" s="52">
        <f>IF(0&lt;0.8,0,IF(0&lt;1,Sheet3!L561,1))*IF(G1923&lt;3,0.12 - O1923,0.01) *U1923</f>
        <v>0</v>
      </c>
      <c r="W1923" s="52">
        <f t="shared" si="555"/>
        <v>0</v>
      </c>
      <c r="X1923" s="53">
        <f t="shared" si="556"/>
        <v>0</v>
      </c>
      <c r="Y1923" s="53">
        <f t="shared" si="557"/>
        <v>0</v>
      </c>
      <c r="Z1923" s="54">
        <f t="shared" si="546"/>
        <v>0</v>
      </c>
      <c r="AA1923" s="54">
        <f t="shared" si="558"/>
        <v>0</v>
      </c>
      <c r="AB1923" s="55">
        <f t="shared" si="548"/>
        <v>0</v>
      </c>
      <c r="AC1923" s="55">
        <f t="shared" si="559"/>
        <v>0</v>
      </c>
      <c r="AD1923" s="56">
        <f t="shared" si="560"/>
        <v>1382.3</v>
      </c>
    </row>
    <row r="1924" spans="3:30">
      <c r="C1924" s="43" t="s">
        <v>3528</v>
      </c>
      <c r="D1924" s="44" t="s">
        <v>3529</v>
      </c>
      <c r="E1924" s="44"/>
      <c r="F1924" s="45">
        <v>41626.6096412037</v>
      </c>
      <c r="G1924" s="46">
        <v>57</v>
      </c>
      <c r="H1924" s="47">
        <v>43376</v>
      </c>
      <c r="I1924" s="47">
        <v>43425</v>
      </c>
      <c r="J1924" s="46">
        <v>1575545</v>
      </c>
      <c r="K1924" s="46">
        <v>0</v>
      </c>
      <c r="L1924" s="46">
        <v>0</v>
      </c>
      <c r="M1924" s="46">
        <f t="shared" si="549"/>
        <v>1575545</v>
      </c>
      <c r="N1924" s="46">
        <v>1091350</v>
      </c>
      <c r="O1924" s="48">
        <f t="shared" si="550"/>
        <v>0</v>
      </c>
      <c r="P1924" s="46">
        <v>0</v>
      </c>
      <c r="Q1924" s="46">
        <v>1575545</v>
      </c>
      <c r="R1924" s="49">
        <f t="shared" si="551"/>
        <v>1</v>
      </c>
      <c r="S1924" s="50">
        <f t="shared" si="552"/>
        <v>0.01</v>
      </c>
      <c r="T1924" s="49">
        <f t="shared" si="553"/>
        <v>15755.45</v>
      </c>
      <c r="U1924" s="51">
        <f t="shared" si="554"/>
        <v>0</v>
      </c>
      <c r="V1924" s="52">
        <f>IF(0&lt;0.8,0,IF(0&lt;1,Sheet3!L561,1))*IF(G1924&lt;3,0.12 - O1924,0.01) *U1924</f>
        <v>0</v>
      </c>
      <c r="W1924" s="52">
        <f t="shared" si="555"/>
        <v>0</v>
      </c>
      <c r="X1924" s="53">
        <f t="shared" si="556"/>
        <v>0</v>
      </c>
      <c r="Y1924" s="53">
        <f t="shared" si="557"/>
        <v>0</v>
      </c>
      <c r="Z1924" s="54">
        <f t="shared" si="546"/>
        <v>0</v>
      </c>
      <c r="AA1924" s="54">
        <f t="shared" si="558"/>
        <v>0</v>
      </c>
      <c r="AB1924" s="55">
        <f>IF(R1924=0,484000,0)</f>
        <v>0</v>
      </c>
      <c r="AC1924" s="55">
        <f t="shared" si="559"/>
        <v>0</v>
      </c>
      <c r="AD1924" s="56">
        <f t="shared" si="560"/>
        <v>15755.45</v>
      </c>
    </row>
    <row r="1925" spans="3:30">
      <c r="C1925" s="43" t="s">
        <v>3530</v>
      </c>
      <c r="D1925" s="44" t="s">
        <v>3531</v>
      </c>
      <c r="E1925" s="44"/>
      <c r="F1925" s="45">
        <v>41626.608738425923</v>
      </c>
      <c r="G1925" s="46">
        <v>57</v>
      </c>
      <c r="H1925" s="47">
        <v>43390</v>
      </c>
      <c r="I1925" s="47">
        <v>43407</v>
      </c>
      <c r="J1925" s="46">
        <v>986271</v>
      </c>
      <c r="K1925" s="46">
        <v>0</v>
      </c>
      <c r="L1925" s="46">
        <v>0</v>
      </c>
      <c r="M1925" s="46">
        <f t="shared" si="549"/>
        <v>986271</v>
      </c>
      <c r="N1925" s="46">
        <v>986271</v>
      </c>
      <c r="O1925" s="48">
        <f t="shared" si="550"/>
        <v>0</v>
      </c>
      <c r="P1925" s="46">
        <v>0</v>
      </c>
      <c r="Q1925" s="46">
        <v>986271</v>
      </c>
      <c r="R1925" s="49">
        <f t="shared" si="551"/>
        <v>1</v>
      </c>
      <c r="S1925" s="50">
        <f t="shared" si="552"/>
        <v>0.01</v>
      </c>
      <c r="T1925" s="49">
        <f t="shared" si="553"/>
        <v>9862.7100000000009</v>
      </c>
      <c r="U1925" s="51">
        <f t="shared" si="554"/>
        <v>0</v>
      </c>
      <c r="V1925" s="52">
        <f>IF(0&lt;0.8,0,IF(0&lt;1,Sheet3!L561,1))*IF(G1925&lt;3,0.12 - O1925,0.01) *U1925</f>
        <v>0</v>
      </c>
      <c r="W1925" s="52">
        <f t="shared" si="555"/>
        <v>0</v>
      </c>
      <c r="X1925" s="53">
        <f t="shared" si="556"/>
        <v>0</v>
      </c>
      <c r="Y1925" s="53">
        <f t="shared" si="557"/>
        <v>0</v>
      </c>
      <c r="Z1925" s="54">
        <f t="shared" si="546"/>
        <v>0</v>
      </c>
      <c r="AA1925" s="54">
        <f t="shared" si="558"/>
        <v>0</v>
      </c>
      <c r="AB1925" s="55">
        <f>IF(R1925=0,0,0)</f>
        <v>0</v>
      </c>
      <c r="AC1925" s="55">
        <f t="shared" si="559"/>
        <v>0</v>
      </c>
      <c r="AD1925" s="56">
        <f t="shared" si="560"/>
        <v>9862.7100000000009</v>
      </c>
    </row>
    <row r="1926" spans="3:30">
      <c r="C1926" s="43" t="s">
        <v>3532</v>
      </c>
      <c r="D1926" s="44" t="s">
        <v>3533</v>
      </c>
      <c r="E1926" s="44"/>
      <c r="F1926" s="45">
        <v>41697.607453703698</v>
      </c>
      <c r="G1926" s="46">
        <v>55</v>
      </c>
      <c r="H1926" s="47">
        <v>43385</v>
      </c>
      <c r="I1926" s="47">
        <v>43397</v>
      </c>
      <c r="J1926" s="46">
        <v>157948</v>
      </c>
      <c r="K1926" s="46">
        <v>0</v>
      </c>
      <c r="L1926" s="46">
        <v>0</v>
      </c>
      <c r="M1926" s="46">
        <f t="shared" si="549"/>
        <v>157948</v>
      </c>
      <c r="N1926" s="46">
        <v>157948</v>
      </c>
      <c r="O1926" s="48">
        <f t="shared" si="550"/>
        <v>0</v>
      </c>
      <c r="P1926" s="46">
        <v>0</v>
      </c>
      <c r="Q1926" s="46">
        <v>157948</v>
      </c>
      <c r="R1926" s="49">
        <f t="shared" si="551"/>
        <v>1</v>
      </c>
      <c r="S1926" s="50">
        <f t="shared" si="552"/>
        <v>0.01</v>
      </c>
      <c r="T1926" s="49">
        <f t="shared" si="553"/>
        <v>1579.48</v>
      </c>
      <c r="U1926" s="51">
        <f t="shared" si="554"/>
        <v>0</v>
      </c>
      <c r="V1926" s="52">
        <f>IF(0&lt;0.8,0,IF(0&lt;1,Sheet3!L561,1))*IF(G1926&lt;3,0.12 - O1926,0.01) *U1926</f>
        <v>0</v>
      </c>
      <c r="W1926" s="52">
        <f t="shared" si="555"/>
        <v>0</v>
      </c>
      <c r="X1926" s="53">
        <f t="shared" si="556"/>
        <v>0</v>
      </c>
      <c r="Y1926" s="53">
        <f t="shared" si="557"/>
        <v>0</v>
      </c>
      <c r="Z1926" s="54">
        <f t="shared" si="546"/>
        <v>0</v>
      </c>
      <c r="AA1926" s="54">
        <f t="shared" si="558"/>
        <v>0</v>
      </c>
      <c r="AB1926" s="55">
        <f>IF(R1926=0,0,0)</f>
        <v>0</v>
      </c>
      <c r="AC1926" s="55">
        <f t="shared" si="559"/>
        <v>0</v>
      </c>
      <c r="AD1926" s="56">
        <f t="shared" si="560"/>
        <v>1579.48</v>
      </c>
    </row>
    <row r="1927" spans="3:30">
      <c r="C1927" s="43" t="s">
        <v>3534</v>
      </c>
      <c r="D1927" s="44" t="s">
        <v>3535</v>
      </c>
      <c r="E1927" s="44"/>
      <c r="F1927" s="45">
        <v>41697.606759259259</v>
      </c>
      <c r="G1927" s="46">
        <v>55</v>
      </c>
      <c r="H1927" s="47">
        <v>43385</v>
      </c>
      <c r="I1927" s="47">
        <v>43391</v>
      </c>
      <c r="J1927" s="46">
        <v>1015122</v>
      </c>
      <c r="K1927" s="46">
        <v>0</v>
      </c>
      <c r="L1927" s="46">
        <v>0</v>
      </c>
      <c r="M1927" s="46">
        <f t="shared" si="549"/>
        <v>1015122</v>
      </c>
      <c r="N1927" s="46">
        <v>335121</v>
      </c>
      <c r="O1927" s="48">
        <f t="shared" si="550"/>
        <v>0</v>
      </c>
      <c r="P1927" s="46">
        <v>0</v>
      </c>
      <c r="Q1927" s="46">
        <v>1015122</v>
      </c>
      <c r="R1927" s="49">
        <f t="shared" si="551"/>
        <v>1</v>
      </c>
      <c r="S1927" s="50">
        <f t="shared" si="552"/>
        <v>0.01</v>
      </c>
      <c r="T1927" s="49">
        <f t="shared" si="553"/>
        <v>10151.219999999999</v>
      </c>
      <c r="U1927" s="51">
        <f t="shared" si="554"/>
        <v>0</v>
      </c>
      <c r="V1927" s="52">
        <f>IF(0&lt;0.8,0,IF(0&lt;1,Sheet3!L561,1))*IF(G1927&lt;3,0.12 - O1927,0.01) *U1927</f>
        <v>0</v>
      </c>
      <c r="W1927" s="52">
        <f t="shared" si="555"/>
        <v>0</v>
      </c>
      <c r="X1927" s="53">
        <f t="shared" si="556"/>
        <v>0</v>
      </c>
      <c r="Y1927" s="53">
        <f t="shared" si="557"/>
        <v>0</v>
      </c>
      <c r="Z1927" s="54">
        <f t="shared" si="546"/>
        <v>0</v>
      </c>
      <c r="AA1927" s="54">
        <f t="shared" si="558"/>
        <v>0</v>
      </c>
      <c r="AB1927" s="55">
        <f>IF(R1927=0,680000,0)</f>
        <v>0</v>
      </c>
      <c r="AC1927" s="55">
        <f t="shared" si="559"/>
        <v>0</v>
      </c>
      <c r="AD1927" s="56">
        <f t="shared" si="560"/>
        <v>10151.219999999999</v>
      </c>
    </row>
    <row r="1928" spans="3:30">
      <c r="C1928" s="43" t="s">
        <v>3536</v>
      </c>
      <c r="D1928" s="44" t="s">
        <v>3537</v>
      </c>
      <c r="E1928" s="44"/>
      <c r="F1928" s="45">
        <v>41761.422534722224</v>
      </c>
      <c r="G1928" s="46">
        <v>52</v>
      </c>
      <c r="H1928" s="47">
        <v>43385</v>
      </c>
      <c r="I1928" s="47">
        <v>43396</v>
      </c>
      <c r="J1928" s="46">
        <v>12110406</v>
      </c>
      <c r="K1928" s="46">
        <v>0</v>
      </c>
      <c r="L1928" s="46">
        <v>0</v>
      </c>
      <c r="M1928" s="46">
        <f t="shared" si="549"/>
        <v>12110406</v>
      </c>
      <c r="N1928" s="46">
        <v>12110406</v>
      </c>
      <c r="O1928" s="48">
        <f t="shared" si="550"/>
        <v>0</v>
      </c>
      <c r="P1928" s="46">
        <v>0</v>
      </c>
      <c r="Q1928" s="46">
        <v>12110406</v>
      </c>
      <c r="R1928" s="49">
        <f t="shared" si="551"/>
        <v>1</v>
      </c>
      <c r="S1928" s="50">
        <f t="shared" si="552"/>
        <v>0.01</v>
      </c>
      <c r="T1928" s="49">
        <f t="shared" si="553"/>
        <v>121104.06</v>
      </c>
      <c r="U1928" s="51">
        <f t="shared" si="554"/>
        <v>0</v>
      </c>
      <c r="V1928" s="52">
        <f>IF(0&lt;0.8,0,IF(0&lt;1,Sheet3!L561,1))*IF(G1928&lt;3,0.12 - O1928,0.01) *U1928</f>
        <v>0</v>
      </c>
      <c r="W1928" s="52">
        <f t="shared" si="555"/>
        <v>0</v>
      </c>
      <c r="X1928" s="53">
        <f t="shared" si="556"/>
        <v>0</v>
      </c>
      <c r="Y1928" s="53">
        <f t="shared" si="557"/>
        <v>0</v>
      </c>
      <c r="Z1928" s="54">
        <f t="shared" si="546"/>
        <v>0</v>
      </c>
      <c r="AA1928" s="54">
        <f t="shared" si="558"/>
        <v>0</v>
      </c>
      <c r="AB1928" s="55">
        <f t="shared" ref="AB1928:AB1942" si="561">IF(R1928=0,0,0)</f>
        <v>0</v>
      </c>
      <c r="AC1928" s="55">
        <f t="shared" si="559"/>
        <v>0</v>
      </c>
      <c r="AD1928" s="56">
        <f t="shared" si="560"/>
        <v>121104.06</v>
      </c>
    </row>
    <row r="1929" spans="3:30">
      <c r="C1929" s="43" t="s">
        <v>3538</v>
      </c>
      <c r="D1929" s="44" t="s">
        <v>3539</v>
      </c>
      <c r="E1929" s="44"/>
      <c r="F1929" s="45">
        <v>41767.638692129629</v>
      </c>
      <c r="G1929" s="46">
        <v>52</v>
      </c>
      <c r="H1929" s="47">
        <v>43376</v>
      </c>
      <c r="I1929" s="47">
        <v>43386</v>
      </c>
      <c r="J1929" s="46">
        <v>746822</v>
      </c>
      <c r="K1929" s="46">
        <v>0</v>
      </c>
      <c r="L1929" s="46">
        <v>0</v>
      </c>
      <c r="M1929" s="46">
        <f t="shared" si="549"/>
        <v>746822</v>
      </c>
      <c r="N1929" s="46">
        <v>958804</v>
      </c>
      <c r="O1929" s="48">
        <f t="shared" si="550"/>
        <v>0.22109002465571692</v>
      </c>
      <c r="P1929" s="46">
        <v>0</v>
      </c>
      <c r="Q1929" s="46">
        <v>746822</v>
      </c>
      <c r="R1929" s="49">
        <f t="shared" si="551"/>
        <v>1</v>
      </c>
      <c r="S1929" s="50">
        <f t="shared" si="552"/>
        <v>0.01</v>
      </c>
      <c r="T1929" s="49">
        <f t="shared" si="553"/>
        <v>7468.22</v>
      </c>
      <c r="U1929" s="51">
        <f t="shared" si="554"/>
        <v>0</v>
      </c>
      <c r="V1929" s="52">
        <f>IF(0&lt;0.8,0,IF(0&lt;1,Sheet3!L561,1))*IF(G1929&lt;3,0.12 - O1929,0.01) *U1929</f>
        <v>0</v>
      </c>
      <c r="W1929" s="52">
        <f t="shared" si="555"/>
        <v>0</v>
      </c>
      <c r="X1929" s="53">
        <f t="shared" si="556"/>
        <v>0</v>
      </c>
      <c r="Y1929" s="53">
        <f t="shared" si="557"/>
        <v>0</v>
      </c>
      <c r="Z1929" s="54">
        <f t="shared" si="546"/>
        <v>0</v>
      </c>
      <c r="AA1929" s="54">
        <f t="shared" si="558"/>
        <v>0</v>
      </c>
      <c r="AB1929" s="55">
        <f t="shared" si="561"/>
        <v>0</v>
      </c>
      <c r="AC1929" s="55">
        <f t="shared" si="559"/>
        <v>0</v>
      </c>
      <c r="AD1929" s="56">
        <f t="shared" si="560"/>
        <v>7468.22</v>
      </c>
    </row>
    <row r="1930" spans="3:30">
      <c r="C1930" s="43" t="s">
        <v>3540</v>
      </c>
      <c r="D1930" s="44" t="s">
        <v>3541</v>
      </c>
      <c r="E1930" s="44"/>
      <c r="F1930" s="45">
        <v>41782.400671296295</v>
      </c>
      <c r="G1930" s="46">
        <v>52</v>
      </c>
      <c r="H1930" s="47">
        <v>43376</v>
      </c>
      <c r="I1930" s="47">
        <v>43391</v>
      </c>
      <c r="J1930" s="46">
        <v>563100</v>
      </c>
      <c r="K1930" s="46">
        <v>0</v>
      </c>
      <c r="L1930" s="46">
        <v>0</v>
      </c>
      <c r="M1930" s="46">
        <f t="shared" si="549"/>
        <v>563100</v>
      </c>
      <c r="N1930" s="46">
        <v>387342</v>
      </c>
      <c r="O1930" s="48">
        <f t="shared" si="550"/>
        <v>0</v>
      </c>
      <c r="P1930" s="46">
        <v>0</v>
      </c>
      <c r="Q1930" s="46">
        <v>563100</v>
      </c>
      <c r="R1930" s="49">
        <f t="shared" si="551"/>
        <v>1</v>
      </c>
      <c r="S1930" s="50">
        <f t="shared" si="552"/>
        <v>0.01</v>
      </c>
      <c r="T1930" s="49">
        <f t="shared" si="553"/>
        <v>5631</v>
      </c>
      <c r="U1930" s="51">
        <f t="shared" si="554"/>
        <v>0</v>
      </c>
      <c r="V1930" s="52">
        <f>IF(0&lt;0.8,0,IF(0&lt;1,Sheet3!L561,1))*IF(G1930&lt;3,0.12 - O1930,0.01) *U1930</f>
        <v>0</v>
      </c>
      <c r="W1930" s="52">
        <f t="shared" si="555"/>
        <v>0</v>
      </c>
      <c r="X1930" s="53">
        <f t="shared" si="556"/>
        <v>0</v>
      </c>
      <c r="Y1930" s="53">
        <f t="shared" si="557"/>
        <v>0</v>
      </c>
      <c r="Z1930" s="54">
        <f t="shared" si="546"/>
        <v>0</v>
      </c>
      <c r="AA1930" s="54">
        <f t="shared" si="558"/>
        <v>0</v>
      </c>
      <c r="AB1930" s="55">
        <f t="shared" si="561"/>
        <v>0</v>
      </c>
      <c r="AC1930" s="55">
        <f t="shared" si="559"/>
        <v>0</v>
      </c>
      <c r="AD1930" s="56">
        <f t="shared" si="560"/>
        <v>5631</v>
      </c>
    </row>
    <row r="1931" spans="3:30">
      <c r="C1931" s="43" t="s">
        <v>3542</v>
      </c>
      <c r="D1931" s="44" t="s">
        <v>3543</v>
      </c>
      <c r="E1931" s="44"/>
      <c r="F1931" s="45">
        <v>41807.618842592594</v>
      </c>
      <c r="G1931" s="46">
        <v>51</v>
      </c>
      <c r="H1931" s="47">
        <v>43376</v>
      </c>
      <c r="I1931" s="47">
        <v>43388</v>
      </c>
      <c r="J1931" s="46">
        <v>882332</v>
      </c>
      <c r="K1931" s="46">
        <v>0</v>
      </c>
      <c r="L1931" s="46">
        <v>0</v>
      </c>
      <c r="M1931" s="46">
        <f t="shared" si="549"/>
        <v>882332</v>
      </c>
      <c r="N1931" s="46">
        <v>882332</v>
      </c>
      <c r="O1931" s="48">
        <f t="shared" si="550"/>
        <v>0</v>
      </c>
      <c r="P1931" s="46">
        <v>0</v>
      </c>
      <c r="Q1931" s="46">
        <v>882332</v>
      </c>
      <c r="R1931" s="49">
        <f t="shared" si="551"/>
        <v>1</v>
      </c>
      <c r="S1931" s="50">
        <f t="shared" si="552"/>
        <v>0.01</v>
      </c>
      <c r="T1931" s="49">
        <f t="shared" si="553"/>
        <v>8823.32</v>
      </c>
      <c r="U1931" s="51">
        <f t="shared" si="554"/>
        <v>0</v>
      </c>
      <c r="V1931" s="52">
        <f>IF(0&lt;0.8,0,IF(0&lt;1,Sheet3!L561,1))*IF(G1931&lt;3,0.12 - O1931,0.01) *U1931</f>
        <v>0</v>
      </c>
      <c r="W1931" s="52">
        <f t="shared" si="555"/>
        <v>0</v>
      </c>
      <c r="X1931" s="53">
        <f t="shared" si="556"/>
        <v>0</v>
      </c>
      <c r="Y1931" s="53">
        <f t="shared" si="557"/>
        <v>0</v>
      </c>
      <c r="Z1931" s="54">
        <f t="shared" si="546"/>
        <v>0</v>
      </c>
      <c r="AA1931" s="54">
        <f t="shared" si="558"/>
        <v>0</v>
      </c>
      <c r="AB1931" s="55">
        <f t="shared" si="561"/>
        <v>0</v>
      </c>
      <c r="AC1931" s="55">
        <f t="shared" si="559"/>
        <v>0</v>
      </c>
      <c r="AD1931" s="56">
        <f t="shared" si="560"/>
        <v>8823.32</v>
      </c>
    </row>
    <row r="1932" spans="3:30">
      <c r="C1932" s="43" t="s">
        <v>3544</v>
      </c>
      <c r="D1932" s="44" t="s">
        <v>3545</v>
      </c>
      <c r="E1932" s="44"/>
      <c r="F1932" s="45">
        <v>41893.406666666662</v>
      </c>
      <c r="G1932" s="46">
        <v>48</v>
      </c>
      <c r="H1932" s="47">
        <v>43385</v>
      </c>
      <c r="I1932" s="47">
        <v>43390</v>
      </c>
      <c r="J1932" s="46">
        <v>602217</v>
      </c>
      <c r="K1932" s="46">
        <v>0</v>
      </c>
      <c r="L1932" s="46">
        <v>0</v>
      </c>
      <c r="M1932" s="46">
        <f t="shared" si="549"/>
        <v>602217</v>
      </c>
      <c r="N1932" s="46">
        <v>602217</v>
      </c>
      <c r="O1932" s="48">
        <f t="shared" si="550"/>
        <v>0</v>
      </c>
      <c r="P1932" s="46">
        <v>0</v>
      </c>
      <c r="Q1932" s="46">
        <v>602217</v>
      </c>
      <c r="R1932" s="49">
        <f t="shared" si="551"/>
        <v>1</v>
      </c>
      <c r="S1932" s="50">
        <f t="shared" si="552"/>
        <v>0.01</v>
      </c>
      <c r="T1932" s="49">
        <f t="shared" si="553"/>
        <v>6022.17</v>
      </c>
      <c r="U1932" s="51">
        <f t="shared" si="554"/>
        <v>0</v>
      </c>
      <c r="V1932" s="52">
        <f>IF(0&lt;0.8,0,IF(0&lt;1,Sheet3!L561,1))*IF(G1932&lt;3,0.12 - O1932,0.01) *U1932</f>
        <v>0</v>
      </c>
      <c r="W1932" s="52">
        <f t="shared" si="555"/>
        <v>0</v>
      </c>
      <c r="X1932" s="53">
        <f t="shared" si="556"/>
        <v>0</v>
      </c>
      <c r="Y1932" s="53">
        <f t="shared" si="557"/>
        <v>0</v>
      </c>
      <c r="Z1932" s="54">
        <f t="shared" si="546"/>
        <v>0</v>
      </c>
      <c r="AA1932" s="54">
        <f t="shared" si="558"/>
        <v>0</v>
      </c>
      <c r="AB1932" s="55">
        <f t="shared" si="561"/>
        <v>0</v>
      </c>
      <c r="AC1932" s="55">
        <f t="shared" si="559"/>
        <v>0</v>
      </c>
      <c r="AD1932" s="56">
        <f t="shared" si="560"/>
        <v>6022.17</v>
      </c>
    </row>
    <row r="1933" spans="3:30">
      <c r="C1933" s="43" t="s">
        <v>3546</v>
      </c>
      <c r="D1933" s="44" t="s">
        <v>3547</v>
      </c>
      <c r="E1933" s="44"/>
      <c r="F1933" s="45">
        <v>41898.45380787037</v>
      </c>
      <c r="G1933" s="46">
        <v>48</v>
      </c>
      <c r="H1933" s="47">
        <v>43376</v>
      </c>
      <c r="I1933" s="47">
        <v>43428</v>
      </c>
      <c r="J1933" s="46">
        <v>2105690</v>
      </c>
      <c r="K1933" s="46">
        <v>0</v>
      </c>
      <c r="L1933" s="46">
        <v>0</v>
      </c>
      <c r="M1933" s="46">
        <f t="shared" si="549"/>
        <v>2105690</v>
      </c>
      <c r="N1933" s="46">
        <v>2105690</v>
      </c>
      <c r="O1933" s="48">
        <f t="shared" si="550"/>
        <v>0</v>
      </c>
      <c r="P1933" s="46">
        <v>0</v>
      </c>
      <c r="Q1933" s="46">
        <v>2105690</v>
      </c>
      <c r="R1933" s="49">
        <f t="shared" si="551"/>
        <v>1</v>
      </c>
      <c r="S1933" s="50">
        <f t="shared" si="552"/>
        <v>0.01</v>
      </c>
      <c r="T1933" s="49">
        <f t="shared" si="553"/>
        <v>21056.9</v>
      </c>
      <c r="U1933" s="51">
        <f t="shared" si="554"/>
        <v>0</v>
      </c>
      <c r="V1933" s="52">
        <f>IF(0&lt;0.8,0,IF(0&lt;1,Sheet3!L561,1))*IF(G1933&lt;3,0.12 - O1933,0.01) *U1933</f>
        <v>0</v>
      </c>
      <c r="W1933" s="52">
        <f t="shared" si="555"/>
        <v>0</v>
      </c>
      <c r="X1933" s="53">
        <f t="shared" si="556"/>
        <v>0</v>
      </c>
      <c r="Y1933" s="53">
        <f t="shared" si="557"/>
        <v>0</v>
      </c>
      <c r="Z1933" s="54">
        <f t="shared" si="546"/>
        <v>0</v>
      </c>
      <c r="AA1933" s="54">
        <f t="shared" si="558"/>
        <v>0</v>
      </c>
      <c r="AB1933" s="55">
        <f t="shared" si="561"/>
        <v>0</v>
      </c>
      <c r="AC1933" s="55">
        <f t="shared" si="559"/>
        <v>0</v>
      </c>
      <c r="AD1933" s="56">
        <f t="shared" si="560"/>
        <v>21056.9</v>
      </c>
    </row>
    <row r="1934" spans="3:30">
      <c r="C1934" s="43" t="s">
        <v>3548</v>
      </c>
      <c r="D1934" s="44" t="s">
        <v>3549</v>
      </c>
      <c r="E1934" s="44"/>
      <c r="F1934" s="45">
        <v>41912.585428240738</v>
      </c>
      <c r="G1934" s="46">
        <v>48</v>
      </c>
      <c r="H1934" s="47">
        <v>43385</v>
      </c>
      <c r="I1934" s="47">
        <v>43397</v>
      </c>
      <c r="J1934" s="46">
        <v>5976513</v>
      </c>
      <c r="K1934" s="46">
        <v>0</v>
      </c>
      <c r="L1934" s="46">
        <v>0</v>
      </c>
      <c r="M1934" s="46">
        <f t="shared" si="549"/>
        <v>5976513</v>
      </c>
      <c r="N1934" s="46">
        <v>5976513</v>
      </c>
      <c r="O1934" s="48">
        <f t="shared" si="550"/>
        <v>0</v>
      </c>
      <c r="P1934" s="46">
        <v>0</v>
      </c>
      <c r="Q1934" s="46">
        <v>5976513</v>
      </c>
      <c r="R1934" s="49">
        <f t="shared" si="551"/>
        <v>1</v>
      </c>
      <c r="S1934" s="50">
        <f t="shared" si="552"/>
        <v>0.01</v>
      </c>
      <c r="T1934" s="49">
        <f t="shared" si="553"/>
        <v>59765.130000000005</v>
      </c>
      <c r="U1934" s="51">
        <f t="shared" si="554"/>
        <v>0</v>
      </c>
      <c r="V1934" s="52">
        <f>IF(0&lt;0.8,0,IF(0&lt;1,Sheet3!L561,1))*IF(G1934&lt;3,0.12 - O1934,0.01) *U1934</f>
        <v>0</v>
      </c>
      <c r="W1934" s="52">
        <f t="shared" si="555"/>
        <v>0</v>
      </c>
      <c r="X1934" s="53">
        <f t="shared" si="556"/>
        <v>0</v>
      </c>
      <c r="Y1934" s="53">
        <f t="shared" si="557"/>
        <v>0</v>
      </c>
      <c r="Z1934" s="54">
        <f t="shared" si="546"/>
        <v>0</v>
      </c>
      <c r="AA1934" s="54">
        <f t="shared" si="558"/>
        <v>0</v>
      </c>
      <c r="AB1934" s="55">
        <f t="shared" si="561"/>
        <v>0</v>
      </c>
      <c r="AC1934" s="55">
        <f t="shared" si="559"/>
        <v>0</v>
      </c>
      <c r="AD1934" s="56">
        <f t="shared" si="560"/>
        <v>59765.130000000005</v>
      </c>
    </row>
    <row r="1935" spans="3:30">
      <c r="C1935" s="43" t="s">
        <v>3550</v>
      </c>
      <c r="D1935" s="44" t="s">
        <v>3551</v>
      </c>
      <c r="E1935" s="44"/>
      <c r="F1935" s="45">
        <v>41914.394583333335</v>
      </c>
      <c r="G1935" s="46">
        <v>47</v>
      </c>
      <c r="H1935" s="47">
        <v>43385</v>
      </c>
      <c r="I1935" s="47">
        <v>43418</v>
      </c>
      <c r="J1935" s="46">
        <v>8390975</v>
      </c>
      <c r="K1935" s="46">
        <v>0</v>
      </c>
      <c r="L1935" s="46">
        <v>0</v>
      </c>
      <c r="M1935" s="46">
        <f t="shared" si="549"/>
        <v>8390975</v>
      </c>
      <c r="N1935" s="46">
        <v>8334695</v>
      </c>
      <c r="O1935" s="48">
        <f t="shared" si="550"/>
        <v>0</v>
      </c>
      <c r="P1935" s="46">
        <v>0</v>
      </c>
      <c r="Q1935" s="46">
        <v>8390975</v>
      </c>
      <c r="R1935" s="49">
        <f t="shared" si="551"/>
        <v>1</v>
      </c>
      <c r="S1935" s="50">
        <f t="shared" si="552"/>
        <v>0.01</v>
      </c>
      <c r="T1935" s="49">
        <f t="shared" si="553"/>
        <v>83909.75</v>
      </c>
      <c r="U1935" s="51">
        <f t="shared" si="554"/>
        <v>0</v>
      </c>
      <c r="V1935" s="52">
        <f>IF(0&lt;0.8,0,IF(0&lt;1,Sheet3!L561,1))*IF(G1935&lt;3,0.12 - O1935,0.01) *U1935</f>
        <v>0</v>
      </c>
      <c r="W1935" s="52">
        <f t="shared" si="555"/>
        <v>0</v>
      </c>
      <c r="X1935" s="53">
        <f t="shared" si="556"/>
        <v>0</v>
      </c>
      <c r="Y1935" s="53">
        <f t="shared" si="557"/>
        <v>0</v>
      </c>
      <c r="Z1935" s="54">
        <f t="shared" si="546"/>
        <v>0</v>
      </c>
      <c r="AA1935" s="54">
        <f t="shared" si="558"/>
        <v>0</v>
      </c>
      <c r="AB1935" s="55">
        <f t="shared" si="561"/>
        <v>0</v>
      </c>
      <c r="AC1935" s="55">
        <f t="shared" si="559"/>
        <v>0</v>
      </c>
      <c r="AD1935" s="56">
        <f t="shared" si="560"/>
        <v>83909.75</v>
      </c>
    </row>
    <row r="1936" spans="3:30">
      <c r="C1936" s="43" t="s">
        <v>3552</v>
      </c>
      <c r="D1936" s="44" t="s">
        <v>3553</v>
      </c>
      <c r="E1936" s="44"/>
      <c r="F1936" s="45">
        <v>42094.683055555557</v>
      </c>
      <c r="G1936" s="46">
        <v>42</v>
      </c>
      <c r="H1936" s="47">
        <v>43385</v>
      </c>
      <c r="I1936" s="47">
        <v>43392</v>
      </c>
      <c r="J1936" s="46">
        <v>1442527</v>
      </c>
      <c r="K1936" s="46">
        <v>0</v>
      </c>
      <c r="L1936" s="46">
        <v>0</v>
      </c>
      <c r="M1936" s="46">
        <f t="shared" si="549"/>
        <v>1442527</v>
      </c>
      <c r="N1936" s="46">
        <v>1425259</v>
      </c>
      <c r="O1936" s="48">
        <f t="shared" si="550"/>
        <v>0</v>
      </c>
      <c r="P1936" s="46">
        <v>0</v>
      </c>
      <c r="Q1936" s="46">
        <v>1442527</v>
      </c>
      <c r="R1936" s="49">
        <f t="shared" si="551"/>
        <v>1</v>
      </c>
      <c r="S1936" s="50">
        <f t="shared" si="552"/>
        <v>0.01</v>
      </c>
      <c r="T1936" s="49">
        <f t="shared" si="553"/>
        <v>14425.27</v>
      </c>
      <c r="U1936" s="51">
        <f t="shared" si="554"/>
        <v>0</v>
      </c>
      <c r="V1936" s="52">
        <f>IF(0&lt;0.8,0,IF(0&lt;1,Sheet3!L561,1))*IF(G1936&lt;3,0.12 - O1936,0.01) *U1936</f>
        <v>0</v>
      </c>
      <c r="W1936" s="52">
        <f t="shared" si="555"/>
        <v>0</v>
      </c>
      <c r="X1936" s="53">
        <f t="shared" si="556"/>
        <v>0</v>
      </c>
      <c r="Y1936" s="53">
        <f t="shared" si="557"/>
        <v>0</v>
      </c>
      <c r="Z1936" s="54">
        <f t="shared" si="546"/>
        <v>0</v>
      </c>
      <c r="AA1936" s="54">
        <f t="shared" si="558"/>
        <v>0</v>
      </c>
      <c r="AB1936" s="55">
        <f t="shared" si="561"/>
        <v>0</v>
      </c>
      <c r="AC1936" s="55">
        <f t="shared" si="559"/>
        <v>0</v>
      </c>
      <c r="AD1936" s="56">
        <f t="shared" si="560"/>
        <v>14425.27</v>
      </c>
    </row>
    <row r="1937" spans="3:30">
      <c r="C1937" s="43" t="s">
        <v>3554</v>
      </c>
      <c r="D1937" s="44" t="s">
        <v>3555</v>
      </c>
      <c r="E1937" s="44"/>
      <c r="F1937" s="45">
        <v>42097.659166666665</v>
      </c>
      <c r="G1937" s="46">
        <v>41</v>
      </c>
      <c r="H1937" s="47">
        <v>43385</v>
      </c>
      <c r="I1937" s="47">
        <v>43251</v>
      </c>
      <c r="J1937" s="46">
        <v>1369962</v>
      </c>
      <c r="K1937" s="46">
        <v>0</v>
      </c>
      <c r="L1937" s="46">
        <v>0</v>
      </c>
      <c r="M1937" s="46">
        <f t="shared" si="549"/>
        <v>1369962</v>
      </c>
      <c r="N1937" s="46">
        <v>1369962</v>
      </c>
      <c r="O1937" s="48">
        <f t="shared" si="550"/>
        <v>0</v>
      </c>
      <c r="P1937" s="46">
        <v>0</v>
      </c>
      <c r="Q1937" s="46">
        <v>1369962</v>
      </c>
      <c r="R1937" s="49">
        <f t="shared" si="551"/>
        <v>1</v>
      </c>
      <c r="S1937" s="50">
        <f t="shared" si="552"/>
        <v>0.01</v>
      </c>
      <c r="T1937" s="49">
        <f t="shared" si="553"/>
        <v>13699.62</v>
      </c>
      <c r="U1937" s="51">
        <f t="shared" si="554"/>
        <v>0</v>
      </c>
      <c r="V1937" s="52">
        <f>IF(0&lt;0.8,0,IF(0&lt;1,Sheet3!L561,1))*IF(G1937&lt;3,0.12 - O1937,0.01) *U1937</f>
        <v>0</v>
      </c>
      <c r="W1937" s="52">
        <f t="shared" si="555"/>
        <v>0</v>
      </c>
      <c r="X1937" s="53">
        <f t="shared" si="556"/>
        <v>0</v>
      </c>
      <c r="Y1937" s="53">
        <f t="shared" si="557"/>
        <v>0</v>
      </c>
      <c r="Z1937" s="54">
        <f t="shared" si="546"/>
        <v>0</v>
      </c>
      <c r="AA1937" s="54">
        <f t="shared" si="558"/>
        <v>0</v>
      </c>
      <c r="AB1937" s="55">
        <f t="shared" si="561"/>
        <v>0</v>
      </c>
      <c r="AC1937" s="55">
        <f t="shared" si="559"/>
        <v>0</v>
      </c>
      <c r="AD1937" s="56">
        <f t="shared" si="560"/>
        <v>13699.62</v>
      </c>
    </row>
    <row r="1938" spans="3:30">
      <c r="C1938" s="43" t="s">
        <v>3556</v>
      </c>
      <c r="D1938" s="44" t="s">
        <v>3557</v>
      </c>
      <c r="E1938" s="44"/>
      <c r="F1938" s="45">
        <v>42137.395787037036</v>
      </c>
      <c r="G1938" s="46">
        <v>40</v>
      </c>
      <c r="H1938" s="47">
        <v>43427</v>
      </c>
      <c r="I1938" s="47">
        <v>43442</v>
      </c>
      <c r="J1938" s="46">
        <v>883131</v>
      </c>
      <c r="K1938" s="46">
        <v>0</v>
      </c>
      <c r="L1938" s="46">
        <v>0</v>
      </c>
      <c r="M1938" s="46">
        <f t="shared" si="549"/>
        <v>883131</v>
      </c>
      <c r="N1938" s="46">
        <v>883131</v>
      </c>
      <c r="O1938" s="48">
        <f t="shared" si="550"/>
        <v>0</v>
      </c>
      <c r="P1938" s="46">
        <v>0</v>
      </c>
      <c r="Q1938" s="46">
        <v>883131</v>
      </c>
      <c r="R1938" s="49">
        <f t="shared" si="551"/>
        <v>1</v>
      </c>
      <c r="S1938" s="50">
        <f t="shared" si="552"/>
        <v>0.01</v>
      </c>
      <c r="T1938" s="49">
        <f t="shared" si="553"/>
        <v>8831.31</v>
      </c>
      <c r="U1938" s="51">
        <f t="shared" si="554"/>
        <v>0</v>
      </c>
      <c r="V1938" s="52">
        <f>IF(0&lt;0.8,0,IF(0&lt;1,Sheet3!L561,1))*IF(G1938&lt;3,0.12 - O1938,0.01) *U1938</f>
        <v>0</v>
      </c>
      <c r="W1938" s="52">
        <f t="shared" si="555"/>
        <v>0</v>
      </c>
      <c r="X1938" s="53">
        <f t="shared" si="556"/>
        <v>0</v>
      </c>
      <c r="Y1938" s="53">
        <f t="shared" si="557"/>
        <v>0</v>
      </c>
      <c r="Z1938" s="54">
        <f t="shared" ref="Z1938:Z1974" si="562">IF(R1938=1,0,0)</f>
        <v>0</v>
      </c>
      <c r="AA1938" s="54">
        <f t="shared" si="558"/>
        <v>0</v>
      </c>
      <c r="AB1938" s="55">
        <f t="shared" si="561"/>
        <v>0</v>
      </c>
      <c r="AC1938" s="55">
        <f t="shared" si="559"/>
        <v>0</v>
      </c>
      <c r="AD1938" s="56">
        <f t="shared" si="560"/>
        <v>8831.31</v>
      </c>
    </row>
    <row r="1939" spans="3:30">
      <c r="C1939" s="43" t="s">
        <v>3558</v>
      </c>
      <c r="D1939" s="44" t="s">
        <v>3559</v>
      </c>
      <c r="E1939" s="44"/>
      <c r="F1939" s="45">
        <v>42157.716631944444</v>
      </c>
      <c r="G1939" s="46">
        <v>39</v>
      </c>
      <c r="H1939" s="47">
        <v>43376</v>
      </c>
      <c r="I1939" s="47">
        <v>43385</v>
      </c>
      <c r="J1939" s="46">
        <v>409464</v>
      </c>
      <c r="K1939" s="46">
        <v>0</v>
      </c>
      <c r="L1939" s="46">
        <v>0</v>
      </c>
      <c r="M1939" s="46">
        <f t="shared" si="549"/>
        <v>409464</v>
      </c>
      <c r="N1939" s="46">
        <v>409464</v>
      </c>
      <c r="O1939" s="48">
        <f t="shared" si="550"/>
        <v>0</v>
      </c>
      <c r="P1939" s="46">
        <v>0</v>
      </c>
      <c r="Q1939" s="46">
        <v>409464</v>
      </c>
      <c r="R1939" s="49">
        <f t="shared" si="551"/>
        <v>1</v>
      </c>
      <c r="S1939" s="50">
        <f t="shared" si="552"/>
        <v>0.01</v>
      </c>
      <c r="T1939" s="49">
        <f t="shared" si="553"/>
        <v>4094.64</v>
      </c>
      <c r="U1939" s="51">
        <f t="shared" si="554"/>
        <v>0</v>
      </c>
      <c r="V1939" s="52">
        <f>IF(0&lt;0.8,0,IF(0&lt;1,Sheet3!L561,1))*IF(G1939&lt;3,0.12 - O1939,0.01) *U1939</f>
        <v>0</v>
      </c>
      <c r="W1939" s="52">
        <f t="shared" si="555"/>
        <v>0</v>
      </c>
      <c r="X1939" s="53">
        <f t="shared" si="556"/>
        <v>0</v>
      </c>
      <c r="Y1939" s="53">
        <f t="shared" si="557"/>
        <v>0</v>
      </c>
      <c r="Z1939" s="54">
        <f t="shared" si="562"/>
        <v>0</v>
      </c>
      <c r="AA1939" s="54">
        <f t="shared" si="558"/>
        <v>0</v>
      </c>
      <c r="AB1939" s="55">
        <f t="shared" si="561"/>
        <v>0</v>
      </c>
      <c r="AC1939" s="55">
        <f t="shared" si="559"/>
        <v>0</v>
      </c>
      <c r="AD1939" s="56">
        <f t="shared" si="560"/>
        <v>4094.64</v>
      </c>
    </row>
    <row r="1940" spans="3:30">
      <c r="C1940" s="43" t="s">
        <v>3560</v>
      </c>
      <c r="D1940" s="44" t="s">
        <v>3561</v>
      </c>
      <c r="E1940" s="44"/>
      <c r="F1940" s="45">
        <v>42251.369594907403</v>
      </c>
      <c r="G1940" s="46">
        <v>36</v>
      </c>
      <c r="H1940" s="47">
        <v>43391</v>
      </c>
      <c r="I1940" s="47">
        <v>43399</v>
      </c>
      <c r="J1940" s="46">
        <v>654731</v>
      </c>
      <c r="K1940" s="46">
        <v>0</v>
      </c>
      <c r="L1940" s="46">
        <v>0</v>
      </c>
      <c r="M1940" s="46">
        <f t="shared" si="549"/>
        <v>654731</v>
      </c>
      <c r="N1940" s="46">
        <v>637791</v>
      </c>
      <c r="O1940" s="48">
        <f t="shared" si="550"/>
        <v>0</v>
      </c>
      <c r="P1940" s="46">
        <v>0</v>
      </c>
      <c r="Q1940" s="46">
        <v>654731</v>
      </c>
      <c r="R1940" s="49">
        <f t="shared" si="551"/>
        <v>1</v>
      </c>
      <c r="S1940" s="50">
        <f t="shared" si="552"/>
        <v>0.01</v>
      </c>
      <c r="T1940" s="49">
        <f t="shared" si="553"/>
        <v>6547.31</v>
      </c>
      <c r="U1940" s="51">
        <f t="shared" si="554"/>
        <v>0</v>
      </c>
      <c r="V1940" s="52">
        <f>IF(0&lt;0.8,0,IF(0&lt;1,Sheet3!L561,1))*IF(G1940&lt;3,0.12 - O1940,0.01) *U1940</f>
        <v>0</v>
      </c>
      <c r="W1940" s="52">
        <f t="shared" si="555"/>
        <v>0</v>
      </c>
      <c r="X1940" s="53">
        <f t="shared" si="556"/>
        <v>0</v>
      </c>
      <c r="Y1940" s="53">
        <f t="shared" si="557"/>
        <v>0</v>
      </c>
      <c r="Z1940" s="54">
        <f t="shared" si="562"/>
        <v>0</v>
      </c>
      <c r="AA1940" s="54">
        <f t="shared" si="558"/>
        <v>0</v>
      </c>
      <c r="AB1940" s="55">
        <f t="shared" si="561"/>
        <v>0</v>
      </c>
      <c r="AC1940" s="55">
        <f t="shared" si="559"/>
        <v>0</v>
      </c>
      <c r="AD1940" s="56">
        <f t="shared" si="560"/>
        <v>6547.31</v>
      </c>
    </row>
    <row r="1941" spans="3:30">
      <c r="C1941" s="43" t="s">
        <v>3562</v>
      </c>
      <c r="D1941" s="44" t="s">
        <v>3563</v>
      </c>
      <c r="E1941" s="44"/>
      <c r="F1941" s="45">
        <v>42269.370578703703</v>
      </c>
      <c r="G1941" s="46">
        <v>36</v>
      </c>
      <c r="H1941" s="47">
        <v>43376</v>
      </c>
      <c r="I1941" s="47">
        <v>43386</v>
      </c>
      <c r="J1941" s="46">
        <v>13310</v>
      </c>
      <c r="K1941" s="46">
        <v>0</v>
      </c>
      <c r="L1941" s="46">
        <v>0</v>
      </c>
      <c r="M1941" s="46">
        <f t="shared" si="549"/>
        <v>13310</v>
      </c>
      <c r="N1941" s="46">
        <v>13310</v>
      </c>
      <c r="O1941" s="48">
        <f t="shared" si="550"/>
        <v>0</v>
      </c>
      <c r="P1941" s="46">
        <v>0</v>
      </c>
      <c r="Q1941" s="46">
        <v>13310</v>
      </c>
      <c r="R1941" s="49">
        <f t="shared" si="551"/>
        <v>1</v>
      </c>
      <c r="S1941" s="50">
        <f t="shared" si="552"/>
        <v>0.01</v>
      </c>
      <c r="T1941" s="49">
        <f t="shared" si="553"/>
        <v>133.1</v>
      </c>
      <c r="U1941" s="51">
        <f t="shared" si="554"/>
        <v>0</v>
      </c>
      <c r="V1941" s="52">
        <f>IF(0&lt;0.8,0,IF(0&lt;1,Sheet3!L561,1))*IF(G1941&lt;3,0.12 - O1941,0.01) *U1941</f>
        <v>0</v>
      </c>
      <c r="W1941" s="52">
        <f t="shared" si="555"/>
        <v>0</v>
      </c>
      <c r="X1941" s="53">
        <f t="shared" si="556"/>
        <v>0</v>
      </c>
      <c r="Y1941" s="53">
        <f t="shared" si="557"/>
        <v>0</v>
      </c>
      <c r="Z1941" s="54">
        <f t="shared" si="562"/>
        <v>0</v>
      </c>
      <c r="AA1941" s="54">
        <f t="shared" si="558"/>
        <v>0</v>
      </c>
      <c r="AB1941" s="55">
        <f t="shared" si="561"/>
        <v>0</v>
      </c>
      <c r="AC1941" s="55">
        <f t="shared" si="559"/>
        <v>0</v>
      </c>
      <c r="AD1941" s="56">
        <f t="shared" si="560"/>
        <v>133.1</v>
      </c>
    </row>
    <row r="1942" spans="3:30">
      <c r="C1942" s="43" t="s">
        <v>3564</v>
      </c>
      <c r="D1942" s="44" t="s">
        <v>3565</v>
      </c>
      <c r="E1942" s="44"/>
      <c r="F1942" s="45">
        <v>42280.636111111111</v>
      </c>
      <c r="G1942" s="46">
        <v>35</v>
      </c>
      <c r="H1942" s="47">
        <v>43458</v>
      </c>
      <c r="I1942" s="47">
        <v>43509</v>
      </c>
      <c r="J1942" s="46">
        <v>35728220</v>
      </c>
      <c r="K1942" s="46">
        <v>0</v>
      </c>
      <c r="L1942" s="46">
        <v>0</v>
      </c>
      <c r="M1942" s="46">
        <f t="shared" si="549"/>
        <v>35728220</v>
      </c>
      <c r="N1942" s="46">
        <v>42166564</v>
      </c>
      <c r="O1942" s="48">
        <f t="shared" si="550"/>
        <v>0.1526883717629921</v>
      </c>
      <c r="P1942" s="46">
        <v>0</v>
      </c>
      <c r="Q1942" s="46">
        <v>35728220</v>
      </c>
      <c r="R1942" s="49">
        <f t="shared" si="551"/>
        <v>1</v>
      </c>
      <c r="S1942" s="50">
        <f t="shared" si="552"/>
        <v>0.01</v>
      </c>
      <c r="T1942" s="49">
        <f t="shared" si="553"/>
        <v>357282.2</v>
      </c>
      <c r="U1942" s="51">
        <f t="shared" si="554"/>
        <v>0</v>
      </c>
      <c r="V1942" s="52">
        <f>IF(0&lt;0.8,0,IF(0&lt;1,Sheet3!L561,1))*IF(G1942&lt;3,0.12 - O1942,0.01) *U1942</f>
        <v>0</v>
      </c>
      <c r="W1942" s="52">
        <f t="shared" si="555"/>
        <v>0</v>
      </c>
      <c r="X1942" s="53">
        <f t="shared" si="556"/>
        <v>0</v>
      </c>
      <c r="Y1942" s="53">
        <f t="shared" si="557"/>
        <v>0</v>
      </c>
      <c r="Z1942" s="54">
        <f t="shared" si="562"/>
        <v>0</v>
      </c>
      <c r="AA1942" s="54">
        <f t="shared" si="558"/>
        <v>0</v>
      </c>
      <c r="AB1942" s="55">
        <f t="shared" si="561"/>
        <v>0</v>
      </c>
      <c r="AC1942" s="55">
        <f t="shared" si="559"/>
        <v>0</v>
      </c>
      <c r="AD1942" s="56">
        <f t="shared" si="560"/>
        <v>357282.2</v>
      </c>
    </row>
    <row r="1943" spans="3:30">
      <c r="C1943" s="43" t="s">
        <v>3566</v>
      </c>
      <c r="D1943" s="44" t="s">
        <v>3567</v>
      </c>
      <c r="E1943" s="44"/>
      <c r="F1943" s="45">
        <v>42387.585682870369</v>
      </c>
      <c r="G1943" s="46">
        <v>32</v>
      </c>
      <c r="H1943" s="47" t="s">
        <v>24</v>
      </c>
      <c r="I1943" s="47" t="s">
        <v>24</v>
      </c>
      <c r="J1943" s="46">
        <v>912920</v>
      </c>
      <c r="K1943" s="46">
        <v>912920</v>
      </c>
      <c r="L1943" s="46">
        <v>0</v>
      </c>
      <c r="M1943" s="46">
        <f t="shared" si="549"/>
        <v>0</v>
      </c>
      <c r="N1943" s="46">
        <v>537507</v>
      </c>
      <c r="O1943" s="48">
        <f t="shared" si="550"/>
        <v>1</v>
      </c>
      <c r="P1943" s="46">
        <v>0</v>
      </c>
      <c r="Q1943" s="46">
        <v>0</v>
      </c>
      <c r="R1943" s="49">
        <f t="shared" si="551"/>
        <v>1</v>
      </c>
      <c r="S1943" s="50">
        <f t="shared" si="552"/>
        <v>0.01</v>
      </c>
      <c r="T1943" s="49">
        <f t="shared" si="553"/>
        <v>0</v>
      </c>
      <c r="U1943" s="51">
        <f t="shared" si="554"/>
        <v>0</v>
      </c>
      <c r="V1943" s="52">
        <f>IF(0&lt;0.8,0,IF(0&lt;1,Sheet3!L561,1))*IF(G1943&lt;3,0.12 - O1943,0.01) *U1943</f>
        <v>0</v>
      </c>
      <c r="W1943" s="52">
        <f t="shared" si="555"/>
        <v>0</v>
      </c>
      <c r="X1943" s="53">
        <f t="shared" si="556"/>
        <v>0</v>
      </c>
      <c r="Y1943" s="53">
        <f t="shared" si="557"/>
        <v>0</v>
      </c>
      <c r="Z1943" s="54">
        <f>IF(R1943=1,0,"")</f>
        <v>0</v>
      </c>
      <c r="AA1943" s="54">
        <f t="shared" si="558"/>
        <v>0</v>
      </c>
      <c r="AB1943" s="55">
        <f>IF(R1943=0,"",0)</f>
        <v>0</v>
      </c>
      <c r="AC1943" s="55">
        <f t="shared" si="559"/>
        <v>0</v>
      </c>
      <c r="AD1943" s="56">
        <f t="shared" si="560"/>
        <v>0</v>
      </c>
    </row>
    <row r="1944" spans="3:30">
      <c r="C1944" s="43" t="s">
        <v>3568</v>
      </c>
      <c r="D1944" s="44" t="s">
        <v>3569</v>
      </c>
      <c r="E1944" s="44"/>
      <c r="F1944" s="45">
        <v>42389.614571759259</v>
      </c>
      <c r="G1944" s="46">
        <v>32</v>
      </c>
      <c r="H1944" s="47">
        <v>43385</v>
      </c>
      <c r="I1944" s="47">
        <v>43405</v>
      </c>
      <c r="J1944" s="46">
        <v>1763285</v>
      </c>
      <c r="K1944" s="46">
        <v>0</v>
      </c>
      <c r="L1944" s="46">
        <v>0</v>
      </c>
      <c r="M1944" s="46">
        <f t="shared" si="549"/>
        <v>1763285</v>
      </c>
      <c r="N1944" s="46">
        <v>1763285</v>
      </c>
      <c r="O1944" s="48">
        <f t="shared" si="550"/>
        <v>0</v>
      </c>
      <c r="P1944" s="46">
        <v>0</v>
      </c>
      <c r="Q1944" s="46">
        <v>1763285</v>
      </c>
      <c r="R1944" s="49">
        <f t="shared" si="551"/>
        <v>1</v>
      </c>
      <c r="S1944" s="50">
        <f t="shared" si="552"/>
        <v>0.01</v>
      </c>
      <c r="T1944" s="49">
        <f t="shared" si="553"/>
        <v>17632.850000000002</v>
      </c>
      <c r="U1944" s="51">
        <f t="shared" si="554"/>
        <v>0</v>
      </c>
      <c r="V1944" s="52">
        <f>IF(0&lt;0.8,0,IF(0&lt;1,Sheet3!L561,1))*IF(G1944&lt;3,0.12 - O1944,0.01) *U1944</f>
        <v>0</v>
      </c>
      <c r="W1944" s="52">
        <f t="shared" si="555"/>
        <v>0</v>
      </c>
      <c r="X1944" s="53">
        <f t="shared" si="556"/>
        <v>0</v>
      </c>
      <c r="Y1944" s="53">
        <f t="shared" si="557"/>
        <v>0</v>
      </c>
      <c r="Z1944" s="54">
        <f t="shared" ref="Z1944:Z1978" si="563">IF(R1944=1,0,0)</f>
        <v>0</v>
      </c>
      <c r="AA1944" s="54">
        <f t="shared" si="558"/>
        <v>0</v>
      </c>
      <c r="AB1944" s="55">
        <f t="shared" ref="AB1944:AB1978" si="564">IF(R1944=0,0,0)</f>
        <v>0</v>
      </c>
      <c r="AC1944" s="55">
        <f t="shared" si="559"/>
        <v>0</v>
      </c>
      <c r="AD1944" s="56">
        <f t="shared" si="560"/>
        <v>17632.850000000002</v>
      </c>
    </row>
    <row r="1945" spans="3:30">
      <c r="C1945" s="43" t="s">
        <v>3570</v>
      </c>
      <c r="D1945" s="44" t="s">
        <v>3571</v>
      </c>
      <c r="E1945" s="44"/>
      <c r="F1945" s="45">
        <v>42395.646423611106</v>
      </c>
      <c r="G1945" s="46">
        <v>32</v>
      </c>
      <c r="H1945" s="47">
        <v>43376</v>
      </c>
      <c r="I1945" s="47">
        <v>43391</v>
      </c>
      <c r="J1945" s="46">
        <v>892641</v>
      </c>
      <c r="K1945" s="46">
        <v>0</v>
      </c>
      <c r="L1945" s="46">
        <v>0</v>
      </c>
      <c r="M1945" s="46">
        <f t="shared" si="549"/>
        <v>892641</v>
      </c>
      <c r="N1945" s="46">
        <v>892641</v>
      </c>
      <c r="O1945" s="48">
        <f t="shared" si="550"/>
        <v>0</v>
      </c>
      <c r="P1945" s="46">
        <v>0</v>
      </c>
      <c r="Q1945" s="46">
        <v>892641</v>
      </c>
      <c r="R1945" s="49">
        <f t="shared" si="551"/>
        <v>1</v>
      </c>
      <c r="S1945" s="50">
        <f t="shared" si="552"/>
        <v>0.01</v>
      </c>
      <c r="T1945" s="49">
        <f t="shared" si="553"/>
        <v>8926.41</v>
      </c>
      <c r="U1945" s="51">
        <f t="shared" si="554"/>
        <v>0</v>
      </c>
      <c r="V1945" s="52">
        <f>IF(0&lt;0.8,0,IF(0&lt;1,Sheet3!L561,1))*IF(G1945&lt;3,0.12 - O1945,0.01) *U1945</f>
        <v>0</v>
      </c>
      <c r="W1945" s="52">
        <f t="shared" si="555"/>
        <v>0</v>
      </c>
      <c r="X1945" s="53">
        <f t="shared" si="556"/>
        <v>0</v>
      </c>
      <c r="Y1945" s="53">
        <f t="shared" si="557"/>
        <v>0</v>
      </c>
      <c r="Z1945" s="54">
        <f t="shared" si="563"/>
        <v>0</v>
      </c>
      <c r="AA1945" s="54">
        <f t="shared" si="558"/>
        <v>0</v>
      </c>
      <c r="AB1945" s="55">
        <f t="shared" si="564"/>
        <v>0</v>
      </c>
      <c r="AC1945" s="55">
        <f t="shared" si="559"/>
        <v>0</v>
      </c>
      <c r="AD1945" s="56">
        <f t="shared" si="560"/>
        <v>8926.41</v>
      </c>
    </row>
    <row r="1946" spans="3:30">
      <c r="C1946" s="43" t="s">
        <v>3572</v>
      </c>
      <c r="D1946" s="44" t="s">
        <v>3573</v>
      </c>
      <c r="E1946" s="44"/>
      <c r="F1946" s="45">
        <v>42403.387210648143</v>
      </c>
      <c r="G1946" s="46">
        <v>31</v>
      </c>
      <c r="H1946" s="47">
        <v>43376</v>
      </c>
      <c r="I1946" s="47">
        <v>43428</v>
      </c>
      <c r="J1946" s="46">
        <v>69091</v>
      </c>
      <c r="K1946" s="46">
        <v>0</v>
      </c>
      <c r="L1946" s="46">
        <v>0</v>
      </c>
      <c r="M1946" s="46">
        <f t="shared" si="549"/>
        <v>69091</v>
      </c>
      <c r="N1946" s="46">
        <v>69091</v>
      </c>
      <c r="O1946" s="48">
        <f t="shared" si="550"/>
        <v>0</v>
      </c>
      <c r="P1946" s="46">
        <v>0</v>
      </c>
      <c r="Q1946" s="46">
        <v>69091</v>
      </c>
      <c r="R1946" s="49">
        <f t="shared" si="551"/>
        <v>1</v>
      </c>
      <c r="S1946" s="50">
        <f t="shared" si="552"/>
        <v>0.01</v>
      </c>
      <c r="T1946" s="49">
        <f t="shared" si="553"/>
        <v>690.91</v>
      </c>
      <c r="U1946" s="51">
        <f t="shared" si="554"/>
        <v>0</v>
      </c>
      <c r="V1946" s="52">
        <f>IF(0&lt;0.8,0,IF(0&lt;1,Sheet3!L561,1))*IF(G1946&lt;3,0.12 - O1946,0.01) *U1946</f>
        <v>0</v>
      </c>
      <c r="W1946" s="52">
        <f t="shared" si="555"/>
        <v>0</v>
      </c>
      <c r="X1946" s="53">
        <f t="shared" si="556"/>
        <v>0</v>
      </c>
      <c r="Y1946" s="53">
        <f t="shared" si="557"/>
        <v>0</v>
      </c>
      <c r="Z1946" s="54">
        <f t="shared" si="563"/>
        <v>0</v>
      </c>
      <c r="AA1946" s="54">
        <f t="shared" si="558"/>
        <v>0</v>
      </c>
      <c r="AB1946" s="55">
        <f t="shared" si="564"/>
        <v>0</v>
      </c>
      <c r="AC1946" s="55">
        <f t="shared" si="559"/>
        <v>0</v>
      </c>
      <c r="AD1946" s="56">
        <f t="shared" si="560"/>
        <v>690.91</v>
      </c>
    </row>
    <row r="1947" spans="3:30">
      <c r="C1947" s="43" t="s">
        <v>3574</v>
      </c>
      <c r="D1947" s="44" t="s">
        <v>3575</v>
      </c>
      <c r="E1947" s="44"/>
      <c r="F1947" s="45">
        <v>42438.422766203701</v>
      </c>
      <c r="G1947" s="46">
        <v>30</v>
      </c>
      <c r="H1947" s="47">
        <v>43376</v>
      </c>
      <c r="I1947" s="47">
        <v>43391</v>
      </c>
      <c r="J1947" s="46">
        <v>436931</v>
      </c>
      <c r="K1947" s="46">
        <v>0</v>
      </c>
      <c r="L1947" s="46">
        <v>0</v>
      </c>
      <c r="M1947" s="46">
        <f t="shared" si="549"/>
        <v>436931</v>
      </c>
      <c r="N1947" s="46">
        <v>436931</v>
      </c>
      <c r="O1947" s="48">
        <f t="shared" si="550"/>
        <v>0</v>
      </c>
      <c r="P1947" s="46">
        <v>0</v>
      </c>
      <c r="Q1947" s="46">
        <v>436931</v>
      </c>
      <c r="R1947" s="49">
        <f t="shared" si="551"/>
        <v>1</v>
      </c>
      <c r="S1947" s="50">
        <f t="shared" si="552"/>
        <v>0.01</v>
      </c>
      <c r="T1947" s="49">
        <f t="shared" si="553"/>
        <v>4369.3100000000004</v>
      </c>
      <c r="U1947" s="51">
        <f t="shared" si="554"/>
        <v>0</v>
      </c>
      <c r="V1947" s="52">
        <f>IF(0&lt;0.8,0,IF(0&lt;1,Sheet3!L561,1))*IF(G1947&lt;3,0.12 - O1947,0.01) *U1947</f>
        <v>0</v>
      </c>
      <c r="W1947" s="52">
        <f t="shared" si="555"/>
        <v>0</v>
      </c>
      <c r="X1947" s="53">
        <f t="shared" si="556"/>
        <v>0</v>
      </c>
      <c r="Y1947" s="53">
        <f t="shared" si="557"/>
        <v>0</v>
      </c>
      <c r="Z1947" s="54">
        <f t="shared" si="563"/>
        <v>0</v>
      </c>
      <c r="AA1947" s="54">
        <f t="shared" si="558"/>
        <v>0</v>
      </c>
      <c r="AB1947" s="55">
        <f t="shared" si="564"/>
        <v>0</v>
      </c>
      <c r="AC1947" s="55">
        <f t="shared" si="559"/>
        <v>0</v>
      </c>
      <c r="AD1947" s="56">
        <f t="shared" si="560"/>
        <v>4369.3100000000004</v>
      </c>
    </row>
    <row r="1948" spans="3:30">
      <c r="C1948" s="43" t="s">
        <v>3576</v>
      </c>
      <c r="D1948" s="44" t="s">
        <v>3577</v>
      </c>
      <c r="E1948" s="44"/>
      <c r="F1948" s="45">
        <v>42455.396828703699</v>
      </c>
      <c r="G1948" s="46">
        <v>30</v>
      </c>
      <c r="H1948" s="47">
        <v>43396</v>
      </c>
      <c r="I1948" s="47">
        <v>43405</v>
      </c>
      <c r="J1948" s="46">
        <v>1394162</v>
      </c>
      <c r="K1948" s="46">
        <v>0</v>
      </c>
      <c r="L1948" s="46">
        <v>0</v>
      </c>
      <c r="M1948" s="46">
        <f t="shared" si="549"/>
        <v>1394162</v>
      </c>
      <c r="N1948" s="46">
        <v>1390532</v>
      </c>
      <c r="O1948" s="48">
        <f t="shared" si="550"/>
        <v>0</v>
      </c>
      <c r="P1948" s="46">
        <v>0</v>
      </c>
      <c r="Q1948" s="46">
        <v>1394162</v>
      </c>
      <c r="R1948" s="49">
        <f t="shared" si="551"/>
        <v>1</v>
      </c>
      <c r="S1948" s="50">
        <f t="shared" si="552"/>
        <v>0.01</v>
      </c>
      <c r="T1948" s="49">
        <f t="shared" si="553"/>
        <v>13941.62</v>
      </c>
      <c r="U1948" s="51">
        <f t="shared" si="554"/>
        <v>0</v>
      </c>
      <c r="V1948" s="52">
        <f>IF(0&lt;0.8,0,IF(0&lt;1,Sheet3!L561,1))*IF(G1948&lt;3,0.12 - O1948,0.01) *U1948</f>
        <v>0</v>
      </c>
      <c r="W1948" s="52">
        <f t="shared" si="555"/>
        <v>0</v>
      </c>
      <c r="X1948" s="53">
        <f t="shared" si="556"/>
        <v>0</v>
      </c>
      <c r="Y1948" s="53">
        <f t="shared" si="557"/>
        <v>0</v>
      </c>
      <c r="Z1948" s="54">
        <f t="shared" si="563"/>
        <v>0</v>
      </c>
      <c r="AA1948" s="54">
        <f t="shared" si="558"/>
        <v>0</v>
      </c>
      <c r="AB1948" s="55">
        <f t="shared" si="564"/>
        <v>0</v>
      </c>
      <c r="AC1948" s="55">
        <f t="shared" si="559"/>
        <v>0</v>
      </c>
      <c r="AD1948" s="56">
        <f t="shared" si="560"/>
        <v>13941.62</v>
      </c>
    </row>
    <row r="1949" spans="3:30">
      <c r="C1949" s="43" t="s">
        <v>3578</v>
      </c>
      <c r="D1949" s="44" t="s">
        <v>3579</v>
      </c>
      <c r="E1949" s="44"/>
      <c r="F1949" s="45">
        <v>42458.393611111111</v>
      </c>
      <c r="G1949" s="46">
        <v>30</v>
      </c>
      <c r="H1949" s="47">
        <v>43385</v>
      </c>
      <c r="I1949" s="47">
        <v>43390</v>
      </c>
      <c r="J1949" s="46">
        <v>1332622</v>
      </c>
      <c r="K1949" s="46">
        <v>0</v>
      </c>
      <c r="L1949" s="46">
        <v>0</v>
      </c>
      <c r="M1949" s="46">
        <f t="shared" si="549"/>
        <v>1332622</v>
      </c>
      <c r="N1949" s="46">
        <v>1332622</v>
      </c>
      <c r="O1949" s="48">
        <f t="shared" si="550"/>
        <v>0</v>
      </c>
      <c r="P1949" s="46">
        <v>0</v>
      </c>
      <c r="Q1949" s="46">
        <v>1332622</v>
      </c>
      <c r="R1949" s="49">
        <f t="shared" si="551"/>
        <v>1</v>
      </c>
      <c r="S1949" s="50">
        <f t="shared" si="552"/>
        <v>0.01</v>
      </c>
      <c r="T1949" s="49">
        <f t="shared" si="553"/>
        <v>13326.220000000001</v>
      </c>
      <c r="U1949" s="51">
        <f t="shared" si="554"/>
        <v>0</v>
      </c>
      <c r="V1949" s="52">
        <f>IF(0&lt;0.8,0,IF(0&lt;1,Sheet3!L561,1))*IF(G1949&lt;3,0.12 - O1949,0.01) *U1949</f>
        <v>0</v>
      </c>
      <c r="W1949" s="52">
        <f t="shared" si="555"/>
        <v>0</v>
      </c>
      <c r="X1949" s="53">
        <f t="shared" si="556"/>
        <v>0</v>
      </c>
      <c r="Y1949" s="53">
        <f t="shared" si="557"/>
        <v>0</v>
      </c>
      <c r="Z1949" s="54">
        <f t="shared" si="563"/>
        <v>0</v>
      </c>
      <c r="AA1949" s="54">
        <f t="shared" si="558"/>
        <v>0</v>
      </c>
      <c r="AB1949" s="55">
        <f t="shared" si="564"/>
        <v>0</v>
      </c>
      <c r="AC1949" s="55">
        <f t="shared" si="559"/>
        <v>0</v>
      </c>
      <c r="AD1949" s="56">
        <f t="shared" si="560"/>
        <v>13326.220000000001</v>
      </c>
    </row>
    <row r="1950" spans="3:30">
      <c r="C1950" s="43" t="s">
        <v>3580</v>
      </c>
      <c r="D1950" s="44" t="s">
        <v>3581</v>
      </c>
      <c r="E1950" s="44"/>
      <c r="F1950" s="45">
        <v>42483.449629629627</v>
      </c>
      <c r="G1950" s="46">
        <v>29</v>
      </c>
      <c r="H1950" s="47">
        <v>43385</v>
      </c>
      <c r="I1950" s="47">
        <v>43390</v>
      </c>
      <c r="J1950" s="46">
        <v>800318</v>
      </c>
      <c r="K1950" s="46">
        <v>0</v>
      </c>
      <c r="L1950" s="46">
        <v>0</v>
      </c>
      <c r="M1950" s="46">
        <f t="shared" si="549"/>
        <v>800318</v>
      </c>
      <c r="N1950" s="46">
        <v>800318</v>
      </c>
      <c r="O1950" s="48">
        <f t="shared" si="550"/>
        <v>0</v>
      </c>
      <c r="P1950" s="46">
        <v>0</v>
      </c>
      <c r="Q1950" s="46">
        <v>800318</v>
      </c>
      <c r="R1950" s="49">
        <f t="shared" si="551"/>
        <v>1</v>
      </c>
      <c r="S1950" s="50">
        <f t="shared" si="552"/>
        <v>0.01</v>
      </c>
      <c r="T1950" s="49">
        <f t="shared" si="553"/>
        <v>8003.18</v>
      </c>
      <c r="U1950" s="51">
        <f t="shared" si="554"/>
        <v>0</v>
      </c>
      <c r="V1950" s="52">
        <f>IF(0&lt;0.8,0,IF(0&lt;1,Sheet3!L561,1))*IF(G1950&lt;3,0.12 - O1950,0.01) *U1950</f>
        <v>0</v>
      </c>
      <c r="W1950" s="52">
        <f t="shared" si="555"/>
        <v>0</v>
      </c>
      <c r="X1950" s="53">
        <f t="shared" si="556"/>
        <v>0</v>
      </c>
      <c r="Y1950" s="53">
        <f t="shared" si="557"/>
        <v>0</v>
      </c>
      <c r="Z1950" s="54">
        <f t="shared" si="563"/>
        <v>0</v>
      </c>
      <c r="AA1950" s="54">
        <f t="shared" si="558"/>
        <v>0</v>
      </c>
      <c r="AB1950" s="55">
        <f t="shared" si="564"/>
        <v>0</v>
      </c>
      <c r="AC1950" s="55">
        <f t="shared" si="559"/>
        <v>0</v>
      </c>
      <c r="AD1950" s="56">
        <f t="shared" si="560"/>
        <v>8003.18</v>
      </c>
    </row>
    <row r="1951" spans="3:30">
      <c r="C1951" s="43" t="s">
        <v>3582</v>
      </c>
      <c r="D1951" s="44" t="s">
        <v>3583</v>
      </c>
      <c r="E1951" s="44"/>
      <c r="F1951" s="45">
        <v>42494.307847222219</v>
      </c>
      <c r="G1951" s="46">
        <v>28</v>
      </c>
      <c r="H1951" s="47">
        <v>43385</v>
      </c>
      <c r="I1951" s="47">
        <v>43404</v>
      </c>
      <c r="J1951" s="46">
        <v>2501146</v>
      </c>
      <c r="K1951" s="46">
        <v>0</v>
      </c>
      <c r="L1951" s="46">
        <v>0</v>
      </c>
      <c r="M1951" s="46">
        <f t="shared" si="549"/>
        <v>2501146</v>
      </c>
      <c r="N1951" s="46">
        <v>2501506</v>
      </c>
      <c r="O1951" s="48">
        <f t="shared" si="550"/>
        <v>1.439133066241105E-4</v>
      </c>
      <c r="P1951" s="46">
        <v>0</v>
      </c>
      <c r="Q1951" s="46">
        <v>2501146</v>
      </c>
      <c r="R1951" s="49">
        <f t="shared" si="551"/>
        <v>1</v>
      </c>
      <c r="S1951" s="50">
        <f t="shared" si="552"/>
        <v>0.01</v>
      </c>
      <c r="T1951" s="49">
        <f t="shared" si="553"/>
        <v>25011.46</v>
      </c>
      <c r="U1951" s="51">
        <f t="shared" si="554"/>
        <v>0</v>
      </c>
      <c r="V1951" s="52">
        <f>IF(0&lt;0.8,0,IF(0&lt;1,Sheet3!L561,1))*IF(G1951&lt;3,0.12 - O1951,0.01) *U1951</f>
        <v>0</v>
      </c>
      <c r="W1951" s="52">
        <f t="shared" si="555"/>
        <v>0</v>
      </c>
      <c r="X1951" s="53">
        <f t="shared" si="556"/>
        <v>0</v>
      </c>
      <c r="Y1951" s="53">
        <f t="shared" si="557"/>
        <v>0</v>
      </c>
      <c r="Z1951" s="54">
        <f t="shared" si="563"/>
        <v>0</v>
      </c>
      <c r="AA1951" s="54">
        <f t="shared" si="558"/>
        <v>0</v>
      </c>
      <c r="AB1951" s="55">
        <f t="shared" si="564"/>
        <v>0</v>
      </c>
      <c r="AC1951" s="55">
        <f t="shared" si="559"/>
        <v>0</v>
      </c>
      <c r="AD1951" s="56">
        <f t="shared" si="560"/>
        <v>25011.46</v>
      </c>
    </row>
    <row r="1952" spans="3:30">
      <c r="C1952" s="43" t="s">
        <v>3584</v>
      </c>
      <c r="D1952" s="44" t="s">
        <v>3585</v>
      </c>
      <c r="E1952" s="44"/>
      <c r="F1952" s="45">
        <v>42499.400034722217</v>
      </c>
      <c r="G1952" s="46">
        <v>28</v>
      </c>
      <c r="H1952" s="47">
        <v>43386</v>
      </c>
      <c r="I1952" s="47">
        <v>43396</v>
      </c>
      <c r="J1952" s="46">
        <v>9433523</v>
      </c>
      <c r="K1952" s="46">
        <v>0</v>
      </c>
      <c r="L1952" s="46">
        <v>0</v>
      </c>
      <c r="M1952" s="46">
        <f t="shared" si="549"/>
        <v>9433523</v>
      </c>
      <c r="N1952" s="46">
        <v>9433523</v>
      </c>
      <c r="O1952" s="48">
        <f t="shared" si="550"/>
        <v>0</v>
      </c>
      <c r="P1952" s="46">
        <v>0</v>
      </c>
      <c r="Q1952" s="46">
        <v>9433523</v>
      </c>
      <c r="R1952" s="49">
        <f t="shared" si="551"/>
        <v>1</v>
      </c>
      <c r="S1952" s="50">
        <f t="shared" si="552"/>
        <v>0.01</v>
      </c>
      <c r="T1952" s="49">
        <f t="shared" si="553"/>
        <v>94335.23</v>
      </c>
      <c r="U1952" s="51">
        <f t="shared" si="554"/>
        <v>0</v>
      </c>
      <c r="V1952" s="52">
        <f>IF(0&lt;0.8,0,IF(0&lt;1,Sheet3!L561,1))*IF(G1952&lt;3,0.12 - O1952,0.01) *U1952</f>
        <v>0</v>
      </c>
      <c r="W1952" s="52">
        <f t="shared" si="555"/>
        <v>0</v>
      </c>
      <c r="X1952" s="53">
        <f t="shared" si="556"/>
        <v>0</v>
      </c>
      <c r="Y1952" s="53">
        <f t="shared" si="557"/>
        <v>0</v>
      </c>
      <c r="Z1952" s="54">
        <f t="shared" si="563"/>
        <v>0</v>
      </c>
      <c r="AA1952" s="54">
        <f t="shared" si="558"/>
        <v>0</v>
      </c>
      <c r="AB1952" s="55">
        <f t="shared" si="564"/>
        <v>0</v>
      </c>
      <c r="AC1952" s="55">
        <f t="shared" si="559"/>
        <v>0</v>
      </c>
      <c r="AD1952" s="56">
        <f t="shared" si="560"/>
        <v>94335.23</v>
      </c>
    </row>
    <row r="1953" spans="3:30">
      <c r="C1953" s="43" t="s">
        <v>3586</v>
      </c>
      <c r="D1953" s="44" t="s">
        <v>3587</v>
      </c>
      <c r="E1953" s="44"/>
      <c r="F1953" s="45">
        <v>42525.346828703703</v>
      </c>
      <c r="G1953" s="46">
        <v>27</v>
      </c>
      <c r="H1953" s="47">
        <v>43376</v>
      </c>
      <c r="I1953" s="47">
        <v>43386</v>
      </c>
      <c r="J1953" s="46">
        <v>1482008</v>
      </c>
      <c r="K1953" s="46">
        <v>0</v>
      </c>
      <c r="L1953" s="46">
        <v>0</v>
      </c>
      <c r="M1953" s="46">
        <f t="shared" si="549"/>
        <v>1482008</v>
      </c>
      <c r="N1953" s="46">
        <v>1482008</v>
      </c>
      <c r="O1953" s="48">
        <f t="shared" si="550"/>
        <v>0</v>
      </c>
      <c r="P1953" s="46">
        <v>0</v>
      </c>
      <c r="Q1953" s="46">
        <v>1482008</v>
      </c>
      <c r="R1953" s="49">
        <f t="shared" si="551"/>
        <v>1</v>
      </c>
      <c r="S1953" s="50">
        <f t="shared" si="552"/>
        <v>0.01</v>
      </c>
      <c r="T1953" s="49">
        <f t="shared" si="553"/>
        <v>14820.08</v>
      </c>
      <c r="U1953" s="51">
        <f t="shared" si="554"/>
        <v>0</v>
      </c>
      <c r="V1953" s="52">
        <f>IF(0&lt;0.8,0,IF(0&lt;1,Sheet3!L561,1))*IF(G1953&lt;3,0.12 - O1953,0.01) *U1953</f>
        <v>0</v>
      </c>
      <c r="W1953" s="52">
        <f t="shared" si="555"/>
        <v>0</v>
      </c>
      <c r="X1953" s="53">
        <f t="shared" si="556"/>
        <v>0</v>
      </c>
      <c r="Y1953" s="53">
        <f t="shared" si="557"/>
        <v>0</v>
      </c>
      <c r="Z1953" s="54">
        <f t="shared" si="563"/>
        <v>0</v>
      </c>
      <c r="AA1953" s="54">
        <f t="shared" si="558"/>
        <v>0</v>
      </c>
      <c r="AB1953" s="55">
        <f t="shared" si="564"/>
        <v>0</v>
      </c>
      <c r="AC1953" s="55">
        <f t="shared" si="559"/>
        <v>0</v>
      </c>
      <c r="AD1953" s="56">
        <f t="shared" si="560"/>
        <v>14820.08</v>
      </c>
    </row>
    <row r="1954" spans="3:30">
      <c r="C1954" s="43" t="s">
        <v>3588</v>
      </c>
      <c r="D1954" s="44" t="s">
        <v>3589</v>
      </c>
      <c r="E1954" s="44"/>
      <c r="F1954" s="45">
        <v>42539.170497685183</v>
      </c>
      <c r="G1954" s="46">
        <v>27</v>
      </c>
      <c r="H1954" s="47">
        <v>43416</v>
      </c>
      <c r="I1954" s="47">
        <v>43419</v>
      </c>
      <c r="J1954" s="46">
        <v>150767006</v>
      </c>
      <c r="K1954" s="46">
        <v>0</v>
      </c>
      <c r="L1954" s="46">
        <v>0</v>
      </c>
      <c r="M1954" s="46">
        <f t="shared" si="549"/>
        <v>150767006</v>
      </c>
      <c r="N1954" s="46">
        <v>113585383</v>
      </c>
      <c r="O1954" s="48">
        <f t="shared" si="550"/>
        <v>0</v>
      </c>
      <c r="P1954" s="46">
        <v>0</v>
      </c>
      <c r="Q1954" s="46">
        <v>150767006</v>
      </c>
      <c r="R1954" s="49">
        <f t="shared" si="551"/>
        <v>1</v>
      </c>
      <c r="S1954" s="50">
        <f t="shared" si="552"/>
        <v>0.01</v>
      </c>
      <c r="T1954" s="49">
        <f t="shared" si="553"/>
        <v>1507670.06</v>
      </c>
      <c r="U1954" s="51">
        <f t="shared" si="554"/>
        <v>0</v>
      </c>
      <c r="V1954" s="52">
        <f>IF(0&lt;0.8,0,IF(0&lt;1,Sheet3!L561,1))*IF(G1954&lt;3,0.12 - O1954,0.01) *U1954</f>
        <v>0</v>
      </c>
      <c r="W1954" s="52">
        <f t="shared" si="555"/>
        <v>0</v>
      </c>
      <c r="X1954" s="53">
        <f t="shared" si="556"/>
        <v>0</v>
      </c>
      <c r="Y1954" s="53">
        <f t="shared" si="557"/>
        <v>0</v>
      </c>
      <c r="Z1954" s="54">
        <f t="shared" si="563"/>
        <v>0</v>
      </c>
      <c r="AA1954" s="54">
        <f t="shared" si="558"/>
        <v>0</v>
      </c>
      <c r="AB1954" s="55">
        <f t="shared" si="564"/>
        <v>0</v>
      </c>
      <c r="AC1954" s="55">
        <f t="shared" si="559"/>
        <v>0</v>
      </c>
      <c r="AD1954" s="56">
        <f t="shared" si="560"/>
        <v>1507670.06</v>
      </c>
    </row>
    <row r="1955" spans="3:30">
      <c r="C1955" s="43" t="s">
        <v>3590</v>
      </c>
      <c r="D1955" s="44" t="s">
        <v>3591</v>
      </c>
      <c r="E1955" s="44"/>
      <c r="F1955" s="45">
        <v>42549.328634259255</v>
      </c>
      <c r="G1955" s="46">
        <v>27</v>
      </c>
      <c r="H1955" s="47">
        <v>43459</v>
      </c>
      <c r="I1955" s="47">
        <v>43486</v>
      </c>
      <c r="J1955" s="46">
        <v>55840911</v>
      </c>
      <c r="K1955" s="46">
        <v>6948967</v>
      </c>
      <c r="L1955" s="46">
        <v>0</v>
      </c>
      <c r="M1955" s="46">
        <f t="shared" si="549"/>
        <v>48891944</v>
      </c>
      <c r="N1955" s="46">
        <v>25790648</v>
      </c>
      <c r="O1955" s="48">
        <f t="shared" si="550"/>
        <v>0</v>
      </c>
      <c r="P1955" s="46">
        <v>0</v>
      </c>
      <c r="Q1955" s="46">
        <v>49237692</v>
      </c>
      <c r="R1955" s="49">
        <f t="shared" si="551"/>
        <v>1</v>
      </c>
      <c r="S1955" s="50">
        <f t="shared" si="552"/>
        <v>0.01</v>
      </c>
      <c r="T1955" s="49">
        <f t="shared" si="553"/>
        <v>488919.44</v>
      </c>
      <c r="U1955" s="51">
        <f t="shared" si="554"/>
        <v>0</v>
      </c>
      <c r="V1955" s="52">
        <f>IF(0&lt;0.8,0,IF(0&lt;1,Sheet3!L561,1))*IF(G1955&lt;3,0.12 - O1955,0.01) *U1955</f>
        <v>0</v>
      </c>
      <c r="W1955" s="52">
        <f t="shared" si="555"/>
        <v>0</v>
      </c>
      <c r="X1955" s="53">
        <f t="shared" si="556"/>
        <v>0</v>
      </c>
      <c r="Y1955" s="53">
        <f t="shared" si="557"/>
        <v>0</v>
      </c>
      <c r="Z1955" s="54">
        <f t="shared" si="563"/>
        <v>0</v>
      </c>
      <c r="AA1955" s="54">
        <f t="shared" si="558"/>
        <v>0</v>
      </c>
      <c r="AB1955" s="55">
        <f t="shared" si="564"/>
        <v>0</v>
      </c>
      <c r="AC1955" s="55">
        <f t="shared" si="559"/>
        <v>0</v>
      </c>
      <c r="AD1955" s="56">
        <f t="shared" si="560"/>
        <v>488919.44</v>
      </c>
    </row>
    <row r="1956" spans="3:30">
      <c r="C1956" s="43" t="s">
        <v>3592</v>
      </c>
      <c r="D1956" s="44" t="s">
        <v>3593</v>
      </c>
      <c r="E1956" s="44"/>
      <c r="F1956" s="45">
        <v>42562.101956018516</v>
      </c>
      <c r="G1956" s="46">
        <v>26</v>
      </c>
      <c r="H1956" s="47">
        <v>43376</v>
      </c>
      <c r="I1956" s="47">
        <v>43420</v>
      </c>
      <c r="J1956" s="46">
        <v>1504732</v>
      </c>
      <c r="K1956" s="46">
        <v>0</v>
      </c>
      <c r="L1956" s="46">
        <v>0</v>
      </c>
      <c r="M1956" s="46">
        <f t="shared" si="549"/>
        <v>1504732</v>
      </c>
      <c r="N1956" s="46">
        <v>1504732</v>
      </c>
      <c r="O1956" s="48">
        <f t="shared" si="550"/>
        <v>0</v>
      </c>
      <c r="P1956" s="46">
        <v>0</v>
      </c>
      <c r="Q1956" s="46">
        <v>1504732</v>
      </c>
      <c r="R1956" s="49">
        <f t="shared" si="551"/>
        <v>1</v>
      </c>
      <c r="S1956" s="50">
        <f t="shared" si="552"/>
        <v>0.01</v>
      </c>
      <c r="T1956" s="49">
        <f t="shared" si="553"/>
        <v>15047.32</v>
      </c>
      <c r="U1956" s="51">
        <f t="shared" si="554"/>
        <v>0</v>
      </c>
      <c r="V1956" s="52">
        <f>IF(0&lt;0.8,0,IF(0&lt;1,Sheet3!L561,1))*IF(G1956&lt;3,0.12 - O1956,0.01) *U1956</f>
        <v>0</v>
      </c>
      <c r="W1956" s="52">
        <f t="shared" si="555"/>
        <v>0</v>
      </c>
      <c r="X1956" s="53">
        <f t="shared" si="556"/>
        <v>0</v>
      </c>
      <c r="Y1956" s="53">
        <f t="shared" si="557"/>
        <v>0</v>
      </c>
      <c r="Z1956" s="54">
        <f t="shared" si="563"/>
        <v>0</v>
      </c>
      <c r="AA1956" s="54">
        <f t="shared" si="558"/>
        <v>0</v>
      </c>
      <c r="AB1956" s="55">
        <f t="shared" si="564"/>
        <v>0</v>
      </c>
      <c r="AC1956" s="55">
        <f t="shared" si="559"/>
        <v>0</v>
      </c>
      <c r="AD1956" s="56">
        <f t="shared" si="560"/>
        <v>15047.32</v>
      </c>
    </row>
    <row r="1957" spans="3:30">
      <c r="C1957" s="43" t="s">
        <v>3594</v>
      </c>
      <c r="D1957" s="44" t="s">
        <v>3595</v>
      </c>
      <c r="E1957" s="44"/>
      <c r="F1957" s="45">
        <v>42566.097754629627</v>
      </c>
      <c r="G1957" s="46">
        <v>26</v>
      </c>
      <c r="H1957" s="47">
        <v>43376</v>
      </c>
      <c r="I1957" s="47">
        <v>43385</v>
      </c>
      <c r="J1957" s="46">
        <v>238322</v>
      </c>
      <c r="K1957" s="46">
        <v>0</v>
      </c>
      <c r="L1957" s="46">
        <v>0</v>
      </c>
      <c r="M1957" s="46">
        <f t="shared" si="549"/>
        <v>238322</v>
      </c>
      <c r="N1957" s="46">
        <v>238322</v>
      </c>
      <c r="O1957" s="48">
        <f t="shared" si="550"/>
        <v>0</v>
      </c>
      <c r="P1957" s="46">
        <v>0</v>
      </c>
      <c r="Q1957" s="46">
        <v>238322</v>
      </c>
      <c r="R1957" s="49">
        <f t="shared" si="551"/>
        <v>1</v>
      </c>
      <c r="S1957" s="50">
        <f t="shared" si="552"/>
        <v>0.01</v>
      </c>
      <c r="T1957" s="49">
        <f t="shared" si="553"/>
        <v>2383.2200000000003</v>
      </c>
      <c r="U1957" s="51">
        <f t="shared" si="554"/>
        <v>0</v>
      </c>
      <c r="V1957" s="52">
        <f>IF(0&lt;0.8,0,IF(0&lt;1,Sheet3!L561,1))*IF(G1957&lt;3,0.12 - O1957,0.01) *U1957</f>
        <v>0</v>
      </c>
      <c r="W1957" s="52">
        <f t="shared" si="555"/>
        <v>0</v>
      </c>
      <c r="X1957" s="53">
        <f t="shared" si="556"/>
        <v>0</v>
      </c>
      <c r="Y1957" s="53">
        <f t="shared" si="557"/>
        <v>0</v>
      </c>
      <c r="Z1957" s="54">
        <f t="shared" si="563"/>
        <v>0</v>
      </c>
      <c r="AA1957" s="54">
        <f t="shared" si="558"/>
        <v>0</v>
      </c>
      <c r="AB1957" s="55">
        <f t="shared" si="564"/>
        <v>0</v>
      </c>
      <c r="AC1957" s="55">
        <f t="shared" si="559"/>
        <v>0</v>
      </c>
      <c r="AD1957" s="56">
        <f t="shared" si="560"/>
        <v>2383.2200000000003</v>
      </c>
    </row>
    <row r="1958" spans="3:30">
      <c r="C1958" s="43" t="s">
        <v>3596</v>
      </c>
      <c r="D1958" s="44" t="s">
        <v>3597</v>
      </c>
      <c r="E1958" s="44"/>
      <c r="F1958" s="45">
        <v>42576.327094907407</v>
      </c>
      <c r="G1958" s="46">
        <v>26</v>
      </c>
      <c r="H1958" s="47">
        <v>43524</v>
      </c>
      <c r="I1958" s="47">
        <v>43539</v>
      </c>
      <c r="J1958" s="46">
        <v>8816830</v>
      </c>
      <c r="K1958" s="46">
        <v>0</v>
      </c>
      <c r="L1958" s="46">
        <v>0</v>
      </c>
      <c r="M1958" s="46">
        <f t="shared" si="549"/>
        <v>8816830</v>
      </c>
      <c r="N1958" s="46">
        <v>14303168</v>
      </c>
      <c r="O1958" s="48">
        <f t="shared" si="550"/>
        <v>0.38357502337943594</v>
      </c>
      <c r="P1958" s="46">
        <v>0</v>
      </c>
      <c r="Q1958" s="46">
        <v>8921880</v>
      </c>
      <c r="R1958" s="49">
        <f t="shared" si="551"/>
        <v>1</v>
      </c>
      <c r="S1958" s="50">
        <f t="shared" si="552"/>
        <v>0.01</v>
      </c>
      <c r="T1958" s="49">
        <f t="shared" si="553"/>
        <v>88168.3</v>
      </c>
      <c r="U1958" s="51">
        <f t="shared" si="554"/>
        <v>0</v>
      </c>
      <c r="V1958" s="52">
        <f>IF(0&lt;0.8,0,IF(0&lt;1,Sheet3!L561,1))*IF(G1958&lt;3,0.12 - O1958,0.01) *U1958</f>
        <v>0</v>
      </c>
      <c r="W1958" s="52">
        <f t="shared" si="555"/>
        <v>0</v>
      </c>
      <c r="X1958" s="53">
        <f t="shared" si="556"/>
        <v>0</v>
      </c>
      <c r="Y1958" s="53">
        <f t="shared" si="557"/>
        <v>0</v>
      </c>
      <c r="Z1958" s="54">
        <f t="shared" si="563"/>
        <v>0</v>
      </c>
      <c r="AA1958" s="54">
        <f t="shared" si="558"/>
        <v>0</v>
      </c>
      <c r="AB1958" s="55">
        <f t="shared" si="564"/>
        <v>0</v>
      </c>
      <c r="AC1958" s="55">
        <f t="shared" si="559"/>
        <v>0</v>
      </c>
      <c r="AD1958" s="56">
        <f t="shared" si="560"/>
        <v>88168.3</v>
      </c>
    </row>
    <row r="1959" spans="3:30">
      <c r="C1959" s="43" t="s">
        <v>3598</v>
      </c>
      <c r="D1959" s="44" t="s">
        <v>3599</v>
      </c>
      <c r="E1959" s="44"/>
      <c r="F1959" s="45">
        <v>42597.101782407408</v>
      </c>
      <c r="G1959" s="46">
        <v>25</v>
      </c>
      <c r="H1959" s="47">
        <v>43376</v>
      </c>
      <c r="I1959" s="47">
        <v>43405</v>
      </c>
      <c r="J1959" s="46">
        <v>812470</v>
      </c>
      <c r="K1959" s="46">
        <v>0</v>
      </c>
      <c r="L1959" s="46">
        <v>0</v>
      </c>
      <c r="M1959" s="46">
        <f t="shared" si="549"/>
        <v>812470</v>
      </c>
      <c r="N1959" s="46">
        <v>808276</v>
      </c>
      <c r="O1959" s="48">
        <f t="shared" si="550"/>
        <v>0</v>
      </c>
      <c r="P1959" s="46">
        <v>0</v>
      </c>
      <c r="Q1959" s="46">
        <v>812470</v>
      </c>
      <c r="R1959" s="49">
        <f t="shared" si="551"/>
        <v>1</v>
      </c>
      <c r="S1959" s="50">
        <f t="shared" si="552"/>
        <v>0.01</v>
      </c>
      <c r="T1959" s="49">
        <f t="shared" si="553"/>
        <v>8124.7</v>
      </c>
      <c r="U1959" s="51">
        <f t="shared" si="554"/>
        <v>0</v>
      </c>
      <c r="V1959" s="52">
        <f>IF(0&lt;0.8,0,IF(0&lt;1,Sheet3!L561,1))*IF(G1959&lt;3,0.12 - O1959,0.01) *U1959</f>
        <v>0</v>
      </c>
      <c r="W1959" s="52">
        <f t="shared" si="555"/>
        <v>0</v>
      </c>
      <c r="X1959" s="53">
        <f t="shared" si="556"/>
        <v>0</v>
      </c>
      <c r="Y1959" s="53">
        <f t="shared" si="557"/>
        <v>0</v>
      </c>
      <c r="Z1959" s="54">
        <f t="shared" si="563"/>
        <v>0</v>
      </c>
      <c r="AA1959" s="54">
        <f t="shared" si="558"/>
        <v>0</v>
      </c>
      <c r="AB1959" s="55">
        <f t="shared" si="564"/>
        <v>0</v>
      </c>
      <c r="AC1959" s="55">
        <f t="shared" si="559"/>
        <v>0</v>
      </c>
      <c r="AD1959" s="56">
        <f t="shared" si="560"/>
        <v>8124.7</v>
      </c>
    </row>
    <row r="1960" spans="3:30">
      <c r="C1960" s="43" t="s">
        <v>3600</v>
      </c>
      <c r="D1960" s="44" t="s">
        <v>3601</v>
      </c>
      <c r="E1960" s="44"/>
      <c r="F1960" s="45">
        <v>42625.292094907403</v>
      </c>
      <c r="G1960" s="46">
        <v>24</v>
      </c>
      <c r="H1960" s="47">
        <v>43376</v>
      </c>
      <c r="I1960" s="47">
        <v>43405</v>
      </c>
      <c r="J1960" s="46">
        <v>615216</v>
      </c>
      <c r="K1960" s="46">
        <v>0</v>
      </c>
      <c r="L1960" s="46">
        <v>0</v>
      </c>
      <c r="M1960" s="46">
        <f t="shared" si="549"/>
        <v>615216</v>
      </c>
      <c r="N1960" s="46">
        <v>615216</v>
      </c>
      <c r="O1960" s="48">
        <f t="shared" si="550"/>
        <v>0</v>
      </c>
      <c r="P1960" s="46">
        <v>0</v>
      </c>
      <c r="Q1960" s="46">
        <v>615216</v>
      </c>
      <c r="R1960" s="49">
        <f t="shared" si="551"/>
        <v>1</v>
      </c>
      <c r="S1960" s="50">
        <f t="shared" si="552"/>
        <v>0.01</v>
      </c>
      <c r="T1960" s="49">
        <f t="shared" si="553"/>
        <v>6152.16</v>
      </c>
      <c r="U1960" s="51">
        <f t="shared" si="554"/>
        <v>0</v>
      </c>
      <c r="V1960" s="52">
        <f>IF(0&lt;0.8,0,IF(0&lt;1,Sheet3!L561,1))*IF(G1960&lt;3,0.12 - O1960,0.01) *U1960</f>
        <v>0</v>
      </c>
      <c r="W1960" s="52">
        <f t="shared" si="555"/>
        <v>0</v>
      </c>
      <c r="X1960" s="53">
        <f t="shared" si="556"/>
        <v>0</v>
      </c>
      <c r="Y1960" s="53">
        <f t="shared" si="557"/>
        <v>0</v>
      </c>
      <c r="Z1960" s="54">
        <f t="shared" si="563"/>
        <v>0</v>
      </c>
      <c r="AA1960" s="54">
        <f t="shared" si="558"/>
        <v>0</v>
      </c>
      <c r="AB1960" s="55">
        <f t="shared" si="564"/>
        <v>0</v>
      </c>
      <c r="AC1960" s="55">
        <f t="shared" si="559"/>
        <v>0</v>
      </c>
      <c r="AD1960" s="56">
        <f t="shared" si="560"/>
        <v>6152.16</v>
      </c>
    </row>
    <row r="1961" spans="3:30">
      <c r="C1961" s="43" t="s">
        <v>3602</v>
      </c>
      <c r="D1961" s="44" t="s">
        <v>3603</v>
      </c>
      <c r="E1961" s="44"/>
      <c r="F1961" s="45">
        <v>42661.132349537038</v>
      </c>
      <c r="G1961" s="46">
        <v>23</v>
      </c>
      <c r="H1961" s="47">
        <v>43396</v>
      </c>
      <c r="I1961" s="47">
        <v>43396</v>
      </c>
      <c r="J1961" s="46">
        <v>9163463</v>
      </c>
      <c r="K1961" s="46">
        <v>0</v>
      </c>
      <c r="L1961" s="46">
        <v>0</v>
      </c>
      <c r="M1961" s="46">
        <f t="shared" si="549"/>
        <v>9163463</v>
      </c>
      <c r="N1961" s="46">
        <v>12050867</v>
      </c>
      <c r="O1961" s="48">
        <f t="shared" si="550"/>
        <v>0.23960134984478709</v>
      </c>
      <c r="P1961" s="46">
        <v>0</v>
      </c>
      <c r="Q1961" s="46">
        <v>9163463</v>
      </c>
      <c r="R1961" s="49">
        <f t="shared" si="551"/>
        <v>1</v>
      </c>
      <c r="S1961" s="50">
        <f t="shared" si="552"/>
        <v>0.01</v>
      </c>
      <c r="T1961" s="49">
        <f t="shared" si="553"/>
        <v>91634.63</v>
      </c>
      <c r="U1961" s="51">
        <f t="shared" si="554"/>
        <v>0</v>
      </c>
      <c r="V1961" s="52">
        <f>IF(0&lt;0.8,0,IF(0&lt;1,Sheet3!L561,1))*IF(G1961&lt;3,0.12 - O1961,0.01) *U1961</f>
        <v>0</v>
      </c>
      <c r="W1961" s="52">
        <f t="shared" si="555"/>
        <v>0</v>
      </c>
      <c r="X1961" s="53">
        <f t="shared" si="556"/>
        <v>0</v>
      </c>
      <c r="Y1961" s="53">
        <f t="shared" si="557"/>
        <v>0</v>
      </c>
      <c r="Z1961" s="54">
        <f t="shared" si="563"/>
        <v>0</v>
      </c>
      <c r="AA1961" s="54">
        <f t="shared" si="558"/>
        <v>0</v>
      </c>
      <c r="AB1961" s="55">
        <f t="shared" si="564"/>
        <v>0</v>
      </c>
      <c r="AC1961" s="55">
        <f t="shared" si="559"/>
        <v>0</v>
      </c>
      <c r="AD1961" s="56">
        <f t="shared" si="560"/>
        <v>91634.63</v>
      </c>
    </row>
    <row r="1962" spans="3:30">
      <c r="C1962" s="43" t="s">
        <v>3604</v>
      </c>
      <c r="D1962" s="44" t="s">
        <v>3605</v>
      </c>
      <c r="E1962" s="44"/>
      <c r="F1962" s="45">
        <v>42670.405474537038</v>
      </c>
      <c r="G1962" s="46">
        <v>23</v>
      </c>
      <c r="H1962" s="47">
        <v>43376</v>
      </c>
      <c r="I1962" s="47">
        <v>43392</v>
      </c>
      <c r="J1962" s="46">
        <v>1071576</v>
      </c>
      <c r="K1962" s="46">
        <v>0</v>
      </c>
      <c r="L1962" s="46">
        <v>0</v>
      </c>
      <c r="M1962" s="46">
        <f t="shared" si="549"/>
        <v>1071576</v>
      </c>
      <c r="N1962" s="46">
        <v>1071576</v>
      </c>
      <c r="O1962" s="48">
        <f t="shared" si="550"/>
        <v>0</v>
      </c>
      <c r="P1962" s="46">
        <v>0</v>
      </c>
      <c r="Q1962" s="46">
        <v>1071576</v>
      </c>
      <c r="R1962" s="49">
        <f t="shared" si="551"/>
        <v>1</v>
      </c>
      <c r="S1962" s="50">
        <f t="shared" si="552"/>
        <v>0.01</v>
      </c>
      <c r="T1962" s="49">
        <f t="shared" si="553"/>
        <v>10715.76</v>
      </c>
      <c r="U1962" s="51">
        <f t="shared" si="554"/>
        <v>0</v>
      </c>
      <c r="V1962" s="52">
        <f>IF(0&lt;0.8,0,IF(0&lt;1,Sheet3!L561,1))*IF(G1962&lt;3,0.12 - O1962,0.01) *U1962</f>
        <v>0</v>
      </c>
      <c r="W1962" s="52">
        <f t="shared" si="555"/>
        <v>0</v>
      </c>
      <c r="X1962" s="53">
        <f t="shared" si="556"/>
        <v>0</v>
      </c>
      <c r="Y1962" s="53">
        <f t="shared" si="557"/>
        <v>0</v>
      </c>
      <c r="Z1962" s="54">
        <f t="shared" si="563"/>
        <v>0</v>
      </c>
      <c r="AA1962" s="54">
        <f t="shared" si="558"/>
        <v>0</v>
      </c>
      <c r="AB1962" s="55">
        <f t="shared" si="564"/>
        <v>0</v>
      </c>
      <c r="AC1962" s="55">
        <f t="shared" si="559"/>
        <v>0</v>
      </c>
      <c r="AD1962" s="56">
        <f t="shared" si="560"/>
        <v>10715.76</v>
      </c>
    </row>
    <row r="1963" spans="3:30">
      <c r="C1963" s="43" t="s">
        <v>3606</v>
      </c>
      <c r="D1963" s="44" t="s">
        <v>3607</v>
      </c>
      <c r="E1963" s="44"/>
      <c r="F1963" s="45">
        <v>42691.283113425925</v>
      </c>
      <c r="G1963" s="46">
        <v>22</v>
      </c>
      <c r="H1963" s="47">
        <v>43385</v>
      </c>
      <c r="I1963" s="47">
        <v>43389</v>
      </c>
      <c r="J1963" s="46">
        <v>1313478</v>
      </c>
      <c r="K1963" s="46">
        <v>0</v>
      </c>
      <c r="L1963" s="46">
        <v>0</v>
      </c>
      <c r="M1963" s="46">
        <f t="shared" si="549"/>
        <v>1313478</v>
      </c>
      <c r="N1963" s="46">
        <v>1300168</v>
      </c>
      <c r="O1963" s="48">
        <f t="shared" si="550"/>
        <v>0</v>
      </c>
      <c r="P1963" s="46">
        <v>0</v>
      </c>
      <c r="Q1963" s="46">
        <v>1313478</v>
      </c>
      <c r="R1963" s="49">
        <f t="shared" si="551"/>
        <v>1</v>
      </c>
      <c r="S1963" s="50">
        <f t="shared" si="552"/>
        <v>0.01</v>
      </c>
      <c r="T1963" s="49">
        <f t="shared" si="553"/>
        <v>13134.78</v>
      </c>
      <c r="U1963" s="51">
        <f t="shared" si="554"/>
        <v>0</v>
      </c>
      <c r="V1963" s="52">
        <f>IF(0&lt;0.8,0,IF(0&lt;1,Sheet3!L561,1))*IF(G1963&lt;3,0.12 - O1963,0.01) *U1963</f>
        <v>0</v>
      </c>
      <c r="W1963" s="52">
        <f t="shared" si="555"/>
        <v>0</v>
      </c>
      <c r="X1963" s="53">
        <f t="shared" si="556"/>
        <v>0</v>
      </c>
      <c r="Y1963" s="53">
        <f t="shared" si="557"/>
        <v>0</v>
      </c>
      <c r="Z1963" s="54">
        <f t="shared" si="563"/>
        <v>0</v>
      </c>
      <c r="AA1963" s="54">
        <f t="shared" si="558"/>
        <v>0</v>
      </c>
      <c r="AB1963" s="55">
        <f t="shared" si="564"/>
        <v>0</v>
      </c>
      <c r="AC1963" s="55">
        <f t="shared" si="559"/>
        <v>0</v>
      </c>
      <c r="AD1963" s="56">
        <f t="shared" si="560"/>
        <v>13134.78</v>
      </c>
    </row>
    <row r="1964" spans="3:30">
      <c r="C1964" s="43" t="s">
        <v>3608</v>
      </c>
      <c r="D1964" s="44" t="s">
        <v>3609</v>
      </c>
      <c r="E1964" s="44"/>
      <c r="F1964" s="45">
        <v>42744.399641203701</v>
      </c>
      <c r="G1964" s="46">
        <v>20</v>
      </c>
      <c r="H1964" s="47">
        <v>43376</v>
      </c>
      <c r="I1964" s="47">
        <v>43395</v>
      </c>
      <c r="J1964" s="46">
        <v>947624</v>
      </c>
      <c r="K1964" s="46">
        <v>0</v>
      </c>
      <c r="L1964" s="46">
        <v>0</v>
      </c>
      <c r="M1964" s="46">
        <f t="shared" si="549"/>
        <v>947624</v>
      </c>
      <c r="N1964" s="46">
        <v>947624</v>
      </c>
      <c r="O1964" s="48">
        <f t="shared" si="550"/>
        <v>0</v>
      </c>
      <c r="P1964" s="46">
        <v>0</v>
      </c>
      <c r="Q1964" s="46">
        <v>947624</v>
      </c>
      <c r="R1964" s="49">
        <f t="shared" si="551"/>
        <v>1</v>
      </c>
      <c r="S1964" s="50">
        <f t="shared" si="552"/>
        <v>0.01</v>
      </c>
      <c r="T1964" s="49">
        <f t="shared" si="553"/>
        <v>9476.24</v>
      </c>
      <c r="U1964" s="51">
        <f t="shared" si="554"/>
        <v>0</v>
      </c>
      <c r="V1964" s="52">
        <f>IF(0&lt;0.8,0,IF(0&lt;1,Sheet3!L561,1))*IF(G1964&lt;3,0.12 - O1964,0.01) *U1964</f>
        <v>0</v>
      </c>
      <c r="W1964" s="52">
        <f t="shared" si="555"/>
        <v>0</v>
      </c>
      <c r="X1964" s="53">
        <f t="shared" si="556"/>
        <v>0</v>
      </c>
      <c r="Y1964" s="53">
        <f t="shared" si="557"/>
        <v>0</v>
      </c>
      <c r="Z1964" s="54">
        <f t="shared" si="563"/>
        <v>0</v>
      </c>
      <c r="AA1964" s="54">
        <f t="shared" si="558"/>
        <v>0</v>
      </c>
      <c r="AB1964" s="55">
        <f t="shared" si="564"/>
        <v>0</v>
      </c>
      <c r="AC1964" s="55">
        <f t="shared" si="559"/>
        <v>0</v>
      </c>
      <c r="AD1964" s="56">
        <f t="shared" si="560"/>
        <v>9476.24</v>
      </c>
    </row>
    <row r="1965" spans="3:30">
      <c r="C1965" s="43" t="s">
        <v>3610</v>
      </c>
      <c r="D1965" s="44" t="s">
        <v>3611</v>
      </c>
      <c r="E1965" s="44"/>
      <c r="F1965" s="45">
        <v>42754.092974537038</v>
      </c>
      <c r="G1965" s="46">
        <v>20</v>
      </c>
      <c r="H1965" s="47" t="s">
        <v>24</v>
      </c>
      <c r="I1965" s="47" t="s">
        <v>24</v>
      </c>
      <c r="J1965" s="46">
        <v>3478605</v>
      </c>
      <c r="K1965" s="46">
        <v>0</v>
      </c>
      <c r="L1965" s="46">
        <v>0</v>
      </c>
      <c r="M1965" s="46">
        <f t="shared" si="549"/>
        <v>3478605</v>
      </c>
      <c r="N1965" s="46">
        <v>3615577</v>
      </c>
      <c r="O1965" s="48">
        <f t="shared" si="550"/>
        <v>3.7883856435639407E-2</v>
      </c>
      <c r="P1965" s="46">
        <v>0</v>
      </c>
      <c r="Q1965" s="46">
        <v>3478605</v>
      </c>
      <c r="R1965" s="49">
        <f t="shared" si="551"/>
        <v>1</v>
      </c>
      <c r="S1965" s="50">
        <f t="shared" si="552"/>
        <v>0.01</v>
      </c>
      <c r="T1965" s="49">
        <f t="shared" si="553"/>
        <v>34786.050000000003</v>
      </c>
      <c r="U1965" s="51">
        <f t="shared" si="554"/>
        <v>0</v>
      </c>
      <c r="V1965" s="52">
        <f>IF(0&lt;0.8,0,IF(0&lt;1,Sheet3!L561,1))*IF(G1965&lt;3,0.12 - O1965,0.01) *U1965</f>
        <v>0</v>
      </c>
      <c r="W1965" s="52">
        <f t="shared" si="555"/>
        <v>0</v>
      </c>
      <c r="X1965" s="53">
        <f t="shared" si="556"/>
        <v>0</v>
      </c>
      <c r="Y1965" s="53">
        <f t="shared" si="557"/>
        <v>0</v>
      </c>
      <c r="Z1965" s="54">
        <f t="shared" si="563"/>
        <v>0</v>
      </c>
      <c r="AA1965" s="54">
        <f t="shared" si="558"/>
        <v>0</v>
      </c>
      <c r="AB1965" s="55">
        <f t="shared" si="564"/>
        <v>0</v>
      </c>
      <c r="AC1965" s="55">
        <f t="shared" si="559"/>
        <v>0</v>
      </c>
      <c r="AD1965" s="56">
        <f t="shared" si="560"/>
        <v>34786.050000000003</v>
      </c>
    </row>
    <row r="1966" spans="3:30">
      <c r="C1966" s="43" t="s">
        <v>3612</v>
      </c>
      <c r="D1966" s="44" t="s">
        <v>3613</v>
      </c>
      <c r="E1966" s="44"/>
      <c r="F1966" s="45">
        <v>42754.105682870366</v>
      </c>
      <c r="G1966" s="46">
        <v>20</v>
      </c>
      <c r="H1966" s="47">
        <v>43376</v>
      </c>
      <c r="I1966" s="47">
        <v>43399</v>
      </c>
      <c r="J1966" s="46">
        <v>3982039</v>
      </c>
      <c r="K1966" s="46">
        <v>0</v>
      </c>
      <c r="L1966" s="46">
        <v>0</v>
      </c>
      <c r="M1966" s="46">
        <f t="shared" si="549"/>
        <v>3982039</v>
      </c>
      <c r="N1966" s="46">
        <v>3982039</v>
      </c>
      <c r="O1966" s="48">
        <f t="shared" si="550"/>
        <v>0</v>
      </c>
      <c r="P1966" s="46">
        <v>0</v>
      </c>
      <c r="Q1966" s="46">
        <v>3982039</v>
      </c>
      <c r="R1966" s="49">
        <f t="shared" si="551"/>
        <v>1</v>
      </c>
      <c r="S1966" s="50">
        <f t="shared" si="552"/>
        <v>0.01</v>
      </c>
      <c r="T1966" s="49">
        <f t="shared" si="553"/>
        <v>39820.39</v>
      </c>
      <c r="U1966" s="51">
        <f t="shared" si="554"/>
        <v>0</v>
      </c>
      <c r="V1966" s="52">
        <f>IF(0&lt;0.8,0,IF(0&lt;1,Sheet3!L561,1))*IF(G1966&lt;3,0.12 - O1966,0.01) *U1966</f>
        <v>0</v>
      </c>
      <c r="W1966" s="52">
        <f t="shared" si="555"/>
        <v>0</v>
      </c>
      <c r="X1966" s="53">
        <f t="shared" si="556"/>
        <v>0</v>
      </c>
      <c r="Y1966" s="53">
        <f t="shared" si="557"/>
        <v>0</v>
      </c>
      <c r="Z1966" s="54">
        <f t="shared" si="563"/>
        <v>0</v>
      </c>
      <c r="AA1966" s="54">
        <f t="shared" si="558"/>
        <v>0</v>
      </c>
      <c r="AB1966" s="55">
        <f t="shared" si="564"/>
        <v>0</v>
      </c>
      <c r="AC1966" s="55">
        <f t="shared" si="559"/>
        <v>0</v>
      </c>
      <c r="AD1966" s="56">
        <f t="shared" si="560"/>
        <v>39820.39</v>
      </c>
    </row>
    <row r="1967" spans="3:30">
      <c r="C1967" s="43" t="s">
        <v>3614</v>
      </c>
      <c r="D1967" s="44" t="s">
        <v>3615</v>
      </c>
      <c r="E1967" s="44"/>
      <c r="F1967" s="45">
        <v>42772.095138888886</v>
      </c>
      <c r="G1967" s="46">
        <v>19</v>
      </c>
      <c r="H1967" s="47">
        <v>43385</v>
      </c>
      <c r="I1967" s="47">
        <v>43395</v>
      </c>
      <c r="J1967" s="46">
        <v>1202256</v>
      </c>
      <c r="K1967" s="46">
        <v>0</v>
      </c>
      <c r="L1967" s="46">
        <v>0</v>
      </c>
      <c r="M1967" s="46">
        <f t="shared" si="549"/>
        <v>1202256</v>
      </c>
      <c r="N1967" s="46">
        <v>1202256</v>
      </c>
      <c r="O1967" s="48">
        <f t="shared" si="550"/>
        <v>0</v>
      </c>
      <c r="P1967" s="46">
        <v>0</v>
      </c>
      <c r="Q1967" s="46">
        <v>1202256</v>
      </c>
      <c r="R1967" s="49">
        <f t="shared" si="551"/>
        <v>1</v>
      </c>
      <c r="S1967" s="50">
        <f t="shared" si="552"/>
        <v>0.01</v>
      </c>
      <c r="T1967" s="49">
        <f t="shared" si="553"/>
        <v>12022.56</v>
      </c>
      <c r="U1967" s="51">
        <f t="shared" si="554"/>
        <v>0</v>
      </c>
      <c r="V1967" s="52">
        <f>IF(0&lt;0.8,0,IF(0&lt;1,Sheet3!L561,1))*IF(G1967&lt;3,0.12 - O1967,0.01) *U1967</f>
        <v>0</v>
      </c>
      <c r="W1967" s="52">
        <f t="shared" si="555"/>
        <v>0</v>
      </c>
      <c r="X1967" s="53">
        <f t="shared" si="556"/>
        <v>0</v>
      </c>
      <c r="Y1967" s="53">
        <f t="shared" si="557"/>
        <v>0</v>
      </c>
      <c r="Z1967" s="54">
        <f t="shared" si="563"/>
        <v>0</v>
      </c>
      <c r="AA1967" s="54">
        <f t="shared" si="558"/>
        <v>0</v>
      </c>
      <c r="AB1967" s="55">
        <f t="shared" si="564"/>
        <v>0</v>
      </c>
      <c r="AC1967" s="55">
        <f t="shared" si="559"/>
        <v>0</v>
      </c>
      <c r="AD1967" s="56">
        <f t="shared" si="560"/>
        <v>12022.56</v>
      </c>
    </row>
    <row r="1968" spans="3:30">
      <c r="C1968" s="43" t="s">
        <v>3616</v>
      </c>
      <c r="D1968" s="44" t="s">
        <v>3617</v>
      </c>
      <c r="E1968" s="44"/>
      <c r="F1968" s="45">
        <v>42772.096817129626</v>
      </c>
      <c r="G1968" s="46">
        <v>19</v>
      </c>
      <c r="H1968" s="47">
        <v>43385</v>
      </c>
      <c r="I1968" s="47">
        <v>43395</v>
      </c>
      <c r="J1968" s="46">
        <v>340978</v>
      </c>
      <c r="K1968" s="46">
        <v>0</v>
      </c>
      <c r="L1968" s="46">
        <v>0</v>
      </c>
      <c r="M1968" s="46">
        <f t="shared" si="549"/>
        <v>340978</v>
      </c>
      <c r="N1968" s="46">
        <v>340978</v>
      </c>
      <c r="O1968" s="48">
        <f t="shared" si="550"/>
        <v>0</v>
      </c>
      <c r="P1968" s="46">
        <v>0</v>
      </c>
      <c r="Q1968" s="46">
        <v>340978</v>
      </c>
      <c r="R1968" s="49">
        <f t="shared" si="551"/>
        <v>1</v>
      </c>
      <c r="S1968" s="50">
        <f t="shared" si="552"/>
        <v>0.01</v>
      </c>
      <c r="T1968" s="49">
        <f t="shared" si="553"/>
        <v>3409.78</v>
      </c>
      <c r="U1968" s="51">
        <f t="shared" si="554"/>
        <v>0</v>
      </c>
      <c r="V1968" s="52">
        <f>IF(0&lt;0.8,0,IF(0&lt;1,Sheet3!L561,1))*IF(G1968&lt;3,0.12 - O1968,0.01) *U1968</f>
        <v>0</v>
      </c>
      <c r="W1968" s="52">
        <f t="shared" si="555"/>
        <v>0</v>
      </c>
      <c r="X1968" s="53">
        <f t="shared" si="556"/>
        <v>0</v>
      </c>
      <c r="Y1968" s="53">
        <f t="shared" si="557"/>
        <v>0</v>
      </c>
      <c r="Z1968" s="54">
        <f t="shared" si="563"/>
        <v>0</v>
      </c>
      <c r="AA1968" s="54">
        <f t="shared" si="558"/>
        <v>0</v>
      </c>
      <c r="AB1968" s="55">
        <f t="shared" si="564"/>
        <v>0</v>
      </c>
      <c r="AC1968" s="55">
        <f t="shared" si="559"/>
        <v>0</v>
      </c>
      <c r="AD1968" s="56">
        <f t="shared" si="560"/>
        <v>3409.78</v>
      </c>
    </row>
    <row r="1969" spans="3:30">
      <c r="C1969" s="43" t="s">
        <v>3618</v>
      </c>
      <c r="D1969" s="44" t="s">
        <v>3619</v>
      </c>
      <c r="E1969" s="44"/>
      <c r="F1969" s="45">
        <v>42811.268680555557</v>
      </c>
      <c r="G1969" s="46">
        <v>18</v>
      </c>
      <c r="H1969" s="47">
        <v>43385</v>
      </c>
      <c r="I1969" s="47">
        <v>43398</v>
      </c>
      <c r="J1969" s="46">
        <v>2336700</v>
      </c>
      <c r="K1969" s="46">
        <v>0</v>
      </c>
      <c r="L1969" s="46">
        <v>0</v>
      </c>
      <c r="M1969" s="46">
        <f t="shared" si="549"/>
        <v>2336700</v>
      </c>
      <c r="N1969" s="46">
        <v>2336700</v>
      </c>
      <c r="O1969" s="48">
        <f t="shared" si="550"/>
        <v>0</v>
      </c>
      <c r="P1969" s="46">
        <v>0</v>
      </c>
      <c r="Q1969" s="46">
        <v>2336700</v>
      </c>
      <c r="R1969" s="49">
        <f t="shared" si="551"/>
        <v>1</v>
      </c>
      <c r="S1969" s="50">
        <f t="shared" si="552"/>
        <v>0.01</v>
      </c>
      <c r="T1969" s="49">
        <f t="shared" si="553"/>
        <v>23367</v>
      </c>
      <c r="U1969" s="51">
        <f t="shared" si="554"/>
        <v>0</v>
      </c>
      <c r="V1969" s="52">
        <f>IF(0&lt;0.8,0,IF(0&lt;1,Sheet3!L561,1))*IF(G1969&lt;3,0.12 - O1969,0.01) *U1969</f>
        <v>0</v>
      </c>
      <c r="W1969" s="52">
        <f t="shared" si="555"/>
        <v>0</v>
      </c>
      <c r="X1969" s="53">
        <f t="shared" si="556"/>
        <v>0</v>
      </c>
      <c r="Y1969" s="53">
        <f t="shared" si="557"/>
        <v>0</v>
      </c>
      <c r="Z1969" s="54">
        <f t="shared" si="563"/>
        <v>0</v>
      </c>
      <c r="AA1969" s="54">
        <f t="shared" si="558"/>
        <v>0</v>
      </c>
      <c r="AB1969" s="55">
        <f t="shared" si="564"/>
        <v>0</v>
      </c>
      <c r="AC1969" s="55">
        <f t="shared" si="559"/>
        <v>0</v>
      </c>
      <c r="AD1969" s="56">
        <f t="shared" si="560"/>
        <v>23367</v>
      </c>
    </row>
    <row r="1970" spans="3:30">
      <c r="C1970" s="43" t="s">
        <v>3620</v>
      </c>
      <c r="D1970" s="44" t="s">
        <v>3621</v>
      </c>
      <c r="E1970" s="44"/>
      <c r="F1970" s="45">
        <v>42814.292962962958</v>
      </c>
      <c r="G1970" s="46">
        <v>18</v>
      </c>
      <c r="H1970" s="47">
        <v>43376</v>
      </c>
      <c r="I1970" s="47">
        <v>43392</v>
      </c>
      <c r="J1970" s="46">
        <v>899635</v>
      </c>
      <c r="K1970" s="46">
        <v>0</v>
      </c>
      <c r="L1970" s="46">
        <v>0</v>
      </c>
      <c r="M1970" s="46">
        <f t="shared" si="549"/>
        <v>899635</v>
      </c>
      <c r="N1970" s="46">
        <v>899635</v>
      </c>
      <c r="O1970" s="48">
        <f t="shared" si="550"/>
        <v>0</v>
      </c>
      <c r="P1970" s="46">
        <v>0</v>
      </c>
      <c r="Q1970" s="46">
        <v>899635</v>
      </c>
      <c r="R1970" s="49">
        <f t="shared" si="551"/>
        <v>1</v>
      </c>
      <c r="S1970" s="50">
        <f t="shared" si="552"/>
        <v>0.01</v>
      </c>
      <c r="T1970" s="49">
        <f t="shared" si="553"/>
        <v>8996.35</v>
      </c>
      <c r="U1970" s="51">
        <f t="shared" si="554"/>
        <v>0</v>
      </c>
      <c r="V1970" s="52">
        <f>IF(0&lt;0.8,0,IF(0&lt;1,Sheet3!L561,1))*IF(G1970&lt;3,0.12 - O1970,0.01) *U1970</f>
        <v>0</v>
      </c>
      <c r="W1970" s="52">
        <f t="shared" si="555"/>
        <v>0</v>
      </c>
      <c r="X1970" s="53">
        <f t="shared" si="556"/>
        <v>0</v>
      </c>
      <c r="Y1970" s="53">
        <f t="shared" si="557"/>
        <v>0</v>
      </c>
      <c r="Z1970" s="54">
        <f t="shared" si="563"/>
        <v>0</v>
      </c>
      <c r="AA1970" s="54">
        <f t="shared" si="558"/>
        <v>0</v>
      </c>
      <c r="AB1970" s="55">
        <f t="shared" si="564"/>
        <v>0</v>
      </c>
      <c r="AC1970" s="55">
        <f t="shared" si="559"/>
        <v>0</v>
      </c>
      <c r="AD1970" s="56">
        <f t="shared" si="560"/>
        <v>8996.35</v>
      </c>
    </row>
    <row r="1971" spans="3:30">
      <c r="C1971" s="43" t="s">
        <v>3622</v>
      </c>
      <c r="D1971" s="44" t="s">
        <v>3623</v>
      </c>
      <c r="E1971" s="44"/>
      <c r="F1971" s="45">
        <v>42819.113217592589</v>
      </c>
      <c r="G1971" s="46">
        <v>18</v>
      </c>
      <c r="H1971" s="47">
        <v>43376</v>
      </c>
      <c r="I1971" s="47">
        <v>43413</v>
      </c>
      <c r="J1971" s="46">
        <v>1353869</v>
      </c>
      <c r="K1971" s="46">
        <v>0</v>
      </c>
      <c r="L1971" s="46">
        <v>0</v>
      </c>
      <c r="M1971" s="46">
        <f t="shared" ref="M1971:M2034" si="565">IFERROR(J1971-K1971-L1971,0)</f>
        <v>1353869</v>
      </c>
      <c r="N1971" s="46">
        <v>1353869</v>
      </c>
      <c r="O1971" s="48">
        <f t="shared" ref="O1971:O2034" si="566">IFERROR(IF(1 - M1971/N1971&lt;0,0,1-M1971/N1971),0)</f>
        <v>0</v>
      </c>
      <c r="P1971" s="46">
        <v>0</v>
      </c>
      <c r="Q1971" s="46">
        <v>1353869</v>
      </c>
      <c r="R1971" s="49">
        <f t="shared" ref="R1971:R2034" si="567">IF(F1971&lt;DATEVALUE("2018-07-01"),1,0)</f>
        <v>1</v>
      </c>
      <c r="S1971" s="50">
        <f t="shared" ref="S1971:S2034" si="568">IF(R1971=1,1%,0)</f>
        <v>0.01</v>
      </c>
      <c r="T1971" s="49">
        <f t="shared" ref="T1971:T2034" si="569">IFERROR(S1971*M1971,0)</f>
        <v>13538.69</v>
      </c>
      <c r="U1971" s="51">
        <f t="shared" ref="U1971:U2034" si="570">IF(O1971&lt;=0.12,1,0)*(1-R1971)*M1971</f>
        <v>0</v>
      </c>
      <c r="V1971" s="52">
        <f>IF(0&lt;0.8,0,IF(0&lt;1,Sheet3!L561,1))*IF(G1971&lt;3,0.12 - O1971,0.01) *U1971</f>
        <v>0</v>
      </c>
      <c r="W1971" s="52">
        <f t="shared" ref="W1971:W2034" si="571">IF(0&gt;1,IF(0&lt;=1.1,1,IF(0&lt;=1.2,2,IF(0&lt;=1.5,3,5))),0) * 1000000</f>
        <v>0</v>
      </c>
      <c r="X1971" s="53">
        <f t="shared" ref="X1971:X2034" si="572">IF(AND(P1971&gt;=150000000,P1971&lt;300000000),5000000,IF(AND(P1971&gt;=300000000,P1971&lt;500000000),10000000,IF(AND(P1971&gt;=300000000,P1971&lt;500000000),15000000,IF(AND(P1971&gt;=500000000,P1971&lt;3000000000),20000000,IF(P1971&gt;=30000000000,35000000,0))))) * (1-R1971)</f>
        <v>0</v>
      </c>
      <c r="Y1971" s="53">
        <f t="shared" ref="Y1971:Y2034" si="573">IFERROR(Q1971 * (1-R1971),0)</f>
        <v>0</v>
      </c>
      <c r="Z1971" s="54">
        <f t="shared" si="563"/>
        <v>0</v>
      </c>
      <c r="AA1971" s="54">
        <f t="shared" ref="AA1971:AA2034" si="574">IFERROR((1-R1971) * Z1971 * 2%,0)</f>
        <v>0</v>
      </c>
      <c r="AB1971" s="55">
        <f t="shared" si="564"/>
        <v>0</v>
      </c>
      <c r="AC1971" s="55">
        <f t="shared" ref="AC1971:AC2034" si="575">IFERROR(AB1971 * (1-R1971) * 2%,0)</f>
        <v>0</v>
      </c>
      <c r="AD1971" s="56">
        <f t="shared" ref="AD1971:AD2034" si="576">T1971+V1971+W1971+X1971+AA1971+AC1971</f>
        <v>13538.69</v>
      </c>
    </row>
    <row r="1972" spans="3:30">
      <c r="C1972" s="43" t="s">
        <v>3624</v>
      </c>
      <c r="D1972" s="44" t="s">
        <v>3625</v>
      </c>
      <c r="E1972" s="44"/>
      <c r="F1972" s="45">
        <v>42835.297777777778</v>
      </c>
      <c r="G1972" s="46">
        <v>17</v>
      </c>
      <c r="H1972" s="47">
        <v>43376</v>
      </c>
      <c r="I1972" s="47">
        <v>43386</v>
      </c>
      <c r="J1972" s="46">
        <v>145079</v>
      </c>
      <c r="K1972" s="46">
        <v>0</v>
      </c>
      <c r="L1972" s="46">
        <v>0</v>
      </c>
      <c r="M1972" s="46">
        <f t="shared" si="565"/>
        <v>145079</v>
      </c>
      <c r="N1972" s="46">
        <v>145079</v>
      </c>
      <c r="O1972" s="48">
        <f t="shared" si="566"/>
        <v>0</v>
      </c>
      <c r="P1972" s="46">
        <v>0</v>
      </c>
      <c r="Q1972" s="46">
        <v>145079</v>
      </c>
      <c r="R1972" s="49">
        <f t="shared" si="567"/>
        <v>1</v>
      </c>
      <c r="S1972" s="50">
        <f t="shared" si="568"/>
        <v>0.01</v>
      </c>
      <c r="T1972" s="49">
        <f t="shared" si="569"/>
        <v>1450.79</v>
      </c>
      <c r="U1972" s="51">
        <f t="shared" si="570"/>
        <v>0</v>
      </c>
      <c r="V1972" s="52">
        <f>IF(0&lt;0.8,0,IF(0&lt;1,Sheet3!L561,1))*IF(G1972&lt;3,0.12 - O1972,0.01) *U1972</f>
        <v>0</v>
      </c>
      <c r="W1972" s="52">
        <f t="shared" si="571"/>
        <v>0</v>
      </c>
      <c r="X1972" s="53">
        <f t="shared" si="572"/>
        <v>0</v>
      </c>
      <c r="Y1972" s="53">
        <f t="shared" si="573"/>
        <v>0</v>
      </c>
      <c r="Z1972" s="54">
        <f t="shared" si="563"/>
        <v>0</v>
      </c>
      <c r="AA1972" s="54">
        <f t="shared" si="574"/>
        <v>0</v>
      </c>
      <c r="AB1972" s="55">
        <f t="shared" si="564"/>
        <v>0</v>
      </c>
      <c r="AC1972" s="55">
        <f t="shared" si="575"/>
        <v>0</v>
      </c>
      <c r="AD1972" s="56">
        <f t="shared" si="576"/>
        <v>1450.79</v>
      </c>
    </row>
    <row r="1973" spans="3:30">
      <c r="C1973" s="43" t="s">
        <v>3626</v>
      </c>
      <c r="D1973" s="44" t="s">
        <v>3627</v>
      </c>
      <c r="E1973" s="44"/>
      <c r="F1973" s="45">
        <v>42866.113171296296</v>
      </c>
      <c r="G1973" s="46">
        <v>16</v>
      </c>
      <c r="H1973" s="47">
        <v>43385</v>
      </c>
      <c r="I1973" s="47">
        <v>43416</v>
      </c>
      <c r="J1973" s="46">
        <v>1823095</v>
      </c>
      <c r="K1973" s="46">
        <v>0</v>
      </c>
      <c r="L1973" s="46">
        <v>0</v>
      </c>
      <c r="M1973" s="46">
        <f t="shared" si="565"/>
        <v>1823095</v>
      </c>
      <c r="N1973" s="46">
        <v>1814282</v>
      </c>
      <c r="O1973" s="48">
        <f t="shared" si="566"/>
        <v>0</v>
      </c>
      <c r="P1973" s="46">
        <v>0</v>
      </c>
      <c r="Q1973" s="46">
        <v>1823095</v>
      </c>
      <c r="R1973" s="49">
        <f t="shared" si="567"/>
        <v>1</v>
      </c>
      <c r="S1973" s="50">
        <f t="shared" si="568"/>
        <v>0.01</v>
      </c>
      <c r="T1973" s="49">
        <f t="shared" si="569"/>
        <v>18230.95</v>
      </c>
      <c r="U1973" s="51">
        <f t="shared" si="570"/>
        <v>0</v>
      </c>
      <c r="V1973" s="52">
        <f>IF(0&lt;0.8,0,IF(0&lt;1,Sheet3!L561,1))*IF(G1973&lt;3,0.12 - O1973,0.01) *U1973</f>
        <v>0</v>
      </c>
      <c r="W1973" s="52">
        <f t="shared" si="571"/>
        <v>0</v>
      </c>
      <c r="X1973" s="53">
        <f t="shared" si="572"/>
        <v>0</v>
      </c>
      <c r="Y1973" s="53">
        <f t="shared" si="573"/>
        <v>0</v>
      </c>
      <c r="Z1973" s="54">
        <f t="shared" si="563"/>
        <v>0</v>
      </c>
      <c r="AA1973" s="54">
        <f t="shared" si="574"/>
        <v>0</v>
      </c>
      <c r="AB1973" s="55">
        <f t="shared" si="564"/>
        <v>0</v>
      </c>
      <c r="AC1973" s="55">
        <f t="shared" si="575"/>
        <v>0</v>
      </c>
      <c r="AD1973" s="56">
        <f t="shared" si="576"/>
        <v>18230.95</v>
      </c>
    </row>
    <row r="1974" spans="3:30">
      <c r="C1974" s="43" t="s">
        <v>3628</v>
      </c>
      <c r="D1974" s="44" t="s">
        <v>3629</v>
      </c>
      <c r="E1974" s="44"/>
      <c r="F1974" s="45">
        <v>42866.116921296292</v>
      </c>
      <c r="G1974" s="46">
        <v>16</v>
      </c>
      <c r="H1974" s="47">
        <v>43385</v>
      </c>
      <c r="I1974" s="47">
        <v>43389</v>
      </c>
      <c r="J1974" s="46">
        <v>778363</v>
      </c>
      <c r="K1974" s="46">
        <v>0</v>
      </c>
      <c r="L1974" s="46">
        <v>0</v>
      </c>
      <c r="M1974" s="46">
        <f t="shared" si="565"/>
        <v>778363</v>
      </c>
      <c r="N1974" s="46">
        <v>776433</v>
      </c>
      <c r="O1974" s="48">
        <f t="shared" si="566"/>
        <v>0</v>
      </c>
      <c r="P1974" s="46">
        <v>0</v>
      </c>
      <c r="Q1974" s="46">
        <v>778363</v>
      </c>
      <c r="R1974" s="49">
        <f t="shared" si="567"/>
        <v>1</v>
      </c>
      <c r="S1974" s="50">
        <f t="shared" si="568"/>
        <v>0.01</v>
      </c>
      <c r="T1974" s="49">
        <f t="shared" si="569"/>
        <v>7783.63</v>
      </c>
      <c r="U1974" s="51">
        <f t="shared" si="570"/>
        <v>0</v>
      </c>
      <c r="V1974" s="52">
        <f>IF(0&lt;0.8,0,IF(0&lt;1,Sheet3!L561,1))*IF(G1974&lt;3,0.12 - O1974,0.01) *U1974</f>
        <v>0</v>
      </c>
      <c r="W1974" s="52">
        <f t="shared" si="571"/>
        <v>0</v>
      </c>
      <c r="X1974" s="53">
        <f t="shared" si="572"/>
        <v>0</v>
      </c>
      <c r="Y1974" s="53">
        <f t="shared" si="573"/>
        <v>0</v>
      </c>
      <c r="Z1974" s="54">
        <f t="shared" si="563"/>
        <v>0</v>
      </c>
      <c r="AA1974" s="54">
        <f t="shared" si="574"/>
        <v>0</v>
      </c>
      <c r="AB1974" s="55">
        <f t="shared" si="564"/>
        <v>0</v>
      </c>
      <c r="AC1974" s="55">
        <f t="shared" si="575"/>
        <v>0</v>
      </c>
      <c r="AD1974" s="56">
        <f t="shared" si="576"/>
        <v>7783.63</v>
      </c>
    </row>
    <row r="1975" spans="3:30">
      <c r="C1975" s="43" t="s">
        <v>3630</v>
      </c>
      <c r="D1975" s="44" t="s">
        <v>3631</v>
      </c>
      <c r="E1975" s="44"/>
      <c r="F1975" s="45">
        <v>42881.098194444443</v>
      </c>
      <c r="G1975" s="46">
        <v>16</v>
      </c>
      <c r="H1975" s="47">
        <v>43385</v>
      </c>
      <c r="I1975" s="47">
        <v>43390</v>
      </c>
      <c r="J1975" s="46">
        <v>982641</v>
      </c>
      <c r="K1975" s="46">
        <v>0</v>
      </c>
      <c r="L1975" s="46">
        <v>0</v>
      </c>
      <c r="M1975" s="46">
        <f t="shared" si="565"/>
        <v>982641</v>
      </c>
      <c r="N1975" s="46">
        <v>951181</v>
      </c>
      <c r="O1975" s="48">
        <f t="shared" si="566"/>
        <v>0</v>
      </c>
      <c r="P1975" s="46">
        <v>0</v>
      </c>
      <c r="Q1975" s="46">
        <v>982641</v>
      </c>
      <c r="R1975" s="49">
        <f t="shared" si="567"/>
        <v>1</v>
      </c>
      <c r="S1975" s="50">
        <f t="shared" si="568"/>
        <v>0.01</v>
      </c>
      <c r="T1975" s="49">
        <f t="shared" si="569"/>
        <v>9826.41</v>
      </c>
      <c r="U1975" s="51">
        <f t="shared" si="570"/>
        <v>0</v>
      </c>
      <c r="V1975" s="52">
        <f>IF(0&lt;0.8,0,IF(0&lt;1,Sheet3!L561,1))*IF(G1975&lt;3,0.12 - O1975,0.01) *U1975</f>
        <v>0</v>
      </c>
      <c r="W1975" s="52">
        <f t="shared" si="571"/>
        <v>0</v>
      </c>
      <c r="X1975" s="53">
        <f t="shared" si="572"/>
        <v>0</v>
      </c>
      <c r="Y1975" s="53">
        <f t="shared" si="573"/>
        <v>0</v>
      </c>
      <c r="Z1975" s="54">
        <f t="shared" si="563"/>
        <v>0</v>
      </c>
      <c r="AA1975" s="54">
        <f t="shared" si="574"/>
        <v>0</v>
      </c>
      <c r="AB1975" s="55">
        <f t="shared" si="564"/>
        <v>0</v>
      </c>
      <c r="AC1975" s="55">
        <f t="shared" si="575"/>
        <v>0</v>
      </c>
      <c r="AD1975" s="56">
        <f t="shared" si="576"/>
        <v>9826.41</v>
      </c>
    </row>
    <row r="1976" spans="3:30">
      <c r="C1976" s="43" t="s">
        <v>3632</v>
      </c>
      <c r="D1976" s="44" t="s">
        <v>3633</v>
      </c>
      <c r="E1976" s="44"/>
      <c r="F1976" s="45">
        <v>42919.085810185185</v>
      </c>
      <c r="G1976" s="46">
        <v>14</v>
      </c>
      <c r="H1976" s="47">
        <v>43388</v>
      </c>
      <c r="I1976" s="47">
        <v>43423</v>
      </c>
      <c r="J1976" s="46">
        <v>721765</v>
      </c>
      <c r="K1976" s="46">
        <v>0</v>
      </c>
      <c r="L1976" s="46">
        <v>0</v>
      </c>
      <c r="M1976" s="46">
        <f t="shared" si="565"/>
        <v>721765</v>
      </c>
      <c r="N1976" s="46">
        <v>721765</v>
      </c>
      <c r="O1976" s="48">
        <f t="shared" si="566"/>
        <v>0</v>
      </c>
      <c r="P1976" s="46">
        <v>0</v>
      </c>
      <c r="Q1976" s="46">
        <v>721765</v>
      </c>
      <c r="R1976" s="49">
        <f t="shared" si="567"/>
        <v>1</v>
      </c>
      <c r="S1976" s="50">
        <f t="shared" si="568"/>
        <v>0.01</v>
      </c>
      <c r="T1976" s="49">
        <f t="shared" si="569"/>
        <v>7217.6500000000005</v>
      </c>
      <c r="U1976" s="51">
        <f t="shared" si="570"/>
        <v>0</v>
      </c>
      <c r="V1976" s="52">
        <f>IF(0&lt;0.8,0,IF(0&lt;1,Sheet3!L561,1))*IF(G1976&lt;3,0.12 - O1976,0.01) *U1976</f>
        <v>0</v>
      </c>
      <c r="W1976" s="52">
        <f t="shared" si="571"/>
        <v>0</v>
      </c>
      <c r="X1976" s="53">
        <f t="shared" si="572"/>
        <v>0</v>
      </c>
      <c r="Y1976" s="53">
        <f t="shared" si="573"/>
        <v>0</v>
      </c>
      <c r="Z1976" s="54">
        <f t="shared" si="563"/>
        <v>0</v>
      </c>
      <c r="AA1976" s="54">
        <f t="shared" si="574"/>
        <v>0</v>
      </c>
      <c r="AB1976" s="55">
        <f t="shared" si="564"/>
        <v>0</v>
      </c>
      <c r="AC1976" s="55">
        <f t="shared" si="575"/>
        <v>0</v>
      </c>
      <c r="AD1976" s="56">
        <f t="shared" si="576"/>
        <v>7217.6500000000005</v>
      </c>
    </row>
    <row r="1977" spans="3:30">
      <c r="C1977" s="43" t="s">
        <v>3634</v>
      </c>
      <c r="D1977" s="44" t="s">
        <v>3635</v>
      </c>
      <c r="E1977" s="44"/>
      <c r="F1977" s="45">
        <v>42940.088483796295</v>
      </c>
      <c r="G1977" s="46">
        <v>14</v>
      </c>
      <c r="H1977" s="47">
        <v>43390</v>
      </c>
      <c r="I1977" s="47">
        <v>43439</v>
      </c>
      <c r="J1977" s="46">
        <v>2539669</v>
      </c>
      <c r="K1977" s="46">
        <v>0</v>
      </c>
      <c r="L1977" s="46">
        <v>0</v>
      </c>
      <c r="M1977" s="46">
        <f t="shared" si="565"/>
        <v>2539669</v>
      </c>
      <c r="N1977" s="46">
        <v>2539669</v>
      </c>
      <c r="O1977" s="48">
        <f t="shared" si="566"/>
        <v>0</v>
      </c>
      <c r="P1977" s="46">
        <v>0</v>
      </c>
      <c r="Q1977" s="46">
        <v>2539669</v>
      </c>
      <c r="R1977" s="49">
        <f t="shared" si="567"/>
        <v>1</v>
      </c>
      <c r="S1977" s="50">
        <f t="shared" si="568"/>
        <v>0.01</v>
      </c>
      <c r="T1977" s="49">
        <f t="shared" si="569"/>
        <v>25396.690000000002</v>
      </c>
      <c r="U1977" s="51">
        <f t="shared" si="570"/>
        <v>0</v>
      </c>
      <c r="V1977" s="52">
        <f>IF(0&lt;0.8,0,IF(0&lt;1,Sheet3!L561,1))*IF(G1977&lt;3,0.12 - O1977,0.01) *U1977</f>
        <v>0</v>
      </c>
      <c r="W1977" s="52">
        <f t="shared" si="571"/>
        <v>0</v>
      </c>
      <c r="X1977" s="53">
        <f t="shared" si="572"/>
        <v>0</v>
      </c>
      <c r="Y1977" s="53">
        <f t="shared" si="573"/>
        <v>0</v>
      </c>
      <c r="Z1977" s="54">
        <f t="shared" si="563"/>
        <v>0</v>
      </c>
      <c r="AA1977" s="54">
        <f t="shared" si="574"/>
        <v>0</v>
      </c>
      <c r="AB1977" s="55">
        <f t="shared" si="564"/>
        <v>0</v>
      </c>
      <c r="AC1977" s="55">
        <f t="shared" si="575"/>
        <v>0</v>
      </c>
      <c r="AD1977" s="56">
        <f t="shared" si="576"/>
        <v>25396.690000000002</v>
      </c>
    </row>
    <row r="1978" spans="3:30">
      <c r="C1978" s="43" t="s">
        <v>3636</v>
      </c>
      <c r="D1978" s="44" t="s">
        <v>3637</v>
      </c>
      <c r="E1978" s="44"/>
      <c r="F1978" s="45">
        <v>42945.304837962962</v>
      </c>
      <c r="G1978" s="46">
        <v>14</v>
      </c>
      <c r="H1978" s="47">
        <v>43433</v>
      </c>
      <c r="I1978" s="47">
        <v>43475</v>
      </c>
      <c r="J1978" s="46">
        <v>197996234</v>
      </c>
      <c r="K1978" s="46">
        <v>0</v>
      </c>
      <c r="L1978" s="46">
        <v>0</v>
      </c>
      <c r="M1978" s="46">
        <f t="shared" si="565"/>
        <v>197996234</v>
      </c>
      <c r="N1978" s="46">
        <v>382360860</v>
      </c>
      <c r="O1978" s="48">
        <f t="shared" si="566"/>
        <v>0.48217442025839152</v>
      </c>
      <c r="P1978" s="46">
        <v>0</v>
      </c>
      <c r="Q1978" s="46">
        <v>205254152</v>
      </c>
      <c r="R1978" s="49">
        <f t="shared" si="567"/>
        <v>1</v>
      </c>
      <c r="S1978" s="50">
        <f t="shared" si="568"/>
        <v>0.01</v>
      </c>
      <c r="T1978" s="49">
        <f t="shared" si="569"/>
        <v>1979962.34</v>
      </c>
      <c r="U1978" s="51">
        <f t="shared" si="570"/>
        <v>0</v>
      </c>
      <c r="V1978" s="52">
        <f>IF(0&lt;0.8,0,IF(0&lt;1,Sheet3!L561,1))*IF(G1978&lt;3,0.12 - O1978,0.01) *U1978</f>
        <v>0</v>
      </c>
      <c r="W1978" s="52">
        <f t="shared" si="571"/>
        <v>0</v>
      </c>
      <c r="X1978" s="53">
        <f t="shared" si="572"/>
        <v>0</v>
      </c>
      <c r="Y1978" s="53">
        <f t="shared" si="573"/>
        <v>0</v>
      </c>
      <c r="Z1978" s="54">
        <f t="shared" si="563"/>
        <v>0</v>
      </c>
      <c r="AA1978" s="54">
        <f t="shared" si="574"/>
        <v>0</v>
      </c>
      <c r="AB1978" s="55">
        <f t="shared" si="564"/>
        <v>0</v>
      </c>
      <c r="AC1978" s="55">
        <f t="shared" si="575"/>
        <v>0</v>
      </c>
      <c r="AD1978" s="56">
        <f t="shared" si="576"/>
        <v>1979962.34</v>
      </c>
    </row>
    <row r="1979" spans="3:30">
      <c r="C1979" s="43" t="s">
        <v>3638</v>
      </c>
      <c r="D1979" s="44" t="s">
        <v>3639</v>
      </c>
      <c r="E1979" s="44"/>
      <c r="F1979" s="45">
        <v>42947.104942129627</v>
      </c>
      <c r="G1979" s="46">
        <v>14</v>
      </c>
      <c r="H1979" s="47" t="s">
        <v>24</v>
      </c>
      <c r="I1979" s="47" t="s">
        <v>24</v>
      </c>
      <c r="J1979" s="46">
        <v>589000</v>
      </c>
      <c r="K1979" s="46">
        <v>589000</v>
      </c>
      <c r="L1979" s="46">
        <v>0</v>
      </c>
      <c r="M1979" s="46">
        <f t="shared" si="565"/>
        <v>0</v>
      </c>
      <c r="N1979" s="46">
        <v>585882</v>
      </c>
      <c r="O1979" s="48">
        <f t="shared" si="566"/>
        <v>1</v>
      </c>
      <c r="P1979" s="46">
        <v>0</v>
      </c>
      <c r="Q1979" s="46">
        <v>0</v>
      </c>
      <c r="R1979" s="49">
        <f t="shared" si="567"/>
        <v>1</v>
      </c>
      <c r="S1979" s="50">
        <f t="shared" si="568"/>
        <v>0.01</v>
      </c>
      <c r="T1979" s="49">
        <f t="shared" si="569"/>
        <v>0</v>
      </c>
      <c r="U1979" s="51">
        <f t="shared" si="570"/>
        <v>0</v>
      </c>
      <c r="V1979" s="52">
        <f>IF(0&lt;0.8,0,IF(0&lt;1,Sheet3!L561,1))*IF(G1979&lt;3,0.12 - O1979,0.01) *U1979</f>
        <v>0</v>
      </c>
      <c r="W1979" s="52">
        <f t="shared" si="571"/>
        <v>0</v>
      </c>
      <c r="X1979" s="53">
        <f t="shared" si="572"/>
        <v>0</v>
      </c>
      <c r="Y1979" s="53">
        <f t="shared" si="573"/>
        <v>0</v>
      </c>
      <c r="Z1979" s="54">
        <f>IF(R1979=1,0,"")</f>
        <v>0</v>
      </c>
      <c r="AA1979" s="54">
        <f t="shared" si="574"/>
        <v>0</v>
      </c>
      <c r="AB1979" s="55">
        <f>IF(R1979=0,"",0)</f>
        <v>0</v>
      </c>
      <c r="AC1979" s="55">
        <f t="shared" si="575"/>
        <v>0</v>
      </c>
      <c r="AD1979" s="56">
        <f t="shared" si="576"/>
        <v>0</v>
      </c>
    </row>
    <row r="1980" spans="3:30">
      <c r="C1980" s="43" t="s">
        <v>3640</v>
      </c>
      <c r="D1980" s="44" t="s">
        <v>3641</v>
      </c>
      <c r="E1980" s="44"/>
      <c r="F1980" s="45">
        <v>42959.332025462958</v>
      </c>
      <c r="G1980" s="46">
        <v>13</v>
      </c>
      <c r="H1980" s="47">
        <v>43391</v>
      </c>
      <c r="I1980" s="47">
        <v>43416</v>
      </c>
      <c r="J1980" s="46">
        <v>1255980</v>
      </c>
      <c r="K1980" s="46">
        <v>0</v>
      </c>
      <c r="L1980" s="46">
        <v>0</v>
      </c>
      <c r="M1980" s="46">
        <f t="shared" si="565"/>
        <v>1255980</v>
      </c>
      <c r="N1980" s="46">
        <v>1255980</v>
      </c>
      <c r="O1980" s="48">
        <f t="shared" si="566"/>
        <v>0</v>
      </c>
      <c r="P1980" s="46">
        <v>0</v>
      </c>
      <c r="Q1980" s="46">
        <v>1255980</v>
      </c>
      <c r="R1980" s="49">
        <f t="shared" si="567"/>
        <v>1</v>
      </c>
      <c r="S1980" s="50">
        <f t="shared" si="568"/>
        <v>0.01</v>
      </c>
      <c r="T1980" s="49">
        <f t="shared" si="569"/>
        <v>12559.800000000001</v>
      </c>
      <c r="U1980" s="51">
        <f t="shared" si="570"/>
        <v>0</v>
      </c>
      <c r="V1980" s="52">
        <f>IF(0&lt;0.8,0,IF(0&lt;1,Sheet3!L561,1))*IF(G1980&lt;3,0.12 - O1980,0.01) *U1980</f>
        <v>0</v>
      </c>
      <c r="W1980" s="52">
        <f t="shared" si="571"/>
        <v>0</v>
      </c>
      <c r="X1980" s="53">
        <f t="shared" si="572"/>
        <v>0</v>
      </c>
      <c r="Y1980" s="53">
        <f t="shared" si="573"/>
        <v>0</v>
      </c>
      <c r="Z1980" s="54">
        <f t="shared" ref="Z1980:Z1990" si="577">IF(R1980=1,0,0)</f>
        <v>0</v>
      </c>
      <c r="AA1980" s="54">
        <f t="shared" si="574"/>
        <v>0</v>
      </c>
      <c r="AB1980" s="55">
        <f t="shared" ref="AB1980:AB1990" si="578">IF(R1980=0,0,0)</f>
        <v>0</v>
      </c>
      <c r="AC1980" s="55">
        <f t="shared" si="575"/>
        <v>0</v>
      </c>
      <c r="AD1980" s="56">
        <f t="shared" si="576"/>
        <v>12559.800000000001</v>
      </c>
    </row>
    <row r="1981" spans="3:30">
      <c r="C1981" s="43" t="s">
        <v>3642</v>
      </c>
      <c r="D1981" s="44" t="s">
        <v>3643</v>
      </c>
      <c r="E1981" s="44"/>
      <c r="F1981" s="45">
        <v>42961.401574074072</v>
      </c>
      <c r="G1981" s="46">
        <v>13</v>
      </c>
      <c r="H1981" s="47">
        <v>43388</v>
      </c>
      <c r="I1981" s="47">
        <v>43390</v>
      </c>
      <c r="J1981" s="46">
        <v>626175</v>
      </c>
      <c r="K1981" s="46">
        <v>0</v>
      </c>
      <c r="L1981" s="46">
        <v>0</v>
      </c>
      <c r="M1981" s="46">
        <f t="shared" si="565"/>
        <v>626175</v>
      </c>
      <c r="N1981" s="46">
        <v>626175</v>
      </c>
      <c r="O1981" s="48">
        <f t="shared" si="566"/>
        <v>0</v>
      </c>
      <c r="P1981" s="46">
        <v>0</v>
      </c>
      <c r="Q1981" s="46">
        <v>626175</v>
      </c>
      <c r="R1981" s="49">
        <f t="shared" si="567"/>
        <v>1</v>
      </c>
      <c r="S1981" s="50">
        <f t="shared" si="568"/>
        <v>0.01</v>
      </c>
      <c r="T1981" s="49">
        <f t="shared" si="569"/>
        <v>6261.75</v>
      </c>
      <c r="U1981" s="51">
        <f t="shared" si="570"/>
        <v>0</v>
      </c>
      <c r="V1981" s="52">
        <f>IF(0&lt;0.8,0,IF(0&lt;1,Sheet3!L561,1))*IF(G1981&lt;3,0.12 - O1981,0.01) *U1981</f>
        <v>0</v>
      </c>
      <c r="W1981" s="52">
        <f t="shared" si="571"/>
        <v>0</v>
      </c>
      <c r="X1981" s="53">
        <f t="shared" si="572"/>
        <v>0</v>
      </c>
      <c r="Y1981" s="53">
        <f t="shared" si="573"/>
        <v>0</v>
      </c>
      <c r="Z1981" s="54">
        <f t="shared" si="577"/>
        <v>0</v>
      </c>
      <c r="AA1981" s="54">
        <f t="shared" si="574"/>
        <v>0</v>
      </c>
      <c r="AB1981" s="55">
        <f t="shared" si="578"/>
        <v>0</v>
      </c>
      <c r="AC1981" s="55">
        <f t="shared" si="575"/>
        <v>0</v>
      </c>
      <c r="AD1981" s="56">
        <f t="shared" si="576"/>
        <v>6261.75</v>
      </c>
    </row>
    <row r="1982" spans="3:30">
      <c r="C1982" s="43" t="s">
        <v>3644</v>
      </c>
      <c r="D1982" s="44" t="s">
        <v>351</v>
      </c>
      <c r="E1982" s="44"/>
      <c r="F1982" s="45">
        <v>42993.302233796298</v>
      </c>
      <c r="G1982" s="46">
        <v>12</v>
      </c>
      <c r="H1982" s="47">
        <v>43388</v>
      </c>
      <c r="I1982" s="47">
        <v>43419</v>
      </c>
      <c r="J1982" s="46">
        <v>3025909</v>
      </c>
      <c r="K1982" s="46">
        <v>0</v>
      </c>
      <c r="L1982" s="46">
        <v>0</v>
      </c>
      <c r="M1982" s="46">
        <f t="shared" si="565"/>
        <v>3025909</v>
      </c>
      <c r="N1982" s="46">
        <v>3025909</v>
      </c>
      <c r="O1982" s="48">
        <f t="shared" si="566"/>
        <v>0</v>
      </c>
      <c r="P1982" s="46">
        <v>0</v>
      </c>
      <c r="Q1982" s="46">
        <v>3025909</v>
      </c>
      <c r="R1982" s="49">
        <f t="shared" si="567"/>
        <v>1</v>
      </c>
      <c r="S1982" s="50">
        <f t="shared" si="568"/>
        <v>0.01</v>
      </c>
      <c r="T1982" s="49">
        <f t="shared" si="569"/>
        <v>30259.09</v>
      </c>
      <c r="U1982" s="51">
        <f t="shared" si="570"/>
        <v>0</v>
      </c>
      <c r="V1982" s="52">
        <f>IF(0&lt;0.8,0,IF(0&lt;1,Sheet3!L561,1))*IF(G1982&lt;3,0.12 - O1982,0.01) *U1982</f>
        <v>0</v>
      </c>
      <c r="W1982" s="52">
        <f t="shared" si="571"/>
        <v>0</v>
      </c>
      <c r="X1982" s="53">
        <f t="shared" si="572"/>
        <v>0</v>
      </c>
      <c r="Y1982" s="53">
        <f t="shared" si="573"/>
        <v>0</v>
      </c>
      <c r="Z1982" s="54">
        <f t="shared" si="577"/>
        <v>0</v>
      </c>
      <c r="AA1982" s="54">
        <f t="shared" si="574"/>
        <v>0</v>
      </c>
      <c r="AB1982" s="55">
        <f t="shared" si="578"/>
        <v>0</v>
      </c>
      <c r="AC1982" s="55">
        <f t="shared" si="575"/>
        <v>0</v>
      </c>
      <c r="AD1982" s="56">
        <f t="shared" si="576"/>
        <v>30259.09</v>
      </c>
    </row>
    <row r="1983" spans="3:30">
      <c r="C1983" s="43" t="s">
        <v>3645</v>
      </c>
      <c r="D1983" s="44" t="s">
        <v>3646</v>
      </c>
      <c r="E1983" s="44"/>
      <c r="F1983" s="45">
        <v>43014.324212962958</v>
      </c>
      <c r="G1983" s="46">
        <v>11</v>
      </c>
      <c r="H1983" s="47">
        <v>43388</v>
      </c>
      <c r="I1983" s="47">
        <v>43434</v>
      </c>
      <c r="J1983" s="46">
        <v>255915</v>
      </c>
      <c r="K1983" s="46">
        <v>0</v>
      </c>
      <c r="L1983" s="46">
        <v>0</v>
      </c>
      <c r="M1983" s="46">
        <f t="shared" si="565"/>
        <v>255915</v>
      </c>
      <c r="N1983" s="46">
        <v>255915</v>
      </c>
      <c r="O1983" s="48">
        <f t="shared" si="566"/>
        <v>0</v>
      </c>
      <c r="P1983" s="46">
        <v>0</v>
      </c>
      <c r="Q1983" s="46">
        <v>255915</v>
      </c>
      <c r="R1983" s="49">
        <f t="shared" si="567"/>
        <v>1</v>
      </c>
      <c r="S1983" s="50">
        <f t="shared" si="568"/>
        <v>0.01</v>
      </c>
      <c r="T1983" s="49">
        <f t="shared" si="569"/>
        <v>2559.15</v>
      </c>
      <c r="U1983" s="51">
        <f t="shared" si="570"/>
        <v>0</v>
      </c>
      <c r="V1983" s="52">
        <f>IF(0&lt;0.8,0,IF(0&lt;1,Sheet3!L561,1))*IF(G1983&lt;3,0.12 - O1983,0.01) *U1983</f>
        <v>0</v>
      </c>
      <c r="W1983" s="52">
        <f t="shared" si="571"/>
        <v>0</v>
      </c>
      <c r="X1983" s="53">
        <f t="shared" si="572"/>
        <v>0</v>
      </c>
      <c r="Y1983" s="53">
        <f t="shared" si="573"/>
        <v>0</v>
      </c>
      <c r="Z1983" s="54">
        <f t="shared" si="577"/>
        <v>0</v>
      </c>
      <c r="AA1983" s="54">
        <f t="shared" si="574"/>
        <v>0</v>
      </c>
      <c r="AB1983" s="55">
        <f t="shared" si="578"/>
        <v>0</v>
      </c>
      <c r="AC1983" s="55">
        <f t="shared" si="575"/>
        <v>0</v>
      </c>
      <c r="AD1983" s="56">
        <f t="shared" si="576"/>
        <v>2559.15</v>
      </c>
    </row>
    <row r="1984" spans="3:30">
      <c r="C1984" s="43" t="s">
        <v>3647</v>
      </c>
      <c r="D1984" s="44" t="s">
        <v>3648</v>
      </c>
      <c r="E1984" s="44"/>
      <c r="F1984" s="45">
        <v>43137.325914351852</v>
      </c>
      <c r="G1984" s="46">
        <v>7</v>
      </c>
      <c r="H1984" s="47">
        <v>43388</v>
      </c>
      <c r="I1984" s="47">
        <v>43404</v>
      </c>
      <c r="J1984" s="46">
        <v>386232</v>
      </c>
      <c r="K1984" s="46">
        <v>0</v>
      </c>
      <c r="L1984" s="46">
        <v>0</v>
      </c>
      <c r="M1984" s="46">
        <f t="shared" si="565"/>
        <v>386232</v>
      </c>
      <c r="N1984" s="46">
        <v>386232</v>
      </c>
      <c r="O1984" s="48">
        <f t="shared" si="566"/>
        <v>0</v>
      </c>
      <c r="P1984" s="46">
        <v>0</v>
      </c>
      <c r="Q1984" s="46">
        <v>386232</v>
      </c>
      <c r="R1984" s="49">
        <f t="shared" si="567"/>
        <v>1</v>
      </c>
      <c r="S1984" s="50">
        <f t="shared" si="568"/>
        <v>0.01</v>
      </c>
      <c r="T1984" s="49">
        <f t="shared" si="569"/>
        <v>3862.32</v>
      </c>
      <c r="U1984" s="51">
        <f t="shared" si="570"/>
        <v>0</v>
      </c>
      <c r="V1984" s="52">
        <f>IF(0&lt;0.8,0,IF(0&lt;1,Sheet3!L561,1))*IF(G1984&lt;3,0.12 - O1984,0.01) *U1984</f>
        <v>0</v>
      </c>
      <c r="W1984" s="52">
        <f t="shared" si="571"/>
        <v>0</v>
      </c>
      <c r="X1984" s="53">
        <f t="shared" si="572"/>
        <v>0</v>
      </c>
      <c r="Y1984" s="53">
        <f t="shared" si="573"/>
        <v>0</v>
      </c>
      <c r="Z1984" s="54">
        <f t="shared" si="577"/>
        <v>0</v>
      </c>
      <c r="AA1984" s="54">
        <f t="shared" si="574"/>
        <v>0</v>
      </c>
      <c r="AB1984" s="55">
        <f t="shared" si="578"/>
        <v>0</v>
      </c>
      <c r="AC1984" s="55">
        <f t="shared" si="575"/>
        <v>0</v>
      </c>
      <c r="AD1984" s="56">
        <f t="shared" si="576"/>
        <v>3862.32</v>
      </c>
    </row>
    <row r="1985" spans="3:30">
      <c r="C1985" s="43" t="s">
        <v>3649</v>
      </c>
      <c r="D1985" s="44" t="s">
        <v>3650</v>
      </c>
      <c r="E1985" s="44"/>
      <c r="F1985" s="45">
        <v>43160.186967592592</v>
      </c>
      <c r="G1985" s="46">
        <v>6</v>
      </c>
      <c r="H1985" s="47">
        <v>43388</v>
      </c>
      <c r="I1985" s="47">
        <v>43397</v>
      </c>
      <c r="J1985" s="46">
        <v>597304</v>
      </c>
      <c r="K1985" s="46">
        <v>0</v>
      </c>
      <c r="L1985" s="46">
        <v>0</v>
      </c>
      <c r="M1985" s="46">
        <f t="shared" si="565"/>
        <v>597304</v>
      </c>
      <c r="N1985" s="46">
        <v>597304</v>
      </c>
      <c r="O1985" s="48">
        <f t="shared" si="566"/>
        <v>0</v>
      </c>
      <c r="P1985" s="46">
        <v>0</v>
      </c>
      <c r="Q1985" s="46">
        <v>597304</v>
      </c>
      <c r="R1985" s="49">
        <f t="shared" si="567"/>
        <v>1</v>
      </c>
      <c r="S1985" s="50">
        <f t="shared" si="568"/>
        <v>0.01</v>
      </c>
      <c r="T1985" s="49">
        <f t="shared" si="569"/>
        <v>5973.04</v>
      </c>
      <c r="U1985" s="51">
        <f t="shared" si="570"/>
        <v>0</v>
      </c>
      <c r="V1985" s="52">
        <f>IF(0&lt;0.8,0,IF(0&lt;1,Sheet3!L561,1))*IF(G1985&lt;3,0.12 - O1985,0.01) *U1985</f>
        <v>0</v>
      </c>
      <c r="W1985" s="52">
        <f t="shared" si="571"/>
        <v>0</v>
      </c>
      <c r="X1985" s="53">
        <f t="shared" si="572"/>
        <v>0</v>
      </c>
      <c r="Y1985" s="53">
        <f t="shared" si="573"/>
        <v>0</v>
      </c>
      <c r="Z1985" s="54">
        <f t="shared" si="577"/>
        <v>0</v>
      </c>
      <c r="AA1985" s="54">
        <f t="shared" si="574"/>
        <v>0</v>
      </c>
      <c r="AB1985" s="55">
        <f t="shared" si="578"/>
        <v>0</v>
      </c>
      <c r="AC1985" s="55">
        <f t="shared" si="575"/>
        <v>0</v>
      </c>
      <c r="AD1985" s="56">
        <f t="shared" si="576"/>
        <v>5973.04</v>
      </c>
    </row>
    <row r="1986" spans="3:30">
      <c r="C1986" s="43" t="s">
        <v>3651</v>
      </c>
      <c r="D1986" s="44" t="s">
        <v>3652</v>
      </c>
      <c r="E1986" s="44"/>
      <c r="F1986" s="45">
        <v>43165.374340277776</v>
      </c>
      <c r="G1986" s="46">
        <v>6</v>
      </c>
      <c r="H1986" s="47">
        <v>43376</v>
      </c>
      <c r="I1986" s="47">
        <v>43392</v>
      </c>
      <c r="J1986" s="46">
        <v>44000</v>
      </c>
      <c r="K1986" s="46">
        <v>0</v>
      </c>
      <c r="L1986" s="46">
        <v>0</v>
      </c>
      <c r="M1986" s="46">
        <f t="shared" si="565"/>
        <v>44000</v>
      </c>
      <c r="N1986" s="46">
        <v>53240</v>
      </c>
      <c r="O1986" s="48">
        <f t="shared" si="566"/>
        <v>0.17355371900826444</v>
      </c>
      <c r="P1986" s="46">
        <v>0</v>
      </c>
      <c r="Q1986" s="46">
        <v>44000</v>
      </c>
      <c r="R1986" s="49">
        <f t="shared" si="567"/>
        <v>1</v>
      </c>
      <c r="S1986" s="50">
        <f t="shared" si="568"/>
        <v>0.01</v>
      </c>
      <c r="T1986" s="49">
        <f t="shared" si="569"/>
        <v>440</v>
      </c>
      <c r="U1986" s="51">
        <f t="shared" si="570"/>
        <v>0</v>
      </c>
      <c r="V1986" s="52">
        <f>IF(0&lt;0.8,0,IF(0&lt;1,Sheet3!L561,1))*IF(G1986&lt;3,0.12 - O1986,0.01) *U1986</f>
        <v>0</v>
      </c>
      <c r="W1986" s="52">
        <f t="shared" si="571"/>
        <v>0</v>
      </c>
      <c r="X1986" s="53">
        <f t="shared" si="572"/>
        <v>0</v>
      </c>
      <c r="Y1986" s="53">
        <f t="shared" si="573"/>
        <v>0</v>
      </c>
      <c r="Z1986" s="54">
        <f t="shared" si="577"/>
        <v>0</v>
      </c>
      <c r="AA1986" s="54">
        <f t="shared" si="574"/>
        <v>0</v>
      </c>
      <c r="AB1986" s="55">
        <f t="shared" si="578"/>
        <v>0</v>
      </c>
      <c r="AC1986" s="55">
        <f t="shared" si="575"/>
        <v>0</v>
      </c>
      <c r="AD1986" s="56">
        <f t="shared" si="576"/>
        <v>440</v>
      </c>
    </row>
    <row r="1987" spans="3:30">
      <c r="C1987" s="43" t="s">
        <v>3653</v>
      </c>
      <c r="D1987" s="44" t="s">
        <v>2253</v>
      </c>
      <c r="E1987" s="44"/>
      <c r="F1987" s="45">
        <v>43166.270810185182</v>
      </c>
      <c r="G1987" s="46">
        <v>6</v>
      </c>
      <c r="H1987" s="47">
        <v>43372</v>
      </c>
      <c r="I1987" s="47">
        <v>43392</v>
      </c>
      <c r="J1987" s="46">
        <v>555725</v>
      </c>
      <c r="K1987" s="46">
        <v>0</v>
      </c>
      <c r="L1987" s="46">
        <v>0</v>
      </c>
      <c r="M1987" s="46">
        <f t="shared" si="565"/>
        <v>555725</v>
      </c>
      <c r="N1987" s="46">
        <v>799084</v>
      </c>
      <c r="O1987" s="48">
        <f t="shared" si="566"/>
        <v>0.3045474568380796</v>
      </c>
      <c r="P1987" s="46">
        <v>0</v>
      </c>
      <c r="Q1987" s="46">
        <v>565615</v>
      </c>
      <c r="R1987" s="49">
        <f t="shared" si="567"/>
        <v>1</v>
      </c>
      <c r="S1987" s="50">
        <f t="shared" si="568"/>
        <v>0.01</v>
      </c>
      <c r="T1987" s="49">
        <f t="shared" si="569"/>
        <v>5557.25</v>
      </c>
      <c r="U1987" s="51">
        <f t="shared" si="570"/>
        <v>0</v>
      </c>
      <c r="V1987" s="52">
        <f>IF(0&lt;0.8,0,IF(0&lt;1,Sheet3!L561,1))*IF(G1987&lt;3,0.12 - O1987,0.01) *U1987</f>
        <v>0</v>
      </c>
      <c r="W1987" s="52">
        <f t="shared" si="571"/>
        <v>0</v>
      </c>
      <c r="X1987" s="53">
        <f t="shared" si="572"/>
        <v>0</v>
      </c>
      <c r="Y1987" s="53">
        <f t="shared" si="573"/>
        <v>0</v>
      </c>
      <c r="Z1987" s="54">
        <f t="shared" si="577"/>
        <v>0</v>
      </c>
      <c r="AA1987" s="54">
        <f t="shared" si="574"/>
        <v>0</v>
      </c>
      <c r="AB1987" s="55">
        <f t="shared" si="578"/>
        <v>0</v>
      </c>
      <c r="AC1987" s="55">
        <f t="shared" si="575"/>
        <v>0</v>
      </c>
      <c r="AD1987" s="56">
        <f t="shared" si="576"/>
        <v>5557.25</v>
      </c>
    </row>
    <row r="1988" spans="3:30">
      <c r="C1988" s="43" t="s">
        <v>3654</v>
      </c>
      <c r="D1988" s="44" t="s">
        <v>2677</v>
      </c>
      <c r="E1988" s="44"/>
      <c r="F1988" s="45">
        <v>43229.3512037037</v>
      </c>
      <c r="G1988" s="46">
        <v>4</v>
      </c>
      <c r="H1988" s="47">
        <v>43433</v>
      </c>
      <c r="I1988" s="47">
        <v>43476</v>
      </c>
      <c r="J1988" s="46">
        <v>3015248</v>
      </c>
      <c r="K1988" s="46">
        <v>0</v>
      </c>
      <c r="L1988" s="46">
        <v>0</v>
      </c>
      <c r="M1988" s="46">
        <f t="shared" si="565"/>
        <v>3015248</v>
      </c>
      <c r="N1988" s="46">
        <v>3146726</v>
      </c>
      <c r="O1988" s="48">
        <f t="shared" si="566"/>
        <v>4.1782474864351049E-2</v>
      </c>
      <c r="P1988" s="46">
        <v>0</v>
      </c>
      <c r="Q1988" s="46">
        <v>3033398</v>
      </c>
      <c r="R1988" s="49">
        <f t="shared" si="567"/>
        <v>1</v>
      </c>
      <c r="S1988" s="50">
        <f t="shared" si="568"/>
        <v>0.01</v>
      </c>
      <c r="T1988" s="49">
        <f t="shared" si="569"/>
        <v>30152.48</v>
      </c>
      <c r="U1988" s="51">
        <f t="shared" si="570"/>
        <v>0</v>
      </c>
      <c r="V1988" s="52">
        <f>IF(0&lt;0.8,0,IF(0&lt;1,Sheet3!L561,1))*IF(G1988&lt;3,0.12 - O1988,0.01) *U1988</f>
        <v>0</v>
      </c>
      <c r="W1988" s="52">
        <f t="shared" si="571"/>
        <v>0</v>
      </c>
      <c r="X1988" s="53">
        <f t="shared" si="572"/>
        <v>0</v>
      </c>
      <c r="Y1988" s="53">
        <f t="shared" si="573"/>
        <v>0</v>
      </c>
      <c r="Z1988" s="54">
        <f t="shared" si="577"/>
        <v>0</v>
      </c>
      <c r="AA1988" s="54">
        <f t="shared" si="574"/>
        <v>0</v>
      </c>
      <c r="AB1988" s="55">
        <f t="shared" si="578"/>
        <v>0</v>
      </c>
      <c r="AC1988" s="55">
        <f t="shared" si="575"/>
        <v>0</v>
      </c>
      <c r="AD1988" s="56">
        <f t="shared" si="576"/>
        <v>30152.48</v>
      </c>
    </row>
    <row r="1989" spans="3:30">
      <c r="C1989" s="43" t="s">
        <v>3655</v>
      </c>
      <c r="D1989" s="44" t="s">
        <v>3656</v>
      </c>
      <c r="E1989" s="44"/>
      <c r="F1989" s="45">
        <v>43237.437488425923</v>
      </c>
      <c r="G1989" s="46">
        <v>4</v>
      </c>
      <c r="H1989" s="47">
        <v>43404</v>
      </c>
      <c r="I1989" s="47">
        <v>43455</v>
      </c>
      <c r="J1989" s="46">
        <v>3738900</v>
      </c>
      <c r="K1989" s="46">
        <v>0</v>
      </c>
      <c r="L1989" s="46">
        <v>0</v>
      </c>
      <c r="M1989" s="46">
        <f t="shared" si="565"/>
        <v>3738900</v>
      </c>
      <c r="N1989" s="46">
        <v>3835579</v>
      </c>
      <c r="O1989" s="48">
        <f t="shared" si="566"/>
        <v>2.5205842455597982E-2</v>
      </c>
      <c r="P1989" s="46">
        <v>0</v>
      </c>
      <c r="Q1989" s="46">
        <v>3738900</v>
      </c>
      <c r="R1989" s="49">
        <f t="shared" si="567"/>
        <v>1</v>
      </c>
      <c r="S1989" s="50">
        <f t="shared" si="568"/>
        <v>0.01</v>
      </c>
      <c r="T1989" s="49">
        <f t="shared" si="569"/>
        <v>37389</v>
      </c>
      <c r="U1989" s="51">
        <f t="shared" si="570"/>
        <v>0</v>
      </c>
      <c r="V1989" s="52">
        <f>IF(0&lt;0.8,0,IF(0&lt;1,Sheet3!L561,1))*IF(G1989&lt;3,0.12 - O1989,0.01) *U1989</f>
        <v>0</v>
      </c>
      <c r="W1989" s="52">
        <f t="shared" si="571"/>
        <v>0</v>
      </c>
      <c r="X1989" s="53">
        <f t="shared" si="572"/>
        <v>0</v>
      </c>
      <c r="Y1989" s="53">
        <f t="shared" si="573"/>
        <v>0</v>
      </c>
      <c r="Z1989" s="54">
        <f t="shared" si="577"/>
        <v>0</v>
      </c>
      <c r="AA1989" s="54">
        <f t="shared" si="574"/>
        <v>0</v>
      </c>
      <c r="AB1989" s="55">
        <f t="shared" si="578"/>
        <v>0</v>
      </c>
      <c r="AC1989" s="55">
        <f t="shared" si="575"/>
        <v>0</v>
      </c>
      <c r="AD1989" s="56">
        <f t="shared" si="576"/>
        <v>37389</v>
      </c>
    </row>
    <row r="1990" spans="3:30">
      <c r="C1990" s="43" t="s">
        <v>3657</v>
      </c>
      <c r="D1990" s="44" t="s">
        <v>3658</v>
      </c>
      <c r="E1990" s="44"/>
      <c r="F1990" s="45">
        <v>43270.130277777775</v>
      </c>
      <c r="G1990" s="46">
        <v>3</v>
      </c>
      <c r="H1990" s="47">
        <v>43388</v>
      </c>
      <c r="I1990" s="47">
        <v>43396</v>
      </c>
      <c r="J1990" s="46">
        <v>93170</v>
      </c>
      <c r="K1990" s="46">
        <v>0</v>
      </c>
      <c r="L1990" s="46">
        <v>0</v>
      </c>
      <c r="M1990" s="46">
        <f t="shared" si="565"/>
        <v>93170</v>
      </c>
      <c r="N1990" s="46">
        <v>93170</v>
      </c>
      <c r="O1990" s="48">
        <f t="shared" si="566"/>
        <v>0</v>
      </c>
      <c r="P1990" s="46">
        <v>0</v>
      </c>
      <c r="Q1990" s="46">
        <v>0</v>
      </c>
      <c r="R1990" s="49">
        <f t="shared" si="567"/>
        <v>1</v>
      </c>
      <c r="S1990" s="50">
        <f t="shared" si="568"/>
        <v>0.01</v>
      </c>
      <c r="T1990" s="49">
        <f t="shared" si="569"/>
        <v>931.7</v>
      </c>
      <c r="U1990" s="51">
        <f t="shared" si="570"/>
        <v>0</v>
      </c>
      <c r="V1990" s="52">
        <f>IF(0&lt;0.8,0,IF(0&lt;1,Sheet3!L561,1))*IF(G1990&lt;3,0.12 - O1990,0.01) *U1990</f>
        <v>0</v>
      </c>
      <c r="W1990" s="52">
        <f t="shared" si="571"/>
        <v>0</v>
      </c>
      <c r="X1990" s="53">
        <f t="shared" si="572"/>
        <v>0</v>
      </c>
      <c r="Y1990" s="53">
        <f t="shared" si="573"/>
        <v>0</v>
      </c>
      <c r="Z1990" s="54">
        <f t="shared" si="577"/>
        <v>0</v>
      </c>
      <c r="AA1990" s="54">
        <f t="shared" si="574"/>
        <v>0</v>
      </c>
      <c r="AB1990" s="55">
        <f t="shared" si="578"/>
        <v>0</v>
      </c>
      <c r="AC1990" s="55">
        <f t="shared" si="575"/>
        <v>0</v>
      </c>
      <c r="AD1990" s="56">
        <f t="shared" si="576"/>
        <v>931.7</v>
      </c>
    </row>
    <row r="1991" spans="3:30">
      <c r="C1991" s="43" t="s">
        <v>3659</v>
      </c>
      <c r="D1991" s="44" t="s">
        <v>24</v>
      </c>
      <c r="E1991" s="44"/>
      <c r="F1991" s="45" t="s">
        <v>24</v>
      </c>
      <c r="G1991" s="46" t="s">
        <v>24</v>
      </c>
      <c r="H1991" s="47" t="s">
        <v>24</v>
      </c>
      <c r="I1991" s="47" t="s">
        <v>24</v>
      </c>
      <c r="J1991" s="46">
        <v>205918</v>
      </c>
      <c r="K1991" s="46">
        <v>0</v>
      </c>
      <c r="L1991" s="46">
        <v>0</v>
      </c>
      <c r="M1991" s="46">
        <f t="shared" si="565"/>
        <v>205918</v>
      </c>
      <c r="N1991" s="46" t="s">
        <v>24</v>
      </c>
      <c r="O1991" s="48">
        <f t="shared" si="566"/>
        <v>0</v>
      </c>
      <c r="P1991" s="46">
        <v>0</v>
      </c>
      <c r="Q1991" s="46">
        <v>0</v>
      </c>
      <c r="R1991" s="49">
        <f t="shared" si="567"/>
        <v>0</v>
      </c>
      <c r="S1991" s="50">
        <f t="shared" si="568"/>
        <v>0</v>
      </c>
      <c r="T1991" s="49">
        <f t="shared" si="569"/>
        <v>0</v>
      </c>
      <c r="U1991" s="51">
        <f t="shared" si="570"/>
        <v>205918</v>
      </c>
      <c r="V1991" s="52">
        <f>IF(0&lt;0.8,0,IF(0&lt;1,Sheet3!L561,1))*IF(G1991&lt;3,0.12 - O1991,0.01) *U1991</f>
        <v>0</v>
      </c>
      <c r="W1991" s="52">
        <f t="shared" si="571"/>
        <v>0</v>
      </c>
      <c r="X1991" s="53">
        <f t="shared" si="572"/>
        <v>0</v>
      </c>
      <c r="Y1991" s="53">
        <f t="shared" si="573"/>
        <v>0</v>
      </c>
      <c r="Z1991" s="54" t="str">
        <f>IF(R1991=1,0,"")</f>
        <v/>
      </c>
      <c r="AA1991" s="54">
        <f t="shared" si="574"/>
        <v>0</v>
      </c>
      <c r="AB1991" s="55" t="str">
        <f>IF(R1991=0,"",0)</f>
        <v/>
      </c>
      <c r="AC1991" s="55">
        <f t="shared" si="575"/>
        <v>0</v>
      </c>
      <c r="AD1991" s="56">
        <f t="shared" si="576"/>
        <v>0</v>
      </c>
    </row>
    <row r="1992" spans="3:30">
      <c r="C1992" s="43" t="s">
        <v>3660</v>
      </c>
      <c r="D1992" s="44" t="s">
        <v>3661</v>
      </c>
      <c r="E1992" s="44"/>
      <c r="F1992" s="45">
        <v>43305.331689814811</v>
      </c>
      <c r="G1992" s="46">
        <v>2</v>
      </c>
      <c r="H1992" s="47">
        <v>43376</v>
      </c>
      <c r="I1992" s="47">
        <v>43437</v>
      </c>
      <c r="J1992" s="46">
        <v>694210</v>
      </c>
      <c r="K1992" s="46">
        <v>0</v>
      </c>
      <c r="L1992" s="46">
        <v>0</v>
      </c>
      <c r="M1992" s="46">
        <f t="shared" si="565"/>
        <v>694210</v>
      </c>
      <c r="N1992" s="46">
        <v>740707</v>
      </c>
      <c r="O1992" s="48">
        <f t="shared" si="566"/>
        <v>6.2773809347015708E-2</v>
      </c>
      <c r="P1992" s="46">
        <v>694210</v>
      </c>
      <c r="Q1992" s="46">
        <v>0</v>
      </c>
      <c r="R1992" s="49">
        <f t="shared" si="567"/>
        <v>0</v>
      </c>
      <c r="S1992" s="50">
        <f t="shared" si="568"/>
        <v>0</v>
      </c>
      <c r="T1992" s="49">
        <f t="shared" si="569"/>
        <v>0</v>
      </c>
      <c r="U1992" s="51">
        <f t="shared" si="570"/>
        <v>694210</v>
      </c>
      <c r="V1992" s="52">
        <f>IF(0&lt;0.8,0,IF(0&lt;1,Sheet3!L561,1))*IF(G1992&lt;3,0.12 - O1992,0.01) *U1992</f>
        <v>0</v>
      </c>
      <c r="W1992" s="52">
        <f t="shared" si="571"/>
        <v>0</v>
      </c>
      <c r="X1992" s="53">
        <f t="shared" si="572"/>
        <v>0</v>
      </c>
      <c r="Y1992" s="53">
        <f t="shared" si="573"/>
        <v>0</v>
      </c>
      <c r="Z1992" s="54">
        <f t="shared" ref="Z1992:Z2000" si="579">IF(R1992=1,0,0)</f>
        <v>0</v>
      </c>
      <c r="AA1992" s="54">
        <f t="shared" si="574"/>
        <v>0</v>
      </c>
      <c r="AB1992" s="55">
        <f t="shared" ref="AB1992:AB1997" si="580">IF(R1992=0,0,0)</f>
        <v>0</v>
      </c>
      <c r="AC1992" s="55">
        <f t="shared" si="575"/>
        <v>0</v>
      </c>
      <c r="AD1992" s="56">
        <f t="shared" si="576"/>
        <v>0</v>
      </c>
    </row>
    <row r="1993" spans="3:30">
      <c r="C1993" s="43" t="s">
        <v>3662</v>
      </c>
      <c r="D1993" s="44" t="s">
        <v>3663</v>
      </c>
      <c r="E1993" s="44"/>
      <c r="F1993" s="45">
        <v>43305.425821759258</v>
      </c>
      <c r="G1993" s="46">
        <v>2</v>
      </c>
      <c r="H1993" s="47" t="s">
        <v>24</v>
      </c>
      <c r="I1993" s="47" t="s">
        <v>24</v>
      </c>
      <c r="J1993" s="46">
        <v>45290894</v>
      </c>
      <c r="K1993" s="46">
        <v>0</v>
      </c>
      <c r="L1993" s="46">
        <v>0</v>
      </c>
      <c r="M1993" s="46">
        <f t="shared" si="565"/>
        <v>45290894</v>
      </c>
      <c r="N1993" s="46">
        <v>200735008</v>
      </c>
      <c r="O1993" s="48">
        <f t="shared" si="566"/>
        <v>0.77437471195856378</v>
      </c>
      <c r="P1993" s="46">
        <v>91414067</v>
      </c>
      <c r="Q1993" s="46">
        <v>0</v>
      </c>
      <c r="R1993" s="49">
        <f t="shared" si="567"/>
        <v>0</v>
      </c>
      <c r="S1993" s="50">
        <f t="shared" si="568"/>
        <v>0</v>
      </c>
      <c r="T1993" s="49">
        <f t="shared" si="569"/>
        <v>0</v>
      </c>
      <c r="U1993" s="51">
        <f t="shared" si="570"/>
        <v>0</v>
      </c>
      <c r="V1993" s="52">
        <f>IF(0&lt;0.8,0,IF(0&lt;1,Sheet3!L561,1))*IF(G1993&lt;3,0.12 - O1993,0.01) *U1993</f>
        <v>0</v>
      </c>
      <c r="W1993" s="52">
        <f t="shared" si="571"/>
        <v>0</v>
      </c>
      <c r="X1993" s="53">
        <f t="shared" si="572"/>
        <v>0</v>
      </c>
      <c r="Y1993" s="53">
        <f t="shared" si="573"/>
        <v>0</v>
      </c>
      <c r="Z1993" s="54">
        <f t="shared" si="579"/>
        <v>0</v>
      </c>
      <c r="AA1993" s="54">
        <f t="shared" si="574"/>
        <v>0</v>
      </c>
      <c r="AB1993" s="55">
        <f t="shared" si="580"/>
        <v>0</v>
      </c>
      <c r="AC1993" s="55">
        <f t="shared" si="575"/>
        <v>0</v>
      </c>
      <c r="AD1993" s="56">
        <f t="shared" si="576"/>
        <v>0</v>
      </c>
    </row>
    <row r="1994" spans="3:30">
      <c r="C1994" s="43" t="s">
        <v>3664</v>
      </c>
      <c r="D1994" s="44" t="s">
        <v>3665</v>
      </c>
      <c r="E1994" s="44"/>
      <c r="F1994" s="45">
        <v>43312.347685185181</v>
      </c>
      <c r="G1994" s="46">
        <v>2</v>
      </c>
      <c r="H1994" s="47">
        <v>43376</v>
      </c>
      <c r="I1994" s="47">
        <v>43439</v>
      </c>
      <c r="J1994" s="46">
        <v>1027339</v>
      </c>
      <c r="K1994" s="46">
        <v>0</v>
      </c>
      <c r="L1994" s="46">
        <v>0</v>
      </c>
      <c r="M1994" s="46">
        <f t="shared" si="565"/>
        <v>1027339</v>
      </c>
      <c r="N1994" s="46">
        <v>1027339</v>
      </c>
      <c r="O1994" s="48">
        <f t="shared" si="566"/>
        <v>0</v>
      </c>
      <c r="P1994" s="46">
        <v>1027339</v>
      </c>
      <c r="Q1994" s="46">
        <v>0</v>
      </c>
      <c r="R1994" s="49">
        <f t="shared" si="567"/>
        <v>0</v>
      </c>
      <c r="S1994" s="50">
        <f t="shared" si="568"/>
        <v>0</v>
      </c>
      <c r="T1994" s="49">
        <f t="shared" si="569"/>
        <v>0</v>
      </c>
      <c r="U1994" s="51">
        <f t="shared" si="570"/>
        <v>1027339</v>
      </c>
      <c r="V1994" s="52">
        <f>IF(0&lt;0.8,0,IF(0&lt;1,Sheet3!L561,1))*IF(G1994&lt;3,0.12 - O1994,0.01) *U1994</f>
        <v>0</v>
      </c>
      <c r="W1994" s="52">
        <f t="shared" si="571"/>
        <v>0</v>
      </c>
      <c r="X1994" s="53">
        <f t="shared" si="572"/>
        <v>0</v>
      </c>
      <c r="Y1994" s="53">
        <f t="shared" si="573"/>
        <v>0</v>
      </c>
      <c r="Z1994" s="54">
        <f t="shared" si="579"/>
        <v>0</v>
      </c>
      <c r="AA1994" s="54">
        <f t="shared" si="574"/>
        <v>0</v>
      </c>
      <c r="AB1994" s="55">
        <f t="shared" si="580"/>
        <v>0</v>
      </c>
      <c r="AC1994" s="55">
        <f t="shared" si="575"/>
        <v>0</v>
      </c>
      <c r="AD1994" s="56">
        <f t="shared" si="576"/>
        <v>0</v>
      </c>
    </row>
    <row r="1995" spans="3:30">
      <c r="C1995" s="43" t="s">
        <v>3666</v>
      </c>
      <c r="D1995" s="44" t="s">
        <v>3667</v>
      </c>
      <c r="E1995" s="44"/>
      <c r="F1995" s="45">
        <v>43312.620891203704</v>
      </c>
      <c r="G1995" s="46">
        <v>2</v>
      </c>
      <c r="H1995" s="47">
        <v>43396</v>
      </c>
      <c r="I1995" s="47">
        <v>43434</v>
      </c>
      <c r="J1995" s="46">
        <v>145200</v>
      </c>
      <c r="K1995" s="46">
        <v>0</v>
      </c>
      <c r="L1995" s="46">
        <v>0</v>
      </c>
      <c r="M1995" s="46">
        <f t="shared" si="565"/>
        <v>145200</v>
      </c>
      <c r="N1995" s="46">
        <v>140239</v>
      </c>
      <c r="O1995" s="48">
        <f t="shared" si="566"/>
        <v>0</v>
      </c>
      <c r="P1995" s="46">
        <v>145200</v>
      </c>
      <c r="Q1995" s="46">
        <v>0</v>
      </c>
      <c r="R1995" s="49">
        <f t="shared" si="567"/>
        <v>0</v>
      </c>
      <c r="S1995" s="50">
        <f t="shared" si="568"/>
        <v>0</v>
      </c>
      <c r="T1995" s="49">
        <f t="shared" si="569"/>
        <v>0</v>
      </c>
      <c r="U1995" s="51">
        <f t="shared" si="570"/>
        <v>145200</v>
      </c>
      <c r="V1995" s="52">
        <f>IF(0&lt;0.8,0,IF(0&lt;1,Sheet3!L561,1))*IF(G1995&lt;3,0.12 - O1995,0.01) *U1995</f>
        <v>0</v>
      </c>
      <c r="W1995" s="52">
        <f t="shared" si="571"/>
        <v>0</v>
      </c>
      <c r="X1995" s="53">
        <f t="shared" si="572"/>
        <v>0</v>
      </c>
      <c r="Y1995" s="53">
        <f t="shared" si="573"/>
        <v>0</v>
      </c>
      <c r="Z1995" s="54">
        <f t="shared" si="579"/>
        <v>0</v>
      </c>
      <c r="AA1995" s="54">
        <f t="shared" si="574"/>
        <v>0</v>
      </c>
      <c r="AB1995" s="55">
        <f t="shared" si="580"/>
        <v>0</v>
      </c>
      <c r="AC1995" s="55">
        <f t="shared" si="575"/>
        <v>0</v>
      </c>
      <c r="AD1995" s="56">
        <f t="shared" si="576"/>
        <v>0</v>
      </c>
    </row>
    <row r="1996" spans="3:30">
      <c r="C1996" s="43" t="s">
        <v>3668</v>
      </c>
      <c r="D1996" s="44" t="s">
        <v>3669</v>
      </c>
      <c r="E1996" s="44"/>
      <c r="F1996" s="45">
        <v>43318.138101851851</v>
      </c>
      <c r="G1996" s="46">
        <v>1</v>
      </c>
      <c r="H1996" s="47">
        <v>43376</v>
      </c>
      <c r="I1996" s="47">
        <v>43388</v>
      </c>
      <c r="J1996" s="46">
        <v>336308</v>
      </c>
      <c r="K1996" s="46">
        <v>0</v>
      </c>
      <c r="L1996" s="46">
        <v>0</v>
      </c>
      <c r="M1996" s="46">
        <f t="shared" si="565"/>
        <v>336308</v>
      </c>
      <c r="N1996" s="46">
        <v>336308</v>
      </c>
      <c r="O1996" s="48">
        <f t="shared" si="566"/>
        <v>0</v>
      </c>
      <c r="P1996" s="46">
        <v>0</v>
      </c>
      <c r="Q1996" s="46">
        <v>0</v>
      </c>
      <c r="R1996" s="49">
        <f t="shared" si="567"/>
        <v>0</v>
      </c>
      <c r="S1996" s="50">
        <f t="shared" si="568"/>
        <v>0</v>
      </c>
      <c r="T1996" s="49">
        <f t="shared" si="569"/>
        <v>0</v>
      </c>
      <c r="U1996" s="51">
        <f t="shared" si="570"/>
        <v>336308</v>
      </c>
      <c r="V1996" s="52">
        <f>IF(0&lt;0.8,0,IF(0&lt;1,Sheet3!L561,1))*IF(G1996&lt;3,0.12 - O1996,0.01) *U1996</f>
        <v>0</v>
      </c>
      <c r="W1996" s="52">
        <f t="shared" si="571"/>
        <v>0</v>
      </c>
      <c r="X1996" s="53">
        <f t="shared" si="572"/>
        <v>0</v>
      </c>
      <c r="Y1996" s="53">
        <f t="shared" si="573"/>
        <v>0</v>
      </c>
      <c r="Z1996" s="54">
        <f t="shared" si="579"/>
        <v>0</v>
      </c>
      <c r="AA1996" s="54">
        <f t="shared" si="574"/>
        <v>0</v>
      </c>
      <c r="AB1996" s="55">
        <f t="shared" si="580"/>
        <v>0</v>
      </c>
      <c r="AC1996" s="55">
        <f t="shared" si="575"/>
        <v>0</v>
      </c>
      <c r="AD1996" s="56">
        <f t="shared" si="576"/>
        <v>0</v>
      </c>
    </row>
    <row r="1997" spans="3:30">
      <c r="C1997" s="43" t="s">
        <v>3670</v>
      </c>
      <c r="D1997" s="44" t="s">
        <v>3671</v>
      </c>
      <c r="E1997" s="44"/>
      <c r="F1997" s="45">
        <v>43336.2893287037</v>
      </c>
      <c r="G1997" s="46">
        <v>1</v>
      </c>
      <c r="H1997" s="47">
        <v>43376</v>
      </c>
      <c r="I1997" s="47">
        <v>43392</v>
      </c>
      <c r="J1997" s="46">
        <v>724903</v>
      </c>
      <c r="K1997" s="46">
        <v>0</v>
      </c>
      <c r="L1997" s="46">
        <v>0</v>
      </c>
      <c r="M1997" s="46">
        <f t="shared" si="565"/>
        <v>724903</v>
      </c>
      <c r="N1997" s="46">
        <v>724636</v>
      </c>
      <c r="O1997" s="48">
        <f t="shared" si="566"/>
        <v>0</v>
      </c>
      <c r="P1997" s="46">
        <v>0</v>
      </c>
      <c r="Q1997" s="46">
        <v>0</v>
      </c>
      <c r="R1997" s="49">
        <f t="shared" si="567"/>
        <v>0</v>
      </c>
      <c r="S1997" s="50">
        <f t="shared" si="568"/>
        <v>0</v>
      </c>
      <c r="T1997" s="49">
        <f t="shared" si="569"/>
        <v>0</v>
      </c>
      <c r="U1997" s="51">
        <f t="shared" si="570"/>
        <v>724903</v>
      </c>
      <c r="V1997" s="52">
        <f>IF(0&lt;0.8,0,IF(0&lt;1,Sheet3!L561,1))*IF(G1997&lt;3,0.12 - O1997,0.01) *U1997</f>
        <v>0</v>
      </c>
      <c r="W1997" s="52">
        <f t="shared" si="571"/>
        <v>0</v>
      </c>
      <c r="X1997" s="53">
        <f t="shared" si="572"/>
        <v>0</v>
      </c>
      <c r="Y1997" s="53">
        <f t="shared" si="573"/>
        <v>0</v>
      </c>
      <c r="Z1997" s="54">
        <f t="shared" si="579"/>
        <v>0</v>
      </c>
      <c r="AA1997" s="54">
        <f t="shared" si="574"/>
        <v>0</v>
      </c>
      <c r="AB1997" s="55">
        <f t="shared" si="580"/>
        <v>0</v>
      </c>
      <c r="AC1997" s="55">
        <f t="shared" si="575"/>
        <v>0</v>
      </c>
      <c r="AD1997" s="56">
        <f t="shared" si="576"/>
        <v>0</v>
      </c>
    </row>
    <row r="1998" spans="3:30">
      <c r="C1998" s="43" t="s">
        <v>3672</v>
      </c>
      <c r="D1998" s="44" t="s">
        <v>3673</v>
      </c>
      <c r="E1998" s="44"/>
      <c r="F1998" s="45">
        <v>43337.160844907405</v>
      </c>
      <c r="G1998" s="46">
        <v>1</v>
      </c>
      <c r="H1998" s="47">
        <v>43405</v>
      </c>
      <c r="I1998" s="47">
        <v>43462</v>
      </c>
      <c r="J1998" s="46">
        <v>8578080</v>
      </c>
      <c r="K1998" s="46">
        <v>0</v>
      </c>
      <c r="L1998" s="46">
        <v>0</v>
      </c>
      <c r="M1998" s="46">
        <f t="shared" si="565"/>
        <v>8578080</v>
      </c>
      <c r="N1998" s="46">
        <v>11379905</v>
      </c>
      <c r="O1998" s="48">
        <f t="shared" si="566"/>
        <v>0.24620811860907454</v>
      </c>
      <c r="P1998" s="46">
        <v>0</v>
      </c>
      <c r="Q1998" s="46">
        <v>0</v>
      </c>
      <c r="R1998" s="49">
        <f t="shared" si="567"/>
        <v>0</v>
      </c>
      <c r="S1998" s="50">
        <f t="shared" si="568"/>
        <v>0</v>
      </c>
      <c r="T1998" s="49">
        <f t="shared" si="569"/>
        <v>0</v>
      </c>
      <c r="U1998" s="51">
        <f t="shared" si="570"/>
        <v>0</v>
      </c>
      <c r="V1998" s="52">
        <f>IF(0&lt;0.8,0,IF(0&lt;1,Sheet3!L561,1))*IF(G1998&lt;3,0.12 - O1998,0.01) *U1998</f>
        <v>0</v>
      </c>
      <c r="W1998" s="52">
        <f t="shared" si="571"/>
        <v>0</v>
      </c>
      <c r="X1998" s="53">
        <f t="shared" si="572"/>
        <v>0</v>
      </c>
      <c r="Y1998" s="53">
        <f t="shared" si="573"/>
        <v>0</v>
      </c>
      <c r="Z1998" s="54">
        <f t="shared" si="579"/>
        <v>0</v>
      </c>
      <c r="AA1998" s="54">
        <f t="shared" si="574"/>
        <v>0</v>
      </c>
      <c r="AB1998" s="55">
        <f>IF(R1998=0,1496000,0)</f>
        <v>1496000</v>
      </c>
      <c r="AC1998" s="55">
        <f t="shared" si="575"/>
        <v>29920</v>
      </c>
      <c r="AD1998" s="56">
        <f t="shared" si="576"/>
        <v>29920</v>
      </c>
    </row>
    <row r="1999" spans="3:30">
      <c r="C1999" s="43" t="s">
        <v>3674</v>
      </c>
      <c r="D1999" s="44" t="s">
        <v>3675</v>
      </c>
      <c r="E1999" s="44"/>
      <c r="F1999" s="45">
        <v>43340.177731481483</v>
      </c>
      <c r="G1999" s="46">
        <v>1</v>
      </c>
      <c r="H1999" s="47">
        <v>43376</v>
      </c>
      <c r="I1999" s="47">
        <v>43391</v>
      </c>
      <c r="J1999" s="46">
        <v>301774</v>
      </c>
      <c r="K1999" s="46">
        <v>0</v>
      </c>
      <c r="L1999" s="46">
        <v>0</v>
      </c>
      <c r="M1999" s="46">
        <f t="shared" si="565"/>
        <v>301774</v>
      </c>
      <c r="N1999" s="46">
        <v>301774</v>
      </c>
      <c r="O1999" s="48">
        <f t="shared" si="566"/>
        <v>0</v>
      </c>
      <c r="P1999" s="46">
        <v>0</v>
      </c>
      <c r="Q1999" s="46">
        <v>0</v>
      </c>
      <c r="R1999" s="49">
        <f t="shared" si="567"/>
        <v>0</v>
      </c>
      <c r="S1999" s="50">
        <f t="shared" si="568"/>
        <v>0</v>
      </c>
      <c r="T1999" s="49">
        <f t="shared" si="569"/>
        <v>0</v>
      </c>
      <c r="U1999" s="51">
        <f t="shared" si="570"/>
        <v>301774</v>
      </c>
      <c r="V1999" s="52">
        <f>IF(0&lt;0.8,0,IF(0&lt;1,Sheet3!L561,1))*IF(G1999&lt;3,0.12 - O1999,0.01) *U1999</f>
        <v>0</v>
      </c>
      <c r="W1999" s="52">
        <f t="shared" si="571"/>
        <v>0</v>
      </c>
      <c r="X1999" s="53">
        <f t="shared" si="572"/>
        <v>0</v>
      </c>
      <c r="Y1999" s="53">
        <f t="shared" si="573"/>
        <v>0</v>
      </c>
      <c r="Z1999" s="54">
        <f t="shared" si="579"/>
        <v>0</v>
      </c>
      <c r="AA1999" s="54">
        <f t="shared" si="574"/>
        <v>0</v>
      </c>
      <c r="AB1999" s="55">
        <f>IF(R1999=0,0,0)</f>
        <v>0</v>
      </c>
      <c r="AC1999" s="55">
        <f t="shared" si="575"/>
        <v>0</v>
      </c>
      <c r="AD1999" s="56">
        <f t="shared" si="576"/>
        <v>0</v>
      </c>
    </row>
    <row r="2000" spans="3:30">
      <c r="C2000" s="43" t="s">
        <v>3676</v>
      </c>
      <c r="D2000" s="44" t="s">
        <v>3677</v>
      </c>
      <c r="E2000" s="44"/>
      <c r="F2000" s="45">
        <v>43343.307708333334</v>
      </c>
      <c r="G2000" s="46">
        <v>1</v>
      </c>
      <c r="H2000" s="47">
        <v>43404</v>
      </c>
      <c r="I2000" s="47">
        <v>43440</v>
      </c>
      <c r="J2000" s="46">
        <v>4242139</v>
      </c>
      <c r="K2000" s="46">
        <v>0</v>
      </c>
      <c r="L2000" s="46">
        <v>0</v>
      </c>
      <c r="M2000" s="46">
        <f t="shared" si="565"/>
        <v>4242139</v>
      </c>
      <c r="N2000" s="46">
        <v>4242139</v>
      </c>
      <c r="O2000" s="48">
        <f t="shared" si="566"/>
        <v>0</v>
      </c>
      <c r="P2000" s="46">
        <v>0</v>
      </c>
      <c r="Q2000" s="46">
        <v>0</v>
      </c>
      <c r="R2000" s="49">
        <f t="shared" si="567"/>
        <v>0</v>
      </c>
      <c r="S2000" s="50">
        <f t="shared" si="568"/>
        <v>0</v>
      </c>
      <c r="T2000" s="49">
        <f t="shared" si="569"/>
        <v>0</v>
      </c>
      <c r="U2000" s="51">
        <f t="shared" si="570"/>
        <v>4242139</v>
      </c>
      <c r="V2000" s="52">
        <f>IF(0&lt;0.8,0,IF(0&lt;1,Sheet3!L561,1))*IF(G2000&lt;3,0.12 - O2000,0.01) *U2000</f>
        <v>0</v>
      </c>
      <c r="W2000" s="52">
        <f t="shared" si="571"/>
        <v>0</v>
      </c>
      <c r="X2000" s="53">
        <f t="shared" si="572"/>
        <v>0</v>
      </c>
      <c r="Y2000" s="53">
        <f t="shared" si="573"/>
        <v>0</v>
      </c>
      <c r="Z2000" s="54">
        <f t="shared" si="579"/>
        <v>0</v>
      </c>
      <c r="AA2000" s="54">
        <f t="shared" si="574"/>
        <v>0</v>
      </c>
      <c r="AB2000" s="55">
        <f>IF(R2000=0,0,0)</f>
        <v>0</v>
      </c>
      <c r="AC2000" s="55">
        <f t="shared" si="575"/>
        <v>0</v>
      </c>
      <c r="AD2000" s="56">
        <f t="shared" si="576"/>
        <v>0</v>
      </c>
    </row>
    <row r="2001" spans="3:30">
      <c r="C2001" s="43" t="s">
        <v>3678</v>
      </c>
      <c r="D2001" s="44" t="s">
        <v>3679</v>
      </c>
      <c r="E2001" s="44"/>
      <c r="F2001" s="45">
        <v>43351.109189814815</v>
      </c>
      <c r="G2001" s="46">
        <v>0</v>
      </c>
      <c r="H2001" s="47" t="s">
        <v>24</v>
      </c>
      <c r="I2001" s="47" t="s">
        <v>24</v>
      </c>
      <c r="J2001" s="46">
        <v>4461270</v>
      </c>
      <c r="K2001" s="46">
        <v>0</v>
      </c>
      <c r="L2001" s="46">
        <v>0</v>
      </c>
      <c r="M2001" s="46">
        <f t="shared" si="565"/>
        <v>4461270</v>
      </c>
      <c r="N2001" s="46" t="s">
        <v>24</v>
      </c>
      <c r="O2001" s="48">
        <f t="shared" si="566"/>
        <v>0</v>
      </c>
      <c r="P2001" s="46">
        <v>0</v>
      </c>
      <c r="Q2001" s="46">
        <v>0</v>
      </c>
      <c r="R2001" s="49">
        <f t="shared" si="567"/>
        <v>0</v>
      </c>
      <c r="S2001" s="50">
        <f t="shared" si="568"/>
        <v>0</v>
      </c>
      <c r="T2001" s="49">
        <f t="shared" si="569"/>
        <v>0</v>
      </c>
      <c r="U2001" s="51">
        <f t="shared" si="570"/>
        <v>4461270</v>
      </c>
      <c r="V2001" s="52">
        <f>IF(0&lt;0.8,0,IF(0&lt;1,Sheet3!L561,1))*IF(G2001&lt;3,0.12 - O2001,0.01) *U2001</f>
        <v>0</v>
      </c>
      <c r="W2001" s="52">
        <f t="shared" si="571"/>
        <v>0</v>
      </c>
      <c r="X2001" s="53">
        <f t="shared" si="572"/>
        <v>0</v>
      </c>
      <c r="Y2001" s="53">
        <f t="shared" si="573"/>
        <v>0</v>
      </c>
      <c r="Z2001" s="54" t="str">
        <f>IF(R2001=1,0,"")</f>
        <v/>
      </c>
      <c r="AA2001" s="54">
        <f t="shared" si="574"/>
        <v>0</v>
      </c>
      <c r="AB2001" s="55" t="str">
        <f>IF(R2001=0,"",0)</f>
        <v/>
      </c>
      <c r="AC2001" s="55">
        <f t="shared" si="575"/>
        <v>0</v>
      </c>
      <c r="AD2001" s="56">
        <f t="shared" si="576"/>
        <v>0</v>
      </c>
    </row>
    <row r="2002" spans="3:30">
      <c r="C2002" s="43" t="s">
        <v>3680</v>
      </c>
      <c r="D2002" s="44" t="s">
        <v>3681</v>
      </c>
      <c r="E2002" s="44"/>
      <c r="F2002" s="45">
        <v>43353.382569444446</v>
      </c>
      <c r="G2002" s="46">
        <v>0</v>
      </c>
      <c r="H2002" s="47">
        <v>43388</v>
      </c>
      <c r="I2002" s="47">
        <v>43402</v>
      </c>
      <c r="J2002" s="46">
        <v>10499654</v>
      </c>
      <c r="K2002" s="46">
        <v>0</v>
      </c>
      <c r="L2002" s="46">
        <v>0</v>
      </c>
      <c r="M2002" s="46">
        <f t="shared" si="565"/>
        <v>10499654</v>
      </c>
      <c r="N2002" s="46">
        <v>10499654</v>
      </c>
      <c r="O2002" s="48">
        <f t="shared" si="566"/>
        <v>0</v>
      </c>
      <c r="P2002" s="46">
        <v>0</v>
      </c>
      <c r="Q2002" s="46">
        <v>0</v>
      </c>
      <c r="R2002" s="49">
        <f t="shared" si="567"/>
        <v>0</v>
      </c>
      <c r="S2002" s="50">
        <f t="shared" si="568"/>
        <v>0</v>
      </c>
      <c r="T2002" s="49">
        <f t="shared" si="569"/>
        <v>0</v>
      </c>
      <c r="U2002" s="51">
        <f t="shared" si="570"/>
        <v>10499654</v>
      </c>
      <c r="V2002" s="52">
        <f>IF(0&lt;0.8,0,IF(0&lt;1,Sheet3!L561,1))*IF(G2002&lt;3,0.12 - O2002,0.01) *U2002</f>
        <v>0</v>
      </c>
      <c r="W2002" s="52">
        <f t="shared" si="571"/>
        <v>0</v>
      </c>
      <c r="X2002" s="53">
        <f t="shared" si="572"/>
        <v>0</v>
      </c>
      <c r="Y2002" s="53">
        <f t="shared" si="573"/>
        <v>0</v>
      </c>
      <c r="Z2002" s="54">
        <f t="shared" ref="Z2002:Z2027" si="581">IF(R2002=1,0,0)</f>
        <v>0</v>
      </c>
      <c r="AA2002" s="54">
        <f t="shared" si="574"/>
        <v>0</v>
      </c>
      <c r="AB2002" s="55">
        <f>IF(R2002=0,0,0)</f>
        <v>0</v>
      </c>
      <c r="AC2002" s="55">
        <f t="shared" si="575"/>
        <v>0</v>
      </c>
      <c r="AD2002" s="56">
        <f t="shared" si="576"/>
        <v>0</v>
      </c>
    </row>
    <row r="2003" spans="3:30">
      <c r="C2003" s="43" t="s">
        <v>3682</v>
      </c>
      <c r="D2003" s="44" t="s">
        <v>3683</v>
      </c>
      <c r="E2003" s="44"/>
      <c r="F2003" s="45">
        <v>43358.148229166662</v>
      </c>
      <c r="G2003" s="46">
        <v>0</v>
      </c>
      <c r="H2003" s="47">
        <v>43376</v>
      </c>
      <c r="I2003" s="47">
        <v>43420</v>
      </c>
      <c r="J2003" s="46">
        <v>60137</v>
      </c>
      <c r="K2003" s="46">
        <v>0</v>
      </c>
      <c r="L2003" s="46">
        <v>0</v>
      </c>
      <c r="M2003" s="46">
        <f t="shared" si="565"/>
        <v>60137</v>
      </c>
      <c r="N2003" s="46">
        <v>60137</v>
      </c>
      <c r="O2003" s="48">
        <f t="shared" si="566"/>
        <v>0</v>
      </c>
      <c r="P2003" s="46">
        <v>0</v>
      </c>
      <c r="Q2003" s="46">
        <v>0</v>
      </c>
      <c r="R2003" s="49">
        <f t="shared" si="567"/>
        <v>0</v>
      </c>
      <c r="S2003" s="50">
        <f t="shared" si="568"/>
        <v>0</v>
      </c>
      <c r="T2003" s="49">
        <f t="shared" si="569"/>
        <v>0</v>
      </c>
      <c r="U2003" s="51">
        <f t="shared" si="570"/>
        <v>60137</v>
      </c>
      <c r="V2003" s="52">
        <f>IF(0&lt;0.8,0,IF(0&lt;1,Sheet3!L561,1))*IF(G2003&lt;3,0.12 - O2003,0.01) *U2003</f>
        <v>0</v>
      </c>
      <c r="W2003" s="52">
        <f t="shared" si="571"/>
        <v>0</v>
      </c>
      <c r="X2003" s="53">
        <f t="shared" si="572"/>
        <v>0</v>
      </c>
      <c r="Y2003" s="53">
        <f t="shared" si="573"/>
        <v>0</v>
      </c>
      <c r="Z2003" s="54">
        <f t="shared" si="581"/>
        <v>0</v>
      </c>
      <c r="AA2003" s="54">
        <f t="shared" si="574"/>
        <v>0</v>
      </c>
      <c r="AB2003" s="55">
        <f>IF(R2003=0,0,0)</f>
        <v>0</v>
      </c>
      <c r="AC2003" s="55">
        <f t="shared" si="575"/>
        <v>0</v>
      </c>
      <c r="AD2003" s="56">
        <f t="shared" si="576"/>
        <v>0</v>
      </c>
    </row>
    <row r="2004" spans="3:30">
      <c r="C2004" s="43" t="s">
        <v>3684</v>
      </c>
      <c r="D2004" s="44" t="s">
        <v>3685</v>
      </c>
      <c r="E2004" s="44"/>
      <c r="F2004" s="45">
        <v>39682.652546296296</v>
      </c>
      <c r="G2004" s="46">
        <v>121</v>
      </c>
      <c r="H2004" s="47">
        <v>43391</v>
      </c>
      <c r="I2004" s="47">
        <v>43404</v>
      </c>
      <c r="J2004" s="46">
        <v>406512</v>
      </c>
      <c r="K2004" s="46">
        <v>0</v>
      </c>
      <c r="L2004" s="46">
        <v>0</v>
      </c>
      <c r="M2004" s="46">
        <f t="shared" si="565"/>
        <v>406512</v>
      </c>
      <c r="N2004" s="46">
        <v>406512</v>
      </c>
      <c r="O2004" s="48">
        <f t="shared" si="566"/>
        <v>0</v>
      </c>
      <c r="P2004" s="46">
        <v>0</v>
      </c>
      <c r="Q2004" s="46">
        <v>406512</v>
      </c>
      <c r="R2004" s="49">
        <f t="shared" si="567"/>
        <v>1</v>
      </c>
      <c r="S2004" s="50">
        <f t="shared" si="568"/>
        <v>0.01</v>
      </c>
      <c r="T2004" s="49">
        <f t="shared" si="569"/>
        <v>4065.12</v>
      </c>
      <c r="U2004" s="51">
        <f t="shared" si="570"/>
        <v>0</v>
      </c>
      <c r="V2004" s="52">
        <f>IF(0&lt;0.8,0,IF(0&lt;1,Sheet3!L561,1))*IF(G2004&lt;3,0.12 - O2004,0.01) *U2004</f>
        <v>0</v>
      </c>
      <c r="W2004" s="52">
        <f t="shared" si="571"/>
        <v>0</v>
      </c>
      <c r="X2004" s="53">
        <f t="shared" si="572"/>
        <v>0</v>
      </c>
      <c r="Y2004" s="53">
        <f t="shared" si="573"/>
        <v>0</v>
      </c>
      <c r="Z2004" s="54">
        <f t="shared" si="581"/>
        <v>0</v>
      </c>
      <c r="AA2004" s="54">
        <f t="shared" si="574"/>
        <v>0</v>
      </c>
      <c r="AB2004" s="55">
        <f>IF(R2004=0,0,0)</f>
        <v>0</v>
      </c>
      <c r="AC2004" s="55">
        <f t="shared" si="575"/>
        <v>0</v>
      </c>
      <c r="AD2004" s="56">
        <f t="shared" si="576"/>
        <v>4065.12</v>
      </c>
    </row>
    <row r="2005" spans="3:30">
      <c r="C2005" s="43" t="s">
        <v>3686</v>
      </c>
      <c r="D2005" s="44" t="s">
        <v>3687</v>
      </c>
      <c r="E2005" s="44"/>
      <c r="F2005" s="45">
        <v>40513.697465277779</v>
      </c>
      <c r="G2005" s="46">
        <v>93</v>
      </c>
      <c r="H2005" s="47">
        <v>43391</v>
      </c>
      <c r="I2005" s="47">
        <v>43418</v>
      </c>
      <c r="J2005" s="46">
        <v>2234229</v>
      </c>
      <c r="K2005" s="46">
        <v>0</v>
      </c>
      <c r="L2005" s="46">
        <v>0</v>
      </c>
      <c r="M2005" s="46">
        <f t="shared" si="565"/>
        <v>2234229</v>
      </c>
      <c r="N2005" s="46">
        <v>1809228</v>
      </c>
      <c r="O2005" s="48">
        <f t="shared" si="566"/>
        <v>0</v>
      </c>
      <c r="P2005" s="46">
        <v>0</v>
      </c>
      <c r="Q2005" s="46">
        <v>2234229</v>
      </c>
      <c r="R2005" s="49">
        <f t="shared" si="567"/>
        <v>1</v>
      </c>
      <c r="S2005" s="50">
        <f t="shared" si="568"/>
        <v>0.01</v>
      </c>
      <c r="T2005" s="49">
        <f t="shared" si="569"/>
        <v>22342.29</v>
      </c>
      <c r="U2005" s="51">
        <f t="shared" si="570"/>
        <v>0</v>
      </c>
      <c r="V2005" s="52">
        <f>IF(0&lt;0.8,0,IF(0&lt;1,Sheet3!L561,1))*IF(G2005&lt;3,0.12 - O2005,0.01) *U2005</f>
        <v>0</v>
      </c>
      <c r="W2005" s="52">
        <f t="shared" si="571"/>
        <v>0</v>
      </c>
      <c r="X2005" s="53">
        <f t="shared" si="572"/>
        <v>0</v>
      </c>
      <c r="Y2005" s="53">
        <f t="shared" si="573"/>
        <v>0</v>
      </c>
      <c r="Z2005" s="54">
        <f t="shared" si="581"/>
        <v>0</v>
      </c>
      <c r="AA2005" s="54">
        <f t="shared" si="574"/>
        <v>0</v>
      </c>
      <c r="AB2005" s="55">
        <f>IF(R2005=0,425000,0)</f>
        <v>0</v>
      </c>
      <c r="AC2005" s="55">
        <f t="shared" si="575"/>
        <v>0</v>
      </c>
      <c r="AD2005" s="56">
        <f t="shared" si="576"/>
        <v>22342.29</v>
      </c>
    </row>
    <row r="2006" spans="3:30">
      <c r="C2006" s="43" t="s">
        <v>3688</v>
      </c>
      <c r="D2006" s="44" t="s">
        <v>3689</v>
      </c>
      <c r="E2006" s="44"/>
      <c r="F2006" s="45">
        <v>40893.468541666662</v>
      </c>
      <c r="G2006" s="46">
        <v>81</v>
      </c>
      <c r="H2006" s="47">
        <v>43390</v>
      </c>
      <c r="I2006" s="47">
        <v>43395</v>
      </c>
      <c r="J2006" s="46">
        <v>776094</v>
      </c>
      <c r="K2006" s="46">
        <v>0</v>
      </c>
      <c r="L2006" s="46">
        <v>0</v>
      </c>
      <c r="M2006" s="46">
        <f t="shared" si="565"/>
        <v>776094</v>
      </c>
      <c r="N2006" s="46">
        <v>776094</v>
      </c>
      <c r="O2006" s="48">
        <f t="shared" si="566"/>
        <v>0</v>
      </c>
      <c r="P2006" s="46">
        <v>0</v>
      </c>
      <c r="Q2006" s="46">
        <v>776094</v>
      </c>
      <c r="R2006" s="49">
        <f t="shared" si="567"/>
        <v>1</v>
      </c>
      <c r="S2006" s="50">
        <f t="shared" si="568"/>
        <v>0.01</v>
      </c>
      <c r="T2006" s="49">
        <f t="shared" si="569"/>
        <v>7760.9400000000005</v>
      </c>
      <c r="U2006" s="51">
        <f t="shared" si="570"/>
        <v>0</v>
      </c>
      <c r="V2006" s="52">
        <f>IF(0&lt;0.8,0,IF(0&lt;1,Sheet3!L561,1))*IF(G2006&lt;3,0.12 - O2006,0.01) *U2006</f>
        <v>0</v>
      </c>
      <c r="W2006" s="52">
        <f t="shared" si="571"/>
        <v>0</v>
      </c>
      <c r="X2006" s="53">
        <f t="shared" si="572"/>
        <v>0</v>
      </c>
      <c r="Y2006" s="53">
        <f t="shared" si="573"/>
        <v>0</v>
      </c>
      <c r="Z2006" s="54">
        <f t="shared" si="581"/>
        <v>0</v>
      </c>
      <c r="AA2006" s="54">
        <f t="shared" si="574"/>
        <v>0</v>
      </c>
      <c r="AB2006" s="55">
        <f t="shared" ref="AB2006:AB2027" si="582">IF(R2006=0,0,0)</f>
        <v>0</v>
      </c>
      <c r="AC2006" s="55">
        <f t="shared" si="575"/>
        <v>0</v>
      </c>
      <c r="AD2006" s="56">
        <f t="shared" si="576"/>
        <v>7760.9400000000005</v>
      </c>
    </row>
    <row r="2007" spans="3:30">
      <c r="C2007" s="43" t="s">
        <v>3690</v>
      </c>
      <c r="D2007" s="44" t="s">
        <v>3691</v>
      </c>
      <c r="E2007" s="44"/>
      <c r="F2007" s="45">
        <v>41619.597812499997</v>
      </c>
      <c r="G2007" s="46">
        <v>57</v>
      </c>
      <c r="H2007" s="47">
        <v>43391</v>
      </c>
      <c r="I2007" s="47">
        <v>43389</v>
      </c>
      <c r="J2007" s="46">
        <v>1391371</v>
      </c>
      <c r="K2007" s="46">
        <v>0</v>
      </c>
      <c r="L2007" s="46">
        <v>0</v>
      </c>
      <c r="M2007" s="46">
        <f t="shared" si="565"/>
        <v>1391371</v>
      </c>
      <c r="N2007" s="46">
        <v>1378061</v>
      </c>
      <c r="O2007" s="48">
        <f t="shared" si="566"/>
        <v>0</v>
      </c>
      <c r="P2007" s="46">
        <v>0</v>
      </c>
      <c r="Q2007" s="46">
        <v>1391371</v>
      </c>
      <c r="R2007" s="49">
        <f t="shared" si="567"/>
        <v>1</v>
      </c>
      <c r="S2007" s="50">
        <f t="shared" si="568"/>
        <v>0.01</v>
      </c>
      <c r="T2007" s="49">
        <f t="shared" si="569"/>
        <v>13913.710000000001</v>
      </c>
      <c r="U2007" s="51">
        <f t="shared" si="570"/>
        <v>0</v>
      </c>
      <c r="V2007" s="52">
        <f>IF(0&lt;0.8,0,IF(0&lt;1,Sheet3!L561,1))*IF(G2007&lt;3,0.12 - O2007,0.01) *U2007</f>
        <v>0</v>
      </c>
      <c r="W2007" s="52">
        <f t="shared" si="571"/>
        <v>0</v>
      </c>
      <c r="X2007" s="53">
        <f t="shared" si="572"/>
        <v>0</v>
      </c>
      <c r="Y2007" s="53">
        <f t="shared" si="573"/>
        <v>0</v>
      </c>
      <c r="Z2007" s="54">
        <f t="shared" si="581"/>
        <v>0</v>
      </c>
      <c r="AA2007" s="54">
        <f t="shared" si="574"/>
        <v>0</v>
      </c>
      <c r="AB2007" s="55">
        <f t="shared" si="582"/>
        <v>0</v>
      </c>
      <c r="AC2007" s="55">
        <f t="shared" si="575"/>
        <v>0</v>
      </c>
      <c r="AD2007" s="56">
        <f t="shared" si="576"/>
        <v>13913.710000000001</v>
      </c>
    </row>
    <row r="2008" spans="3:30">
      <c r="C2008" s="43" t="s">
        <v>3692</v>
      </c>
      <c r="D2008" s="44" t="s">
        <v>3693</v>
      </c>
      <c r="E2008" s="44"/>
      <c r="F2008" s="45">
        <v>41709.437002314815</v>
      </c>
      <c r="G2008" s="46">
        <v>54</v>
      </c>
      <c r="H2008" s="47">
        <v>43396</v>
      </c>
      <c r="I2008" s="47">
        <v>43406</v>
      </c>
      <c r="J2008" s="46">
        <v>781777</v>
      </c>
      <c r="K2008" s="46">
        <v>0</v>
      </c>
      <c r="L2008" s="46">
        <v>0</v>
      </c>
      <c r="M2008" s="46">
        <f t="shared" si="565"/>
        <v>781777</v>
      </c>
      <c r="N2008" s="46">
        <v>781777</v>
      </c>
      <c r="O2008" s="48">
        <f t="shared" si="566"/>
        <v>0</v>
      </c>
      <c r="P2008" s="46">
        <v>0</v>
      </c>
      <c r="Q2008" s="46">
        <v>781777</v>
      </c>
      <c r="R2008" s="49">
        <f t="shared" si="567"/>
        <v>1</v>
      </c>
      <c r="S2008" s="50">
        <f t="shared" si="568"/>
        <v>0.01</v>
      </c>
      <c r="T2008" s="49">
        <f t="shared" si="569"/>
        <v>7817.77</v>
      </c>
      <c r="U2008" s="51">
        <f t="shared" si="570"/>
        <v>0</v>
      </c>
      <c r="V2008" s="52">
        <f>IF(0&lt;0.8,0,IF(0&lt;1,Sheet3!L561,1))*IF(G2008&lt;3,0.12 - O2008,0.01) *U2008</f>
        <v>0</v>
      </c>
      <c r="W2008" s="52">
        <f t="shared" si="571"/>
        <v>0</v>
      </c>
      <c r="X2008" s="53">
        <f t="shared" si="572"/>
        <v>0</v>
      </c>
      <c r="Y2008" s="53">
        <f t="shared" si="573"/>
        <v>0</v>
      </c>
      <c r="Z2008" s="54">
        <f t="shared" si="581"/>
        <v>0</v>
      </c>
      <c r="AA2008" s="54">
        <f t="shared" si="574"/>
        <v>0</v>
      </c>
      <c r="AB2008" s="55">
        <f t="shared" si="582"/>
        <v>0</v>
      </c>
      <c r="AC2008" s="55">
        <f t="shared" si="575"/>
        <v>0</v>
      </c>
      <c r="AD2008" s="56">
        <f t="shared" si="576"/>
        <v>7817.77</v>
      </c>
    </row>
    <row r="2009" spans="3:30">
      <c r="C2009" s="43" t="s">
        <v>3694</v>
      </c>
      <c r="D2009" s="44" t="s">
        <v>3695</v>
      </c>
      <c r="E2009" s="44"/>
      <c r="F2009" s="45">
        <v>41806.416828703703</v>
      </c>
      <c r="G2009" s="46">
        <v>51</v>
      </c>
      <c r="H2009" s="47">
        <v>43391</v>
      </c>
      <c r="I2009" s="47">
        <v>43406</v>
      </c>
      <c r="J2009" s="46">
        <v>1265164</v>
      </c>
      <c r="K2009" s="46">
        <v>0</v>
      </c>
      <c r="L2009" s="46">
        <v>0</v>
      </c>
      <c r="M2009" s="46">
        <f t="shared" si="565"/>
        <v>1265164</v>
      </c>
      <c r="N2009" s="46">
        <v>1262998</v>
      </c>
      <c r="O2009" s="48">
        <f t="shared" si="566"/>
        <v>0</v>
      </c>
      <c r="P2009" s="46">
        <v>0</v>
      </c>
      <c r="Q2009" s="46">
        <v>1265164</v>
      </c>
      <c r="R2009" s="49">
        <f t="shared" si="567"/>
        <v>1</v>
      </c>
      <c r="S2009" s="50">
        <f t="shared" si="568"/>
        <v>0.01</v>
      </c>
      <c r="T2009" s="49">
        <f t="shared" si="569"/>
        <v>12651.64</v>
      </c>
      <c r="U2009" s="51">
        <f t="shared" si="570"/>
        <v>0</v>
      </c>
      <c r="V2009" s="52">
        <f>IF(0&lt;0.8,0,IF(0&lt;1,Sheet3!L561,1))*IF(G2009&lt;3,0.12 - O2009,0.01) *U2009</f>
        <v>0</v>
      </c>
      <c r="W2009" s="52">
        <f t="shared" si="571"/>
        <v>0</v>
      </c>
      <c r="X2009" s="53">
        <f t="shared" si="572"/>
        <v>0</v>
      </c>
      <c r="Y2009" s="53">
        <f t="shared" si="573"/>
        <v>0</v>
      </c>
      <c r="Z2009" s="54">
        <f t="shared" si="581"/>
        <v>0</v>
      </c>
      <c r="AA2009" s="54">
        <f t="shared" si="574"/>
        <v>0</v>
      </c>
      <c r="AB2009" s="55">
        <f t="shared" si="582"/>
        <v>0</v>
      </c>
      <c r="AC2009" s="55">
        <f t="shared" si="575"/>
        <v>0</v>
      </c>
      <c r="AD2009" s="56">
        <f t="shared" si="576"/>
        <v>12651.64</v>
      </c>
    </row>
    <row r="2010" spans="3:30">
      <c r="C2010" s="43" t="s">
        <v>3696</v>
      </c>
      <c r="D2010" s="44" t="s">
        <v>3697</v>
      </c>
      <c r="E2010" s="44"/>
      <c r="F2010" s="45">
        <v>41874.411192129628</v>
      </c>
      <c r="G2010" s="46">
        <v>49</v>
      </c>
      <c r="H2010" s="47">
        <v>43391</v>
      </c>
      <c r="I2010" s="47">
        <v>43406</v>
      </c>
      <c r="J2010" s="46">
        <v>2493132</v>
      </c>
      <c r="K2010" s="46">
        <v>0</v>
      </c>
      <c r="L2010" s="46">
        <v>0</v>
      </c>
      <c r="M2010" s="46">
        <f t="shared" si="565"/>
        <v>2493132</v>
      </c>
      <c r="N2010" s="46">
        <v>2466512</v>
      </c>
      <c r="O2010" s="48">
        <f t="shared" si="566"/>
        <v>0</v>
      </c>
      <c r="P2010" s="46">
        <v>0</v>
      </c>
      <c r="Q2010" s="46">
        <v>2493132</v>
      </c>
      <c r="R2010" s="49">
        <f t="shared" si="567"/>
        <v>1</v>
      </c>
      <c r="S2010" s="50">
        <f t="shared" si="568"/>
        <v>0.01</v>
      </c>
      <c r="T2010" s="49">
        <f t="shared" si="569"/>
        <v>24931.32</v>
      </c>
      <c r="U2010" s="51">
        <f t="shared" si="570"/>
        <v>0</v>
      </c>
      <c r="V2010" s="52">
        <f>IF(0&lt;0.8,0,IF(0&lt;1,Sheet3!L561,1))*IF(G2010&lt;3,0.12 - O2010,0.01) *U2010</f>
        <v>0</v>
      </c>
      <c r="W2010" s="52">
        <f t="shared" si="571"/>
        <v>0</v>
      </c>
      <c r="X2010" s="53">
        <f t="shared" si="572"/>
        <v>0</v>
      </c>
      <c r="Y2010" s="53">
        <f t="shared" si="573"/>
        <v>0</v>
      </c>
      <c r="Z2010" s="54">
        <f t="shared" si="581"/>
        <v>0</v>
      </c>
      <c r="AA2010" s="54">
        <f t="shared" si="574"/>
        <v>0</v>
      </c>
      <c r="AB2010" s="55">
        <f t="shared" si="582"/>
        <v>0</v>
      </c>
      <c r="AC2010" s="55">
        <f t="shared" si="575"/>
        <v>0</v>
      </c>
      <c r="AD2010" s="56">
        <f t="shared" si="576"/>
        <v>24931.32</v>
      </c>
    </row>
    <row r="2011" spans="3:30">
      <c r="C2011" s="43" t="s">
        <v>3698</v>
      </c>
      <c r="D2011" s="44" t="s">
        <v>3699</v>
      </c>
      <c r="E2011" s="44"/>
      <c r="F2011" s="45">
        <v>42042.356620370367</v>
      </c>
      <c r="G2011" s="46">
        <v>43</v>
      </c>
      <c r="H2011" s="47">
        <v>43391</v>
      </c>
      <c r="I2011" s="47">
        <v>43407</v>
      </c>
      <c r="J2011" s="46">
        <v>10243593</v>
      </c>
      <c r="K2011" s="46">
        <v>0</v>
      </c>
      <c r="L2011" s="46">
        <v>0</v>
      </c>
      <c r="M2011" s="46">
        <f t="shared" si="565"/>
        <v>10243593</v>
      </c>
      <c r="N2011" s="46">
        <v>10243593</v>
      </c>
      <c r="O2011" s="48">
        <f t="shared" si="566"/>
        <v>0</v>
      </c>
      <c r="P2011" s="46">
        <v>0</v>
      </c>
      <c r="Q2011" s="46">
        <v>10243593</v>
      </c>
      <c r="R2011" s="49">
        <f t="shared" si="567"/>
        <v>1</v>
      </c>
      <c r="S2011" s="50">
        <f t="shared" si="568"/>
        <v>0.01</v>
      </c>
      <c r="T2011" s="49">
        <f t="shared" si="569"/>
        <v>102435.93000000001</v>
      </c>
      <c r="U2011" s="51">
        <f t="shared" si="570"/>
        <v>0</v>
      </c>
      <c r="V2011" s="52">
        <f>IF(0&lt;0.8,0,IF(0&lt;1,Sheet3!L561,1))*IF(G2011&lt;3,0.12 - O2011,0.01) *U2011</f>
        <v>0</v>
      </c>
      <c r="W2011" s="52">
        <f t="shared" si="571"/>
        <v>0</v>
      </c>
      <c r="X2011" s="53">
        <f t="shared" si="572"/>
        <v>0</v>
      </c>
      <c r="Y2011" s="53">
        <f t="shared" si="573"/>
        <v>0</v>
      </c>
      <c r="Z2011" s="54">
        <f t="shared" si="581"/>
        <v>0</v>
      </c>
      <c r="AA2011" s="54">
        <f t="shared" si="574"/>
        <v>0</v>
      </c>
      <c r="AB2011" s="55">
        <f t="shared" si="582"/>
        <v>0</v>
      </c>
      <c r="AC2011" s="55">
        <f t="shared" si="575"/>
        <v>0</v>
      </c>
      <c r="AD2011" s="56">
        <f t="shared" si="576"/>
        <v>102435.93000000001</v>
      </c>
    </row>
    <row r="2012" spans="3:30">
      <c r="C2012" s="43" t="s">
        <v>3700</v>
      </c>
      <c r="D2012" s="44" t="s">
        <v>3701</v>
      </c>
      <c r="E2012" s="44"/>
      <c r="F2012" s="45">
        <v>42279.614131944443</v>
      </c>
      <c r="G2012" s="46">
        <v>35</v>
      </c>
      <c r="H2012" s="47">
        <v>43376</v>
      </c>
      <c r="I2012" s="47">
        <v>43442</v>
      </c>
      <c r="J2012" s="46">
        <v>1303896</v>
      </c>
      <c r="K2012" s="46">
        <v>0</v>
      </c>
      <c r="L2012" s="46">
        <v>0</v>
      </c>
      <c r="M2012" s="46">
        <f t="shared" si="565"/>
        <v>1303896</v>
      </c>
      <c r="N2012" s="46">
        <v>1303896</v>
      </c>
      <c r="O2012" s="48">
        <f t="shared" si="566"/>
        <v>0</v>
      </c>
      <c r="P2012" s="46">
        <v>0</v>
      </c>
      <c r="Q2012" s="46">
        <v>1303896</v>
      </c>
      <c r="R2012" s="49">
        <f t="shared" si="567"/>
        <v>1</v>
      </c>
      <c r="S2012" s="50">
        <f t="shared" si="568"/>
        <v>0.01</v>
      </c>
      <c r="T2012" s="49">
        <f t="shared" si="569"/>
        <v>13038.960000000001</v>
      </c>
      <c r="U2012" s="51">
        <f t="shared" si="570"/>
        <v>0</v>
      </c>
      <c r="V2012" s="52">
        <f>IF(0&lt;0.8,0,IF(0&lt;1,Sheet3!L561,1))*IF(G2012&lt;3,0.12 - O2012,0.01) *U2012</f>
        <v>0</v>
      </c>
      <c r="W2012" s="52">
        <f t="shared" si="571"/>
        <v>0</v>
      </c>
      <c r="X2012" s="53">
        <f t="shared" si="572"/>
        <v>0</v>
      </c>
      <c r="Y2012" s="53">
        <f t="shared" si="573"/>
        <v>0</v>
      </c>
      <c r="Z2012" s="54">
        <f t="shared" si="581"/>
        <v>0</v>
      </c>
      <c r="AA2012" s="54">
        <f t="shared" si="574"/>
        <v>0</v>
      </c>
      <c r="AB2012" s="55">
        <f t="shared" si="582"/>
        <v>0</v>
      </c>
      <c r="AC2012" s="55">
        <f t="shared" si="575"/>
        <v>0</v>
      </c>
      <c r="AD2012" s="56">
        <f t="shared" si="576"/>
        <v>13038.960000000001</v>
      </c>
    </row>
    <row r="2013" spans="3:30">
      <c r="C2013" s="43" t="s">
        <v>3702</v>
      </c>
      <c r="D2013" s="44" t="s">
        <v>3703</v>
      </c>
      <c r="E2013" s="44"/>
      <c r="F2013" s="45">
        <v>42418.586030092592</v>
      </c>
      <c r="G2013" s="46">
        <v>31</v>
      </c>
      <c r="H2013" s="47">
        <v>43391</v>
      </c>
      <c r="I2013" s="47">
        <v>43416</v>
      </c>
      <c r="J2013" s="46">
        <v>1336433</v>
      </c>
      <c r="K2013" s="46">
        <v>0</v>
      </c>
      <c r="L2013" s="46">
        <v>0</v>
      </c>
      <c r="M2013" s="46">
        <f t="shared" si="565"/>
        <v>1336433</v>
      </c>
      <c r="N2013" s="46">
        <v>1309813</v>
      </c>
      <c r="O2013" s="48">
        <f t="shared" si="566"/>
        <v>0</v>
      </c>
      <c r="P2013" s="46">
        <v>0</v>
      </c>
      <c r="Q2013" s="46">
        <v>1336433</v>
      </c>
      <c r="R2013" s="49">
        <f t="shared" si="567"/>
        <v>1</v>
      </c>
      <c r="S2013" s="50">
        <f t="shared" si="568"/>
        <v>0.01</v>
      </c>
      <c r="T2013" s="49">
        <f t="shared" si="569"/>
        <v>13364.33</v>
      </c>
      <c r="U2013" s="51">
        <f t="shared" si="570"/>
        <v>0</v>
      </c>
      <c r="V2013" s="52">
        <f>IF(0&lt;0.8,0,IF(0&lt;1,Sheet3!L561,1))*IF(G2013&lt;3,0.12 - O2013,0.01) *U2013</f>
        <v>0</v>
      </c>
      <c r="W2013" s="52">
        <f t="shared" si="571"/>
        <v>0</v>
      </c>
      <c r="X2013" s="53">
        <f t="shared" si="572"/>
        <v>0</v>
      </c>
      <c r="Y2013" s="53">
        <f t="shared" si="573"/>
        <v>0</v>
      </c>
      <c r="Z2013" s="54">
        <f t="shared" si="581"/>
        <v>0</v>
      </c>
      <c r="AA2013" s="54">
        <f t="shared" si="574"/>
        <v>0</v>
      </c>
      <c r="AB2013" s="55">
        <f t="shared" si="582"/>
        <v>0</v>
      </c>
      <c r="AC2013" s="55">
        <f t="shared" si="575"/>
        <v>0</v>
      </c>
      <c r="AD2013" s="56">
        <f t="shared" si="576"/>
        <v>13364.33</v>
      </c>
    </row>
    <row r="2014" spans="3:30">
      <c r="C2014" s="43" t="s">
        <v>3704</v>
      </c>
      <c r="D2014" s="44" t="s">
        <v>3705</v>
      </c>
      <c r="E2014" s="44"/>
      <c r="F2014" s="45">
        <v>42451.594444444439</v>
      </c>
      <c r="G2014" s="46">
        <v>30</v>
      </c>
      <c r="H2014" s="47">
        <v>43376</v>
      </c>
      <c r="I2014" s="47">
        <v>43406</v>
      </c>
      <c r="J2014" s="46">
        <v>1203591</v>
      </c>
      <c r="K2014" s="46">
        <v>0</v>
      </c>
      <c r="L2014" s="46">
        <v>0</v>
      </c>
      <c r="M2014" s="46">
        <f t="shared" si="565"/>
        <v>1203591</v>
      </c>
      <c r="N2014" s="46">
        <v>1202425</v>
      </c>
      <c r="O2014" s="48">
        <f t="shared" si="566"/>
        <v>0</v>
      </c>
      <c r="P2014" s="46">
        <v>0</v>
      </c>
      <c r="Q2014" s="46">
        <v>1203591</v>
      </c>
      <c r="R2014" s="49">
        <f t="shared" si="567"/>
        <v>1</v>
      </c>
      <c r="S2014" s="50">
        <f t="shared" si="568"/>
        <v>0.01</v>
      </c>
      <c r="T2014" s="49">
        <f t="shared" si="569"/>
        <v>12035.91</v>
      </c>
      <c r="U2014" s="51">
        <f t="shared" si="570"/>
        <v>0</v>
      </c>
      <c r="V2014" s="52">
        <f>IF(0&lt;0.8,0,IF(0&lt;1,Sheet3!L561,1))*IF(G2014&lt;3,0.12 - O2014,0.01) *U2014</f>
        <v>0</v>
      </c>
      <c r="W2014" s="52">
        <f t="shared" si="571"/>
        <v>0</v>
      </c>
      <c r="X2014" s="53">
        <f t="shared" si="572"/>
        <v>0</v>
      </c>
      <c r="Y2014" s="53">
        <f t="shared" si="573"/>
        <v>0</v>
      </c>
      <c r="Z2014" s="54">
        <f t="shared" si="581"/>
        <v>0</v>
      </c>
      <c r="AA2014" s="54">
        <f t="shared" si="574"/>
        <v>0</v>
      </c>
      <c r="AB2014" s="55">
        <f t="shared" si="582"/>
        <v>0</v>
      </c>
      <c r="AC2014" s="55">
        <f t="shared" si="575"/>
        <v>0</v>
      </c>
      <c r="AD2014" s="56">
        <f t="shared" si="576"/>
        <v>12035.91</v>
      </c>
    </row>
    <row r="2015" spans="3:30">
      <c r="C2015" s="43" t="s">
        <v>3706</v>
      </c>
      <c r="D2015" s="44" t="s">
        <v>3707</v>
      </c>
      <c r="E2015" s="44"/>
      <c r="F2015" s="45">
        <v>42458.584965277776</v>
      </c>
      <c r="G2015" s="46">
        <v>30</v>
      </c>
      <c r="H2015" s="47">
        <v>43391</v>
      </c>
      <c r="I2015" s="47">
        <v>43455</v>
      </c>
      <c r="J2015" s="46">
        <v>10491828</v>
      </c>
      <c r="K2015" s="46">
        <v>0</v>
      </c>
      <c r="L2015" s="46">
        <v>0</v>
      </c>
      <c r="M2015" s="46">
        <f t="shared" si="565"/>
        <v>10491828</v>
      </c>
      <c r="N2015" s="46">
        <v>10292290</v>
      </c>
      <c r="O2015" s="48">
        <f t="shared" si="566"/>
        <v>0</v>
      </c>
      <c r="P2015" s="46">
        <v>0</v>
      </c>
      <c r="Q2015" s="46">
        <v>10491828</v>
      </c>
      <c r="R2015" s="49">
        <f t="shared" si="567"/>
        <v>1</v>
      </c>
      <c r="S2015" s="50">
        <f t="shared" si="568"/>
        <v>0.01</v>
      </c>
      <c r="T2015" s="49">
        <f t="shared" si="569"/>
        <v>104918.28</v>
      </c>
      <c r="U2015" s="51">
        <f t="shared" si="570"/>
        <v>0</v>
      </c>
      <c r="V2015" s="52">
        <f>IF(0&lt;0.8,0,IF(0&lt;1,Sheet3!L561,1))*IF(G2015&lt;3,0.12 - O2015,0.01) *U2015</f>
        <v>0</v>
      </c>
      <c r="W2015" s="52">
        <f t="shared" si="571"/>
        <v>0</v>
      </c>
      <c r="X2015" s="53">
        <f t="shared" si="572"/>
        <v>0</v>
      </c>
      <c r="Y2015" s="53">
        <f t="shared" si="573"/>
        <v>0</v>
      </c>
      <c r="Z2015" s="54">
        <f t="shared" si="581"/>
        <v>0</v>
      </c>
      <c r="AA2015" s="54">
        <f t="shared" si="574"/>
        <v>0</v>
      </c>
      <c r="AB2015" s="55">
        <f t="shared" si="582"/>
        <v>0</v>
      </c>
      <c r="AC2015" s="55">
        <f t="shared" si="575"/>
        <v>0</v>
      </c>
      <c r="AD2015" s="56">
        <f t="shared" si="576"/>
        <v>104918.28</v>
      </c>
    </row>
    <row r="2016" spans="3:30">
      <c r="C2016" s="43" t="s">
        <v>3708</v>
      </c>
      <c r="D2016" s="44" t="s">
        <v>3709</v>
      </c>
      <c r="E2016" s="44"/>
      <c r="F2016" s="45">
        <v>42459.595057870371</v>
      </c>
      <c r="G2016" s="46">
        <v>30</v>
      </c>
      <c r="H2016" s="47">
        <v>43396</v>
      </c>
      <c r="I2016" s="47">
        <v>43410</v>
      </c>
      <c r="J2016" s="46">
        <v>719587</v>
      </c>
      <c r="K2016" s="46">
        <v>0</v>
      </c>
      <c r="L2016" s="46">
        <v>0</v>
      </c>
      <c r="M2016" s="46">
        <f t="shared" si="565"/>
        <v>719587</v>
      </c>
      <c r="N2016" s="46">
        <v>719587</v>
      </c>
      <c r="O2016" s="48">
        <f t="shared" si="566"/>
        <v>0</v>
      </c>
      <c r="P2016" s="46">
        <v>0</v>
      </c>
      <c r="Q2016" s="46">
        <v>719587</v>
      </c>
      <c r="R2016" s="49">
        <f t="shared" si="567"/>
        <v>1</v>
      </c>
      <c r="S2016" s="50">
        <f t="shared" si="568"/>
        <v>0.01</v>
      </c>
      <c r="T2016" s="49">
        <f t="shared" si="569"/>
        <v>7195.87</v>
      </c>
      <c r="U2016" s="51">
        <f t="shared" si="570"/>
        <v>0</v>
      </c>
      <c r="V2016" s="52">
        <f>IF(0&lt;0.8,0,IF(0&lt;1,Sheet3!L561,1))*IF(G2016&lt;3,0.12 - O2016,0.01) *U2016</f>
        <v>0</v>
      </c>
      <c r="W2016" s="52">
        <f t="shared" si="571"/>
        <v>0</v>
      </c>
      <c r="X2016" s="53">
        <f t="shared" si="572"/>
        <v>0</v>
      </c>
      <c r="Y2016" s="53">
        <f t="shared" si="573"/>
        <v>0</v>
      </c>
      <c r="Z2016" s="54">
        <f t="shared" si="581"/>
        <v>0</v>
      </c>
      <c r="AA2016" s="54">
        <f t="shared" si="574"/>
        <v>0</v>
      </c>
      <c r="AB2016" s="55">
        <f t="shared" si="582"/>
        <v>0</v>
      </c>
      <c r="AC2016" s="55">
        <f t="shared" si="575"/>
        <v>0</v>
      </c>
      <c r="AD2016" s="56">
        <f t="shared" si="576"/>
        <v>7195.87</v>
      </c>
    </row>
    <row r="2017" spans="3:30">
      <c r="C2017" s="43" t="s">
        <v>3710</v>
      </c>
      <c r="D2017" s="44" t="s">
        <v>3711</v>
      </c>
      <c r="E2017" s="44"/>
      <c r="F2017" s="45">
        <v>42464.574293981481</v>
      </c>
      <c r="G2017" s="46">
        <v>29</v>
      </c>
      <c r="H2017" s="47">
        <v>43396</v>
      </c>
      <c r="I2017" s="47">
        <v>43405</v>
      </c>
      <c r="J2017" s="46">
        <v>381997</v>
      </c>
      <c r="K2017" s="46">
        <v>0</v>
      </c>
      <c r="L2017" s="46">
        <v>0</v>
      </c>
      <c r="M2017" s="46">
        <f t="shared" si="565"/>
        <v>381997</v>
      </c>
      <c r="N2017" s="46">
        <v>381997</v>
      </c>
      <c r="O2017" s="48">
        <f t="shared" si="566"/>
        <v>0</v>
      </c>
      <c r="P2017" s="46">
        <v>0</v>
      </c>
      <c r="Q2017" s="46">
        <v>381997</v>
      </c>
      <c r="R2017" s="49">
        <f t="shared" si="567"/>
        <v>1</v>
      </c>
      <c r="S2017" s="50">
        <f t="shared" si="568"/>
        <v>0.01</v>
      </c>
      <c r="T2017" s="49">
        <f t="shared" si="569"/>
        <v>3819.9700000000003</v>
      </c>
      <c r="U2017" s="51">
        <f t="shared" si="570"/>
        <v>0</v>
      </c>
      <c r="V2017" s="52">
        <f>IF(0&lt;0.8,0,IF(0&lt;1,Sheet3!L561,1))*IF(G2017&lt;3,0.12 - O2017,0.01) *U2017</f>
        <v>0</v>
      </c>
      <c r="W2017" s="52">
        <f t="shared" si="571"/>
        <v>0</v>
      </c>
      <c r="X2017" s="53">
        <f t="shared" si="572"/>
        <v>0</v>
      </c>
      <c r="Y2017" s="53">
        <f t="shared" si="573"/>
        <v>0</v>
      </c>
      <c r="Z2017" s="54">
        <f t="shared" si="581"/>
        <v>0</v>
      </c>
      <c r="AA2017" s="54">
        <f t="shared" si="574"/>
        <v>0</v>
      </c>
      <c r="AB2017" s="55">
        <f t="shared" si="582"/>
        <v>0</v>
      </c>
      <c r="AC2017" s="55">
        <f t="shared" si="575"/>
        <v>0</v>
      </c>
      <c r="AD2017" s="56">
        <f t="shared" si="576"/>
        <v>3819.9700000000003</v>
      </c>
    </row>
    <row r="2018" spans="3:30">
      <c r="C2018" s="43" t="s">
        <v>3712</v>
      </c>
      <c r="D2018" s="44" t="s">
        <v>3713</v>
      </c>
      <c r="E2018" s="44"/>
      <c r="F2018" s="45">
        <v>42576.259745370371</v>
      </c>
      <c r="G2018" s="46">
        <v>26</v>
      </c>
      <c r="H2018" s="47">
        <v>43391</v>
      </c>
      <c r="I2018" s="47">
        <v>43398</v>
      </c>
      <c r="J2018" s="46">
        <v>685828</v>
      </c>
      <c r="K2018" s="46">
        <v>0</v>
      </c>
      <c r="L2018" s="46">
        <v>0</v>
      </c>
      <c r="M2018" s="46">
        <f t="shared" si="565"/>
        <v>685828</v>
      </c>
      <c r="N2018" s="46">
        <v>685828</v>
      </c>
      <c r="O2018" s="48">
        <f t="shared" si="566"/>
        <v>0</v>
      </c>
      <c r="P2018" s="46">
        <v>0</v>
      </c>
      <c r="Q2018" s="46">
        <v>685828</v>
      </c>
      <c r="R2018" s="49">
        <f t="shared" si="567"/>
        <v>1</v>
      </c>
      <c r="S2018" s="50">
        <f t="shared" si="568"/>
        <v>0.01</v>
      </c>
      <c r="T2018" s="49">
        <f t="shared" si="569"/>
        <v>6858.28</v>
      </c>
      <c r="U2018" s="51">
        <f t="shared" si="570"/>
        <v>0</v>
      </c>
      <c r="V2018" s="52">
        <f>IF(0&lt;0.8,0,IF(0&lt;1,Sheet3!L561,1))*IF(G2018&lt;3,0.12 - O2018,0.01) *U2018</f>
        <v>0</v>
      </c>
      <c r="W2018" s="52">
        <f t="shared" si="571"/>
        <v>0</v>
      </c>
      <c r="X2018" s="53">
        <f t="shared" si="572"/>
        <v>0</v>
      </c>
      <c r="Y2018" s="53">
        <f t="shared" si="573"/>
        <v>0</v>
      </c>
      <c r="Z2018" s="54">
        <f t="shared" si="581"/>
        <v>0</v>
      </c>
      <c r="AA2018" s="54">
        <f t="shared" si="574"/>
        <v>0</v>
      </c>
      <c r="AB2018" s="55">
        <f t="shared" si="582"/>
        <v>0</v>
      </c>
      <c r="AC2018" s="55">
        <f t="shared" si="575"/>
        <v>0</v>
      </c>
      <c r="AD2018" s="56">
        <f t="shared" si="576"/>
        <v>6858.28</v>
      </c>
    </row>
    <row r="2019" spans="3:30">
      <c r="C2019" s="43" t="s">
        <v>3714</v>
      </c>
      <c r="D2019" s="44" t="s">
        <v>3715</v>
      </c>
      <c r="E2019" s="44"/>
      <c r="F2019" s="45">
        <v>42741.323321759257</v>
      </c>
      <c r="G2019" s="46">
        <v>20</v>
      </c>
      <c r="H2019" s="47">
        <v>43391</v>
      </c>
      <c r="I2019" s="47">
        <v>43399</v>
      </c>
      <c r="J2019" s="46">
        <v>5059897</v>
      </c>
      <c r="K2019" s="46">
        <v>0</v>
      </c>
      <c r="L2019" s="46">
        <v>0</v>
      </c>
      <c r="M2019" s="46">
        <f t="shared" si="565"/>
        <v>5059897</v>
      </c>
      <c r="N2019" s="46">
        <v>5024994</v>
      </c>
      <c r="O2019" s="48">
        <f t="shared" si="566"/>
        <v>0</v>
      </c>
      <c r="P2019" s="46">
        <v>0</v>
      </c>
      <c r="Q2019" s="46">
        <v>5059897</v>
      </c>
      <c r="R2019" s="49">
        <f t="shared" si="567"/>
        <v>1</v>
      </c>
      <c r="S2019" s="50">
        <f t="shared" si="568"/>
        <v>0.01</v>
      </c>
      <c r="T2019" s="49">
        <f t="shared" si="569"/>
        <v>50598.97</v>
      </c>
      <c r="U2019" s="51">
        <f t="shared" si="570"/>
        <v>0</v>
      </c>
      <c r="V2019" s="52">
        <f>IF(0&lt;0.8,0,IF(0&lt;1,Sheet3!L561,1))*IF(G2019&lt;3,0.12 - O2019,0.01) *U2019</f>
        <v>0</v>
      </c>
      <c r="W2019" s="52">
        <f t="shared" si="571"/>
        <v>0</v>
      </c>
      <c r="X2019" s="53">
        <f t="shared" si="572"/>
        <v>0</v>
      </c>
      <c r="Y2019" s="53">
        <f t="shared" si="573"/>
        <v>0</v>
      </c>
      <c r="Z2019" s="54">
        <f t="shared" si="581"/>
        <v>0</v>
      </c>
      <c r="AA2019" s="54">
        <f t="shared" si="574"/>
        <v>0</v>
      </c>
      <c r="AB2019" s="55">
        <f t="shared" si="582"/>
        <v>0</v>
      </c>
      <c r="AC2019" s="55">
        <f t="shared" si="575"/>
        <v>0</v>
      </c>
      <c r="AD2019" s="56">
        <f t="shared" si="576"/>
        <v>50598.97</v>
      </c>
    </row>
    <row r="2020" spans="3:30">
      <c r="C2020" s="43" t="s">
        <v>3716</v>
      </c>
      <c r="D2020" s="44" t="s">
        <v>3717</v>
      </c>
      <c r="E2020" s="44"/>
      <c r="F2020" s="45">
        <v>42790.265555555554</v>
      </c>
      <c r="G2020" s="46">
        <v>19</v>
      </c>
      <c r="H2020" s="47">
        <v>43396</v>
      </c>
      <c r="I2020" s="47">
        <v>43454</v>
      </c>
      <c r="J2020" s="46">
        <v>101640</v>
      </c>
      <c r="K2020" s="46">
        <v>0</v>
      </c>
      <c r="L2020" s="46">
        <v>0</v>
      </c>
      <c r="M2020" s="46">
        <f t="shared" si="565"/>
        <v>101640</v>
      </c>
      <c r="N2020" s="46">
        <v>101640</v>
      </c>
      <c r="O2020" s="48">
        <f t="shared" si="566"/>
        <v>0</v>
      </c>
      <c r="P2020" s="46">
        <v>0</v>
      </c>
      <c r="Q2020" s="46">
        <v>101640</v>
      </c>
      <c r="R2020" s="49">
        <f t="shared" si="567"/>
        <v>1</v>
      </c>
      <c r="S2020" s="50">
        <f t="shared" si="568"/>
        <v>0.01</v>
      </c>
      <c r="T2020" s="49">
        <f t="shared" si="569"/>
        <v>1016.4</v>
      </c>
      <c r="U2020" s="51">
        <f t="shared" si="570"/>
        <v>0</v>
      </c>
      <c r="V2020" s="52">
        <f>IF(0&lt;0.8,0,IF(0&lt;1,Sheet3!L561,1))*IF(G2020&lt;3,0.12 - O2020,0.01) *U2020</f>
        <v>0</v>
      </c>
      <c r="W2020" s="52">
        <f t="shared" si="571"/>
        <v>0</v>
      </c>
      <c r="X2020" s="53">
        <f t="shared" si="572"/>
        <v>0</v>
      </c>
      <c r="Y2020" s="53">
        <f t="shared" si="573"/>
        <v>0</v>
      </c>
      <c r="Z2020" s="54">
        <f t="shared" si="581"/>
        <v>0</v>
      </c>
      <c r="AA2020" s="54">
        <f t="shared" si="574"/>
        <v>0</v>
      </c>
      <c r="AB2020" s="55">
        <f t="shared" si="582"/>
        <v>0</v>
      </c>
      <c r="AC2020" s="55">
        <f t="shared" si="575"/>
        <v>0</v>
      </c>
      <c r="AD2020" s="56">
        <f t="shared" si="576"/>
        <v>1016.4</v>
      </c>
    </row>
    <row r="2021" spans="3:30">
      <c r="C2021" s="43" t="s">
        <v>3718</v>
      </c>
      <c r="D2021" s="44" t="s">
        <v>3719</v>
      </c>
      <c r="E2021" s="44"/>
      <c r="F2021" s="45">
        <v>42866.119039351848</v>
      </c>
      <c r="G2021" s="46">
        <v>16</v>
      </c>
      <c r="H2021" s="47">
        <v>43391</v>
      </c>
      <c r="I2021" s="47">
        <v>43399</v>
      </c>
      <c r="J2021" s="46">
        <v>1178903</v>
      </c>
      <c r="K2021" s="46">
        <v>0</v>
      </c>
      <c r="L2021" s="46">
        <v>0</v>
      </c>
      <c r="M2021" s="46">
        <f t="shared" si="565"/>
        <v>1178903</v>
      </c>
      <c r="N2021" s="46">
        <v>1156639</v>
      </c>
      <c r="O2021" s="48">
        <f t="shared" si="566"/>
        <v>0</v>
      </c>
      <c r="P2021" s="46">
        <v>0</v>
      </c>
      <c r="Q2021" s="46">
        <v>1178903</v>
      </c>
      <c r="R2021" s="49">
        <f t="shared" si="567"/>
        <v>1</v>
      </c>
      <c r="S2021" s="50">
        <f t="shared" si="568"/>
        <v>0.01</v>
      </c>
      <c r="T2021" s="49">
        <f t="shared" si="569"/>
        <v>11789.03</v>
      </c>
      <c r="U2021" s="51">
        <f t="shared" si="570"/>
        <v>0</v>
      </c>
      <c r="V2021" s="52">
        <f>IF(0&lt;0.8,0,IF(0&lt;1,Sheet3!L561,1))*IF(G2021&lt;3,0.12 - O2021,0.01) *U2021</f>
        <v>0</v>
      </c>
      <c r="W2021" s="52">
        <f t="shared" si="571"/>
        <v>0</v>
      </c>
      <c r="X2021" s="53">
        <f t="shared" si="572"/>
        <v>0</v>
      </c>
      <c r="Y2021" s="53">
        <f t="shared" si="573"/>
        <v>0</v>
      </c>
      <c r="Z2021" s="54">
        <f t="shared" si="581"/>
        <v>0</v>
      </c>
      <c r="AA2021" s="54">
        <f t="shared" si="574"/>
        <v>0</v>
      </c>
      <c r="AB2021" s="55">
        <f t="shared" si="582"/>
        <v>0</v>
      </c>
      <c r="AC2021" s="55">
        <f t="shared" si="575"/>
        <v>0</v>
      </c>
      <c r="AD2021" s="56">
        <f t="shared" si="576"/>
        <v>11789.03</v>
      </c>
    </row>
    <row r="2022" spans="3:30">
      <c r="C2022" s="43" t="s">
        <v>3720</v>
      </c>
      <c r="D2022" s="44" t="s">
        <v>3721</v>
      </c>
      <c r="E2022" s="44"/>
      <c r="F2022" s="45">
        <v>42903.292719907404</v>
      </c>
      <c r="G2022" s="46">
        <v>15</v>
      </c>
      <c r="H2022" s="47">
        <v>43396</v>
      </c>
      <c r="I2022" s="47">
        <v>43404</v>
      </c>
      <c r="J2022" s="46">
        <v>1012141</v>
      </c>
      <c r="K2022" s="46">
        <v>0</v>
      </c>
      <c r="L2022" s="46">
        <v>0</v>
      </c>
      <c r="M2022" s="46">
        <f t="shared" si="565"/>
        <v>1012141</v>
      </c>
      <c r="N2022" s="46">
        <v>1012141</v>
      </c>
      <c r="O2022" s="48">
        <f t="shared" si="566"/>
        <v>0</v>
      </c>
      <c r="P2022" s="46">
        <v>0</v>
      </c>
      <c r="Q2022" s="46">
        <v>1012141</v>
      </c>
      <c r="R2022" s="49">
        <f t="shared" si="567"/>
        <v>1</v>
      </c>
      <c r="S2022" s="50">
        <f t="shared" si="568"/>
        <v>0.01</v>
      </c>
      <c r="T2022" s="49">
        <f t="shared" si="569"/>
        <v>10121.41</v>
      </c>
      <c r="U2022" s="51">
        <f t="shared" si="570"/>
        <v>0</v>
      </c>
      <c r="V2022" s="52">
        <f>IF(0&lt;0.8,0,IF(0&lt;1,Sheet3!L561,1))*IF(G2022&lt;3,0.12 - O2022,0.01) *U2022</f>
        <v>0</v>
      </c>
      <c r="W2022" s="52">
        <f t="shared" si="571"/>
        <v>0</v>
      </c>
      <c r="X2022" s="53">
        <f t="shared" si="572"/>
        <v>0</v>
      </c>
      <c r="Y2022" s="53">
        <f t="shared" si="573"/>
        <v>0</v>
      </c>
      <c r="Z2022" s="54">
        <f t="shared" si="581"/>
        <v>0</v>
      </c>
      <c r="AA2022" s="54">
        <f t="shared" si="574"/>
        <v>0</v>
      </c>
      <c r="AB2022" s="55">
        <f t="shared" si="582"/>
        <v>0</v>
      </c>
      <c r="AC2022" s="55">
        <f t="shared" si="575"/>
        <v>0</v>
      </c>
      <c r="AD2022" s="56">
        <f t="shared" si="576"/>
        <v>10121.41</v>
      </c>
    </row>
    <row r="2023" spans="3:30">
      <c r="C2023" s="43" t="s">
        <v>3722</v>
      </c>
      <c r="D2023" s="44" t="s">
        <v>3723</v>
      </c>
      <c r="E2023" s="44"/>
      <c r="F2023" s="45">
        <v>43166.196932870371</v>
      </c>
      <c r="G2023" s="46">
        <v>6</v>
      </c>
      <c r="H2023" s="47">
        <v>43376</v>
      </c>
      <c r="I2023" s="47">
        <v>43389</v>
      </c>
      <c r="J2023" s="46">
        <v>1784197</v>
      </c>
      <c r="K2023" s="46">
        <v>0</v>
      </c>
      <c r="L2023" s="46">
        <v>0</v>
      </c>
      <c r="M2023" s="46">
        <f t="shared" si="565"/>
        <v>1784197</v>
      </c>
      <c r="N2023" s="46">
        <v>1779256</v>
      </c>
      <c r="O2023" s="48">
        <f t="shared" si="566"/>
        <v>0</v>
      </c>
      <c r="P2023" s="46">
        <v>0</v>
      </c>
      <c r="Q2023" s="46">
        <v>1784197</v>
      </c>
      <c r="R2023" s="49">
        <f t="shared" si="567"/>
        <v>1</v>
      </c>
      <c r="S2023" s="50">
        <f t="shared" si="568"/>
        <v>0.01</v>
      </c>
      <c r="T2023" s="49">
        <f t="shared" si="569"/>
        <v>17841.97</v>
      </c>
      <c r="U2023" s="51">
        <f t="shared" si="570"/>
        <v>0</v>
      </c>
      <c r="V2023" s="52">
        <f>IF(0&lt;0.8,0,IF(0&lt;1,Sheet3!L561,1))*IF(G2023&lt;3,0.12 - O2023,0.01) *U2023</f>
        <v>0</v>
      </c>
      <c r="W2023" s="52">
        <f t="shared" si="571"/>
        <v>0</v>
      </c>
      <c r="X2023" s="53">
        <f t="shared" si="572"/>
        <v>0</v>
      </c>
      <c r="Y2023" s="53">
        <f t="shared" si="573"/>
        <v>0</v>
      </c>
      <c r="Z2023" s="54">
        <f t="shared" si="581"/>
        <v>0</v>
      </c>
      <c r="AA2023" s="54">
        <f t="shared" si="574"/>
        <v>0</v>
      </c>
      <c r="AB2023" s="55">
        <f t="shared" si="582"/>
        <v>0</v>
      </c>
      <c r="AC2023" s="55">
        <f t="shared" si="575"/>
        <v>0</v>
      </c>
      <c r="AD2023" s="56">
        <f t="shared" si="576"/>
        <v>17841.97</v>
      </c>
    </row>
    <row r="2024" spans="3:30">
      <c r="C2024" s="43" t="s">
        <v>3724</v>
      </c>
      <c r="D2024" s="44" t="s">
        <v>3725</v>
      </c>
      <c r="E2024" s="44"/>
      <c r="F2024" s="45">
        <v>43313.137662037036</v>
      </c>
      <c r="G2024" s="46">
        <v>1</v>
      </c>
      <c r="H2024" s="47">
        <v>43396</v>
      </c>
      <c r="I2024" s="47">
        <v>43404</v>
      </c>
      <c r="J2024" s="46">
        <v>286770</v>
      </c>
      <c r="K2024" s="46">
        <v>0</v>
      </c>
      <c r="L2024" s="46">
        <v>0</v>
      </c>
      <c r="M2024" s="46">
        <f t="shared" si="565"/>
        <v>286770</v>
      </c>
      <c r="N2024" s="46">
        <v>286770</v>
      </c>
      <c r="O2024" s="48">
        <f t="shared" si="566"/>
        <v>0</v>
      </c>
      <c r="P2024" s="46">
        <v>0</v>
      </c>
      <c r="Q2024" s="46">
        <v>0</v>
      </c>
      <c r="R2024" s="49">
        <f t="shared" si="567"/>
        <v>0</v>
      </c>
      <c r="S2024" s="50">
        <f t="shared" si="568"/>
        <v>0</v>
      </c>
      <c r="T2024" s="49">
        <f t="shared" si="569"/>
        <v>0</v>
      </c>
      <c r="U2024" s="51">
        <f t="shared" si="570"/>
        <v>286770</v>
      </c>
      <c r="V2024" s="52">
        <f>IF(0&lt;0.8,0,IF(0&lt;1,Sheet3!L561,1))*IF(G2024&lt;3,0.12 - O2024,0.01) *U2024</f>
        <v>0</v>
      </c>
      <c r="W2024" s="52">
        <f t="shared" si="571"/>
        <v>0</v>
      </c>
      <c r="X2024" s="53">
        <f t="shared" si="572"/>
        <v>0</v>
      </c>
      <c r="Y2024" s="53">
        <f t="shared" si="573"/>
        <v>0</v>
      </c>
      <c r="Z2024" s="54">
        <f t="shared" si="581"/>
        <v>0</v>
      </c>
      <c r="AA2024" s="54">
        <f t="shared" si="574"/>
        <v>0</v>
      </c>
      <c r="AB2024" s="55">
        <f t="shared" si="582"/>
        <v>0</v>
      </c>
      <c r="AC2024" s="55">
        <f t="shared" si="575"/>
        <v>0</v>
      </c>
      <c r="AD2024" s="56">
        <f t="shared" si="576"/>
        <v>0</v>
      </c>
    </row>
    <row r="2025" spans="3:30">
      <c r="C2025" s="43" t="s">
        <v>3726</v>
      </c>
      <c r="D2025" s="44" t="s">
        <v>3727</v>
      </c>
      <c r="E2025" s="44"/>
      <c r="F2025" s="45">
        <v>43360.175208333334</v>
      </c>
      <c r="G2025" s="46">
        <v>0</v>
      </c>
      <c r="H2025" s="47">
        <v>43391</v>
      </c>
      <c r="I2025" s="47">
        <v>43398</v>
      </c>
      <c r="J2025" s="46">
        <v>756008</v>
      </c>
      <c r="K2025" s="46">
        <v>0</v>
      </c>
      <c r="L2025" s="46">
        <v>0</v>
      </c>
      <c r="M2025" s="46">
        <f t="shared" si="565"/>
        <v>756008</v>
      </c>
      <c r="N2025" s="46">
        <v>756008</v>
      </c>
      <c r="O2025" s="48">
        <f t="shared" si="566"/>
        <v>0</v>
      </c>
      <c r="P2025" s="46">
        <v>0</v>
      </c>
      <c r="Q2025" s="46">
        <v>0</v>
      </c>
      <c r="R2025" s="49">
        <f t="shared" si="567"/>
        <v>0</v>
      </c>
      <c r="S2025" s="50">
        <f t="shared" si="568"/>
        <v>0</v>
      </c>
      <c r="T2025" s="49">
        <f t="shared" si="569"/>
        <v>0</v>
      </c>
      <c r="U2025" s="51">
        <f t="shared" si="570"/>
        <v>756008</v>
      </c>
      <c r="V2025" s="52">
        <f>IF(0&lt;0.8,0,IF(0&lt;1,Sheet3!L561,1))*IF(G2025&lt;3,0.12 - O2025,0.01) *U2025</f>
        <v>0</v>
      </c>
      <c r="W2025" s="52">
        <f t="shared" si="571"/>
        <v>0</v>
      </c>
      <c r="X2025" s="53">
        <f t="shared" si="572"/>
        <v>0</v>
      </c>
      <c r="Y2025" s="53">
        <f t="shared" si="573"/>
        <v>0</v>
      </c>
      <c r="Z2025" s="54">
        <f t="shared" si="581"/>
        <v>0</v>
      </c>
      <c r="AA2025" s="54">
        <f t="shared" si="574"/>
        <v>0</v>
      </c>
      <c r="AB2025" s="55">
        <f t="shared" si="582"/>
        <v>0</v>
      </c>
      <c r="AC2025" s="55">
        <f t="shared" si="575"/>
        <v>0</v>
      </c>
      <c r="AD2025" s="56">
        <f t="shared" si="576"/>
        <v>0</v>
      </c>
    </row>
    <row r="2026" spans="3:30">
      <c r="C2026" s="43" t="s">
        <v>3728</v>
      </c>
      <c r="D2026" s="44" t="s">
        <v>3729</v>
      </c>
      <c r="E2026" s="44"/>
      <c r="F2026" s="45">
        <v>38960.638425925921</v>
      </c>
      <c r="G2026" s="46">
        <v>145</v>
      </c>
      <c r="H2026" s="47">
        <v>43404</v>
      </c>
      <c r="I2026" s="47">
        <v>43423</v>
      </c>
      <c r="J2026" s="46">
        <v>499762299</v>
      </c>
      <c r="K2026" s="46">
        <v>29991021</v>
      </c>
      <c r="L2026" s="46">
        <v>0</v>
      </c>
      <c r="M2026" s="46">
        <f t="shared" si="565"/>
        <v>469771278</v>
      </c>
      <c r="N2026" s="46">
        <v>638333710</v>
      </c>
      <c r="O2026" s="48">
        <f t="shared" si="566"/>
        <v>0.26406631728723839</v>
      </c>
      <c r="P2026" s="46">
        <v>0</v>
      </c>
      <c r="Q2026" s="46">
        <v>499762299</v>
      </c>
      <c r="R2026" s="49">
        <f t="shared" si="567"/>
        <v>1</v>
      </c>
      <c r="S2026" s="50">
        <f t="shared" si="568"/>
        <v>0.01</v>
      </c>
      <c r="T2026" s="49">
        <f t="shared" si="569"/>
        <v>4697712.78</v>
      </c>
      <c r="U2026" s="51">
        <f t="shared" si="570"/>
        <v>0</v>
      </c>
      <c r="V2026" s="52">
        <f>IF(0&lt;0.8,0,IF(0&lt;1,Sheet3!L561,1))*IF(G2026&lt;3,0.12 - O2026,0.01) *U2026</f>
        <v>0</v>
      </c>
      <c r="W2026" s="52">
        <f t="shared" si="571"/>
        <v>0</v>
      </c>
      <c r="X2026" s="53">
        <f t="shared" si="572"/>
        <v>0</v>
      </c>
      <c r="Y2026" s="53">
        <f t="shared" si="573"/>
        <v>0</v>
      </c>
      <c r="Z2026" s="54">
        <f t="shared" si="581"/>
        <v>0</v>
      </c>
      <c r="AA2026" s="54">
        <f t="shared" si="574"/>
        <v>0</v>
      </c>
      <c r="AB2026" s="55">
        <f t="shared" si="582"/>
        <v>0</v>
      </c>
      <c r="AC2026" s="55">
        <f t="shared" si="575"/>
        <v>0</v>
      </c>
      <c r="AD2026" s="56">
        <f t="shared" si="576"/>
        <v>4697712.78</v>
      </c>
    </row>
    <row r="2027" spans="3:30">
      <c r="C2027" s="43" t="s">
        <v>3730</v>
      </c>
      <c r="D2027" s="44" t="s">
        <v>3731</v>
      </c>
      <c r="E2027" s="44"/>
      <c r="F2027" s="45">
        <v>38960.638437499998</v>
      </c>
      <c r="G2027" s="46">
        <v>145</v>
      </c>
      <c r="H2027" s="47">
        <v>43396</v>
      </c>
      <c r="I2027" s="47">
        <v>43439</v>
      </c>
      <c r="J2027" s="46">
        <v>608055</v>
      </c>
      <c r="K2027" s="46">
        <v>0</v>
      </c>
      <c r="L2027" s="46">
        <v>0</v>
      </c>
      <c r="M2027" s="46">
        <f t="shared" si="565"/>
        <v>608055</v>
      </c>
      <c r="N2027" s="46">
        <v>566172</v>
      </c>
      <c r="O2027" s="48">
        <f t="shared" si="566"/>
        <v>0</v>
      </c>
      <c r="P2027" s="46">
        <v>0</v>
      </c>
      <c r="Q2027" s="46">
        <v>608055</v>
      </c>
      <c r="R2027" s="49">
        <f t="shared" si="567"/>
        <v>1</v>
      </c>
      <c r="S2027" s="50">
        <f t="shared" si="568"/>
        <v>0.01</v>
      </c>
      <c r="T2027" s="49">
        <f t="shared" si="569"/>
        <v>6080.55</v>
      </c>
      <c r="U2027" s="51">
        <f t="shared" si="570"/>
        <v>0</v>
      </c>
      <c r="V2027" s="52">
        <f>IF(0&lt;0.8,0,IF(0&lt;1,Sheet3!L561,1))*IF(G2027&lt;3,0.12 - O2027,0.01) *U2027</f>
        <v>0</v>
      </c>
      <c r="W2027" s="52">
        <f t="shared" si="571"/>
        <v>0</v>
      </c>
      <c r="X2027" s="53">
        <f t="shared" si="572"/>
        <v>0</v>
      </c>
      <c r="Y2027" s="53">
        <f t="shared" si="573"/>
        <v>0</v>
      </c>
      <c r="Z2027" s="54">
        <f t="shared" si="581"/>
        <v>0</v>
      </c>
      <c r="AA2027" s="54">
        <f t="shared" si="574"/>
        <v>0</v>
      </c>
      <c r="AB2027" s="55">
        <f t="shared" si="582"/>
        <v>0</v>
      </c>
      <c r="AC2027" s="55">
        <f t="shared" si="575"/>
        <v>0</v>
      </c>
      <c r="AD2027" s="56">
        <f t="shared" si="576"/>
        <v>6080.55</v>
      </c>
    </row>
    <row r="2028" spans="3:30">
      <c r="C2028" s="43" t="s">
        <v>3732</v>
      </c>
      <c r="D2028" s="44" t="s">
        <v>24</v>
      </c>
      <c r="E2028" s="44"/>
      <c r="F2028" s="45" t="s">
        <v>24</v>
      </c>
      <c r="G2028" s="46" t="s">
        <v>24</v>
      </c>
      <c r="H2028" s="47" t="s">
        <v>24</v>
      </c>
      <c r="I2028" s="47" t="s">
        <v>24</v>
      </c>
      <c r="J2028" s="46">
        <v>14359758</v>
      </c>
      <c r="K2028" s="46">
        <v>0</v>
      </c>
      <c r="L2028" s="46">
        <v>0</v>
      </c>
      <c r="M2028" s="46">
        <f t="shared" si="565"/>
        <v>14359758</v>
      </c>
      <c r="N2028" s="46" t="s">
        <v>24</v>
      </c>
      <c r="O2028" s="48">
        <f t="shared" si="566"/>
        <v>0</v>
      </c>
      <c r="P2028" s="46">
        <v>0</v>
      </c>
      <c r="Q2028" s="46">
        <v>0</v>
      </c>
      <c r="R2028" s="49">
        <f t="shared" si="567"/>
        <v>0</v>
      </c>
      <c r="S2028" s="50">
        <f t="shared" si="568"/>
        <v>0</v>
      </c>
      <c r="T2028" s="49">
        <f t="shared" si="569"/>
        <v>0</v>
      </c>
      <c r="U2028" s="51">
        <f t="shared" si="570"/>
        <v>14359758</v>
      </c>
      <c r="V2028" s="52">
        <f>IF(0&lt;0.8,0,IF(0&lt;1,Sheet3!L561,1))*IF(G2028&lt;3,0.12 - O2028,0.01) *U2028</f>
        <v>0</v>
      </c>
      <c r="W2028" s="52">
        <f t="shared" si="571"/>
        <v>0</v>
      </c>
      <c r="X2028" s="53">
        <f t="shared" si="572"/>
        <v>0</v>
      </c>
      <c r="Y2028" s="53">
        <f t="shared" si="573"/>
        <v>0</v>
      </c>
      <c r="Z2028" s="54" t="str">
        <f>IF(R2028=1,0,"")</f>
        <v/>
      </c>
      <c r="AA2028" s="54">
        <f t="shared" si="574"/>
        <v>0</v>
      </c>
      <c r="AB2028" s="55" t="str">
        <f>IF(R2028=0,"",0)</f>
        <v/>
      </c>
      <c r="AC2028" s="55">
        <f t="shared" si="575"/>
        <v>0</v>
      </c>
      <c r="AD2028" s="56">
        <f t="shared" si="576"/>
        <v>0</v>
      </c>
    </row>
    <row r="2029" spans="3:30">
      <c r="C2029" s="43" t="s">
        <v>3733</v>
      </c>
      <c r="D2029" s="44" t="s">
        <v>3734</v>
      </c>
      <c r="E2029" s="44"/>
      <c r="F2029" s="45">
        <v>39270.627592592587</v>
      </c>
      <c r="G2029" s="46">
        <v>134</v>
      </c>
      <c r="H2029" s="47">
        <v>43404</v>
      </c>
      <c r="I2029" s="47">
        <v>43427</v>
      </c>
      <c r="J2029" s="46">
        <v>131788154</v>
      </c>
      <c r="K2029" s="46">
        <v>0</v>
      </c>
      <c r="L2029" s="46">
        <v>0</v>
      </c>
      <c r="M2029" s="46">
        <f t="shared" si="565"/>
        <v>131788154</v>
      </c>
      <c r="N2029" s="46">
        <v>150650124</v>
      </c>
      <c r="O2029" s="48">
        <f t="shared" si="566"/>
        <v>0.12520381330718322</v>
      </c>
      <c r="P2029" s="46">
        <v>0</v>
      </c>
      <c r="Q2029" s="46">
        <v>131788154</v>
      </c>
      <c r="R2029" s="49">
        <f t="shared" si="567"/>
        <v>1</v>
      </c>
      <c r="S2029" s="50">
        <f t="shared" si="568"/>
        <v>0.01</v>
      </c>
      <c r="T2029" s="49">
        <f t="shared" si="569"/>
        <v>1317881.54</v>
      </c>
      <c r="U2029" s="51">
        <f t="shared" si="570"/>
        <v>0</v>
      </c>
      <c r="V2029" s="52">
        <f>IF(0&lt;0.8,0,IF(0&lt;1,Sheet3!L561,1))*IF(G2029&lt;3,0.12 - O2029,0.01) *U2029</f>
        <v>0</v>
      </c>
      <c r="W2029" s="52">
        <f t="shared" si="571"/>
        <v>0</v>
      </c>
      <c r="X2029" s="53">
        <f t="shared" si="572"/>
        <v>0</v>
      </c>
      <c r="Y2029" s="53">
        <f t="shared" si="573"/>
        <v>0</v>
      </c>
      <c r="Z2029" s="54">
        <f>IF(R2029=1,0,500000)</f>
        <v>0</v>
      </c>
      <c r="AA2029" s="54">
        <f t="shared" si="574"/>
        <v>0</v>
      </c>
      <c r="AB2029" s="55">
        <f t="shared" ref="AB2029:AB2067" si="583">IF(R2029=0,0,0)</f>
        <v>0</v>
      </c>
      <c r="AC2029" s="55">
        <f t="shared" si="575"/>
        <v>0</v>
      </c>
      <c r="AD2029" s="56">
        <f t="shared" si="576"/>
        <v>1317881.54</v>
      </c>
    </row>
    <row r="2030" spans="3:30">
      <c r="C2030" s="43" t="s">
        <v>3735</v>
      </c>
      <c r="D2030" s="44" t="s">
        <v>3736</v>
      </c>
      <c r="E2030" s="44"/>
      <c r="F2030" s="45">
        <v>39651.689560185187</v>
      </c>
      <c r="G2030" s="46">
        <v>122</v>
      </c>
      <c r="H2030" s="47">
        <v>43390</v>
      </c>
      <c r="I2030" s="47">
        <v>43427</v>
      </c>
      <c r="J2030" s="46">
        <v>887898</v>
      </c>
      <c r="K2030" s="46">
        <v>0</v>
      </c>
      <c r="L2030" s="46">
        <v>0</v>
      </c>
      <c r="M2030" s="46">
        <f t="shared" si="565"/>
        <v>887898</v>
      </c>
      <c r="N2030" s="46">
        <v>887898</v>
      </c>
      <c r="O2030" s="48">
        <f t="shared" si="566"/>
        <v>0</v>
      </c>
      <c r="P2030" s="46">
        <v>0</v>
      </c>
      <c r="Q2030" s="46">
        <v>887898</v>
      </c>
      <c r="R2030" s="49">
        <f t="shared" si="567"/>
        <v>1</v>
      </c>
      <c r="S2030" s="50">
        <f t="shared" si="568"/>
        <v>0.01</v>
      </c>
      <c r="T2030" s="49">
        <f t="shared" si="569"/>
        <v>8878.98</v>
      </c>
      <c r="U2030" s="51">
        <f t="shared" si="570"/>
        <v>0</v>
      </c>
      <c r="V2030" s="52">
        <f>IF(0&lt;0.8,0,IF(0&lt;1,Sheet3!L561,1))*IF(G2030&lt;3,0.12 - O2030,0.01) *U2030</f>
        <v>0</v>
      </c>
      <c r="W2030" s="52">
        <f t="shared" si="571"/>
        <v>0</v>
      </c>
      <c r="X2030" s="53">
        <f t="shared" si="572"/>
        <v>0</v>
      </c>
      <c r="Y2030" s="53">
        <f t="shared" si="573"/>
        <v>0</v>
      </c>
      <c r="Z2030" s="54">
        <f t="shared" ref="Z2030:Z2067" si="584">IF(R2030=1,0,0)</f>
        <v>0</v>
      </c>
      <c r="AA2030" s="54">
        <f t="shared" si="574"/>
        <v>0</v>
      </c>
      <c r="AB2030" s="55">
        <f t="shared" si="583"/>
        <v>0</v>
      </c>
      <c r="AC2030" s="55">
        <f t="shared" si="575"/>
        <v>0</v>
      </c>
      <c r="AD2030" s="56">
        <f t="shared" si="576"/>
        <v>8878.98</v>
      </c>
    </row>
    <row r="2031" spans="3:30">
      <c r="C2031" s="43" t="s">
        <v>3737</v>
      </c>
      <c r="D2031" s="44" t="s">
        <v>3738</v>
      </c>
      <c r="E2031" s="44"/>
      <c r="F2031" s="45">
        <v>39678.465185185181</v>
      </c>
      <c r="G2031" s="46">
        <v>121</v>
      </c>
      <c r="H2031" s="47">
        <v>43378</v>
      </c>
      <c r="I2031" s="47">
        <v>42730</v>
      </c>
      <c r="J2031" s="46">
        <v>2650974</v>
      </c>
      <c r="K2031" s="46">
        <v>0</v>
      </c>
      <c r="L2031" s="46">
        <v>0</v>
      </c>
      <c r="M2031" s="46">
        <f t="shared" si="565"/>
        <v>2650974</v>
      </c>
      <c r="N2031" s="46">
        <v>3587844</v>
      </c>
      <c r="O2031" s="48">
        <f t="shared" si="566"/>
        <v>0.2611233933247934</v>
      </c>
      <c r="P2031" s="46">
        <v>0</v>
      </c>
      <c r="Q2031" s="46">
        <v>2650974</v>
      </c>
      <c r="R2031" s="49">
        <f t="shared" si="567"/>
        <v>1</v>
      </c>
      <c r="S2031" s="50">
        <f t="shared" si="568"/>
        <v>0.01</v>
      </c>
      <c r="T2031" s="49">
        <f t="shared" si="569"/>
        <v>26509.74</v>
      </c>
      <c r="U2031" s="51">
        <f t="shared" si="570"/>
        <v>0</v>
      </c>
      <c r="V2031" s="52">
        <f>IF(0&lt;0.8,0,IF(0&lt;1,Sheet3!L561,1))*IF(G2031&lt;3,0.12 - O2031,0.01) *U2031</f>
        <v>0</v>
      </c>
      <c r="W2031" s="52">
        <f t="shared" si="571"/>
        <v>0</v>
      </c>
      <c r="X2031" s="53">
        <f t="shared" si="572"/>
        <v>0</v>
      </c>
      <c r="Y2031" s="53">
        <f t="shared" si="573"/>
        <v>0</v>
      </c>
      <c r="Z2031" s="54">
        <f t="shared" si="584"/>
        <v>0</v>
      </c>
      <c r="AA2031" s="54">
        <f t="shared" si="574"/>
        <v>0</v>
      </c>
      <c r="AB2031" s="55">
        <f t="shared" si="583"/>
        <v>0</v>
      </c>
      <c r="AC2031" s="55">
        <f t="shared" si="575"/>
        <v>0</v>
      </c>
      <c r="AD2031" s="56">
        <f t="shared" si="576"/>
        <v>26509.74</v>
      </c>
    </row>
    <row r="2032" spans="3:30">
      <c r="C2032" s="43" t="s">
        <v>3739</v>
      </c>
      <c r="D2032" s="44" t="s">
        <v>3740</v>
      </c>
      <c r="E2032" s="44"/>
      <c r="F2032" s="45">
        <v>39776.458981481483</v>
      </c>
      <c r="G2032" s="46">
        <v>118</v>
      </c>
      <c r="H2032" s="47">
        <v>43390</v>
      </c>
      <c r="I2032" s="47">
        <v>43399</v>
      </c>
      <c r="J2032" s="46">
        <v>204307</v>
      </c>
      <c r="K2032" s="46">
        <v>0</v>
      </c>
      <c r="L2032" s="46">
        <v>0</v>
      </c>
      <c r="M2032" s="46">
        <f t="shared" si="565"/>
        <v>204307</v>
      </c>
      <c r="N2032" s="46">
        <v>216590</v>
      </c>
      <c r="O2032" s="48">
        <f t="shared" si="566"/>
        <v>5.6710836142019438E-2</v>
      </c>
      <c r="P2032" s="46">
        <v>0</v>
      </c>
      <c r="Q2032" s="46">
        <v>204307</v>
      </c>
      <c r="R2032" s="49">
        <f t="shared" si="567"/>
        <v>1</v>
      </c>
      <c r="S2032" s="50">
        <f t="shared" si="568"/>
        <v>0.01</v>
      </c>
      <c r="T2032" s="49">
        <f t="shared" si="569"/>
        <v>2043.07</v>
      </c>
      <c r="U2032" s="51">
        <f t="shared" si="570"/>
        <v>0</v>
      </c>
      <c r="V2032" s="52">
        <f>IF(0&lt;0.8,0,IF(0&lt;1,Sheet3!L561,1))*IF(G2032&lt;3,0.12 - O2032,0.01) *U2032</f>
        <v>0</v>
      </c>
      <c r="W2032" s="52">
        <f t="shared" si="571"/>
        <v>0</v>
      </c>
      <c r="X2032" s="53">
        <f t="shared" si="572"/>
        <v>0</v>
      </c>
      <c r="Y2032" s="53">
        <f t="shared" si="573"/>
        <v>0</v>
      </c>
      <c r="Z2032" s="54">
        <f t="shared" si="584"/>
        <v>0</v>
      </c>
      <c r="AA2032" s="54">
        <f t="shared" si="574"/>
        <v>0</v>
      </c>
      <c r="AB2032" s="55">
        <f t="shared" si="583"/>
        <v>0</v>
      </c>
      <c r="AC2032" s="55">
        <f t="shared" si="575"/>
        <v>0</v>
      </c>
      <c r="AD2032" s="56">
        <f t="shared" si="576"/>
        <v>2043.07</v>
      </c>
    </row>
    <row r="2033" spans="3:30">
      <c r="C2033" s="43" t="s">
        <v>3741</v>
      </c>
      <c r="D2033" s="44" t="s">
        <v>3742</v>
      </c>
      <c r="E2033" s="44"/>
      <c r="F2033" s="45">
        <v>39806.661562499998</v>
      </c>
      <c r="G2033" s="46">
        <v>117</v>
      </c>
      <c r="H2033" s="47">
        <v>43390</v>
      </c>
      <c r="I2033" s="47">
        <v>43397</v>
      </c>
      <c r="J2033" s="46">
        <v>613024</v>
      </c>
      <c r="K2033" s="46">
        <v>0</v>
      </c>
      <c r="L2033" s="46">
        <v>0</v>
      </c>
      <c r="M2033" s="46">
        <f t="shared" si="565"/>
        <v>613024</v>
      </c>
      <c r="N2033" s="46">
        <v>613024</v>
      </c>
      <c r="O2033" s="48">
        <f t="shared" si="566"/>
        <v>0</v>
      </c>
      <c r="P2033" s="46">
        <v>0</v>
      </c>
      <c r="Q2033" s="46">
        <v>613024</v>
      </c>
      <c r="R2033" s="49">
        <f t="shared" si="567"/>
        <v>1</v>
      </c>
      <c r="S2033" s="50">
        <f t="shared" si="568"/>
        <v>0.01</v>
      </c>
      <c r="T2033" s="49">
        <f t="shared" si="569"/>
        <v>6130.24</v>
      </c>
      <c r="U2033" s="51">
        <f t="shared" si="570"/>
        <v>0</v>
      </c>
      <c r="V2033" s="52">
        <f>IF(0&lt;0.8,0,IF(0&lt;1,Sheet3!L561,1))*IF(G2033&lt;3,0.12 - O2033,0.01) *U2033</f>
        <v>0</v>
      </c>
      <c r="W2033" s="52">
        <f t="shared" si="571"/>
        <v>0</v>
      </c>
      <c r="X2033" s="53">
        <f t="shared" si="572"/>
        <v>0</v>
      </c>
      <c r="Y2033" s="53">
        <f t="shared" si="573"/>
        <v>0</v>
      </c>
      <c r="Z2033" s="54">
        <f t="shared" si="584"/>
        <v>0</v>
      </c>
      <c r="AA2033" s="54">
        <f t="shared" si="574"/>
        <v>0</v>
      </c>
      <c r="AB2033" s="55">
        <f t="shared" si="583"/>
        <v>0</v>
      </c>
      <c r="AC2033" s="55">
        <f t="shared" si="575"/>
        <v>0</v>
      </c>
      <c r="AD2033" s="56">
        <f t="shared" si="576"/>
        <v>6130.24</v>
      </c>
    </row>
    <row r="2034" spans="3:30">
      <c r="C2034" s="43" t="s">
        <v>3743</v>
      </c>
      <c r="D2034" s="44" t="s">
        <v>3744</v>
      </c>
      <c r="E2034" s="44"/>
      <c r="F2034" s="45">
        <v>40144.428912037038</v>
      </c>
      <c r="G2034" s="46">
        <v>106</v>
      </c>
      <c r="H2034" s="47">
        <v>43376</v>
      </c>
      <c r="I2034" s="47">
        <v>43397</v>
      </c>
      <c r="J2034" s="46">
        <v>1414538</v>
      </c>
      <c r="K2034" s="46">
        <v>0</v>
      </c>
      <c r="L2034" s="46">
        <v>0</v>
      </c>
      <c r="M2034" s="46">
        <f t="shared" si="565"/>
        <v>1414538</v>
      </c>
      <c r="N2034" s="46">
        <v>1414538</v>
      </c>
      <c r="O2034" s="48">
        <f t="shared" si="566"/>
        <v>0</v>
      </c>
      <c r="P2034" s="46">
        <v>0</v>
      </c>
      <c r="Q2034" s="46">
        <v>1414538</v>
      </c>
      <c r="R2034" s="49">
        <f t="shared" si="567"/>
        <v>1</v>
      </c>
      <c r="S2034" s="50">
        <f t="shared" si="568"/>
        <v>0.01</v>
      </c>
      <c r="T2034" s="49">
        <f t="shared" si="569"/>
        <v>14145.380000000001</v>
      </c>
      <c r="U2034" s="51">
        <f t="shared" si="570"/>
        <v>0</v>
      </c>
      <c r="V2034" s="52">
        <f>IF(0&lt;0.8,0,IF(0&lt;1,Sheet3!L561,1))*IF(G2034&lt;3,0.12 - O2034,0.01) *U2034</f>
        <v>0</v>
      </c>
      <c r="W2034" s="52">
        <f t="shared" si="571"/>
        <v>0</v>
      </c>
      <c r="X2034" s="53">
        <f t="shared" si="572"/>
        <v>0</v>
      </c>
      <c r="Y2034" s="53">
        <f t="shared" si="573"/>
        <v>0</v>
      </c>
      <c r="Z2034" s="54">
        <f t="shared" si="584"/>
        <v>0</v>
      </c>
      <c r="AA2034" s="54">
        <f t="shared" si="574"/>
        <v>0</v>
      </c>
      <c r="AB2034" s="55">
        <f t="shared" si="583"/>
        <v>0</v>
      </c>
      <c r="AC2034" s="55">
        <f t="shared" si="575"/>
        <v>0</v>
      </c>
      <c r="AD2034" s="56">
        <f t="shared" si="576"/>
        <v>14145.380000000001</v>
      </c>
    </row>
    <row r="2035" spans="3:30">
      <c r="C2035" s="43" t="s">
        <v>3745</v>
      </c>
      <c r="D2035" s="44" t="s">
        <v>3746</v>
      </c>
      <c r="E2035" s="44"/>
      <c r="F2035" s="45">
        <v>40305.378240740742</v>
      </c>
      <c r="G2035" s="46">
        <v>100</v>
      </c>
      <c r="H2035" s="47">
        <v>43376</v>
      </c>
      <c r="I2035" s="47">
        <v>43402</v>
      </c>
      <c r="J2035" s="46">
        <v>7637577</v>
      </c>
      <c r="K2035" s="46">
        <v>0</v>
      </c>
      <c r="L2035" s="46">
        <v>0</v>
      </c>
      <c r="M2035" s="46">
        <f t="shared" ref="M2035:M2098" si="585">IFERROR(J2035-K2035-L2035,0)</f>
        <v>7637577</v>
      </c>
      <c r="N2035" s="46">
        <v>7637577</v>
      </c>
      <c r="O2035" s="48">
        <f t="shared" ref="O2035:O2098" si="586">IFERROR(IF(1 - M2035/N2035&lt;0,0,1-M2035/N2035),0)</f>
        <v>0</v>
      </c>
      <c r="P2035" s="46">
        <v>0</v>
      </c>
      <c r="Q2035" s="46">
        <v>7637577</v>
      </c>
      <c r="R2035" s="49">
        <f t="shared" ref="R2035:R2098" si="587">IF(F2035&lt;DATEVALUE("2018-07-01"),1,0)</f>
        <v>1</v>
      </c>
      <c r="S2035" s="50">
        <f t="shared" ref="S2035:S2098" si="588">IF(R2035=1,1%,0)</f>
        <v>0.01</v>
      </c>
      <c r="T2035" s="49">
        <f t="shared" ref="T2035:T2098" si="589">IFERROR(S2035*M2035,0)</f>
        <v>76375.77</v>
      </c>
      <c r="U2035" s="51">
        <f t="shared" ref="U2035:U2098" si="590">IF(O2035&lt;=0.12,1,0)*(1-R2035)*M2035</f>
        <v>0</v>
      </c>
      <c r="V2035" s="52">
        <f>IF(0&lt;0.8,0,IF(0&lt;1,Sheet3!L561,1))*IF(G2035&lt;3,0.12 - O2035,0.01) *U2035</f>
        <v>0</v>
      </c>
      <c r="W2035" s="52">
        <f t="shared" ref="W2035:W2098" si="591">IF(0&gt;1,IF(0&lt;=1.1,1,IF(0&lt;=1.2,2,IF(0&lt;=1.5,3,5))),0) * 1000000</f>
        <v>0</v>
      </c>
      <c r="X2035" s="53">
        <f t="shared" ref="X2035:X2098" si="592">IF(AND(P2035&gt;=150000000,P2035&lt;300000000),5000000,IF(AND(P2035&gt;=300000000,P2035&lt;500000000),10000000,IF(AND(P2035&gt;=300000000,P2035&lt;500000000),15000000,IF(AND(P2035&gt;=500000000,P2035&lt;3000000000),20000000,IF(P2035&gt;=30000000000,35000000,0))))) * (1-R2035)</f>
        <v>0</v>
      </c>
      <c r="Y2035" s="53">
        <f t="shared" ref="Y2035:Y2098" si="593">IFERROR(Q2035 * (1-R2035),0)</f>
        <v>0</v>
      </c>
      <c r="Z2035" s="54">
        <f t="shared" si="584"/>
        <v>0</v>
      </c>
      <c r="AA2035" s="54">
        <f t="shared" ref="AA2035:AA2098" si="594">IFERROR((1-R2035) * Z2035 * 2%,0)</f>
        <v>0</v>
      </c>
      <c r="AB2035" s="55">
        <f t="shared" si="583"/>
        <v>0</v>
      </c>
      <c r="AC2035" s="55">
        <f t="shared" ref="AC2035:AC2098" si="595">IFERROR(AB2035 * (1-R2035) * 2%,0)</f>
        <v>0</v>
      </c>
      <c r="AD2035" s="56">
        <f t="shared" ref="AD2035:AD2098" si="596">T2035+V2035+W2035+X2035+AA2035+AC2035</f>
        <v>76375.77</v>
      </c>
    </row>
    <row r="2036" spans="3:30">
      <c r="C2036" s="43" t="s">
        <v>3747</v>
      </c>
      <c r="D2036" s="44" t="s">
        <v>3748</v>
      </c>
      <c r="E2036" s="44"/>
      <c r="F2036" s="45">
        <v>40388.416076388887</v>
      </c>
      <c r="G2036" s="46">
        <v>98</v>
      </c>
      <c r="H2036" s="47">
        <v>43390</v>
      </c>
      <c r="I2036" s="47">
        <v>43416</v>
      </c>
      <c r="J2036" s="46">
        <v>728420</v>
      </c>
      <c r="K2036" s="46">
        <v>0</v>
      </c>
      <c r="L2036" s="46">
        <v>0</v>
      </c>
      <c r="M2036" s="46">
        <f t="shared" si="585"/>
        <v>728420</v>
      </c>
      <c r="N2036" s="46">
        <v>728420</v>
      </c>
      <c r="O2036" s="48">
        <f t="shared" si="586"/>
        <v>0</v>
      </c>
      <c r="P2036" s="46">
        <v>0</v>
      </c>
      <c r="Q2036" s="46">
        <v>728420</v>
      </c>
      <c r="R2036" s="49">
        <f t="shared" si="587"/>
        <v>1</v>
      </c>
      <c r="S2036" s="50">
        <f t="shared" si="588"/>
        <v>0.01</v>
      </c>
      <c r="T2036" s="49">
        <f t="shared" si="589"/>
        <v>7284.2</v>
      </c>
      <c r="U2036" s="51">
        <f t="shared" si="590"/>
        <v>0</v>
      </c>
      <c r="V2036" s="52">
        <f>IF(0&lt;0.8,0,IF(0&lt;1,Sheet3!L561,1))*IF(G2036&lt;3,0.12 - O2036,0.01) *U2036</f>
        <v>0</v>
      </c>
      <c r="W2036" s="52">
        <f t="shared" si="591"/>
        <v>0</v>
      </c>
      <c r="X2036" s="53">
        <f t="shared" si="592"/>
        <v>0</v>
      </c>
      <c r="Y2036" s="53">
        <f t="shared" si="593"/>
        <v>0</v>
      </c>
      <c r="Z2036" s="54">
        <f t="shared" si="584"/>
        <v>0</v>
      </c>
      <c r="AA2036" s="54">
        <f t="shared" si="594"/>
        <v>0</v>
      </c>
      <c r="AB2036" s="55">
        <f t="shared" si="583"/>
        <v>0</v>
      </c>
      <c r="AC2036" s="55">
        <f t="shared" si="595"/>
        <v>0</v>
      </c>
      <c r="AD2036" s="56">
        <f t="shared" si="596"/>
        <v>7284.2</v>
      </c>
    </row>
    <row r="2037" spans="3:30">
      <c r="C2037" s="43" t="s">
        <v>3749</v>
      </c>
      <c r="D2037" s="44" t="s">
        <v>3750</v>
      </c>
      <c r="E2037" s="44"/>
      <c r="F2037" s="45">
        <v>40403.383460648147</v>
      </c>
      <c r="G2037" s="46">
        <v>97</v>
      </c>
      <c r="H2037" s="47">
        <v>43376</v>
      </c>
      <c r="I2037" s="47">
        <v>43397</v>
      </c>
      <c r="J2037" s="46">
        <v>1357814</v>
      </c>
      <c r="K2037" s="46">
        <v>0</v>
      </c>
      <c r="L2037" s="46">
        <v>0</v>
      </c>
      <c r="M2037" s="46">
        <f t="shared" si="585"/>
        <v>1357814</v>
      </c>
      <c r="N2037" s="46">
        <v>1357814</v>
      </c>
      <c r="O2037" s="48">
        <f t="shared" si="586"/>
        <v>0</v>
      </c>
      <c r="P2037" s="46">
        <v>0</v>
      </c>
      <c r="Q2037" s="46">
        <v>1357814</v>
      </c>
      <c r="R2037" s="49">
        <f t="shared" si="587"/>
        <v>1</v>
      </c>
      <c r="S2037" s="50">
        <f t="shared" si="588"/>
        <v>0.01</v>
      </c>
      <c r="T2037" s="49">
        <f t="shared" si="589"/>
        <v>13578.14</v>
      </c>
      <c r="U2037" s="51">
        <f t="shared" si="590"/>
        <v>0</v>
      </c>
      <c r="V2037" s="52">
        <f>IF(0&lt;0.8,0,IF(0&lt;1,Sheet3!L561,1))*IF(G2037&lt;3,0.12 - O2037,0.01) *U2037</f>
        <v>0</v>
      </c>
      <c r="W2037" s="52">
        <f t="shared" si="591"/>
        <v>0</v>
      </c>
      <c r="X2037" s="53">
        <f t="shared" si="592"/>
        <v>0</v>
      </c>
      <c r="Y2037" s="53">
        <f t="shared" si="593"/>
        <v>0</v>
      </c>
      <c r="Z2037" s="54">
        <f t="shared" si="584"/>
        <v>0</v>
      </c>
      <c r="AA2037" s="54">
        <f t="shared" si="594"/>
        <v>0</v>
      </c>
      <c r="AB2037" s="55">
        <f t="shared" si="583"/>
        <v>0</v>
      </c>
      <c r="AC2037" s="55">
        <f t="shared" si="595"/>
        <v>0</v>
      </c>
      <c r="AD2037" s="56">
        <f t="shared" si="596"/>
        <v>13578.14</v>
      </c>
    </row>
    <row r="2038" spans="3:30">
      <c r="C2038" s="43" t="s">
        <v>3751</v>
      </c>
      <c r="D2038" s="44" t="s">
        <v>3752</v>
      </c>
      <c r="E2038" s="44"/>
      <c r="F2038" s="45">
        <v>40655.4140625</v>
      </c>
      <c r="G2038" s="46">
        <v>89</v>
      </c>
      <c r="H2038" s="47">
        <v>43390</v>
      </c>
      <c r="I2038" s="47">
        <v>43397</v>
      </c>
      <c r="J2038" s="46">
        <v>56144</v>
      </c>
      <c r="K2038" s="46">
        <v>0</v>
      </c>
      <c r="L2038" s="46">
        <v>0</v>
      </c>
      <c r="M2038" s="46">
        <f t="shared" si="585"/>
        <v>56144</v>
      </c>
      <c r="N2038" s="46">
        <v>56144</v>
      </c>
      <c r="O2038" s="48">
        <f t="shared" si="586"/>
        <v>0</v>
      </c>
      <c r="P2038" s="46">
        <v>0</v>
      </c>
      <c r="Q2038" s="46">
        <v>56144</v>
      </c>
      <c r="R2038" s="49">
        <f t="shared" si="587"/>
        <v>1</v>
      </c>
      <c r="S2038" s="50">
        <f t="shared" si="588"/>
        <v>0.01</v>
      </c>
      <c r="T2038" s="49">
        <f t="shared" si="589"/>
        <v>561.44000000000005</v>
      </c>
      <c r="U2038" s="51">
        <f t="shared" si="590"/>
        <v>0</v>
      </c>
      <c r="V2038" s="52">
        <f>IF(0&lt;0.8,0,IF(0&lt;1,Sheet3!L561,1))*IF(G2038&lt;3,0.12 - O2038,0.01) *U2038</f>
        <v>0</v>
      </c>
      <c r="W2038" s="52">
        <f t="shared" si="591"/>
        <v>0</v>
      </c>
      <c r="X2038" s="53">
        <f t="shared" si="592"/>
        <v>0</v>
      </c>
      <c r="Y2038" s="53">
        <f t="shared" si="593"/>
        <v>0</v>
      </c>
      <c r="Z2038" s="54">
        <f t="shared" si="584"/>
        <v>0</v>
      </c>
      <c r="AA2038" s="54">
        <f t="shared" si="594"/>
        <v>0</v>
      </c>
      <c r="AB2038" s="55">
        <f t="shared" si="583"/>
        <v>0</v>
      </c>
      <c r="AC2038" s="55">
        <f t="shared" si="595"/>
        <v>0</v>
      </c>
      <c r="AD2038" s="56">
        <f t="shared" si="596"/>
        <v>561.44000000000005</v>
      </c>
    </row>
    <row r="2039" spans="3:30">
      <c r="C2039" s="43" t="s">
        <v>3753</v>
      </c>
      <c r="D2039" s="44" t="s">
        <v>3754</v>
      </c>
      <c r="E2039" s="44"/>
      <c r="F2039" s="45">
        <v>40772.381863425922</v>
      </c>
      <c r="G2039" s="46">
        <v>85</v>
      </c>
      <c r="H2039" s="47">
        <v>43378</v>
      </c>
      <c r="I2039" s="47">
        <v>43405</v>
      </c>
      <c r="J2039" s="46">
        <v>14429583</v>
      </c>
      <c r="K2039" s="46">
        <v>0</v>
      </c>
      <c r="L2039" s="46">
        <v>0</v>
      </c>
      <c r="M2039" s="46">
        <f t="shared" si="585"/>
        <v>14429583</v>
      </c>
      <c r="N2039" s="46">
        <v>14269863</v>
      </c>
      <c r="O2039" s="48">
        <f t="shared" si="586"/>
        <v>0</v>
      </c>
      <c r="P2039" s="46">
        <v>0</v>
      </c>
      <c r="Q2039" s="46">
        <v>14429583</v>
      </c>
      <c r="R2039" s="49">
        <f t="shared" si="587"/>
        <v>1</v>
      </c>
      <c r="S2039" s="50">
        <f t="shared" si="588"/>
        <v>0.01</v>
      </c>
      <c r="T2039" s="49">
        <f t="shared" si="589"/>
        <v>144295.83000000002</v>
      </c>
      <c r="U2039" s="51">
        <f t="shared" si="590"/>
        <v>0</v>
      </c>
      <c r="V2039" s="52">
        <f>IF(0&lt;0.8,0,IF(0&lt;1,Sheet3!L561,1))*IF(G2039&lt;3,0.12 - O2039,0.01) *U2039</f>
        <v>0</v>
      </c>
      <c r="W2039" s="52">
        <f t="shared" si="591"/>
        <v>0</v>
      </c>
      <c r="X2039" s="53">
        <f t="shared" si="592"/>
        <v>0</v>
      </c>
      <c r="Y2039" s="53">
        <f t="shared" si="593"/>
        <v>0</v>
      </c>
      <c r="Z2039" s="54">
        <f t="shared" si="584"/>
        <v>0</v>
      </c>
      <c r="AA2039" s="54">
        <f t="shared" si="594"/>
        <v>0</v>
      </c>
      <c r="AB2039" s="55">
        <f t="shared" si="583"/>
        <v>0</v>
      </c>
      <c r="AC2039" s="55">
        <f t="shared" si="595"/>
        <v>0</v>
      </c>
      <c r="AD2039" s="56">
        <f t="shared" si="596"/>
        <v>144295.83000000002</v>
      </c>
    </row>
    <row r="2040" spans="3:30">
      <c r="C2040" s="43" t="s">
        <v>3755</v>
      </c>
      <c r="D2040" s="44" t="s">
        <v>3756</v>
      </c>
      <c r="E2040" s="44"/>
      <c r="F2040" s="45">
        <v>40805.687847222223</v>
      </c>
      <c r="G2040" s="46">
        <v>84</v>
      </c>
      <c r="H2040" s="47">
        <v>43395</v>
      </c>
      <c r="I2040" s="47">
        <v>43484</v>
      </c>
      <c r="J2040" s="46">
        <v>207281</v>
      </c>
      <c r="K2040" s="46">
        <v>0</v>
      </c>
      <c r="L2040" s="46">
        <v>0</v>
      </c>
      <c r="M2040" s="46">
        <f t="shared" si="585"/>
        <v>207281</v>
      </c>
      <c r="N2040" s="46">
        <v>353664</v>
      </c>
      <c r="O2040" s="48">
        <f t="shared" si="586"/>
        <v>0.41390415761853061</v>
      </c>
      <c r="P2040" s="46">
        <v>0</v>
      </c>
      <c r="Q2040" s="46">
        <v>207281</v>
      </c>
      <c r="R2040" s="49">
        <f t="shared" si="587"/>
        <v>1</v>
      </c>
      <c r="S2040" s="50">
        <f t="shared" si="588"/>
        <v>0.01</v>
      </c>
      <c r="T2040" s="49">
        <f t="shared" si="589"/>
        <v>2072.81</v>
      </c>
      <c r="U2040" s="51">
        <f t="shared" si="590"/>
        <v>0</v>
      </c>
      <c r="V2040" s="52">
        <f>IF(0&lt;0.8,0,IF(0&lt;1,Sheet3!L561,1))*IF(G2040&lt;3,0.12 - O2040,0.01) *U2040</f>
        <v>0</v>
      </c>
      <c r="W2040" s="52">
        <f t="shared" si="591"/>
        <v>0</v>
      </c>
      <c r="X2040" s="53">
        <f t="shared" si="592"/>
        <v>0</v>
      </c>
      <c r="Y2040" s="53">
        <f t="shared" si="593"/>
        <v>0</v>
      </c>
      <c r="Z2040" s="54">
        <f t="shared" si="584"/>
        <v>0</v>
      </c>
      <c r="AA2040" s="54">
        <f t="shared" si="594"/>
        <v>0</v>
      </c>
      <c r="AB2040" s="55">
        <f t="shared" si="583"/>
        <v>0</v>
      </c>
      <c r="AC2040" s="55">
        <f t="shared" si="595"/>
        <v>0</v>
      </c>
      <c r="AD2040" s="56">
        <f t="shared" si="596"/>
        <v>2072.81</v>
      </c>
    </row>
    <row r="2041" spans="3:30">
      <c r="C2041" s="43" t="s">
        <v>3757</v>
      </c>
      <c r="D2041" s="44" t="s">
        <v>3758</v>
      </c>
      <c r="E2041" s="44"/>
      <c r="F2041" s="45">
        <v>41062.363263888888</v>
      </c>
      <c r="G2041" s="46">
        <v>75</v>
      </c>
      <c r="H2041" s="47">
        <v>43391</v>
      </c>
      <c r="I2041" s="47">
        <v>43397</v>
      </c>
      <c r="J2041" s="46">
        <v>287617</v>
      </c>
      <c r="K2041" s="46">
        <v>0</v>
      </c>
      <c r="L2041" s="46">
        <v>0</v>
      </c>
      <c r="M2041" s="46">
        <f t="shared" si="585"/>
        <v>287617</v>
      </c>
      <c r="N2041" s="46">
        <v>287617</v>
      </c>
      <c r="O2041" s="48">
        <f t="shared" si="586"/>
        <v>0</v>
      </c>
      <c r="P2041" s="46">
        <v>0</v>
      </c>
      <c r="Q2041" s="46">
        <v>287617</v>
      </c>
      <c r="R2041" s="49">
        <f t="shared" si="587"/>
        <v>1</v>
      </c>
      <c r="S2041" s="50">
        <f t="shared" si="588"/>
        <v>0.01</v>
      </c>
      <c r="T2041" s="49">
        <f t="shared" si="589"/>
        <v>2876.17</v>
      </c>
      <c r="U2041" s="51">
        <f t="shared" si="590"/>
        <v>0</v>
      </c>
      <c r="V2041" s="52">
        <f>IF(0&lt;0.8,0,IF(0&lt;1,Sheet3!L561,1))*IF(G2041&lt;3,0.12 - O2041,0.01) *U2041</f>
        <v>0</v>
      </c>
      <c r="W2041" s="52">
        <f t="shared" si="591"/>
        <v>0</v>
      </c>
      <c r="X2041" s="53">
        <f t="shared" si="592"/>
        <v>0</v>
      </c>
      <c r="Y2041" s="53">
        <f t="shared" si="593"/>
        <v>0</v>
      </c>
      <c r="Z2041" s="54">
        <f t="shared" si="584"/>
        <v>0</v>
      </c>
      <c r="AA2041" s="54">
        <f t="shared" si="594"/>
        <v>0</v>
      </c>
      <c r="AB2041" s="55">
        <f t="shared" si="583"/>
        <v>0</v>
      </c>
      <c r="AC2041" s="55">
        <f t="shared" si="595"/>
        <v>0</v>
      </c>
      <c r="AD2041" s="56">
        <f t="shared" si="596"/>
        <v>2876.17</v>
      </c>
    </row>
    <row r="2042" spans="3:30">
      <c r="C2042" s="43" t="s">
        <v>3759</v>
      </c>
      <c r="D2042" s="44" t="s">
        <v>3760</v>
      </c>
      <c r="E2042" s="44"/>
      <c r="F2042" s="45">
        <v>41190.583912037036</v>
      </c>
      <c r="G2042" s="46">
        <v>71</v>
      </c>
      <c r="H2042" s="47">
        <v>43378</v>
      </c>
      <c r="I2042" s="47">
        <v>43420</v>
      </c>
      <c r="J2042" s="46">
        <v>3197319</v>
      </c>
      <c r="K2042" s="46">
        <v>0</v>
      </c>
      <c r="L2042" s="46">
        <v>0</v>
      </c>
      <c r="M2042" s="46">
        <f t="shared" si="585"/>
        <v>3197319</v>
      </c>
      <c r="N2042" s="46">
        <v>3197207</v>
      </c>
      <c r="O2042" s="48">
        <f t="shared" si="586"/>
        <v>0</v>
      </c>
      <c r="P2042" s="46">
        <v>0</v>
      </c>
      <c r="Q2042" s="46">
        <v>3197319</v>
      </c>
      <c r="R2042" s="49">
        <f t="shared" si="587"/>
        <v>1</v>
      </c>
      <c r="S2042" s="50">
        <f t="shared" si="588"/>
        <v>0.01</v>
      </c>
      <c r="T2042" s="49">
        <f t="shared" si="589"/>
        <v>31973.190000000002</v>
      </c>
      <c r="U2042" s="51">
        <f t="shared" si="590"/>
        <v>0</v>
      </c>
      <c r="V2042" s="52">
        <f>IF(0&lt;0.8,0,IF(0&lt;1,Sheet3!L561,1))*IF(G2042&lt;3,0.12 - O2042,0.01) *U2042</f>
        <v>0</v>
      </c>
      <c r="W2042" s="52">
        <f t="shared" si="591"/>
        <v>0</v>
      </c>
      <c r="X2042" s="53">
        <f t="shared" si="592"/>
        <v>0</v>
      </c>
      <c r="Y2042" s="53">
        <f t="shared" si="593"/>
        <v>0</v>
      </c>
      <c r="Z2042" s="54">
        <f t="shared" si="584"/>
        <v>0</v>
      </c>
      <c r="AA2042" s="54">
        <f t="shared" si="594"/>
        <v>0</v>
      </c>
      <c r="AB2042" s="55">
        <f t="shared" si="583"/>
        <v>0</v>
      </c>
      <c r="AC2042" s="55">
        <f t="shared" si="595"/>
        <v>0</v>
      </c>
      <c r="AD2042" s="56">
        <f t="shared" si="596"/>
        <v>31973.190000000002</v>
      </c>
    </row>
    <row r="2043" spans="3:30">
      <c r="C2043" s="43" t="s">
        <v>3761</v>
      </c>
      <c r="D2043" s="44" t="s">
        <v>3762</v>
      </c>
      <c r="E2043" s="44"/>
      <c r="F2043" s="45">
        <v>41522.425891203704</v>
      </c>
      <c r="G2043" s="46">
        <v>60</v>
      </c>
      <c r="H2043" s="47">
        <v>43388</v>
      </c>
      <c r="I2043" s="47">
        <v>43452</v>
      </c>
      <c r="J2043" s="46">
        <v>636944</v>
      </c>
      <c r="K2043" s="46">
        <v>0</v>
      </c>
      <c r="L2043" s="46">
        <v>0</v>
      </c>
      <c r="M2043" s="46">
        <f t="shared" si="585"/>
        <v>636944</v>
      </c>
      <c r="N2043" s="46">
        <v>636944</v>
      </c>
      <c r="O2043" s="48">
        <f t="shared" si="586"/>
        <v>0</v>
      </c>
      <c r="P2043" s="46">
        <v>0</v>
      </c>
      <c r="Q2043" s="46">
        <v>636944</v>
      </c>
      <c r="R2043" s="49">
        <f t="shared" si="587"/>
        <v>1</v>
      </c>
      <c r="S2043" s="50">
        <f t="shared" si="588"/>
        <v>0.01</v>
      </c>
      <c r="T2043" s="49">
        <f t="shared" si="589"/>
        <v>6369.4400000000005</v>
      </c>
      <c r="U2043" s="51">
        <f t="shared" si="590"/>
        <v>0</v>
      </c>
      <c r="V2043" s="52">
        <f>IF(0&lt;0.8,0,IF(0&lt;1,Sheet3!L561,1))*IF(G2043&lt;3,0.12 - O2043,0.01) *U2043</f>
        <v>0</v>
      </c>
      <c r="W2043" s="52">
        <f t="shared" si="591"/>
        <v>0</v>
      </c>
      <c r="X2043" s="53">
        <f t="shared" si="592"/>
        <v>0</v>
      </c>
      <c r="Y2043" s="53">
        <f t="shared" si="593"/>
        <v>0</v>
      </c>
      <c r="Z2043" s="54">
        <f t="shared" si="584"/>
        <v>0</v>
      </c>
      <c r="AA2043" s="54">
        <f t="shared" si="594"/>
        <v>0</v>
      </c>
      <c r="AB2043" s="55">
        <f t="shared" si="583"/>
        <v>0</v>
      </c>
      <c r="AC2043" s="55">
        <f t="shared" si="595"/>
        <v>0</v>
      </c>
      <c r="AD2043" s="56">
        <f t="shared" si="596"/>
        <v>6369.4400000000005</v>
      </c>
    </row>
    <row r="2044" spans="3:30">
      <c r="C2044" s="43" t="s">
        <v>3763</v>
      </c>
      <c r="D2044" s="44" t="s">
        <v>3764</v>
      </c>
      <c r="E2044" s="44"/>
      <c r="F2044" s="45">
        <v>41543.437581018516</v>
      </c>
      <c r="G2044" s="46">
        <v>60</v>
      </c>
      <c r="H2044" s="47">
        <v>43386</v>
      </c>
      <c r="I2044" s="47">
        <v>43406</v>
      </c>
      <c r="J2044" s="46">
        <v>38310483</v>
      </c>
      <c r="K2044" s="46">
        <v>3482661</v>
      </c>
      <c r="L2044" s="46">
        <v>0</v>
      </c>
      <c r="M2044" s="46">
        <f t="shared" si="585"/>
        <v>34827822</v>
      </c>
      <c r="N2044" s="46">
        <v>38310483</v>
      </c>
      <c r="O2044" s="48">
        <f t="shared" si="586"/>
        <v>9.0906214886405934E-2</v>
      </c>
      <c r="P2044" s="46">
        <v>0</v>
      </c>
      <c r="Q2044" s="46">
        <v>42661885</v>
      </c>
      <c r="R2044" s="49">
        <f t="shared" si="587"/>
        <v>1</v>
      </c>
      <c r="S2044" s="50">
        <f t="shared" si="588"/>
        <v>0.01</v>
      </c>
      <c r="T2044" s="49">
        <f t="shared" si="589"/>
        <v>348278.22000000003</v>
      </c>
      <c r="U2044" s="51">
        <f t="shared" si="590"/>
        <v>0</v>
      </c>
      <c r="V2044" s="52">
        <f>IF(0&lt;0.8,0,IF(0&lt;1,Sheet3!L561,1))*IF(G2044&lt;3,0.12 - O2044,0.01) *U2044</f>
        <v>0</v>
      </c>
      <c r="W2044" s="52">
        <f t="shared" si="591"/>
        <v>0</v>
      </c>
      <c r="X2044" s="53">
        <f t="shared" si="592"/>
        <v>0</v>
      </c>
      <c r="Y2044" s="53">
        <f t="shared" si="593"/>
        <v>0</v>
      </c>
      <c r="Z2044" s="54">
        <f t="shared" si="584"/>
        <v>0</v>
      </c>
      <c r="AA2044" s="54">
        <f t="shared" si="594"/>
        <v>0</v>
      </c>
      <c r="AB2044" s="55">
        <f t="shared" si="583"/>
        <v>0</v>
      </c>
      <c r="AC2044" s="55">
        <f t="shared" si="595"/>
        <v>0</v>
      </c>
      <c r="AD2044" s="56">
        <f t="shared" si="596"/>
        <v>348278.22000000003</v>
      </c>
    </row>
    <row r="2045" spans="3:30">
      <c r="C2045" s="43" t="s">
        <v>3765</v>
      </c>
      <c r="D2045" s="44" t="s">
        <v>3766</v>
      </c>
      <c r="E2045" s="44"/>
      <c r="F2045" s="45">
        <v>41705.55841435185</v>
      </c>
      <c r="G2045" s="46">
        <v>54</v>
      </c>
      <c r="H2045" s="47">
        <v>43386</v>
      </c>
      <c r="I2045" s="47">
        <v>43405</v>
      </c>
      <c r="J2045" s="46">
        <v>166498759</v>
      </c>
      <c r="K2045" s="46">
        <v>7568198</v>
      </c>
      <c r="L2045" s="46">
        <v>0</v>
      </c>
      <c r="M2045" s="46">
        <f t="shared" si="585"/>
        <v>158930561</v>
      </c>
      <c r="N2045" s="46">
        <v>197167727</v>
      </c>
      <c r="O2045" s="48">
        <f t="shared" si="586"/>
        <v>0.19393217430558496</v>
      </c>
      <c r="P2045" s="46">
        <v>0</v>
      </c>
      <c r="Q2045" s="46">
        <v>166498759</v>
      </c>
      <c r="R2045" s="49">
        <f t="shared" si="587"/>
        <v>1</v>
      </c>
      <c r="S2045" s="50">
        <f t="shared" si="588"/>
        <v>0.01</v>
      </c>
      <c r="T2045" s="49">
        <f t="shared" si="589"/>
        <v>1589305.61</v>
      </c>
      <c r="U2045" s="51">
        <f t="shared" si="590"/>
        <v>0</v>
      </c>
      <c r="V2045" s="52">
        <f>IF(0&lt;0.8,0,IF(0&lt;1,Sheet3!L561,1))*IF(G2045&lt;3,0.12 - O2045,0.01) *U2045</f>
        <v>0</v>
      </c>
      <c r="W2045" s="52">
        <f t="shared" si="591"/>
        <v>0</v>
      </c>
      <c r="X2045" s="53">
        <f t="shared" si="592"/>
        <v>0</v>
      </c>
      <c r="Y2045" s="53">
        <f t="shared" si="593"/>
        <v>0</v>
      </c>
      <c r="Z2045" s="54">
        <f t="shared" si="584"/>
        <v>0</v>
      </c>
      <c r="AA2045" s="54">
        <f t="shared" si="594"/>
        <v>0</v>
      </c>
      <c r="AB2045" s="55">
        <f t="shared" si="583"/>
        <v>0</v>
      </c>
      <c r="AC2045" s="55">
        <f t="shared" si="595"/>
        <v>0</v>
      </c>
      <c r="AD2045" s="56">
        <f t="shared" si="596"/>
        <v>1589305.61</v>
      </c>
    </row>
    <row r="2046" spans="3:30">
      <c r="C2046" s="43" t="s">
        <v>3767</v>
      </c>
      <c r="D2046" s="44" t="s">
        <v>3768</v>
      </c>
      <c r="E2046" s="44"/>
      <c r="F2046" s="45">
        <v>41817.399039351847</v>
      </c>
      <c r="G2046" s="46">
        <v>51</v>
      </c>
      <c r="H2046" s="47">
        <v>43378</v>
      </c>
      <c r="I2046" s="47">
        <v>43416</v>
      </c>
      <c r="J2046" s="46">
        <v>351166</v>
      </c>
      <c r="K2046" s="46">
        <v>0</v>
      </c>
      <c r="L2046" s="46">
        <v>0</v>
      </c>
      <c r="M2046" s="46">
        <f t="shared" si="585"/>
        <v>351166</v>
      </c>
      <c r="N2046" s="46">
        <v>351166</v>
      </c>
      <c r="O2046" s="48">
        <f t="shared" si="586"/>
        <v>0</v>
      </c>
      <c r="P2046" s="46">
        <v>0</v>
      </c>
      <c r="Q2046" s="46">
        <v>351166</v>
      </c>
      <c r="R2046" s="49">
        <f t="shared" si="587"/>
        <v>1</v>
      </c>
      <c r="S2046" s="50">
        <f t="shared" si="588"/>
        <v>0.01</v>
      </c>
      <c r="T2046" s="49">
        <f t="shared" si="589"/>
        <v>3511.66</v>
      </c>
      <c r="U2046" s="51">
        <f t="shared" si="590"/>
        <v>0</v>
      </c>
      <c r="V2046" s="52">
        <f>IF(0&lt;0.8,0,IF(0&lt;1,Sheet3!L561,1))*IF(G2046&lt;3,0.12 - O2046,0.01) *U2046</f>
        <v>0</v>
      </c>
      <c r="W2046" s="52">
        <f t="shared" si="591"/>
        <v>0</v>
      </c>
      <c r="X2046" s="53">
        <f t="shared" si="592"/>
        <v>0</v>
      </c>
      <c r="Y2046" s="53">
        <f t="shared" si="593"/>
        <v>0</v>
      </c>
      <c r="Z2046" s="54">
        <f t="shared" si="584"/>
        <v>0</v>
      </c>
      <c r="AA2046" s="54">
        <f t="shared" si="594"/>
        <v>0</v>
      </c>
      <c r="AB2046" s="55">
        <f t="shared" si="583"/>
        <v>0</v>
      </c>
      <c r="AC2046" s="55">
        <f t="shared" si="595"/>
        <v>0</v>
      </c>
      <c r="AD2046" s="56">
        <f t="shared" si="596"/>
        <v>3511.66</v>
      </c>
    </row>
    <row r="2047" spans="3:30">
      <c r="C2047" s="43" t="s">
        <v>3769</v>
      </c>
      <c r="D2047" s="44" t="s">
        <v>3770</v>
      </c>
      <c r="E2047" s="44"/>
      <c r="F2047" s="45">
        <v>41900.405428240738</v>
      </c>
      <c r="G2047" s="46">
        <v>48</v>
      </c>
      <c r="H2047" s="47">
        <v>43396</v>
      </c>
      <c r="I2047" s="47">
        <v>43416</v>
      </c>
      <c r="J2047" s="46">
        <v>24000</v>
      </c>
      <c r="K2047" s="46">
        <v>0</v>
      </c>
      <c r="L2047" s="46">
        <v>0</v>
      </c>
      <c r="M2047" s="46">
        <f t="shared" si="585"/>
        <v>24000</v>
      </c>
      <c r="N2047" s="46">
        <v>20168</v>
      </c>
      <c r="O2047" s="48">
        <f t="shared" si="586"/>
        <v>0</v>
      </c>
      <c r="P2047" s="46">
        <v>0</v>
      </c>
      <c r="Q2047" s="46">
        <v>24000</v>
      </c>
      <c r="R2047" s="49">
        <f t="shared" si="587"/>
        <v>1</v>
      </c>
      <c r="S2047" s="50">
        <f t="shared" si="588"/>
        <v>0.01</v>
      </c>
      <c r="T2047" s="49">
        <f t="shared" si="589"/>
        <v>240</v>
      </c>
      <c r="U2047" s="51">
        <f t="shared" si="590"/>
        <v>0</v>
      </c>
      <c r="V2047" s="52">
        <f>IF(0&lt;0.8,0,IF(0&lt;1,Sheet3!L561,1))*IF(G2047&lt;3,0.12 - O2047,0.01) *U2047</f>
        <v>0</v>
      </c>
      <c r="W2047" s="52">
        <f t="shared" si="591"/>
        <v>0</v>
      </c>
      <c r="X2047" s="53">
        <f t="shared" si="592"/>
        <v>0</v>
      </c>
      <c r="Y2047" s="53">
        <f t="shared" si="593"/>
        <v>0</v>
      </c>
      <c r="Z2047" s="54">
        <f t="shared" si="584"/>
        <v>0</v>
      </c>
      <c r="AA2047" s="54">
        <f t="shared" si="594"/>
        <v>0</v>
      </c>
      <c r="AB2047" s="55">
        <f t="shared" si="583"/>
        <v>0</v>
      </c>
      <c r="AC2047" s="55">
        <f t="shared" si="595"/>
        <v>0</v>
      </c>
      <c r="AD2047" s="56">
        <f t="shared" si="596"/>
        <v>240</v>
      </c>
    </row>
    <row r="2048" spans="3:30">
      <c r="C2048" s="43" t="s">
        <v>3771</v>
      </c>
      <c r="D2048" s="44" t="s">
        <v>3772</v>
      </c>
      <c r="E2048" s="44"/>
      <c r="F2048" s="45">
        <v>42094.684039351851</v>
      </c>
      <c r="G2048" s="46">
        <v>42</v>
      </c>
      <c r="H2048" s="47">
        <v>43397</v>
      </c>
      <c r="I2048" s="47">
        <v>43419</v>
      </c>
      <c r="J2048" s="46">
        <v>720940</v>
      </c>
      <c r="K2048" s="46">
        <v>32770</v>
      </c>
      <c r="L2048" s="46">
        <v>0</v>
      </c>
      <c r="M2048" s="46">
        <f t="shared" si="585"/>
        <v>688170</v>
      </c>
      <c r="N2048" s="46">
        <v>927223</v>
      </c>
      <c r="O2048" s="48">
        <f t="shared" si="586"/>
        <v>0.25781608092120234</v>
      </c>
      <c r="P2048" s="46">
        <v>0</v>
      </c>
      <c r="Q2048" s="46">
        <v>720940</v>
      </c>
      <c r="R2048" s="49">
        <f t="shared" si="587"/>
        <v>1</v>
      </c>
      <c r="S2048" s="50">
        <f t="shared" si="588"/>
        <v>0.01</v>
      </c>
      <c r="T2048" s="49">
        <f t="shared" si="589"/>
        <v>6881.7</v>
      </c>
      <c r="U2048" s="51">
        <f t="shared" si="590"/>
        <v>0</v>
      </c>
      <c r="V2048" s="52">
        <f>IF(0&lt;0.8,0,IF(0&lt;1,Sheet3!L561,1))*IF(G2048&lt;3,0.12 - O2048,0.01) *U2048</f>
        <v>0</v>
      </c>
      <c r="W2048" s="52">
        <f t="shared" si="591"/>
        <v>0</v>
      </c>
      <c r="X2048" s="53">
        <f t="shared" si="592"/>
        <v>0</v>
      </c>
      <c r="Y2048" s="53">
        <f t="shared" si="593"/>
        <v>0</v>
      </c>
      <c r="Z2048" s="54">
        <f t="shared" si="584"/>
        <v>0</v>
      </c>
      <c r="AA2048" s="54">
        <f t="shared" si="594"/>
        <v>0</v>
      </c>
      <c r="AB2048" s="55">
        <f t="shared" si="583"/>
        <v>0</v>
      </c>
      <c r="AC2048" s="55">
        <f t="shared" si="595"/>
        <v>0</v>
      </c>
      <c r="AD2048" s="56">
        <f t="shared" si="596"/>
        <v>6881.7</v>
      </c>
    </row>
    <row r="2049" spans="3:30">
      <c r="C2049" s="43" t="s">
        <v>3773</v>
      </c>
      <c r="D2049" s="44" t="s">
        <v>3774</v>
      </c>
      <c r="E2049" s="44"/>
      <c r="F2049" s="45">
        <v>42279.66951388889</v>
      </c>
      <c r="G2049" s="46">
        <v>35</v>
      </c>
      <c r="H2049" s="47">
        <v>43378</v>
      </c>
      <c r="I2049" s="47">
        <v>43391</v>
      </c>
      <c r="J2049" s="46">
        <v>1010519</v>
      </c>
      <c r="K2049" s="46">
        <v>0</v>
      </c>
      <c r="L2049" s="46">
        <v>0</v>
      </c>
      <c r="M2049" s="46">
        <f t="shared" si="585"/>
        <v>1010519</v>
      </c>
      <c r="N2049" s="46">
        <v>1010519</v>
      </c>
      <c r="O2049" s="48">
        <f t="shared" si="586"/>
        <v>0</v>
      </c>
      <c r="P2049" s="46">
        <v>0</v>
      </c>
      <c r="Q2049" s="46">
        <v>1010519</v>
      </c>
      <c r="R2049" s="49">
        <f t="shared" si="587"/>
        <v>1</v>
      </c>
      <c r="S2049" s="50">
        <f t="shared" si="588"/>
        <v>0.01</v>
      </c>
      <c r="T2049" s="49">
        <f t="shared" si="589"/>
        <v>10105.19</v>
      </c>
      <c r="U2049" s="51">
        <f t="shared" si="590"/>
        <v>0</v>
      </c>
      <c r="V2049" s="52">
        <f>IF(0&lt;0.8,0,IF(0&lt;1,Sheet3!L561,1))*IF(G2049&lt;3,0.12 - O2049,0.01) *U2049</f>
        <v>0</v>
      </c>
      <c r="W2049" s="52">
        <f t="shared" si="591"/>
        <v>0</v>
      </c>
      <c r="X2049" s="53">
        <f t="shared" si="592"/>
        <v>0</v>
      </c>
      <c r="Y2049" s="53">
        <f t="shared" si="593"/>
        <v>0</v>
      </c>
      <c r="Z2049" s="54">
        <f t="shared" si="584"/>
        <v>0</v>
      </c>
      <c r="AA2049" s="54">
        <f t="shared" si="594"/>
        <v>0</v>
      </c>
      <c r="AB2049" s="55">
        <f t="shared" si="583"/>
        <v>0</v>
      </c>
      <c r="AC2049" s="55">
        <f t="shared" si="595"/>
        <v>0</v>
      </c>
      <c r="AD2049" s="56">
        <f t="shared" si="596"/>
        <v>10105.19</v>
      </c>
    </row>
    <row r="2050" spans="3:30">
      <c r="C2050" s="43" t="s">
        <v>3775</v>
      </c>
      <c r="D2050" s="44" t="s">
        <v>3776</v>
      </c>
      <c r="E2050" s="44"/>
      <c r="F2050" s="45">
        <v>42352.614606481482</v>
      </c>
      <c r="G2050" s="46">
        <v>33</v>
      </c>
      <c r="H2050" s="47">
        <v>43376</v>
      </c>
      <c r="I2050" s="47">
        <v>43438</v>
      </c>
      <c r="J2050" s="46">
        <v>17584910</v>
      </c>
      <c r="K2050" s="46">
        <v>0</v>
      </c>
      <c r="L2050" s="46">
        <v>0</v>
      </c>
      <c r="M2050" s="46">
        <f t="shared" si="585"/>
        <v>17584910</v>
      </c>
      <c r="N2050" s="46">
        <v>17030387</v>
      </c>
      <c r="O2050" s="48">
        <f t="shared" si="586"/>
        <v>0</v>
      </c>
      <c r="P2050" s="46">
        <v>0</v>
      </c>
      <c r="Q2050" s="46">
        <v>17584910</v>
      </c>
      <c r="R2050" s="49">
        <f t="shared" si="587"/>
        <v>1</v>
      </c>
      <c r="S2050" s="50">
        <f t="shared" si="588"/>
        <v>0.01</v>
      </c>
      <c r="T2050" s="49">
        <f t="shared" si="589"/>
        <v>175849.1</v>
      </c>
      <c r="U2050" s="51">
        <f t="shared" si="590"/>
        <v>0</v>
      </c>
      <c r="V2050" s="52">
        <f>IF(0&lt;0.8,0,IF(0&lt;1,Sheet3!L561,1))*IF(G2050&lt;3,0.12 - O2050,0.01) *U2050</f>
        <v>0</v>
      </c>
      <c r="W2050" s="52">
        <f t="shared" si="591"/>
        <v>0</v>
      </c>
      <c r="X2050" s="53">
        <f t="shared" si="592"/>
        <v>0</v>
      </c>
      <c r="Y2050" s="53">
        <f t="shared" si="593"/>
        <v>0</v>
      </c>
      <c r="Z2050" s="54">
        <f t="shared" si="584"/>
        <v>0</v>
      </c>
      <c r="AA2050" s="54">
        <f t="shared" si="594"/>
        <v>0</v>
      </c>
      <c r="AB2050" s="55">
        <f t="shared" si="583"/>
        <v>0</v>
      </c>
      <c r="AC2050" s="55">
        <f t="shared" si="595"/>
        <v>0</v>
      </c>
      <c r="AD2050" s="56">
        <f t="shared" si="596"/>
        <v>175849.1</v>
      </c>
    </row>
    <row r="2051" spans="3:30">
      <c r="C2051" s="43" t="s">
        <v>3777</v>
      </c>
      <c r="D2051" s="44" t="s">
        <v>3778</v>
      </c>
      <c r="E2051" s="44"/>
      <c r="F2051" s="45">
        <v>42523.39875</v>
      </c>
      <c r="G2051" s="46">
        <v>27</v>
      </c>
      <c r="H2051" s="47">
        <v>43390</v>
      </c>
      <c r="I2051" s="47">
        <v>43397</v>
      </c>
      <c r="J2051" s="46">
        <v>862490</v>
      </c>
      <c r="K2051" s="46">
        <v>0</v>
      </c>
      <c r="L2051" s="46">
        <v>0</v>
      </c>
      <c r="M2051" s="46">
        <f t="shared" si="585"/>
        <v>862490</v>
      </c>
      <c r="N2051" s="46">
        <v>598272</v>
      </c>
      <c r="O2051" s="48">
        <f t="shared" si="586"/>
        <v>0</v>
      </c>
      <c r="P2051" s="46">
        <v>0</v>
      </c>
      <c r="Q2051" s="46">
        <v>862490</v>
      </c>
      <c r="R2051" s="49">
        <f t="shared" si="587"/>
        <v>1</v>
      </c>
      <c r="S2051" s="50">
        <f t="shared" si="588"/>
        <v>0.01</v>
      </c>
      <c r="T2051" s="49">
        <f t="shared" si="589"/>
        <v>8624.9</v>
      </c>
      <c r="U2051" s="51">
        <f t="shared" si="590"/>
        <v>0</v>
      </c>
      <c r="V2051" s="52">
        <f>IF(0&lt;0.8,0,IF(0&lt;1,Sheet3!L561,1))*IF(G2051&lt;3,0.12 - O2051,0.01) *U2051</f>
        <v>0</v>
      </c>
      <c r="W2051" s="52">
        <f t="shared" si="591"/>
        <v>0</v>
      </c>
      <c r="X2051" s="53">
        <f t="shared" si="592"/>
        <v>0</v>
      </c>
      <c r="Y2051" s="53">
        <f t="shared" si="593"/>
        <v>0</v>
      </c>
      <c r="Z2051" s="54">
        <f t="shared" si="584"/>
        <v>0</v>
      </c>
      <c r="AA2051" s="54">
        <f t="shared" si="594"/>
        <v>0</v>
      </c>
      <c r="AB2051" s="55">
        <f t="shared" si="583"/>
        <v>0</v>
      </c>
      <c r="AC2051" s="55">
        <f t="shared" si="595"/>
        <v>0</v>
      </c>
      <c r="AD2051" s="56">
        <f t="shared" si="596"/>
        <v>8624.9</v>
      </c>
    </row>
    <row r="2052" spans="3:30">
      <c r="C2052" s="43" t="s">
        <v>3779</v>
      </c>
      <c r="D2052" s="44" t="s">
        <v>3780</v>
      </c>
      <c r="E2052" s="44"/>
      <c r="F2052" s="45">
        <v>42555.17392361111</v>
      </c>
      <c r="G2052" s="46">
        <v>26</v>
      </c>
      <c r="H2052" s="47">
        <v>43386</v>
      </c>
      <c r="I2052" s="47">
        <v>43392</v>
      </c>
      <c r="J2052" s="46">
        <v>16389219</v>
      </c>
      <c r="K2052" s="46">
        <v>1361100</v>
      </c>
      <c r="L2052" s="46">
        <v>0</v>
      </c>
      <c r="M2052" s="46">
        <f t="shared" si="585"/>
        <v>15028119</v>
      </c>
      <c r="N2052" s="46">
        <v>16234632</v>
      </c>
      <c r="O2052" s="48">
        <f t="shared" si="586"/>
        <v>7.4317237372550249E-2</v>
      </c>
      <c r="P2052" s="46">
        <v>0</v>
      </c>
      <c r="Q2052" s="46">
        <v>16389219</v>
      </c>
      <c r="R2052" s="49">
        <f t="shared" si="587"/>
        <v>1</v>
      </c>
      <c r="S2052" s="50">
        <f t="shared" si="588"/>
        <v>0.01</v>
      </c>
      <c r="T2052" s="49">
        <f t="shared" si="589"/>
        <v>150281.19</v>
      </c>
      <c r="U2052" s="51">
        <f t="shared" si="590"/>
        <v>0</v>
      </c>
      <c r="V2052" s="52">
        <f>IF(0&lt;0.8,0,IF(0&lt;1,Sheet3!L561,1))*IF(G2052&lt;3,0.12 - O2052,0.01) *U2052</f>
        <v>0</v>
      </c>
      <c r="W2052" s="52">
        <f t="shared" si="591"/>
        <v>0</v>
      </c>
      <c r="X2052" s="53">
        <f t="shared" si="592"/>
        <v>0</v>
      </c>
      <c r="Y2052" s="53">
        <f t="shared" si="593"/>
        <v>0</v>
      </c>
      <c r="Z2052" s="54">
        <f t="shared" si="584"/>
        <v>0</v>
      </c>
      <c r="AA2052" s="54">
        <f t="shared" si="594"/>
        <v>0</v>
      </c>
      <c r="AB2052" s="55">
        <f t="shared" si="583"/>
        <v>0</v>
      </c>
      <c r="AC2052" s="55">
        <f t="shared" si="595"/>
        <v>0</v>
      </c>
      <c r="AD2052" s="56">
        <f t="shared" si="596"/>
        <v>150281.19</v>
      </c>
    </row>
    <row r="2053" spans="3:30">
      <c r="C2053" s="43" t="s">
        <v>3781</v>
      </c>
      <c r="D2053" s="44" t="s">
        <v>3782</v>
      </c>
      <c r="E2053" s="44"/>
      <c r="F2053" s="45">
        <v>42556.163784722223</v>
      </c>
      <c r="G2053" s="46">
        <v>26</v>
      </c>
      <c r="H2053" s="47">
        <v>43390</v>
      </c>
      <c r="I2053" s="47">
        <v>43395</v>
      </c>
      <c r="J2053" s="46">
        <v>585640</v>
      </c>
      <c r="K2053" s="46">
        <v>0</v>
      </c>
      <c r="L2053" s="46">
        <v>0</v>
      </c>
      <c r="M2053" s="46">
        <f t="shared" si="585"/>
        <v>585640</v>
      </c>
      <c r="N2053" s="46">
        <v>585640</v>
      </c>
      <c r="O2053" s="48">
        <f t="shared" si="586"/>
        <v>0</v>
      </c>
      <c r="P2053" s="46">
        <v>0</v>
      </c>
      <c r="Q2053" s="46">
        <v>585640</v>
      </c>
      <c r="R2053" s="49">
        <f t="shared" si="587"/>
        <v>1</v>
      </c>
      <c r="S2053" s="50">
        <f t="shared" si="588"/>
        <v>0.01</v>
      </c>
      <c r="T2053" s="49">
        <f t="shared" si="589"/>
        <v>5856.4000000000005</v>
      </c>
      <c r="U2053" s="51">
        <f t="shared" si="590"/>
        <v>0</v>
      </c>
      <c r="V2053" s="52">
        <f>IF(0&lt;0.8,0,IF(0&lt;1,Sheet3!L561,1))*IF(G2053&lt;3,0.12 - O2053,0.01) *U2053</f>
        <v>0</v>
      </c>
      <c r="W2053" s="52">
        <f t="shared" si="591"/>
        <v>0</v>
      </c>
      <c r="X2053" s="53">
        <f t="shared" si="592"/>
        <v>0</v>
      </c>
      <c r="Y2053" s="53">
        <f t="shared" si="593"/>
        <v>0</v>
      </c>
      <c r="Z2053" s="54">
        <f t="shared" si="584"/>
        <v>0</v>
      </c>
      <c r="AA2053" s="54">
        <f t="shared" si="594"/>
        <v>0</v>
      </c>
      <c r="AB2053" s="55">
        <f t="shared" si="583"/>
        <v>0</v>
      </c>
      <c r="AC2053" s="55">
        <f t="shared" si="595"/>
        <v>0</v>
      </c>
      <c r="AD2053" s="56">
        <f t="shared" si="596"/>
        <v>5856.4000000000005</v>
      </c>
    </row>
    <row r="2054" spans="3:30">
      <c r="C2054" s="43" t="s">
        <v>3783</v>
      </c>
      <c r="D2054" s="44" t="s">
        <v>3784</v>
      </c>
      <c r="E2054" s="44"/>
      <c r="F2054" s="45">
        <v>42559.274247685185</v>
      </c>
      <c r="G2054" s="46">
        <v>26</v>
      </c>
      <c r="H2054" s="47">
        <v>43390</v>
      </c>
      <c r="I2054" s="47">
        <v>43397</v>
      </c>
      <c r="J2054" s="46">
        <v>239943</v>
      </c>
      <c r="K2054" s="46">
        <v>0</v>
      </c>
      <c r="L2054" s="46">
        <v>0</v>
      </c>
      <c r="M2054" s="46">
        <f t="shared" si="585"/>
        <v>239943</v>
      </c>
      <c r="N2054" s="46">
        <v>239943</v>
      </c>
      <c r="O2054" s="48">
        <f t="shared" si="586"/>
        <v>0</v>
      </c>
      <c r="P2054" s="46">
        <v>0</v>
      </c>
      <c r="Q2054" s="46">
        <v>239943</v>
      </c>
      <c r="R2054" s="49">
        <f t="shared" si="587"/>
        <v>1</v>
      </c>
      <c r="S2054" s="50">
        <f t="shared" si="588"/>
        <v>0.01</v>
      </c>
      <c r="T2054" s="49">
        <f t="shared" si="589"/>
        <v>2399.4299999999998</v>
      </c>
      <c r="U2054" s="51">
        <f t="shared" si="590"/>
        <v>0</v>
      </c>
      <c r="V2054" s="52">
        <f>IF(0&lt;0.8,0,IF(0&lt;1,Sheet3!L561,1))*IF(G2054&lt;3,0.12 - O2054,0.01) *U2054</f>
        <v>0</v>
      </c>
      <c r="W2054" s="52">
        <f t="shared" si="591"/>
        <v>0</v>
      </c>
      <c r="X2054" s="53">
        <f t="shared" si="592"/>
        <v>0</v>
      </c>
      <c r="Y2054" s="53">
        <f t="shared" si="593"/>
        <v>0</v>
      </c>
      <c r="Z2054" s="54">
        <f t="shared" si="584"/>
        <v>0</v>
      </c>
      <c r="AA2054" s="54">
        <f t="shared" si="594"/>
        <v>0</v>
      </c>
      <c r="AB2054" s="55">
        <f t="shared" si="583"/>
        <v>0</v>
      </c>
      <c r="AC2054" s="55">
        <f t="shared" si="595"/>
        <v>0</v>
      </c>
      <c r="AD2054" s="56">
        <f t="shared" si="596"/>
        <v>2399.4299999999998</v>
      </c>
    </row>
    <row r="2055" spans="3:30">
      <c r="C2055" s="43" t="s">
        <v>3785</v>
      </c>
      <c r="D2055" s="44" t="s">
        <v>3786</v>
      </c>
      <c r="E2055" s="44"/>
      <c r="F2055" s="45">
        <v>42594.121168981481</v>
      </c>
      <c r="G2055" s="46">
        <v>25</v>
      </c>
      <c r="H2055" s="47">
        <v>43376</v>
      </c>
      <c r="I2055" s="47">
        <v>43396</v>
      </c>
      <c r="J2055" s="46">
        <v>5969244</v>
      </c>
      <c r="K2055" s="46">
        <v>0</v>
      </c>
      <c r="L2055" s="46">
        <v>0</v>
      </c>
      <c r="M2055" s="46">
        <f t="shared" si="585"/>
        <v>5969244</v>
      </c>
      <c r="N2055" s="46">
        <v>5969244</v>
      </c>
      <c r="O2055" s="48">
        <f t="shared" si="586"/>
        <v>0</v>
      </c>
      <c r="P2055" s="46">
        <v>0</v>
      </c>
      <c r="Q2055" s="46">
        <v>5969244</v>
      </c>
      <c r="R2055" s="49">
        <f t="shared" si="587"/>
        <v>1</v>
      </c>
      <c r="S2055" s="50">
        <f t="shared" si="588"/>
        <v>0.01</v>
      </c>
      <c r="T2055" s="49">
        <f t="shared" si="589"/>
        <v>59692.44</v>
      </c>
      <c r="U2055" s="51">
        <f t="shared" si="590"/>
        <v>0</v>
      </c>
      <c r="V2055" s="52">
        <f>IF(0&lt;0.8,0,IF(0&lt;1,Sheet3!L561,1))*IF(G2055&lt;3,0.12 - O2055,0.01) *U2055</f>
        <v>0</v>
      </c>
      <c r="W2055" s="52">
        <f t="shared" si="591"/>
        <v>0</v>
      </c>
      <c r="X2055" s="53">
        <f t="shared" si="592"/>
        <v>0</v>
      </c>
      <c r="Y2055" s="53">
        <f t="shared" si="593"/>
        <v>0</v>
      </c>
      <c r="Z2055" s="54">
        <f t="shared" si="584"/>
        <v>0</v>
      </c>
      <c r="AA2055" s="54">
        <f t="shared" si="594"/>
        <v>0</v>
      </c>
      <c r="AB2055" s="55">
        <f t="shared" si="583"/>
        <v>0</v>
      </c>
      <c r="AC2055" s="55">
        <f t="shared" si="595"/>
        <v>0</v>
      </c>
      <c r="AD2055" s="56">
        <f t="shared" si="596"/>
        <v>59692.44</v>
      </c>
    </row>
    <row r="2056" spans="3:30">
      <c r="C2056" s="43" t="s">
        <v>3787</v>
      </c>
      <c r="D2056" s="44" t="s">
        <v>1131</v>
      </c>
      <c r="E2056" s="44"/>
      <c r="F2056" s="45">
        <v>42604.096145833333</v>
      </c>
      <c r="G2056" s="46">
        <v>25</v>
      </c>
      <c r="H2056" s="47">
        <v>43385</v>
      </c>
      <c r="I2056" s="47">
        <v>43419</v>
      </c>
      <c r="J2056" s="46">
        <v>12655968</v>
      </c>
      <c r="K2056" s="46">
        <v>0</v>
      </c>
      <c r="L2056" s="46">
        <v>0</v>
      </c>
      <c r="M2056" s="46">
        <f t="shared" si="585"/>
        <v>12655968</v>
      </c>
      <c r="N2056" s="46">
        <v>15579129</v>
      </c>
      <c r="O2056" s="48">
        <f t="shared" si="586"/>
        <v>0.1876331468851693</v>
      </c>
      <c r="P2056" s="46">
        <v>0</v>
      </c>
      <c r="Q2056" s="46">
        <v>12655968</v>
      </c>
      <c r="R2056" s="49">
        <f t="shared" si="587"/>
        <v>1</v>
      </c>
      <c r="S2056" s="50">
        <f t="shared" si="588"/>
        <v>0.01</v>
      </c>
      <c r="T2056" s="49">
        <f t="shared" si="589"/>
        <v>126559.68000000001</v>
      </c>
      <c r="U2056" s="51">
        <f t="shared" si="590"/>
        <v>0</v>
      </c>
      <c r="V2056" s="52">
        <f>IF(0&lt;0.8,0,IF(0&lt;1,Sheet3!L561,1))*IF(G2056&lt;3,0.12 - O2056,0.01) *U2056</f>
        <v>0</v>
      </c>
      <c r="W2056" s="52">
        <f t="shared" si="591"/>
        <v>0</v>
      </c>
      <c r="X2056" s="53">
        <f t="shared" si="592"/>
        <v>0</v>
      </c>
      <c r="Y2056" s="53">
        <f t="shared" si="593"/>
        <v>0</v>
      </c>
      <c r="Z2056" s="54">
        <f t="shared" si="584"/>
        <v>0</v>
      </c>
      <c r="AA2056" s="54">
        <f t="shared" si="594"/>
        <v>0</v>
      </c>
      <c r="AB2056" s="55">
        <f t="shared" si="583"/>
        <v>0</v>
      </c>
      <c r="AC2056" s="55">
        <f t="shared" si="595"/>
        <v>0</v>
      </c>
      <c r="AD2056" s="56">
        <f t="shared" si="596"/>
        <v>126559.68000000001</v>
      </c>
    </row>
    <row r="2057" spans="3:30">
      <c r="C2057" s="43" t="s">
        <v>3788</v>
      </c>
      <c r="D2057" s="44" t="s">
        <v>3789</v>
      </c>
      <c r="E2057" s="44"/>
      <c r="F2057" s="45">
        <v>42611.431261574071</v>
      </c>
      <c r="G2057" s="46">
        <v>25</v>
      </c>
      <c r="H2057" s="47">
        <v>43376</v>
      </c>
      <c r="I2057" s="47">
        <v>43395</v>
      </c>
      <c r="J2057" s="46">
        <v>1373270</v>
      </c>
      <c r="K2057" s="46">
        <v>0</v>
      </c>
      <c r="L2057" s="46">
        <v>0</v>
      </c>
      <c r="M2057" s="46">
        <f t="shared" si="585"/>
        <v>1373270</v>
      </c>
      <c r="N2057" s="46">
        <v>1364638</v>
      </c>
      <c r="O2057" s="48">
        <f t="shared" si="586"/>
        <v>0</v>
      </c>
      <c r="P2057" s="46">
        <v>0</v>
      </c>
      <c r="Q2057" s="46">
        <v>1373270</v>
      </c>
      <c r="R2057" s="49">
        <f t="shared" si="587"/>
        <v>1</v>
      </c>
      <c r="S2057" s="50">
        <f t="shared" si="588"/>
        <v>0.01</v>
      </c>
      <c r="T2057" s="49">
        <f t="shared" si="589"/>
        <v>13732.7</v>
      </c>
      <c r="U2057" s="51">
        <f t="shared" si="590"/>
        <v>0</v>
      </c>
      <c r="V2057" s="52">
        <f>IF(0&lt;0.8,0,IF(0&lt;1,Sheet3!L561,1))*IF(G2057&lt;3,0.12 - O2057,0.01) *U2057</f>
        <v>0</v>
      </c>
      <c r="W2057" s="52">
        <f t="shared" si="591"/>
        <v>0</v>
      </c>
      <c r="X2057" s="53">
        <f t="shared" si="592"/>
        <v>0</v>
      </c>
      <c r="Y2057" s="53">
        <f t="shared" si="593"/>
        <v>0</v>
      </c>
      <c r="Z2057" s="54">
        <f t="shared" si="584"/>
        <v>0</v>
      </c>
      <c r="AA2057" s="54">
        <f t="shared" si="594"/>
        <v>0</v>
      </c>
      <c r="AB2057" s="55">
        <f t="shared" si="583"/>
        <v>0</v>
      </c>
      <c r="AC2057" s="55">
        <f t="shared" si="595"/>
        <v>0</v>
      </c>
      <c r="AD2057" s="56">
        <f t="shared" si="596"/>
        <v>13732.7</v>
      </c>
    </row>
    <row r="2058" spans="3:30">
      <c r="C2058" s="43" t="s">
        <v>3790</v>
      </c>
      <c r="D2058" s="44" t="s">
        <v>3791</v>
      </c>
      <c r="E2058" s="44"/>
      <c r="F2058" s="45">
        <v>42668.341828703698</v>
      </c>
      <c r="G2058" s="46">
        <v>23</v>
      </c>
      <c r="H2058" s="47">
        <v>43376</v>
      </c>
      <c r="I2058" s="47">
        <v>43420</v>
      </c>
      <c r="J2058" s="46">
        <v>2045404</v>
      </c>
      <c r="K2058" s="46">
        <v>0</v>
      </c>
      <c r="L2058" s="46">
        <v>0</v>
      </c>
      <c r="M2058" s="46">
        <f t="shared" si="585"/>
        <v>2045404</v>
      </c>
      <c r="N2058" s="46">
        <v>2045404</v>
      </c>
      <c r="O2058" s="48">
        <f t="shared" si="586"/>
        <v>0</v>
      </c>
      <c r="P2058" s="46">
        <v>0</v>
      </c>
      <c r="Q2058" s="46">
        <v>2045404</v>
      </c>
      <c r="R2058" s="49">
        <f t="shared" si="587"/>
        <v>1</v>
      </c>
      <c r="S2058" s="50">
        <f t="shared" si="588"/>
        <v>0.01</v>
      </c>
      <c r="T2058" s="49">
        <f t="shared" si="589"/>
        <v>20454.04</v>
      </c>
      <c r="U2058" s="51">
        <f t="shared" si="590"/>
        <v>0</v>
      </c>
      <c r="V2058" s="52">
        <f>IF(0&lt;0.8,0,IF(0&lt;1,Sheet3!L561,1))*IF(G2058&lt;3,0.12 - O2058,0.01) *U2058</f>
        <v>0</v>
      </c>
      <c r="W2058" s="52">
        <f t="shared" si="591"/>
        <v>0</v>
      </c>
      <c r="X2058" s="53">
        <f t="shared" si="592"/>
        <v>0</v>
      </c>
      <c r="Y2058" s="53">
        <f t="shared" si="593"/>
        <v>0</v>
      </c>
      <c r="Z2058" s="54">
        <f t="shared" si="584"/>
        <v>0</v>
      </c>
      <c r="AA2058" s="54">
        <f t="shared" si="594"/>
        <v>0</v>
      </c>
      <c r="AB2058" s="55">
        <f t="shared" si="583"/>
        <v>0</v>
      </c>
      <c r="AC2058" s="55">
        <f t="shared" si="595"/>
        <v>0</v>
      </c>
      <c r="AD2058" s="56">
        <f t="shared" si="596"/>
        <v>20454.04</v>
      </c>
    </row>
    <row r="2059" spans="3:30">
      <c r="C2059" s="43" t="s">
        <v>3792</v>
      </c>
      <c r="D2059" s="44" t="s">
        <v>3793</v>
      </c>
      <c r="E2059" s="44"/>
      <c r="F2059" s="45">
        <v>42699.286400462959</v>
      </c>
      <c r="G2059" s="46">
        <v>22</v>
      </c>
      <c r="H2059" s="47">
        <v>43378</v>
      </c>
      <c r="I2059" s="47">
        <v>43398</v>
      </c>
      <c r="J2059" s="46">
        <v>11029321</v>
      </c>
      <c r="K2059" s="46">
        <v>0</v>
      </c>
      <c r="L2059" s="46">
        <v>0</v>
      </c>
      <c r="M2059" s="46">
        <f t="shared" si="585"/>
        <v>11029321</v>
      </c>
      <c r="N2059" s="46">
        <v>11029321</v>
      </c>
      <c r="O2059" s="48">
        <f t="shared" si="586"/>
        <v>0</v>
      </c>
      <c r="P2059" s="46">
        <v>0</v>
      </c>
      <c r="Q2059" s="46">
        <v>11029321</v>
      </c>
      <c r="R2059" s="49">
        <f t="shared" si="587"/>
        <v>1</v>
      </c>
      <c r="S2059" s="50">
        <f t="shared" si="588"/>
        <v>0.01</v>
      </c>
      <c r="T2059" s="49">
        <f t="shared" si="589"/>
        <v>110293.21</v>
      </c>
      <c r="U2059" s="51">
        <f t="shared" si="590"/>
        <v>0</v>
      </c>
      <c r="V2059" s="52">
        <f>IF(0&lt;0.8,0,IF(0&lt;1,Sheet3!L561,1))*IF(G2059&lt;3,0.12 - O2059,0.01) *U2059</f>
        <v>0</v>
      </c>
      <c r="W2059" s="52">
        <f t="shared" si="591"/>
        <v>0</v>
      </c>
      <c r="X2059" s="53">
        <f t="shared" si="592"/>
        <v>0</v>
      </c>
      <c r="Y2059" s="53">
        <f t="shared" si="593"/>
        <v>0</v>
      </c>
      <c r="Z2059" s="54">
        <f t="shared" si="584"/>
        <v>0</v>
      </c>
      <c r="AA2059" s="54">
        <f t="shared" si="594"/>
        <v>0</v>
      </c>
      <c r="AB2059" s="55">
        <f t="shared" si="583"/>
        <v>0</v>
      </c>
      <c r="AC2059" s="55">
        <f t="shared" si="595"/>
        <v>0</v>
      </c>
      <c r="AD2059" s="56">
        <f t="shared" si="596"/>
        <v>110293.21</v>
      </c>
    </row>
    <row r="2060" spans="3:30">
      <c r="C2060" s="43" t="s">
        <v>3794</v>
      </c>
      <c r="D2060" s="44" t="s">
        <v>3795</v>
      </c>
      <c r="E2060" s="44"/>
      <c r="F2060" s="45">
        <v>42802.112800925926</v>
      </c>
      <c r="G2060" s="46">
        <v>18</v>
      </c>
      <c r="H2060" s="47">
        <v>43390</v>
      </c>
      <c r="I2060" s="47">
        <v>43395</v>
      </c>
      <c r="J2060" s="46">
        <v>492954</v>
      </c>
      <c r="K2060" s="46">
        <v>0</v>
      </c>
      <c r="L2060" s="46">
        <v>0</v>
      </c>
      <c r="M2060" s="46">
        <f t="shared" si="585"/>
        <v>492954</v>
      </c>
      <c r="N2060" s="46">
        <v>492954</v>
      </c>
      <c r="O2060" s="48">
        <f t="shared" si="586"/>
        <v>0</v>
      </c>
      <c r="P2060" s="46">
        <v>0</v>
      </c>
      <c r="Q2060" s="46">
        <v>492954</v>
      </c>
      <c r="R2060" s="49">
        <f t="shared" si="587"/>
        <v>1</v>
      </c>
      <c r="S2060" s="50">
        <f t="shared" si="588"/>
        <v>0.01</v>
      </c>
      <c r="T2060" s="49">
        <f t="shared" si="589"/>
        <v>4929.54</v>
      </c>
      <c r="U2060" s="51">
        <f t="shared" si="590"/>
        <v>0</v>
      </c>
      <c r="V2060" s="52">
        <f>IF(0&lt;0.8,0,IF(0&lt;1,Sheet3!L561,1))*IF(G2060&lt;3,0.12 - O2060,0.01) *U2060</f>
        <v>0</v>
      </c>
      <c r="W2060" s="52">
        <f t="shared" si="591"/>
        <v>0</v>
      </c>
      <c r="X2060" s="53">
        <f t="shared" si="592"/>
        <v>0</v>
      </c>
      <c r="Y2060" s="53">
        <f t="shared" si="593"/>
        <v>0</v>
      </c>
      <c r="Z2060" s="54">
        <f t="shared" si="584"/>
        <v>0</v>
      </c>
      <c r="AA2060" s="54">
        <f t="shared" si="594"/>
        <v>0</v>
      </c>
      <c r="AB2060" s="55">
        <f t="shared" si="583"/>
        <v>0</v>
      </c>
      <c r="AC2060" s="55">
        <f t="shared" si="595"/>
        <v>0</v>
      </c>
      <c r="AD2060" s="56">
        <f t="shared" si="596"/>
        <v>4929.54</v>
      </c>
    </row>
    <row r="2061" spans="3:30">
      <c r="C2061" s="43" t="s">
        <v>3796</v>
      </c>
      <c r="D2061" s="44" t="s">
        <v>3797</v>
      </c>
      <c r="E2061" s="44"/>
      <c r="F2061" s="45">
        <v>42816.217048611106</v>
      </c>
      <c r="G2061" s="46">
        <v>18</v>
      </c>
      <c r="H2061" s="47">
        <v>43412</v>
      </c>
      <c r="I2061" s="47">
        <v>43420</v>
      </c>
      <c r="J2061" s="46">
        <v>784080</v>
      </c>
      <c r="K2061" s="46">
        <v>0</v>
      </c>
      <c r="L2061" s="46">
        <v>0</v>
      </c>
      <c r="M2061" s="46">
        <f t="shared" si="585"/>
        <v>784080</v>
      </c>
      <c r="N2061" s="46">
        <v>664290</v>
      </c>
      <c r="O2061" s="48">
        <f t="shared" si="586"/>
        <v>0</v>
      </c>
      <c r="P2061" s="46">
        <v>0</v>
      </c>
      <c r="Q2061" s="46">
        <v>784080</v>
      </c>
      <c r="R2061" s="49">
        <f t="shared" si="587"/>
        <v>1</v>
      </c>
      <c r="S2061" s="50">
        <f t="shared" si="588"/>
        <v>0.01</v>
      </c>
      <c r="T2061" s="49">
        <f t="shared" si="589"/>
        <v>7840.8</v>
      </c>
      <c r="U2061" s="51">
        <f t="shared" si="590"/>
        <v>0</v>
      </c>
      <c r="V2061" s="52">
        <f>IF(0&lt;0.8,0,IF(0&lt;1,Sheet3!L561,1))*IF(G2061&lt;3,0.12 - O2061,0.01) *U2061</f>
        <v>0</v>
      </c>
      <c r="W2061" s="52">
        <f t="shared" si="591"/>
        <v>0</v>
      </c>
      <c r="X2061" s="53">
        <f t="shared" si="592"/>
        <v>0</v>
      </c>
      <c r="Y2061" s="53">
        <f t="shared" si="593"/>
        <v>0</v>
      </c>
      <c r="Z2061" s="54">
        <f t="shared" si="584"/>
        <v>0</v>
      </c>
      <c r="AA2061" s="54">
        <f t="shared" si="594"/>
        <v>0</v>
      </c>
      <c r="AB2061" s="55">
        <f t="shared" si="583"/>
        <v>0</v>
      </c>
      <c r="AC2061" s="55">
        <f t="shared" si="595"/>
        <v>0</v>
      </c>
      <c r="AD2061" s="56">
        <f t="shared" si="596"/>
        <v>7840.8</v>
      </c>
    </row>
    <row r="2062" spans="3:30">
      <c r="C2062" s="43" t="s">
        <v>3798</v>
      </c>
      <c r="D2062" s="44" t="s">
        <v>3799</v>
      </c>
      <c r="E2062" s="44"/>
      <c r="F2062" s="45">
        <v>42875.200069444443</v>
      </c>
      <c r="G2062" s="46">
        <v>16</v>
      </c>
      <c r="H2062" s="47">
        <v>43378</v>
      </c>
      <c r="I2062" s="47">
        <v>43397</v>
      </c>
      <c r="J2062" s="46">
        <v>434656</v>
      </c>
      <c r="K2062" s="46">
        <v>0</v>
      </c>
      <c r="L2062" s="46">
        <v>0</v>
      </c>
      <c r="M2062" s="46">
        <f t="shared" si="585"/>
        <v>434656</v>
      </c>
      <c r="N2062" s="46">
        <v>434656</v>
      </c>
      <c r="O2062" s="48">
        <f t="shared" si="586"/>
        <v>0</v>
      </c>
      <c r="P2062" s="46">
        <v>0</v>
      </c>
      <c r="Q2062" s="46">
        <v>434656</v>
      </c>
      <c r="R2062" s="49">
        <f t="shared" si="587"/>
        <v>1</v>
      </c>
      <c r="S2062" s="50">
        <f t="shared" si="588"/>
        <v>0.01</v>
      </c>
      <c r="T2062" s="49">
        <f t="shared" si="589"/>
        <v>4346.5600000000004</v>
      </c>
      <c r="U2062" s="51">
        <f t="shared" si="590"/>
        <v>0</v>
      </c>
      <c r="V2062" s="52">
        <f>IF(0&lt;0.8,0,IF(0&lt;1,Sheet3!L561,1))*IF(G2062&lt;3,0.12 - O2062,0.01) *U2062</f>
        <v>0</v>
      </c>
      <c r="W2062" s="52">
        <f t="shared" si="591"/>
        <v>0</v>
      </c>
      <c r="X2062" s="53">
        <f t="shared" si="592"/>
        <v>0</v>
      </c>
      <c r="Y2062" s="53">
        <f t="shared" si="593"/>
        <v>0</v>
      </c>
      <c r="Z2062" s="54">
        <f t="shared" si="584"/>
        <v>0</v>
      </c>
      <c r="AA2062" s="54">
        <f t="shared" si="594"/>
        <v>0</v>
      </c>
      <c r="AB2062" s="55">
        <f t="shared" si="583"/>
        <v>0</v>
      </c>
      <c r="AC2062" s="55">
        <f t="shared" si="595"/>
        <v>0</v>
      </c>
      <c r="AD2062" s="56">
        <f t="shared" si="596"/>
        <v>4346.5600000000004</v>
      </c>
    </row>
    <row r="2063" spans="3:30">
      <c r="C2063" s="43" t="s">
        <v>3800</v>
      </c>
      <c r="D2063" s="44" t="s">
        <v>3801</v>
      </c>
      <c r="E2063" s="44"/>
      <c r="F2063" s="45">
        <v>42879.099236111106</v>
      </c>
      <c r="G2063" s="46">
        <v>16</v>
      </c>
      <c r="H2063" s="47">
        <v>43378</v>
      </c>
      <c r="I2063" s="47">
        <v>43409</v>
      </c>
      <c r="J2063" s="46">
        <v>244783</v>
      </c>
      <c r="K2063" s="46">
        <v>0</v>
      </c>
      <c r="L2063" s="46">
        <v>0</v>
      </c>
      <c r="M2063" s="46">
        <f t="shared" si="585"/>
        <v>244783</v>
      </c>
      <c r="N2063" s="46">
        <v>244783</v>
      </c>
      <c r="O2063" s="48">
        <f t="shared" si="586"/>
        <v>0</v>
      </c>
      <c r="P2063" s="46">
        <v>0</v>
      </c>
      <c r="Q2063" s="46">
        <v>244783</v>
      </c>
      <c r="R2063" s="49">
        <f t="shared" si="587"/>
        <v>1</v>
      </c>
      <c r="S2063" s="50">
        <f t="shared" si="588"/>
        <v>0.01</v>
      </c>
      <c r="T2063" s="49">
        <f t="shared" si="589"/>
        <v>2447.83</v>
      </c>
      <c r="U2063" s="51">
        <f t="shared" si="590"/>
        <v>0</v>
      </c>
      <c r="V2063" s="52">
        <f>IF(0&lt;0.8,0,IF(0&lt;1,Sheet3!L561,1))*IF(G2063&lt;3,0.12 - O2063,0.01) *U2063</f>
        <v>0</v>
      </c>
      <c r="W2063" s="52">
        <f t="shared" si="591"/>
        <v>0</v>
      </c>
      <c r="X2063" s="53">
        <f t="shared" si="592"/>
        <v>0</v>
      </c>
      <c r="Y2063" s="53">
        <f t="shared" si="593"/>
        <v>0</v>
      </c>
      <c r="Z2063" s="54">
        <f t="shared" si="584"/>
        <v>0</v>
      </c>
      <c r="AA2063" s="54">
        <f t="shared" si="594"/>
        <v>0</v>
      </c>
      <c r="AB2063" s="55">
        <f t="shared" si="583"/>
        <v>0</v>
      </c>
      <c r="AC2063" s="55">
        <f t="shared" si="595"/>
        <v>0</v>
      </c>
      <c r="AD2063" s="56">
        <f t="shared" si="596"/>
        <v>2447.83</v>
      </c>
    </row>
    <row r="2064" spans="3:30">
      <c r="C2064" s="43" t="s">
        <v>3802</v>
      </c>
      <c r="D2064" s="44" t="s">
        <v>3803</v>
      </c>
      <c r="E2064" s="44"/>
      <c r="F2064" s="45">
        <v>42885.31417824074</v>
      </c>
      <c r="G2064" s="46">
        <v>16</v>
      </c>
      <c r="H2064" s="47">
        <v>43390</v>
      </c>
      <c r="I2064" s="47">
        <v>43397</v>
      </c>
      <c r="J2064" s="46">
        <v>621093</v>
      </c>
      <c r="K2064" s="46">
        <v>0</v>
      </c>
      <c r="L2064" s="46">
        <v>0</v>
      </c>
      <c r="M2064" s="46">
        <f t="shared" si="585"/>
        <v>621093</v>
      </c>
      <c r="N2064" s="46">
        <v>621093</v>
      </c>
      <c r="O2064" s="48">
        <f t="shared" si="586"/>
        <v>0</v>
      </c>
      <c r="P2064" s="46">
        <v>0</v>
      </c>
      <c r="Q2064" s="46">
        <v>621093</v>
      </c>
      <c r="R2064" s="49">
        <f t="shared" si="587"/>
        <v>1</v>
      </c>
      <c r="S2064" s="50">
        <f t="shared" si="588"/>
        <v>0.01</v>
      </c>
      <c r="T2064" s="49">
        <f t="shared" si="589"/>
        <v>6210.93</v>
      </c>
      <c r="U2064" s="51">
        <f t="shared" si="590"/>
        <v>0</v>
      </c>
      <c r="V2064" s="52">
        <f>IF(0&lt;0.8,0,IF(0&lt;1,Sheet3!L561,1))*IF(G2064&lt;3,0.12 - O2064,0.01) *U2064</f>
        <v>0</v>
      </c>
      <c r="W2064" s="52">
        <f t="shared" si="591"/>
        <v>0</v>
      </c>
      <c r="X2064" s="53">
        <f t="shared" si="592"/>
        <v>0</v>
      </c>
      <c r="Y2064" s="53">
        <f t="shared" si="593"/>
        <v>0</v>
      </c>
      <c r="Z2064" s="54">
        <f t="shared" si="584"/>
        <v>0</v>
      </c>
      <c r="AA2064" s="54">
        <f t="shared" si="594"/>
        <v>0</v>
      </c>
      <c r="AB2064" s="55">
        <f t="shared" si="583"/>
        <v>0</v>
      </c>
      <c r="AC2064" s="55">
        <f t="shared" si="595"/>
        <v>0</v>
      </c>
      <c r="AD2064" s="56">
        <f t="shared" si="596"/>
        <v>6210.93</v>
      </c>
    </row>
    <row r="2065" spans="3:30">
      <c r="C2065" s="43" t="s">
        <v>3804</v>
      </c>
      <c r="D2065" s="44" t="s">
        <v>3805</v>
      </c>
      <c r="E2065" s="44"/>
      <c r="F2065" s="45">
        <v>42983.258750000001</v>
      </c>
      <c r="G2065" s="46">
        <v>12</v>
      </c>
      <c r="H2065" s="47">
        <v>43390</v>
      </c>
      <c r="I2065" s="47">
        <v>43397</v>
      </c>
      <c r="J2065" s="46">
        <v>247324</v>
      </c>
      <c r="K2065" s="46">
        <v>0</v>
      </c>
      <c r="L2065" s="46">
        <v>0</v>
      </c>
      <c r="M2065" s="46">
        <f t="shared" si="585"/>
        <v>247324</v>
      </c>
      <c r="N2065" s="46">
        <v>247324</v>
      </c>
      <c r="O2065" s="48">
        <f t="shared" si="586"/>
        <v>0</v>
      </c>
      <c r="P2065" s="46">
        <v>0</v>
      </c>
      <c r="Q2065" s="46">
        <v>247324</v>
      </c>
      <c r="R2065" s="49">
        <f t="shared" si="587"/>
        <v>1</v>
      </c>
      <c r="S2065" s="50">
        <f t="shared" si="588"/>
        <v>0.01</v>
      </c>
      <c r="T2065" s="49">
        <f t="shared" si="589"/>
        <v>2473.2400000000002</v>
      </c>
      <c r="U2065" s="51">
        <f t="shared" si="590"/>
        <v>0</v>
      </c>
      <c r="V2065" s="52">
        <f>IF(0&lt;0.8,0,IF(0&lt;1,Sheet3!L561,1))*IF(G2065&lt;3,0.12 - O2065,0.01) *U2065</f>
        <v>0</v>
      </c>
      <c r="W2065" s="52">
        <f t="shared" si="591"/>
        <v>0</v>
      </c>
      <c r="X2065" s="53">
        <f t="shared" si="592"/>
        <v>0</v>
      </c>
      <c r="Y2065" s="53">
        <f t="shared" si="593"/>
        <v>0</v>
      </c>
      <c r="Z2065" s="54">
        <f t="shared" si="584"/>
        <v>0</v>
      </c>
      <c r="AA2065" s="54">
        <f t="shared" si="594"/>
        <v>0</v>
      </c>
      <c r="AB2065" s="55">
        <f t="shared" si="583"/>
        <v>0</v>
      </c>
      <c r="AC2065" s="55">
        <f t="shared" si="595"/>
        <v>0</v>
      </c>
      <c r="AD2065" s="56">
        <f t="shared" si="596"/>
        <v>2473.2400000000002</v>
      </c>
    </row>
    <row r="2066" spans="3:30">
      <c r="C2066" s="43" t="s">
        <v>3806</v>
      </c>
      <c r="D2066" s="44" t="s">
        <v>3807</v>
      </c>
      <c r="E2066" s="44"/>
      <c r="F2066" s="45">
        <v>43062.137060185181</v>
      </c>
      <c r="G2066" s="46">
        <v>10</v>
      </c>
      <c r="H2066" s="47">
        <v>43390</v>
      </c>
      <c r="I2066" s="47">
        <v>43396</v>
      </c>
      <c r="J2066" s="46">
        <v>74536</v>
      </c>
      <c r="K2066" s="46">
        <v>0</v>
      </c>
      <c r="L2066" s="46">
        <v>0</v>
      </c>
      <c r="M2066" s="46">
        <f t="shared" si="585"/>
        <v>74536</v>
      </c>
      <c r="N2066" s="46">
        <v>93170</v>
      </c>
      <c r="O2066" s="48">
        <f t="shared" si="586"/>
        <v>0.19999999999999996</v>
      </c>
      <c r="P2066" s="46">
        <v>0</v>
      </c>
      <c r="Q2066" s="46">
        <v>74536</v>
      </c>
      <c r="R2066" s="49">
        <f t="shared" si="587"/>
        <v>1</v>
      </c>
      <c r="S2066" s="50">
        <f t="shared" si="588"/>
        <v>0.01</v>
      </c>
      <c r="T2066" s="49">
        <f t="shared" si="589"/>
        <v>745.36</v>
      </c>
      <c r="U2066" s="51">
        <f t="shared" si="590"/>
        <v>0</v>
      </c>
      <c r="V2066" s="52">
        <f>IF(0&lt;0.8,0,IF(0&lt;1,Sheet3!L561,1))*IF(G2066&lt;3,0.12 - O2066,0.01) *U2066</f>
        <v>0</v>
      </c>
      <c r="W2066" s="52">
        <f t="shared" si="591"/>
        <v>0</v>
      </c>
      <c r="X2066" s="53">
        <f t="shared" si="592"/>
        <v>0</v>
      </c>
      <c r="Y2066" s="53">
        <f t="shared" si="593"/>
        <v>0</v>
      </c>
      <c r="Z2066" s="54">
        <f t="shared" si="584"/>
        <v>0</v>
      </c>
      <c r="AA2066" s="54">
        <f t="shared" si="594"/>
        <v>0</v>
      </c>
      <c r="AB2066" s="55">
        <f t="shared" si="583"/>
        <v>0</v>
      </c>
      <c r="AC2066" s="55">
        <f t="shared" si="595"/>
        <v>0</v>
      </c>
      <c r="AD2066" s="56">
        <f t="shared" si="596"/>
        <v>745.36</v>
      </c>
    </row>
    <row r="2067" spans="3:30">
      <c r="C2067" s="43" t="s">
        <v>3808</v>
      </c>
      <c r="D2067" s="44" t="s">
        <v>3809</v>
      </c>
      <c r="E2067" s="44"/>
      <c r="F2067" s="45">
        <v>43173.217592592591</v>
      </c>
      <c r="G2067" s="46">
        <v>6</v>
      </c>
      <c r="H2067" s="47">
        <v>43389</v>
      </c>
      <c r="I2067" s="47">
        <v>43410</v>
      </c>
      <c r="J2067" s="46">
        <v>1684086</v>
      </c>
      <c r="K2067" s="46">
        <v>0</v>
      </c>
      <c r="L2067" s="46">
        <v>0</v>
      </c>
      <c r="M2067" s="46">
        <f t="shared" si="585"/>
        <v>1684086</v>
      </c>
      <c r="N2067" s="46">
        <v>2173765</v>
      </c>
      <c r="O2067" s="48">
        <f t="shared" si="586"/>
        <v>0.22526768072905767</v>
      </c>
      <c r="P2067" s="46">
        <v>0</v>
      </c>
      <c r="Q2067" s="46">
        <v>1684086</v>
      </c>
      <c r="R2067" s="49">
        <f t="shared" si="587"/>
        <v>1</v>
      </c>
      <c r="S2067" s="50">
        <f t="shared" si="588"/>
        <v>0.01</v>
      </c>
      <c r="T2067" s="49">
        <f t="shared" si="589"/>
        <v>16840.86</v>
      </c>
      <c r="U2067" s="51">
        <f t="shared" si="590"/>
        <v>0</v>
      </c>
      <c r="V2067" s="52">
        <f>IF(0&lt;0.8,0,IF(0&lt;1,Sheet3!L561,1))*IF(G2067&lt;3,0.12 - O2067,0.01) *U2067</f>
        <v>0</v>
      </c>
      <c r="W2067" s="52">
        <f t="shared" si="591"/>
        <v>0</v>
      </c>
      <c r="X2067" s="53">
        <f t="shared" si="592"/>
        <v>0</v>
      </c>
      <c r="Y2067" s="53">
        <f t="shared" si="593"/>
        <v>0</v>
      </c>
      <c r="Z2067" s="54">
        <f t="shared" si="584"/>
        <v>0</v>
      </c>
      <c r="AA2067" s="54">
        <f t="shared" si="594"/>
        <v>0</v>
      </c>
      <c r="AB2067" s="55">
        <f t="shared" si="583"/>
        <v>0</v>
      </c>
      <c r="AC2067" s="55">
        <f t="shared" si="595"/>
        <v>0</v>
      </c>
      <c r="AD2067" s="56">
        <f t="shared" si="596"/>
        <v>16840.86</v>
      </c>
    </row>
    <row r="2068" spans="3:30">
      <c r="C2068" s="43" t="s">
        <v>3810</v>
      </c>
      <c r="D2068" s="44" t="s">
        <v>24</v>
      </c>
      <c r="E2068" s="44"/>
      <c r="F2068" s="45" t="s">
        <v>24</v>
      </c>
      <c r="G2068" s="46" t="s">
        <v>24</v>
      </c>
      <c r="H2068" s="47" t="s">
        <v>24</v>
      </c>
      <c r="I2068" s="47" t="s">
        <v>24</v>
      </c>
      <c r="J2068" s="46">
        <v>141240</v>
      </c>
      <c r="K2068" s="46">
        <v>0</v>
      </c>
      <c r="L2068" s="46">
        <v>0</v>
      </c>
      <c r="M2068" s="46">
        <f t="shared" si="585"/>
        <v>141240</v>
      </c>
      <c r="N2068" s="46" t="s">
        <v>24</v>
      </c>
      <c r="O2068" s="48">
        <f t="shared" si="586"/>
        <v>0</v>
      </c>
      <c r="P2068" s="46">
        <v>0</v>
      </c>
      <c r="Q2068" s="46">
        <v>0</v>
      </c>
      <c r="R2068" s="49">
        <f t="shared" si="587"/>
        <v>0</v>
      </c>
      <c r="S2068" s="50">
        <f t="shared" si="588"/>
        <v>0</v>
      </c>
      <c r="T2068" s="49">
        <f t="shared" si="589"/>
        <v>0</v>
      </c>
      <c r="U2068" s="51">
        <f t="shared" si="590"/>
        <v>141240</v>
      </c>
      <c r="V2068" s="52">
        <f>IF(0&lt;0.8,0,IF(0&lt;1,Sheet3!L561,1))*IF(G2068&lt;3,0.12 - O2068,0.01) *U2068</f>
        <v>0</v>
      </c>
      <c r="W2068" s="52">
        <f t="shared" si="591"/>
        <v>0</v>
      </c>
      <c r="X2068" s="53">
        <f t="shared" si="592"/>
        <v>0</v>
      </c>
      <c r="Y2068" s="53">
        <f t="shared" si="593"/>
        <v>0</v>
      </c>
      <c r="Z2068" s="54" t="str">
        <f>IF(R2068=1,0,"")</f>
        <v/>
      </c>
      <c r="AA2068" s="54">
        <f t="shared" si="594"/>
        <v>0</v>
      </c>
      <c r="AB2068" s="55" t="str">
        <f>IF(R2068=0,"",0)</f>
        <v/>
      </c>
      <c r="AC2068" s="55">
        <f t="shared" si="595"/>
        <v>0</v>
      </c>
      <c r="AD2068" s="56">
        <f t="shared" si="596"/>
        <v>0</v>
      </c>
    </row>
    <row r="2069" spans="3:30">
      <c r="C2069" s="43" t="s">
        <v>3811</v>
      </c>
      <c r="D2069" s="44" t="s">
        <v>3812</v>
      </c>
      <c r="E2069" s="44"/>
      <c r="F2069" s="45">
        <v>43288.180729166663</v>
      </c>
      <c r="G2069" s="46">
        <v>2</v>
      </c>
      <c r="H2069" s="47" t="s">
        <v>24</v>
      </c>
      <c r="I2069" s="47" t="s">
        <v>24</v>
      </c>
      <c r="J2069" s="46">
        <v>66611000</v>
      </c>
      <c r="K2069" s="46">
        <v>4532000</v>
      </c>
      <c r="L2069" s="46">
        <v>0</v>
      </c>
      <c r="M2069" s="46">
        <f t="shared" si="585"/>
        <v>62079000</v>
      </c>
      <c r="N2069" s="46">
        <v>85293626</v>
      </c>
      <c r="O2069" s="48">
        <f t="shared" si="586"/>
        <v>0.27217304608435811</v>
      </c>
      <c r="P2069" s="46">
        <v>66611000</v>
      </c>
      <c r="Q2069" s="46">
        <v>0</v>
      </c>
      <c r="R2069" s="49">
        <f t="shared" si="587"/>
        <v>0</v>
      </c>
      <c r="S2069" s="50">
        <f t="shared" si="588"/>
        <v>0</v>
      </c>
      <c r="T2069" s="49">
        <f t="shared" si="589"/>
        <v>0</v>
      </c>
      <c r="U2069" s="51">
        <f t="shared" si="590"/>
        <v>0</v>
      </c>
      <c r="V2069" s="52">
        <f>IF(0&lt;0.8,0,IF(0&lt;1,Sheet3!L561,1))*IF(G2069&lt;3,0.12 - O2069,0.01) *U2069</f>
        <v>0</v>
      </c>
      <c r="W2069" s="52">
        <f t="shared" si="591"/>
        <v>0</v>
      </c>
      <c r="X2069" s="53">
        <f t="shared" si="592"/>
        <v>0</v>
      </c>
      <c r="Y2069" s="53">
        <f t="shared" si="593"/>
        <v>0</v>
      </c>
      <c r="Z2069" s="54">
        <f>IF(R2069=1,0,0)</f>
        <v>0</v>
      </c>
      <c r="AA2069" s="54">
        <f t="shared" si="594"/>
        <v>0</v>
      </c>
      <c r="AB2069" s="55">
        <f>IF(R2069=0,0,0)</f>
        <v>0</v>
      </c>
      <c r="AC2069" s="55">
        <f t="shared" si="595"/>
        <v>0</v>
      </c>
      <c r="AD2069" s="56">
        <f t="shared" si="596"/>
        <v>0</v>
      </c>
    </row>
    <row r="2070" spans="3:30">
      <c r="C2070" s="43" t="s">
        <v>3813</v>
      </c>
      <c r="D2070" s="44" t="s">
        <v>3814</v>
      </c>
      <c r="E2070" s="44"/>
      <c r="F2070" s="45">
        <v>43349.345775462964</v>
      </c>
      <c r="G2070" s="46">
        <v>0</v>
      </c>
      <c r="H2070" s="47">
        <v>43376</v>
      </c>
      <c r="I2070" s="47">
        <v>43396</v>
      </c>
      <c r="J2070" s="46">
        <v>2062131</v>
      </c>
      <c r="K2070" s="46">
        <v>0</v>
      </c>
      <c r="L2070" s="46">
        <v>0</v>
      </c>
      <c r="M2070" s="46">
        <f t="shared" si="585"/>
        <v>2062131</v>
      </c>
      <c r="N2070" s="46">
        <v>2062131</v>
      </c>
      <c r="O2070" s="48">
        <f t="shared" si="586"/>
        <v>0</v>
      </c>
      <c r="P2070" s="46">
        <v>0</v>
      </c>
      <c r="Q2070" s="46">
        <v>0</v>
      </c>
      <c r="R2070" s="49">
        <f t="shared" si="587"/>
        <v>0</v>
      </c>
      <c r="S2070" s="50">
        <f t="shared" si="588"/>
        <v>0</v>
      </c>
      <c r="T2070" s="49">
        <f t="shared" si="589"/>
        <v>0</v>
      </c>
      <c r="U2070" s="51">
        <f t="shared" si="590"/>
        <v>2062131</v>
      </c>
      <c r="V2070" s="52">
        <f>IF(0&lt;0.8,0,IF(0&lt;1,Sheet3!L561,1))*IF(G2070&lt;3,0.12 - O2070,0.01) *U2070</f>
        <v>0</v>
      </c>
      <c r="W2070" s="52">
        <f t="shared" si="591"/>
        <v>0</v>
      </c>
      <c r="X2070" s="53">
        <f t="shared" si="592"/>
        <v>0</v>
      </c>
      <c r="Y2070" s="53">
        <f t="shared" si="593"/>
        <v>0</v>
      </c>
      <c r="Z2070" s="54">
        <f>IF(R2070=1,0,0)</f>
        <v>0</v>
      </c>
      <c r="AA2070" s="54">
        <f t="shared" si="594"/>
        <v>0</v>
      </c>
      <c r="AB2070" s="55">
        <f>IF(R2070=0,0,0)</f>
        <v>0</v>
      </c>
      <c r="AC2070" s="55">
        <f t="shared" si="595"/>
        <v>0</v>
      </c>
      <c r="AD2070" s="56">
        <f t="shared" si="596"/>
        <v>0</v>
      </c>
    </row>
    <row r="2071" spans="3:30">
      <c r="C2071" s="43" t="s">
        <v>3815</v>
      </c>
      <c r="D2071" s="44" t="s">
        <v>3816</v>
      </c>
      <c r="E2071" s="44"/>
      <c r="F2071" s="45">
        <v>43362.191319444442</v>
      </c>
      <c r="G2071" s="46">
        <v>0</v>
      </c>
      <c r="H2071" s="47">
        <v>43461</v>
      </c>
      <c r="I2071" s="47">
        <v>43482</v>
      </c>
      <c r="J2071" s="46">
        <v>23531871</v>
      </c>
      <c r="K2071" s="46">
        <v>1059103</v>
      </c>
      <c r="L2071" s="46">
        <v>0</v>
      </c>
      <c r="M2071" s="46">
        <f t="shared" si="585"/>
        <v>22472768</v>
      </c>
      <c r="N2071" s="46">
        <v>36112397</v>
      </c>
      <c r="O2071" s="48">
        <f t="shared" si="586"/>
        <v>0.37769935349348316</v>
      </c>
      <c r="P2071" s="46">
        <v>0</v>
      </c>
      <c r="Q2071" s="46">
        <v>0</v>
      </c>
      <c r="R2071" s="49">
        <f t="shared" si="587"/>
        <v>0</v>
      </c>
      <c r="S2071" s="50">
        <f t="shared" si="588"/>
        <v>0</v>
      </c>
      <c r="T2071" s="49">
        <f t="shared" si="589"/>
        <v>0</v>
      </c>
      <c r="U2071" s="51">
        <f t="shared" si="590"/>
        <v>0</v>
      </c>
      <c r="V2071" s="52">
        <f>IF(0&lt;0.8,0,IF(0&lt;1,Sheet3!L561,1))*IF(G2071&lt;3,0.12 - O2071,0.01) *U2071</f>
        <v>0</v>
      </c>
      <c r="W2071" s="52">
        <f t="shared" si="591"/>
        <v>0</v>
      </c>
      <c r="X2071" s="53">
        <f t="shared" si="592"/>
        <v>0</v>
      </c>
      <c r="Y2071" s="53">
        <f t="shared" si="593"/>
        <v>0</v>
      </c>
      <c r="Z2071" s="54">
        <f>IF(R2071=1,0,0)</f>
        <v>0</v>
      </c>
      <c r="AA2071" s="54">
        <f t="shared" si="594"/>
        <v>0</v>
      </c>
      <c r="AB2071" s="55">
        <f>IF(R2071=0,0,0)</f>
        <v>0</v>
      </c>
      <c r="AC2071" s="55">
        <f t="shared" si="595"/>
        <v>0</v>
      </c>
      <c r="AD2071" s="56">
        <f t="shared" si="596"/>
        <v>0</v>
      </c>
    </row>
    <row r="2072" spans="3:30">
      <c r="C2072" s="43" t="s">
        <v>3817</v>
      </c>
      <c r="D2072" s="44" t="s">
        <v>3818</v>
      </c>
      <c r="E2072" s="44"/>
      <c r="F2072" s="45">
        <v>40114.621898148143</v>
      </c>
      <c r="G2072" s="46">
        <v>107</v>
      </c>
      <c r="H2072" s="47">
        <v>43391</v>
      </c>
      <c r="I2072" s="47">
        <v>43434</v>
      </c>
      <c r="J2072" s="46">
        <v>95832</v>
      </c>
      <c r="K2072" s="46">
        <v>0</v>
      </c>
      <c r="L2072" s="46">
        <v>0</v>
      </c>
      <c r="M2072" s="46">
        <f t="shared" si="585"/>
        <v>95832</v>
      </c>
      <c r="N2072" s="46">
        <v>95832</v>
      </c>
      <c r="O2072" s="48">
        <f t="shared" si="586"/>
        <v>0</v>
      </c>
      <c r="P2072" s="46">
        <v>0</v>
      </c>
      <c r="Q2072" s="46">
        <v>95832</v>
      </c>
      <c r="R2072" s="49">
        <f t="shared" si="587"/>
        <v>1</v>
      </c>
      <c r="S2072" s="50">
        <f t="shared" si="588"/>
        <v>0.01</v>
      </c>
      <c r="T2072" s="49">
        <f t="shared" si="589"/>
        <v>958.32</v>
      </c>
      <c r="U2072" s="51">
        <f t="shared" si="590"/>
        <v>0</v>
      </c>
      <c r="V2072" s="52">
        <f>IF(0&lt;0.8,0,IF(0&lt;1,Sheet3!L561,1))*IF(G2072&lt;3,0.12 - O2072,0.01) *U2072</f>
        <v>0</v>
      </c>
      <c r="W2072" s="52">
        <f t="shared" si="591"/>
        <v>0</v>
      </c>
      <c r="X2072" s="53">
        <f t="shared" si="592"/>
        <v>0</v>
      </c>
      <c r="Y2072" s="53">
        <f t="shared" si="593"/>
        <v>0</v>
      </c>
      <c r="Z2072" s="54">
        <f>IF(R2072=1,0,0)</f>
        <v>0</v>
      </c>
      <c r="AA2072" s="54">
        <f t="shared" si="594"/>
        <v>0</v>
      </c>
      <c r="AB2072" s="55">
        <f>IF(R2072=0,0,0)</f>
        <v>0</v>
      </c>
      <c r="AC2072" s="55">
        <f t="shared" si="595"/>
        <v>0</v>
      </c>
      <c r="AD2072" s="56">
        <f t="shared" si="596"/>
        <v>958.32</v>
      </c>
    </row>
    <row r="2073" spans="3:30">
      <c r="C2073" s="43" t="s">
        <v>3819</v>
      </c>
      <c r="D2073" s="44" t="s">
        <v>24</v>
      </c>
      <c r="E2073" s="44"/>
      <c r="F2073" s="45" t="s">
        <v>24</v>
      </c>
      <c r="G2073" s="46" t="s">
        <v>24</v>
      </c>
      <c r="H2073" s="47" t="s">
        <v>24</v>
      </c>
      <c r="I2073" s="47" t="s">
        <v>24</v>
      </c>
      <c r="J2073" s="46">
        <v>78529</v>
      </c>
      <c r="K2073" s="46">
        <v>0</v>
      </c>
      <c r="L2073" s="46">
        <v>0</v>
      </c>
      <c r="M2073" s="46">
        <f t="shared" si="585"/>
        <v>78529</v>
      </c>
      <c r="N2073" s="46" t="s">
        <v>24</v>
      </c>
      <c r="O2073" s="48">
        <f t="shared" si="586"/>
        <v>0</v>
      </c>
      <c r="P2073" s="46">
        <v>0</v>
      </c>
      <c r="Q2073" s="46">
        <v>0</v>
      </c>
      <c r="R2073" s="49">
        <f t="shared" si="587"/>
        <v>0</v>
      </c>
      <c r="S2073" s="50">
        <f t="shared" si="588"/>
        <v>0</v>
      </c>
      <c r="T2073" s="49">
        <f t="shared" si="589"/>
        <v>0</v>
      </c>
      <c r="U2073" s="51">
        <f t="shared" si="590"/>
        <v>78529</v>
      </c>
      <c r="V2073" s="52">
        <f>IF(0&lt;0.8,0,IF(0&lt;1,Sheet3!L561,1))*IF(G2073&lt;3,0.12 - O2073,0.01) *U2073</f>
        <v>0</v>
      </c>
      <c r="W2073" s="52">
        <f t="shared" si="591"/>
        <v>0</v>
      </c>
      <c r="X2073" s="53">
        <f t="shared" si="592"/>
        <v>0</v>
      </c>
      <c r="Y2073" s="53">
        <f t="shared" si="593"/>
        <v>0</v>
      </c>
      <c r="Z2073" s="54" t="str">
        <f>IF(R2073=1,0,"")</f>
        <v/>
      </c>
      <c r="AA2073" s="54">
        <f t="shared" si="594"/>
        <v>0</v>
      </c>
      <c r="AB2073" s="55" t="str">
        <f>IF(R2073=0,"",0)</f>
        <v/>
      </c>
      <c r="AC2073" s="55">
        <f t="shared" si="595"/>
        <v>0</v>
      </c>
      <c r="AD2073" s="56">
        <f t="shared" si="596"/>
        <v>0</v>
      </c>
    </row>
    <row r="2074" spans="3:30">
      <c r="C2074" s="43" t="s">
        <v>3820</v>
      </c>
      <c r="D2074" s="44" t="s">
        <v>3821</v>
      </c>
      <c r="E2074" s="44"/>
      <c r="F2074" s="45">
        <v>40632.634930555556</v>
      </c>
      <c r="G2074" s="46">
        <v>90</v>
      </c>
      <c r="H2074" s="47">
        <v>43391</v>
      </c>
      <c r="I2074" s="47">
        <v>43403</v>
      </c>
      <c r="J2074" s="46">
        <v>372196</v>
      </c>
      <c r="K2074" s="46">
        <v>0</v>
      </c>
      <c r="L2074" s="46">
        <v>0</v>
      </c>
      <c r="M2074" s="46">
        <f t="shared" si="585"/>
        <v>372196</v>
      </c>
      <c r="N2074" s="46">
        <v>372196</v>
      </c>
      <c r="O2074" s="48">
        <f t="shared" si="586"/>
        <v>0</v>
      </c>
      <c r="P2074" s="46">
        <v>0</v>
      </c>
      <c r="Q2074" s="46">
        <v>372196</v>
      </c>
      <c r="R2074" s="49">
        <f t="shared" si="587"/>
        <v>1</v>
      </c>
      <c r="S2074" s="50">
        <f t="shared" si="588"/>
        <v>0.01</v>
      </c>
      <c r="T2074" s="49">
        <f t="shared" si="589"/>
        <v>3721.96</v>
      </c>
      <c r="U2074" s="51">
        <f t="shared" si="590"/>
        <v>0</v>
      </c>
      <c r="V2074" s="52">
        <f>IF(0&lt;0.8,0,IF(0&lt;1,Sheet3!L561,1))*IF(G2074&lt;3,0.12 - O2074,0.01) *U2074</f>
        <v>0</v>
      </c>
      <c r="W2074" s="52">
        <f t="shared" si="591"/>
        <v>0</v>
      </c>
      <c r="X2074" s="53">
        <f t="shared" si="592"/>
        <v>0</v>
      </c>
      <c r="Y2074" s="53">
        <f t="shared" si="593"/>
        <v>0</v>
      </c>
      <c r="Z2074" s="54">
        <f t="shared" ref="Z2074:Z2117" si="597">IF(R2074=1,0,0)</f>
        <v>0</v>
      </c>
      <c r="AA2074" s="54">
        <f t="shared" si="594"/>
        <v>0</v>
      </c>
      <c r="AB2074" s="55">
        <f t="shared" ref="AB2074:AB2086" si="598">IF(R2074=0,0,0)</f>
        <v>0</v>
      </c>
      <c r="AC2074" s="55">
        <f t="shared" si="595"/>
        <v>0</v>
      </c>
      <c r="AD2074" s="56">
        <f t="shared" si="596"/>
        <v>3721.96</v>
      </c>
    </row>
    <row r="2075" spans="3:30">
      <c r="C2075" s="43" t="s">
        <v>3822</v>
      </c>
      <c r="D2075" s="44" t="s">
        <v>3823</v>
      </c>
      <c r="E2075" s="44"/>
      <c r="F2075" s="45">
        <v>41003.43645833333</v>
      </c>
      <c r="G2075" s="46">
        <v>77</v>
      </c>
      <c r="H2075" s="47">
        <v>43405</v>
      </c>
      <c r="I2075" s="47">
        <v>43434</v>
      </c>
      <c r="J2075" s="46">
        <v>5811519</v>
      </c>
      <c r="K2075" s="46">
        <v>0</v>
      </c>
      <c r="L2075" s="46">
        <v>0</v>
      </c>
      <c r="M2075" s="46">
        <f t="shared" si="585"/>
        <v>5811519</v>
      </c>
      <c r="N2075" s="46">
        <v>7207372</v>
      </c>
      <c r="O2075" s="48">
        <f t="shared" si="586"/>
        <v>0.19367017548143761</v>
      </c>
      <c r="P2075" s="46">
        <v>0</v>
      </c>
      <c r="Q2075" s="46">
        <v>5811519</v>
      </c>
      <c r="R2075" s="49">
        <f t="shared" si="587"/>
        <v>1</v>
      </c>
      <c r="S2075" s="50">
        <f t="shared" si="588"/>
        <v>0.01</v>
      </c>
      <c r="T2075" s="49">
        <f t="shared" si="589"/>
        <v>58115.19</v>
      </c>
      <c r="U2075" s="51">
        <f t="shared" si="590"/>
        <v>0</v>
      </c>
      <c r="V2075" s="52">
        <f>IF(0&lt;0.8,0,IF(0&lt;1,Sheet3!L561,1))*IF(G2075&lt;3,0.12 - O2075,0.01) *U2075</f>
        <v>0</v>
      </c>
      <c r="W2075" s="52">
        <f t="shared" si="591"/>
        <v>0</v>
      </c>
      <c r="X2075" s="53">
        <f t="shared" si="592"/>
        <v>0</v>
      </c>
      <c r="Y2075" s="53">
        <f t="shared" si="593"/>
        <v>0</v>
      </c>
      <c r="Z2075" s="54">
        <f t="shared" si="597"/>
        <v>0</v>
      </c>
      <c r="AA2075" s="54">
        <f t="shared" si="594"/>
        <v>0</v>
      </c>
      <c r="AB2075" s="55">
        <f t="shared" si="598"/>
        <v>0</v>
      </c>
      <c r="AC2075" s="55">
        <f t="shared" si="595"/>
        <v>0</v>
      </c>
      <c r="AD2075" s="56">
        <f t="shared" si="596"/>
        <v>58115.19</v>
      </c>
    </row>
    <row r="2076" spans="3:30">
      <c r="C2076" s="43" t="s">
        <v>3824</v>
      </c>
      <c r="D2076" s="44" t="s">
        <v>3825</v>
      </c>
      <c r="E2076" s="44"/>
      <c r="F2076" s="45">
        <v>41206.594085648147</v>
      </c>
      <c r="G2076" s="46">
        <v>71</v>
      </c>
      <c r="H2076" s="47">
        <v>43388</v>
      </c>
      <c r="I2076" s="47">
        <v>43397</v>
      </c>
      <c r="J2076" s="46">
        <v>1737786</v>
      </c>
      <c r="K2076" s="46">
        <v>0</v>
      </c>
      <c r="L2076" s="46">
        <v>0</v>
      </c>
      <c r="M2076" s="46">
        <f t="shared" si="585"/>
        <v>1737786</v>
      </c>
      <c r="N2076" s="46">
        <v>1736350</v>
      </c>
      <c r="O2076" s="48">
        <f t="shared" si="586"/>
        <v>0</v>
      </c>
      <c r="P2076" s="46">
        <v>0</v>
      </c>
      <c r="Q2076" s="46">
        <v>1737786</v>
      </c>
      <c r="R2076" s="49">
        <f t="shared" si="587"/>
        <v>1</v>
      </c>
      <c r="S2076" s="50">
        <f t="shared" si="588"/>
        <v>0.01</v>
      </c>
      <c r="T2076" s="49">
        <f t="shared" si="589"/>
        <v>17377.86</v>
      </c>
      <c r="U2076" s="51">
        <f t="shared" si="590"/>
        <v>0</v>
      </c>
      <c r="V2076" s="52">
        <f>IF(0&lt;0.8,0,IF(0&lt;1,Sheet3!L561,1))*IF(G2076&lt;3,0.12 - O2076,0.01) *U2076</f>
        <v>0</v>
      </c>
      <c r="W2076" s="52">
        <f t="shared" si="591"/>
        <v>0</v>
      </c>
      <c r="X2076" s="53">
        <f t="shared" si="592"/>
        <v>0</v>
      </c>
      <c r="Y2076" s="53">
        <f t="shared" si="593"/>
        <v>0</v>
      </c>
      <c r="Z2076" s="54">
        <f t="shared" si="597"/>
        <v>0</v>
      </c>
      <c r="AA2076" s="54">
        <f t="shared" si="594"/>
        <v>0</v>
      </c>
      <c r="AB2076" s="55">
        <f t="shared" si="598"/>
        <v>0</v>
      </c>
      <c r="AC2076" s="55">
        <f t="shared" si="595"/>
        <v>0</v>
      </c>
      <c r="AD2076" s="56">
        <f t="shared" si="596"/>
        <v>17377.86</v>
      </c>
    </row>
    <row r="2077" spans="3:30">
      <c r="C2077" s="43" t="s">
        <v>3826</v>
      </c>
      <c r="D2077" s="44" t="s">
        <v>3827</v>
      </c>
      <c r="E2077" s="44"/>
      <c r="F2077" s="45">
        <v>41411.417534722219</v>
      </c>
      <c r="G2077" s="46">
        <v>64</v>
      </c>
      <c r="H2077" s="47">
        <v>43376</v>
      </c>
      <c r="I2077" s="47">
        <v>43397</v>
      </c>
      <c r="J2077" s="46">
        <v>1949772</v>
      </c>
      <c r="K2077" s="46">
        <v>0</v>
      </c>
      <c r="L2077" s="46">
        <v>0</v>
      </c>
      <c r="M2077" s="46">
        <f t="shared" si="585"/>
        <v>1949772</v>
      </c>
      <c r="N2077" s="46">
        <v>2481501</v>
      </c>
      <c r="O2077" s="48">
        <f t="shared" si="586"/>
        <v>0.21427716531244601</v>
      </c>
      <c r="P2077" s="46">
        <v>0</v>
      </c>
      <c r="Q2077" s="46">
        <v>1949772</v>
      </c>
      <c r="R2077" s="49">
        <f t="shared" si="587"/>
        <v>1</v>
      </c>
      <c r="S2077" s="50">
        <f t="shared" si="588"/>
        <v>0.01</v>
      </c>
      <c r="T2077" s="49">
        <f t="shared" si="589"/>
        <v>19497.72</v>
      </c>
      <c r="U2077" s="51">
        <f t="shared" si="590"/>
        <v>0</v>
      </c>
      <c r="V2077" s="52">
        <f>IF(0&lt;0.8,0,IF(0&lt;1,Sheet3!L561,1))*IF(G2077&lt;3,0.12 - O2077,0.01) *U2077</f>
        <v>0</v>
      </c>
      <c r="W2077" s="52">
        <f t="shared" si="591"/>
        <v>0</v>
      </c>
      <c r="X2077" s="53">
        <f t="shared" si="592"/>
        <v>0</v>
      </c>
      <c r="Y2077" s="53">
        <f t="shared" si="593"/>
        <v>0</v>
      </c>
      <c r="Z2077" s="54">
        <f t="shared" si="597"/>
        <v>0</v>
      </c>
      <c r="AA2077" s="54">
        <f t="shared" si="594"/>
        <v>0</v>
      </c>
      <c r="AB2077" s="55">
        <f t="shared" si="598"/>
        <v>0</v>
      </c>
      <c r="AC2077" s="55">
        <f t="shared" si="595"/>
        <v>0</v>
      </c>
      <c r="AD2077" s="56">
        <f t="shared" si="596"/>
        <v>19497.72</v>
      </c>
    </row>
    <row r="2078" spans="3:30">
      <c r="C2078" s="43" t="s">
        <v>3828</v>
      </c>
      <c r="D2078" s="44" t="s">
        <v>3829</v>
      </c>
      <c r="E2078" s="44"/>
      <c r="F2078" s="45">
        <v>41418.590081018519</v>
      </c>
      <c r="G2078" s="46">
        <v>64</v>
      </c>
      <c r="H2078" s="47">
        <v>43391</v>
      </c>
      <c r="I2078" s="47">
        <v>43403</v>
      </c>
      <c r="J2078" s="46">
        <v>486541</v>
      </c>
      <c r="K2078" s="46">
        <v>0</v>
      </c>
      <c r="L2078" s="46">
        <v>0</v>
      </c>
      <c r="M2078" s="46">
        <f t="shared" si="585"/>
        <v>486541</v>
      </c>
      <c r="N2078" s="46">
        <v>486541</v>
      </c>
      <c r="O2078" s="48">
        <f t="shared" si="586"/>
        <v>0</v>
      </c>
      <c r="P2078" s="46">
        <v>0</v>
      </c>
      <c r="Q2078" s="46">
        <v>486541</v>
      </c>
      <c r="R2078" s="49">
        <f t="shared" si="587"/>
        <v>1</v>
      </c>
      <c r="S2078" s="50">
        <f t="shared" si="588"/>
        <v>0.01</v>
      </c>
      <c r="T2078" s="49">
        <f t="shared" si="589"/>
        <v>4865.41</v>
      </c>
      <c r="U2078" s="51">
        <f t="shared" si="590"/>
        <v>0</v>
      </c>
      <c r="V2078" s="52">
        <f>IF(0&lt;0.8,0,IF(0&lt;1,Sheet3!L561,1))*IF(G2078&lt;3,0.12 - O2078,0.01) *U2078</f>
        <v>0</v>
      </c>
      <c r="W2078" s="52">
        <f t="shared" si="591"/>
        <v>0</v>
      </c>
      <c r="X2078" s="53">
        <f t="shared" si="592"/>
        <v>0</v>
      </c>
      <c r="Y2078" s="53">
        <f t="shared" si="593"/>
        <v>0</v>
      </c>
      <c r="Z2078" s="54">
        <f t="shared" si="597"/>
        <v>0</v>
      </c>
      <c r="AA2078" s="54">
        <f t="shared" si="594"/>
        <v>0</v>
      </c>
      <c r="AB2078" s="55">
        <f t="shared" si="598"/>
        <v>0</v>
      </c>
      <c r="AC2078" s="55">
        <f t="shared" si="595"/>
        <v>0</v>
      </c>
      <c r="AD2078" s="56">
        <f t="shared" si="596"/>
        <v>4865.41</v>
      </c>
    </row>
    <row r="2079" spans="3:30">
      <c r="C2079" s="43" t="s">
        <v>3830</v>
      </c>
      <c r="D2079" s="44" t="s">
        <v>3831</v>
      </c>
      <c r="E2079" s="44"/>
      <c r="F2079" s="45">
        <v>41643.489189814813</v>
      </c>
      <c r="G2079" s="46">
        <v>56</v>
      </c>
      <c r="H2079" s="47">
        <v>43370</v>
      </c>
      <c r="I2079" s="47">
        <v>43390</v>
      </c>
      <c r="J2079" s="46">
        <v>2489672018</v>
      </c>
      <c r="K2079" s="46">
        <v>162745332</v>
      </c>
      <c r="L2079" s="46">
        <v>0</v>
      </c>
      <c r="M2079" s="46">
        <f t="shared" si="585"/>
        <v>2326926686</v>
      </c>
      <c r="N2079" s="46">
        <v>2861484938</v>
      </c>
      <c r="O2079" s="48">
        <f t="shared" si="586"/>
        <v>0.18681148549872251</v>
      </c>
      <c r="P2079" s="46">
        <v>0</v>
      </c>
      <c r="Q2079" s="46">
        <v>2489672018</v>
      </c>
      <c r="R2079" s="49">
        <f t="shared" si="587"/>
        <v>1</v>
      </c>
      <c r="S2079" s="50">
        <f t="shared" si="588"/>
        <v>0.01</v>
      </c>
      <c r="T2079" s="49">
        <f t="shared" si="589"/>
        <v>23269266.859999999</v>
      </c>
      <c r="U2079" s="51">
        <f t="shared" si="590"/>
        <v>0</v>
      </c>
      <c r="V2079" s="52">
        <f>IF(0&lt;0.8,0,IF(0&lt;1,Sheet3!L561,1))*IF(G2079&lt;3,0.12 - O2079,0.01) *U2079</f>
        <v>0</v>
      </c>
      <c r="W2079" s="52">
        <f t="shared" si="591"/>
        <v>0</v>
      </c>
      <c r="X2079" s="53">
        <f t="shared" si="592"/>
        <v>0</v>
      </c>
      <c r="Y2079" s="53">
        <f t="shared" si="593"/>
        <v>0</v>
      </c>
      <c r="Z2079" s="54">
        <f t="shared" si="597"/>
        <v>0</v>
      </c>
      <c r="AA2079" s="54">
        <f t="shared" si="594"/>
        <v>0</v>
      </c>
      <c r="AB2079" s="55">
        <f t="shared" si="598"/>
        <v>0</v>
      </c>
      <c r="AC2079" s="55">
        <f t="shared" si="595"/>
        <v>0</v>
      </c>
      <c r="AD2079" s="56">
        <f t="shared" si="596"/>
        <v>23269266.859999999</v>
      </c>
    </row>
    <row r="2080" spans="3:30">
      <c r="C2080" s="43" t="s">
        <v>3832</v>
      </c>
      <c r="D2080" s="44" t="s">
        <v>3833</v>
      </c>
      <c r="E2080" s="44"/>
      <c r="F2080" s="45">
        <v>41796.428449074076</v>
      </c>
      <c r="G2080" s="46">
        <v>51</v>
      </c>
      <c r="H2080" s="47">
        <v>43388</v>
      </c>
      <c r="I2080" s="47">
        <v>43395</v>
      </c>
      <c r="J2080" s="46">
        <v>4105966</v>
      </c>
      <c r="K2080" s="46">
        <v>0</v>
      </c>
      <c r="L2080" s="46">
        <v>0</v>
      </c>
      <c r="M2080" s="46">
        <f t="shared" si="585"/>
        <v>4105966</v>
      </c>
      <c r="N2080" s="46">
        <v>4105966</v>
      </c>
      <c r="O2080" s="48">
        <f t="shared" si="586"/>
        <v>0</v>
      </c>
      <c r="P2080" s="46">
        <v>0</v>
      </c>
      <c r="Q2080" s="46">
        <v>4105966</v>
      </c>
      <c r="R2080" s="49">
        <f t="shared" si="587"/>
        <v>1</v>
      </c>
      <c r="S2080" s="50">
        <f t="shared" si="588"/>
        <v>0.01</v>
      </c>
      <c r="T2080" s="49">
        <f t="shared" si="589"/>
        <v>41059.660000000003</v>
      </c>
      <c r="U2080" s="51">
        <f t="shared" si="590"/>
        <v>0</v>
      </c>
      <c r="V2080" s="52">
        <f>IF(0&lt;0.8,0,IF(0&lt;1,Sheet3!L561,1))*IF(G2080&lt;3,0.12 - O2080,0.01) *U2080</f>
        <v>0</v>
      </c>
      <c r="W2080" s="52">
        <f t="shared" si="591"/>
        <v>0</v>
      </c>
      <c r="X2080" s="53">
        <f t="shared" si="592"/>
        <v>0</v>
      </c>
      <c r="Y2080" s="53">
        <f t="shared" si="593"/>
        <v>0</v>
      </c>
      <c r="Z2080" s="54">
        <f t="shared" si="597"/>
        <v>0</v>
      </c>
      <c r="AA2080" s="54">
        <f t="shared" si="594"/>
        <v>0</v>
      </c>
      <c r="AB2080" s="55">
        <f t="shared" si="598"/>
        <v>0</v>
      </c>
      <c r="AC2080" s="55">
        <f t="shared" si="595"/>
        <v>0</v>
      </c>
      <c r="AD2080" s="56">
        <f t="shared" si="596"/>
        <v>41059.660000000003</v>
      </c>
    </row>
    <row r="2081" spans="3:30">
      <c r="C2081" s="43" t="s">
        <v>3834</v>
      </c>
      <c r="D2081" s="44" t="s">
        <v>3835</v>
      </c>
      <c r="E2081" s="44"/>
      <c r="F2081" s="45">
        <v>41796.42664351852</v>
      </c>
      <c r="G2081" s="46">
        <v>51</v>
      </c>
      <c r="H2081" s="47">
        <v>43388</v>
      </c>
      <c r="I2081" s="47">
        <v>43402</v>
      </c>
      <c r="J2081" s="46">
        <v>229174</v>
      </c>
      <c r="K2081" s="46">
        <v>0</v>
      </c>
      <c r="L2081" s="46">
        <v>0</v>
      </c>
      <c r="M2081" s="46">
        <f t="shared" si="585"/>
        <v>229174</v>
      </c>
      <c r="N2081" s="46">
        <v>229174</v>
      </c>
      <c r="O2081" s="48">
        <f t="shared" si="586"/>
        <v>0</v>
      </c>
      <c r="P2081" s="46">
        <v>0</v>
      </c>
      <c r="Q2081" s="46">
        <v>229174</v>
      </c>
      <c r="R2081" s="49">
        <f t="shared" si="587"/>
        <v>1</v>
      </c>
      <c r="S2081" s="50">
        <f t="shared" si="588"/>
        <v>0.01</v>
      </c>
      <c r="T2081" s="49">
        <f t="shared" si="589"/>
        <v>2291.7400000000002</v>
      </c>
      <c r="U2081" s="51">
        <f t="shared" si="590"/>
        <v>0</v>
      </c>
      <c r="V2081" s="52">
        <f>IF(0&lt;0.8,0,IF(0&lt;1,Sheet3!L561,1))*IF(G2081&lt;3,0.12 - O2081,0.01) *U2081</f>
        <v>0</v>
      </c>
      <c r="W2081" s="52">
        <f t="shared" si="591"/>
        <v>0</v>
      </c>
      <c r="X2081" s="53">
        <f t="shared" si="592"/>
        <v>0</v>
      </c>
      <c r="Y2081" s="53">
        <f t="shared" si="593"/>
        <v>0</v>
      </c>
      <c r="Z2081" s="54">
        <f t="shared" si="597"/>
        <v>0</v>
      </c>
      <c r="AA2081" s="54">
        <f t="shared" si="594"/>
        <v>0</v>
      </c>
      <c r="AB2081" s="55">
        <f t="shared" si="598"/>
        <v>0</v>
      </c>
      <c r="AC2081" s="55">
        <f t="shared" si="595"/>
        <v>0</v>
      </c>
      <c r="AD2081" s="56">
        <f t="shared" si="596"/>
        <v>2291.7400000000002</v>
      </c>
    </row>
    <row r="2082" spans="3:30">
      <c r="C2082" s="43" t="s">
        <v>3836</v>
      </c>
      <c r="D2082" s="44" t="s">
        <v>3837</v>
      </c>
      <c r="E2082" s="44"/>
      <c r="F2082" s="45">
        <v>41898.45784722222</v>
      </c>
      <c r="G2082" s="46">
        <v>48</v>
      </c>
      <c r="H2082" s="47">
        <v>43391</v>
      </c>
      <c r="I2082" s="47">
        <v>43404</v>
      </c>
      <c r="J2082" s="46">
        <v>968024</v>
      </c>
      <c r="K2082" s="46">
        <v>0</v>
      </c>
      <c r="L2082" s="46">
        <v>0</v>
      </c>
      <c r="M2082" s="46">
        <f t="shared" si="585"/>
        <v>968024</v>
      </c>
      <c r="N2082" s="46">
        <v>968024</v>
      </c>
      <c r="O2082" s="48">
        <f t="shared" si="586"/>
        <v>0</v>
      </c>
      <c r="P2082" s="46">
        <v>0</v>
      </c>
      <c r="Q2082" s="46">
        <v>968024</v>
      </c>
      <c r="R2082" s="49">
        <f t="shared" si="587"/>
        <v>1</v>
      </c>
      <c r="S2082" s="50">
        <f t="shared" si="588"/>
        <v>0.01</v>
      </c>
      <c r="T2082" s="49">
        <f t="shared" si="589"/>
        <v>9680.24</v>
      </c>
      <c r="U2082" s="51">
        <f t="shared" si="590"/>
        <v>0</v>
      </c>
      <c r="V2082" s="52">
        <f>IF(0&lt;0.8,0,IF(0&lt;1,Sheet3!L561,1))*IF(G2082&lt;3,0.12 - O2082,0.01) *U2082</f>
        <v>0</v>
      </c>
      <c r="W2082" s="52">
        <f t="shared" si="591"/>
        <v>0</v>
      </c>
      <c r="X2082" s="53">
        <f t="shared" si="592"/>
        <v>0</v>
      </c>
      <c r="Y2082" s="53">
        <f t="shared" si="593"/>
        <v>0</v>
      </c>
      <c r="Z2082" s="54">
        <f t="shared" si="597"/>
        <v>0</v>
      </c>
      <c r="AA2082" s="54">
        <f t="shared" si="594"/>
        <v>0</v>
      </c>
      <c r="AB2082" s="55">
        <f t="shared" si="598"/>
        <v>0</v>
      </c>
      <c r="AC2082" s="55">
        <f t="shared" si="595"/>
        <v>0</v>
      </c>
      <c r="AD2082" s="56">
        <f t="shared" si="596"/>
        <v>9680.24</v>
      </c>
    </row>
    <row r="2083" spans="3:30">
      <c r="C2083" s="43" t="s">
        <v>3838</v>
      </c>
      <c r="D2083" s="44" t="s">
        <v>3839</v>
      </c>
      <c r="E2083" s="44"/>
      <c r="F2083" s="45">
        <v>42077.468530092592</v>
      </c>
      <c r="G2083" s="46">
        <v>42</v>
      </c>
      <c r="H2083" s="47">
        <v>43388</v>
      </c>
      <c r="I2083" s="47">
        <v>43402</v>
      </c>
      <c r="J2083" s="46">
        <v>6361854</v>
      </c>
      <c r="K2083" s="46">
        <v>0</v>
      </c>
      <c r="L2083" s="46">
        <v>0</v>
      </c>
      <c r="M2083" s="46">
        <f t="shared" si="585"/>
        <v>6361854</v>
      </c>
      <c r="N2083" s="46">
        <v>7216987</v>
      </c>
      <c r="O2083" s="48">
        <f t="shared" si="586"/>
        <v>0.11848892065345273</v>
      </c>
      <c r="P2083" s="46">
        <v>0</v>
      </c>
      <c r="Q2083" s="46">
        <v>6361854</v>
      </c>
      <c r="R2083" s="49">
        <f t="shared" si="587"/>
        <v>1</v>
      </c>
      <c r="S2083" s="50">
        <f t="shared" si="588"/>
        <v>0.01</v>
      </c>
      <c r="T2083" s="49">
        <f t="shared" si="589"/>
        <v>63618.54</v>
      </c>
      <c r="U2083" s="51">
        <f t="shared" si="590"/>
        <v>0</v>
      </c>
      <c r="V2083" s="52">
        <f>IF(0&lt;0.8,0,IF(0&lt;1,Sheet3!L561,1))*IF(G2083&lt;3,0.12 - O2083,0.01) *U2083</f>
        <v>0</v>
      </c>
      <c r="W2083" s="52">
        <f t="shared" si="591"/>
        <v>0</v>
      </c>
      <c r="X2083" s="53">
        <f t="shared" si="592"/>
        <v>0</v>
      </c>
      <c r="Y2083" s="53">
        <f t="shared" si="593"/>
        <v>0</v>
      </c>
      <c r="Z2083" s="54">
        <f t="shared" si="597"/>
        <v>0</v>
      </c>
      <c r="AA2083" s="54">
        <f t="shared" si="594"/>
        <v>0</v>
      </c>
      <c r="AB2083" s="55">
        <f t="shared" si="598"/>
        <v>0</v>
      </c>
      <c r="AC2083" s="55">
        <f t="shared" si="595"/>
        <v>0</v>
      </c>
      <c r="AD2083" s="56">
        <f t="shared" si="596"/>
        <v>63618.54</v>
      </c>
    </row>
    <row r="2084" spans="3:30">
      <c r="C2084" s="43" t="s">
        <v>3840</v>
      </c>
      <c r="D2084" s="44" t="s">
        <v>3841</v>
      </c>
      <c r="E2084" s="44"/>
      <c r="F2084" s="45">
        <v>42157.504270833335</v>
      </c>
      <c r="G2084" s="46">
        <v>39</v>
      </c>
      <c r="H2084" s="47">
        <v>43405</v>
      </c>
      <c r="I2084" s="47">
        <v>43434</v>
      </c>
      <c r="J2084" s="46">
        <v>21719880</v>
      </c>
      <c r="K2084" s="46">
        <v>0</v>
      </c>
      <c r="L2084" s="46">
        <v>0</v>
      </c>
      <c r="M2084" s="46">
        <f t="shared" si="585"/>
        <v>21719880</v>
      </c>
      <c r="N2084" s="46">
        <v>28183594</v>
      </c>
      <c r="O2084" s="48">
        <f t="shared" si="586"/>
        <v>0.22934314197117656</v>
      </c>
      <c r="P2084" s="46">
        <v>0</v>
      </c>
      <c r="Q2084" s="46">
        <v>21737365</v>
      </c>
      <c r="R2084" s="49">
        <f t="shared" si="587"/>
        <v>1</v>
      </c>
      <c r="S2084" s="50">
        <f t="shared" si="588"/>
        <v>0.01</v>
      </c>
      <c r="T2084" s="49">
        <f t="shared" si="589"/>
        <v>217198.80000000002</v>
      </c>
      <c r="U2084" s="51">
        <f t="shared" si="590"/>
        <v>0</v>
      </c>
      <c r="V2084" s="52">
        <f>IF(0&lt;0.8,0,IF(0&lt;1,Sheet3!L561,1))*IF(G2084&lt;3,0.12 - O2084,0.01) *U2084</f>
        <v>0</v>
      </c>
      <c r="W2084" s="52">
        <f t="shared" si="591"/>
        <v>0</v>
      </c>
      <c r="X2084" s="53">
        <f t="shared" si="592"/>
        <v>0</v>
      </c>
      <c r="Y2084" s="53">
        <f t="shared" si="593"/>
        <v>0</v>
      </c>
      <c r="Z2084" s="54">
        <f t="shared" si="597"/>
        <v>0</v>
      </c>
      <c r="AA2084" s="54">
        <f t="shared" si="594"/>
        <v>0</v>
      </c>
      <c r="AB2084" s="55">
        <f t="shared" si="598"/>
        <v>0</v>
      </c>
      <c r="AC2084" s="55">
        <f t="shared" si="595"/>
        <v>0</v>
      </c>
      <c r="AD2084" s="56">
        <f t="shared" si="596"/>
        <v>217198.80000000002</v>
      </c>
    </row>
    <row r="2085" spans="3:30">
      <c r="C2085" s="43" t="s">
        <v>3842</v>
      </c>
      <c r="D2085" s="44" t="s">
        <v>3843</v>
      </c>
      <c r="E2085" s="44"/>
      <c r="F2085" s="45">
        <v>42360.630590277775</v>
      </c>
      <c r="G2085" s="46">
        <v>33</v>
      </c>
      <c r="H2085" s="47">
        <v>43391</v>
      </c>
      <c r="I2085" s="47">
        <v>43404</v>
      </c>
      <c r="J2085" s="46">
        <v>481338</v>
      </c>
      <c r="K2085" s="46">
        <v>0</v>
      </c>
      <c r="L2085" s="46">
        <v>0</v>
      </c>
      <c r="M2085" s="46">
        <f t="shared" si="585"/>
        <v>481338</v>
      </c>
      <c r="N2085" s="46">
        <v>481338</v>
      </c>
      <c r="O2085" s="48">
        <f t="shared" si="586"/>
        <v>0</v>
      </c>
      <c r="P2085" s="46">
        <v>0</v>
      </c>
      <c r="Q2085" s="46">
        <v>481338</v>
      </c>
      <c r="R2085" s="49">
        <f t="shared" si="587"/>
        <v>1</v>
      </c>
      <c r="S2085" s="50">
        <f t="shared" si="588"/>
        <v>0.01</v>
      </c>
      <c r="T2085" s="49">
        <f t="shared" si="589"/>
        <v>4813.38</v>
      </c>
      <c r="U2085" s="51">
        <f t="shared" si="590"/>
        <v>0</v>
      </c>
      <c r="V2085" s="52">
        <f>IF(0&lt;0.8,0,IF(0&lt;1,Sheet3!L561,1))*IF(G2085&lt;3,0.12 - O2085,0.01) *U2085</f>
        <v>0</v>
      </c>
      <c r="W2085" s="52">
        <f t="shared" si="591"/>
        <v>0</v>
      </c>
      <c r="X2085" s="53">
        <f t="shared" si="592"/>
        <v>0</v>
      </c>
      <c r="Y2085" s="53">
        <f t="shared" si="593"/>
        <v>0</v>
      </c>
      <c r="Z2085" s="54">
        <f t="shared" si="597"/>
        <v>0</v>
      </c>
      <c r="AA2085" s="54">
        <f t="shared" si="594"/>
        <v>0</v>
      </c>
      <c r="AB2085" s="55">
        <f t="shared" si="598"/>
        <v>0</v>
      </c>
      <c r="AC2085" s="55">
        <f t="shared" si="595"/>
        <v>0</v>
      </c>
      <c r="AD2085" s="56">
        <f t="shared" si="596"/>
        <v>4813.38</v>
      </c>
    </row>
    <row r="2086" spans="3:30">
      <c r="C2086" s="43" t="s">
        <v>3844</v>
      </c>
      <c r="D2086" s="44" t="s">
        <v>3845</v>
      </c>
      <c r="E2086" s="44"/>
      <c r="F2086" s="45">
        <v>42486.420543981483</v>
      </c>
      <c r="G2086" s="46">
        <v>29</v>
      </c>
      <c r="H2086" s="47">
        <v>43388</v>
      </c>
      <c r="I2086" s="47">
        <v>43432</v>
      </c>
      <c r="J2086" s="46">
        <v>7523296</v>
      </c>
      <c r="K2086" s="46">
        <v>0</v>
      </c>
      <c r="L2086" s="46">
        <v>0</v>
      </c>
      <c r="M2086" s="46">
        <f t="shared" si="585"/>
        <v>7523296</v>
      </c>
      <c r="N2086" s="46">
        <v>7523296</v>
      </c>
      <c r="O2086" s="48">
        <f t="shared" si="586"/>
        <v>0</v>
      </c>
      <c r="P2086" s="46">
        <v>0</v>
      </c>
      <c r="Q2086" s="46">
        <v>7523296</v>
      </c>
      <c r="R2086" s="49">
        <f t="shared" si="587"/>
        <v>1</v>
      </c>
      <c r="S2086" s="50">
        <f t="shared" si="588"/>
        <v>0.01</v>
      </c>
      <c r="T2086" s="49">
        <f t="shared" si="589"/>
        <v>75232.960000000006</v>
      </c>
      <c r="U2086" s="51">
        <f t="shared" si="590"/>
        <v>0</v>
      </c>
      <c r="V2086" s="52">
        <f>IF(0&lt;0.8,0,IF(0&lt;1,Sheet3!L561,1))*IF(G2086&lt;3,0.12 - O2086,0.01) *U2086</f>
        <v>0</v>
      </c>
      <c r="W2086" s="52">
        <f t="shared" si="591"/>
        <v>0</v>
      </c>
      <c r="X2086" s="53">
        <f t="shared" si="592"/>
        <v>0</v>
      </c>
      <c r="Y2086" s="53">
        <f t="shared" si="593"/>
        <v>0</v>
      </c>
      <c r="Z2086" s="54">
        <f t="shared" si="597"/>
        <v>0</v>
      </c>
      <c r="AA2086" s="54">
        <f t="shared" si="594"/>
        <v>0</v>
      </c>
      <c r="AB2086" s="55">
        <f t="shared" si="598"/>
        <v>0</v>
      </c>
      <c r="AC2086" s="55">
        <f t="shared" si="595"/>
        <v>0</v>
      </c>
      <c r="AD2086" s="56">
        <f t="shared" si="596"/>
        <v>75232.960000000006</v>
      </c>
    </row>
    <row r="2087" spans="3:30">
      <c r="C2087" s="43" t="s">
        <v>3846</v>
      </c>
      <c r="D2087" s="44" t="s">
        <v>3847</v>
      </c>
      <c r="E2087" s="44"/>
      <c r="F2087" s="45">
        <v>42496.292650462958</v>
      </c>
      <c r="G2087" s="46">
        <v>28</v>
      </c>
      <c r="H2087" s="47">
        <v>43388</v>
      </c>
      <c r="I2087" s="47">
        <v>43390</v>
      </c>
      <c r="J2087" s="46">
        <v>791089</v>
      </c>
      <c r="K2087" s="46">
        <v>0</v>
      </c>
      <c r="L2087" s="46">
        <v>0</v>
      </c>
      <c r="M2087" s="46">
        <f t="shared" si="585"/>
        <v>791089</v>
      </c>
      <c r="N2087" s="46">
        <v>383932</v>
      </c>
      <c r="O2087" s="48">
        <f t="shared" si="586"/>
        <v>0</v>
      </c>
      <c r="P2087" s="46">
        <v>0</v>
      </c>
      <c r="Q2087" s="46">
        <v>791089</v>
      </c>
      <c r="R2087" s="49">
        <f t="shared" si="587"/>
        <v>1</v>
      </c>
      <c r="S2087" s="50">
        <f t="shared" si="588"/>
        <v>0.01</v>
      </c>
      <c r="T2087" s="49">
        <f t="shared" si="589"/>
        <v>7910.89</v>
      </c>
      <c r="U2087" s="51">
        <f t="shared" si="590"/>
        <v>0</v>
      </c>
      <c r="V2087" s="52">
        <f>IF(0&lt;0.8,0,IF(0&lt;1,Sheet3!L561,1))*IF(G2087&lt;3,0.12 - O2087,0.01) *U2087</f>
        <v>0</v>
      </c>
      <c r="W2087" s="52">
        <f t="shared" si="591"/>
        <v>0</v>
      </c>
      <c r="X2087" s="53">
        <f t="shared" si="592"/>
        <v>0</v>
      </c>
      <c r="Y2087" s="53">
        <f t="shared" si="593"/>
        <v>0</v>
      </c>
      <c r="Z2087" s="54">
        <f t="shared" si="597"/>
        <v>0</v>
      </c>
      <c r="AA2087" s="54">
        <f t="shared" si="594"/>
        <v>0</v>
      </c>
      <c r="AB2087" s="55">
        <f>IF(R2087=0,474000,0)</f>
        <v>0</v>
      </c>
      <c r="AC2087" s="55">
        <f t="shared" si="595"/>
        <v>0</v>
      </c>
      <c r="AD2087" s="56">
        <f t="shared" si="596"/>
        <v>7910.89</v>
      </c>
    </row>
    <row r="2088" spans="3:30">
      <c r="C2088" s="43" t="s">
        <v>3848</v>
      </c>
      <c r="D2088" s="44" t="s">
        <v>3849</v>
      </c>
      <c r="E2088" s="44"/>
      <c r="F2088" s="45">
        <v>42649.172789351847</v>
      </c>
      <c r="G2088" s="46">
        <v>23</v>
      </c>
      <c r="H2088" s="47">
        <v>43391</v>
      </c>
      <c r="I2088" s="47">
        <v>43404</v>
      </c>
      <c r="J2088" s="46">
        <v>1509332</v>
      </c>
      <c r="K2088" s="46">
        <v>0</v>
      </c>
      <c r="L2088" s="46">
        <v>0</v>
      </c>
      <c r="M2088" s="46">
        <f t="shared" si="585"/>
        <v>1509332</v>
      </c>
      <c r="N2088" s="46">
        <v>1509332</v>
      </c>
      <c r="O2088" s="48">
        <f t="shared" si="586"/>
        <v>0</v>
      </c>
      <c r="P2088" s="46">
        <v>0</v>
      </c>
      <c r="Q2088" s="46">
        <v>1509332</v>
      </c>
      <c r="R2088" s="49">
        <f t="shared" si="587"/>
        <v>1</v>
      </c>
      <c r="S2088" s="50">
        <f t="shared" si="588"/>
        <v>0.01</v>
      </c>
      <c r="T2088" s="49">
        <f t="shared" si="589"/>
        <v>15093.32</v>
      </c>
      <c r="U2088" s="51">
        <f t="shared" si="590"/>
        <v>0</v>
      </c>
      <c r="V2088" s="52">
        <f>IF(0&lt;0.8,0,IF(0&lt;1,Sheet3!L561,1))*IF(G2088&lt;3,0.12 - O2088,0.01) *U2088</f>
        <v>0</v>
      </c>
      <c r="W2088" s="52">
        <f t="shared" si="591"/>
        <v>0</v>
      </c>
      <c r="X2088" s="53">
        <f t="shared" si="592"/>
        <v>0</v>
      </c>
      <c r="Y2088" s="53">
        <f t="shared" si="593"/>
        <v>0</v>
      </c>
      <c r="Z2088" s="54">
        <f t="shared" si="597"/>
        <v>0</v>
      </c>
      <c r="AA2088" s="54">
        <f t="shared" si="594"/>
        <v>0</v>
      </c>
      <c r="AB2088" s="55">
        <f>IF(R2088=0,0,0)</f>
        <v>0</v>
      </c>
      <c r="AC2088" s="55">
        <f t="shared" si="595"/>
        <v>0</v>
      </c>
      <c r="AD2088" s="56">
        <f t="shared" si="596"/>
        <v>15093.32</v>
      </c>
    </row>
    <row r="2089" spans="3:30">
      <c r="C2089" s="43" t="s">
        <v>3850</v>
      </c>
      <c r="D2089" s="44" t="s">
        <v>3851</v>
      </c>
      <c r="E2089" s="44"/>
      <c r="F2089" s="45">
        <v>43097.115034722221</v>
      </c>
      <c r="G2089" s="46">
        <v>9</v>
      </c>
      <c r="H2089" s="47">
        <v>43388</v>
      </c>
      <c r="I2089" s="47">
        <v>43395</v>
      </c>
      <c r="J2089" s="46">
        <v>2990790</v>
      </c>
      <c r="K2089" s="46">
        <v>0</v>
      </c>
      <c r="L2089" s="46">
        <v>0</v>
      </c>
      <c r="M2089" s="46">
        <f t="shared" si="585"/>
        <v>2990790</v>
      </c>
      <c r="N2089" s="46">
        <v>2990790</v>
      </c>
      <c r="O2089" s="48">
        <f t="shared" si="586"/>
        <v>0</v>
      </c>
      <c r="P2089" s="46">
        <v>0</v>
      </c>
      <c r="Q2089" s="46">
        <v>2990790</v>
      </c>
      <c r="R2089" s="49">
        <f t="shared" si="587"/>
        <v>1</v>
      </c>
      <c r="S2089" s="50">
        <f t="shared" si="588"/>
        <v>0.01</v>
      </c>
      <c r="T2089" s="49">
        <f t="shared" si="589"/>
        <v>29907.9</v>
      </c>
      <c r="U2089" s="51">
        <f t="shared" si="590"/>
        <v>0</v>
      </c>
      <c r="V2089" s="52">
        <f>IF(0&lt;0.8,0,IF(0&lt;1,Sheet3!L561,1))*IF(G2089&lt;3,0.12 - O2089,0.01) *U2089</f>
        <v>0</v>
      </c>
      <c r="W2089" s="52">
        <f t="shared" si="591"/>
        <v>0</v>
      </c>
      <c r="X2089" s="53">
        <f t="shared" si="592"/>
        <v>0</v>
      </c>
      <c r="Y2089" s="53">
        <f t="shared" si="593"/>
        <v>0</v>
      </c>
      <c r="Z2089" s="54">
        <f t="shared" si="597"/>
        <v>0</v>
      </c>
      <c r="AA2089" s="54">
        <f t="shared" si="594"/>
        <v>0</v>
      </c>
      <c r="AB2089" s="55">
        <f>IF(R2089=0,0,0)</f>
        <v>0</v>
      </c>
      <c r="AC2089" s="55">
        <f t="shared" si="595"/>
        <v>0</v>
      </c>
      <c r="AD2089" s="56">
        <f t="shared" si="596"/>
        <v>29907.9</v>
      </c>
    </row>
    <row r="2090" spans="3:30">
      <c r="C2090" s="43" t="s">
        <v>3852</v>
      </c>
      <c r="D2090" s="44" t="s">
        <v>3853</v>
      </c>
      <c r="E2090" s="44"/>
      <c r="F2090" s="45">
        <v>43322.352256944439</v>
      </c>
      <c r="G2090" s="46">
        <v>1</v>
      </c>
      <c r="H2090" s="47">
        <v>43391</v>
      </c>
      <c r="I2090" s="47">
        <v>43403</v>
      </c>
      <c r="J2090" s="46">
        <v>374737</v>
      </c>
      <c r="K2090" s="46">
        <v>0</v>
      </c>
      <c r="L2090" s="46">
        <v>0</v>
      </c>
      <c r="M2090" s="46">
        <f t="shared" si="585"/>
        <v>374737</v>
      </c>
      <c r="N2090" s="46">
        <v>374737</v>
      </c>
      <c r="O2090" s="48">
        <f t="shared" si="586"/>
        <v>0</v>
      </c>
      <c r="P2090" s="46">
        <v>0</v>
      </c>
      <c r="Q2090" s="46">
        <v>0</v>
      </c>
      <c r="R2090" s="49">
        <f t="shared" si="587"/>
        <v>0</v>
      </c>
      <c r="S2090" s="50">
        <f t="shared" si="588"/>
        <v>0</v>
      </c>
      <c r="T2090" s="49">
        <f t="shared" si="589"/>
        <v>0</v>
      </c>
      <c r="U2090" s="51">
        <f t="shared" si="590"/>
        <v>374737</v>
      </c>
      <c r="V2090" s="52">
        <f>IF(0&lt;0.8,0,IF(0&lt;1,Sheet3!L561,1))*IF(G2090&lt;3,0.12 - O2090,0.01) *U2090</f>
        <v>0</v>
      </c>
      <c r="W2090" s="52">
        <f t="shared" si="591"/>
        <v>0</v>
      </c>
      <c r="X2090" s="53">
        <f t="shared" si="592"/>
        <v>0</v>
      </c>
      <c r="Y2090" s="53">
        <f t="shared" si="593"/>
        <v>0</v>
      </c>
      <c r="Z2090" s="54">
        <f t="shared" si="597"/>
        <v>0</v>
      </c>
      <c r="AA2090" s="54">
        <f t="shared" si="594"/>
        <v>0</v>
      </c>
      <c r="AB2090" s="55">
        <f>IF(R2090=0,0,0)</f>
        <v>0</v>
      </c>
      <c r="AC2090" s="55">
        <f t="shared" si="595"/>
        <v>0</v>
      </c>
      <c r="AD2090" s="56">
        <f t="shared" si="596"/>
        <v>0</v>
      </c>
    </row>
    <row r="2091" spans="3:30">
      <c r="C2091" s="43" t="s">
        <v>3854</v>
      </c>
      <c r="D2091" s="44" t="s">
        <v>3855</v>
      </c>
      <c r="E2091" s="44"/>
      <c r="F2091" s="45">
        <v>43339.304363425923</v>
      </c>
      <c r="G2091" s="46">
        <v>1</v>
      </c>
      <c r="H2091" s="47">
        <v>43388</v>
      </c>
      <c r="I2091" s="47">
        <v>43486</v>
      </c>
      <c r="J2091" s="46">
        <v>78048453</v>
      </c>
      <c r="K2091" s="46">
        <v>0</v>
      </c>
      <c r="L2091" s="46">
        <v>0</v>
      </c>
      <c r="M2091" s="46">
        <f t="shared" si="585"/>
        <v>78048453</v>
      </c>
      <c r="N2091" s="46">
        <v>28553</v>
      </c>
      <c r="O2091" s="48">
        <f t="shared" si="586"/>
        <v>0</v>
      </c>
      <c r="P2091" s="46">
        <v>0</v>
      </c>
      <c r="Q2091" s="46">
        <v>0</v>
      </c>
      <c r="R2091" s="49">
        <f t="shared" si="587"/>
        <v>0</v>
      </c>
      <c r="S2091" s="50">
        <f t="shared" si="588"/>
        <v>0</v>
      </c>
      <c r="T2091" s="49">
        <f t="shared" si="589"/>
        <v>0</v>
      </c>
      <c r="U2091" s="51">
        <f t="shared" si="590"/>
        <v>78048453</v>
      </c>
      <c r="V2091" s="52">
        <f>IF(0&lt;0.8,0,IF(0&lt;1,Sheet3!L561,1))*IF(G2091&lt;3,0.12 - O2091,0.01) *U2091</f>
        <v>0</v>
      </c>
      <c r="W2091" s="52">
        <f t="shared" si="591"/>
        <v>0</v>
      </c>
      <c r="X2091" s="53">
        <f t="shared" si="592"/>
        <v>0</v>
      </c>
      <c r="Y2091" s="53">
        <f t="shared" si="593"/>
        <v>0</v>
      </c>
      <c r="Z2091" s="54">
        <f t="shared" si="597"/>
        <v>0</v>
      </c>
      <c r="AA2091" s="54">
        <f t="shared" si="594"/>
        <v>0</v>
      </c>
      <c r="AB2091" s="55">
        <f>IF(R2091=0,55315283,0)</f>
        <v>55315283</v>
      </c>
      <c r="AC2091" s="55">
        <f t="shared" si="595"/>
        <v>1106305.6599999999</v>
      </c>
      <c r="AD2091" s="56">
        <f t="shared" si="596"/>
        <v>1106305.6599999999</v>
      </c>
    </row>
    <row r="2092" spans="3:30">
      <c r="C2092" s="43" t="s">
        <v>3856</v>
      </c>
      <c r="D2092" s="44" t="s">
        <v>3857</v>
      </c>
      <c r="E2092" s="44"/>
      <c r="F2092" s="45">
        <v>43356.185150462959</v>
      </c>
      <c r="G2092" s="46">
        <v>0</v>
      </c>
      <c r="H2092" s="47">
        <v>43391</v>
      </c>
      <c r="I2092" s="47">
        <v>43431</v>
      </c>
      <c r="J2092" s="46">
        <v>3157834</v>
      </c>
      <c r="K2092" s="46">
        <v>0</v>
      </c>
      <c r="L2092" s="46">
        <v>0</v>
      </c>
      <c r="M2092" s="46">
        <f t="shared" si="585"/>
        <v>3157834</v>
      </c>
      <c r="N2092" s="46">
        <v>3157834</v>
      </c>
      <c r="O2092" s="48">
        <f t="shared" si="586"/>
        <v>0</v>
      </c>
      <c r="P2092" s="46">
        <v>0</v>
      </c>
      <c r="Q2092" s="46">
        <v>0</v>
      </c>
      <c r="R2092" s="49">
        <f t="shared" si="587"/>
        <v>0</v>
      </c>
      <c r="S2092" s="50">
        <f t="shared" si="588"/>
        <v>0</v>
      </c>
      <c r="T2092" s="49">
        <f t="shared" si="589"/>
        <v>0</v>
      </c>
      <c r="U2092" s="51">
        <f t="shared" si="590"/>
        <v>3157834</v>
      </c>
      <c r="V2092" s="52">
        <f>IF(0&lt;0.8,0,IF(0&lt;1,Sheet3!L561,1))*IF(G2092&lt;3,0.12 - O2092,0.01) *U2092</f>
        <v>0</v>
      </c>
      <c r="W2092" s="52">
        <f t="shared" si="591"/>
        <v>0</v>
      </c>
      <c r="X2092" s="53">
        <f t="shared" si="592"/>
        <v>0</v>
      </c>
      <c r="Y2092" s="53">
        <f t="shared" si="593"/>
        <v>0</v>
      </c>
      <c r="Z2092" s="54">
        <f t="shared" si="597"/>
        <v>0</v>
      </c>
      <c r="AA2092" s="54">
        <f t="shared" si="594"/>
        <v>0</v>
      </c>
      <c r="AB2092" s="55">
        <f t="shared" ref="AB2092:AB2155" si="599">IF(R2092=0,0,0)</f>
        <v>0</v>
      </c>
      <c r="AC2092" s="55">
        <f t="shared" si="595"/>
        <v>0</v>
      </c>
      <c r="AD2092" s="56">
        <f t="shared" si="596"/>
        <v>0</v>
      </c>
    </row>
    <row r="2093" spans="3:30">
      <c r="C2093" s="43" t="s">
        <v>3858</v>
      </c>
      <c r="D2093" s="44" t="s">
        <v>3859</v>
      </c>
      <c r="E2093" s="44"/>
      <c r="F2093" s="45">
        <v>43360.186435185184</v>
      </c>
      <c r="G2093" s="46">
        <v>0</v>
      </c>
      <c r="H2093" s="47">
        <v>43385</v>
      </c>
      <c r="I2093" s="47">
        <v>43390</v>
      </c>
      <c r="J2093" s="46">
        <v>22000</v>
      </c>
      <c r="K2093" s="46">
        <v>0</v>
      </c>
      <c r="L2093" s="46">
        <v>0</v>
      </c>
      <c r="M2093" s="46">
        <f t="shared" si="585"/>
        <v>22000</v>
      </c>
      <c r="N2093" s="46">
        <v>26620</v>
      </c>
      <c r="O2093" s="48">
        <f t="shared" si="586"/>
        <v>0.17355371900826444</v>
      </c>
      <c r="P2093" s="46">
        <v>0</v>
      </c>
      <c r="Q2093" s="46">
        <v>0</v>
      </c>
      <c r="R2093" s="49">
        <f t="shared" si="587"/>
        <v>0</v>
      </c>
      <c r="S2093" s="50">
        <f t="shared" si="588"/>
        <v>0</v>
      </c>
      <c r="T2093" s="49">
        <f t="shared" si="589"/>
        <v>0</v>
      </c>
      <c r="U2093" s="51">
        <f t="shared" si="590"/>
        <v>0</v>
      </c>
      <c r="V2093" s="52">
        <f>IF(0&lt;0.8,0,IF(0&lt;1,Sheet3!L561,1))*IF(G2093&lt;3,0.12 - O2093,0.01) *U2093</f>
        <v>0</v>
      </c>
      <c r="W2093" s="52">
        <f t="shared" si="591"/>
        <v>0</v>
      </c>
      <c r="X2093" s="53">
        <f t="shared" si="592"/>
        <v>0</v>
      </c>
      <c r="Y2093" s="53">
        <f t="shared" si="593"/>
        <v>0</v>
      </c>
      <c r="Z2093" s="54">
        <f t="shared" si="597"/>
        <v>0</v>
      </c>
      <c r="AA2093" s="54">
        <f t="shared" si="594"/>
        <v>0</v>
      </c>
      <c r="AB2093" s="55">
        <f t="shared" si="599"/>
        <v>0</v>
      </c>
      <c r="AC2093" s="55">
        <f t="shared" si="595"/>
        <v>0</v>
      </c>
      <c r="AD2093" s="56">
        <f t="shared" si="596"/>
        <v>0</v>
      </c>
    </row>
    <row r="2094" spans="3:30">
      <c r="C2094" s="43" t="s">
        <v>3860</v>
      </c>
      <c r="D2094" s="44" t="s">
        <v>3861</v>
      </c>
      <c r="E2094" s="44"/>
      <c r="F2094" s="45">
        <v>38960.638240740736</v>
      </c>
      <c r="G2094" s="46">
        <v>145</v>
      </c>
      <c r="H2094" s="47">
        <v>43386</v>
      </c>
      <c r="I2094" s="47">
        <v>43395</v>
      </c>
      <c r="J2094" s="46">
        <v>456533</v>
      </c>
      <c r="K2094" s="46">
        <v>0</v>
      </c>
      <c r="L2094" s="46">
        <v>0</v>
      </c>
      <c r="M2094" s="46">
        <f t="shared" si="585"/>
        <v>456533</v>
      </c>
      <c r="N2094" s="46">
        <v>456533</v>
      </c>
      <c r="O2094" s="48">
        <f t="shared" si="586"/>
        <v>0</v>
      </c>
      <c r="P2094" s="46">
        <v>0</v>
      </c>
      <c r="Q2094" s="46">
        <v>456533</v>
      </c>
      <c r="R2094" s="49">
        <f t="shared" si="587"/>
        <v>1</v>
      </c>
      <c r="S2094" s="50">
        <f t="shared" si="588"/>
        <v>0.01</v>
      </c>
      <c r="T2094" s="49">
        <f t="shared" si="589"/>
        <v>4565.33</v>
      </c>
      <c r="U2094" s="51">
        <f t="shared" si="590"/>
        <v>0</v>
      </c>
      <c r="V2094" s="52">
        <f>IF(0&lt;0.8,0,IF(0&lt;1,Sheet3!L561,1))*IF(G2094&lt;3,0.12 - O2094,0.01) *U2094</f>
        <v>0</v>
      </c>
      <c r="W2094" s="52">
        <f t="shared" si="591"/>
        <v>0</v>
      </c>
      <c r="X2094" s="53">
        <f t="shared" si="592"/>
        <v>0</v>
      </c>
      <c r="Y2094" s="53">
        <f t="shared" si="593"/>
        <v>0</v>
      </c>
      <c r="Z2094" s="54">
        <f t="shared" si="597"/>
        <v>0</v>
      </c>
      <c r="AA2094" s="54">
        <f t="shared" si="594"/>
        <v>0</v>
      </c>
      <c r="AB2094" s="55">
        <f t="shared" si="599"/>
        <v>0</v>
      </c>
      <c r="AC2094" s="55">
        <f t="shared" si="595"/>
        <v>0</v>
      </c>
      <c r="AD2094" s="56">
        <f t="shared" si="596"/>
        <v>4565.33</v>
      </c>
    </row>
    <row r="2095" spans="3:30">
      <c r="C2095" s="43" t="s">
        <v>3862</v>
      </c>
      <c r="D2095" s="44" t="s">
        <v>3863</v>
      </c>
      <c r="E2095" s="44"/>
      <c r="F2095" s="45">
        <v>39552.357129629629</v>
      </c>
      <c r="G2095" s="46">
        <v>125</v>
      </c>
      <c r="H2095" s="47">
        <v>43386</v>
      </c>
      <c r="I2095" s="47">
        <v>43398</v>
      </c>
      <c r="J2095" s="46">
        <v>467544</v>
      </c>
      <c r="K2095" s="46">
        <v>0</v>
      </c>
      <c r="L2095" s="46">
        <v>0</v>
      </c>
      <c r="M2095" s="46">
        <f t="shared" si="585"/>
        <v>467544</v>
      </c>
      <c r="N2095" s="46">
        <v>467544</v>
      </c>
      <c r="O2095" s="48">
        <f t="shared" si="586"/>
        <v>0</v>
      </c>
      <c r="P2095" s="46">
        <v>0</v>
      </c>
      <c r="Q2095" s="46">
        <v>467544</v>
      </c>
      <c r="R2095" s="49">
        <f t="shared" si="587"/>
        <v>1</v>
      </c>
      <c r="S2095" s="50">
        <f t="shared" si="588"/>
        <v>0.01</v>
      </c>
      <c r="T2095" s="49">
        <f t="shared" si="589"/>
        <v>4675.4400000000005</v>
      </c>
      <c r="U2095" s="51">
        <f t="shared" si="590"/>
        <v>0</v>
      </c>
      <c r="V2095" s="52">
        <f>IF(0&lt;0.8,0,IF(0&lt;1,Sheet3!L561,1))*IF(G2095&lt;3,0.12 - O2095,0.01) *U2095</f>
        <v>0</v>
      </c>
      <c r="W2095" s="52">
        <f t="shared" si="591"/>
        <v>0</v>
      </c>
      <c r="X2095" s="53">
        <f t="shared" si="592"/>
        <v>0</v>
      </c>
      <c r="Y2095" s="53">
        <f t="shared" si="593"/>
        <v>0</v>
      </c>
      <c r="Z2095" s="54">
        <f t="shared" si="597"/>
        <v>0</v>
      </c>
      <c r="AA2095" s="54">
        <f t="shared" si="594"/>
        <v>0</v>
      </c>
      <c r="AB2095" s="55">
        <f t="shared" si="599"/>
        <v>0</v>
      </c>
      <c r="AC2095" s="55">
        <f t="shared" si="595"/>
        <v>0</v>
      </c>
      <c r="AD2095" s="56">
        <f t="shared" si="596"/>
        <v>4675.4400000000005</v>
      </c>
    </row>
    <row r="2096" spans="3:30">
      <c r="C2096" s="43" t="s">
        <v>3864</v>
      </c>
      <c r="D2096" s="44" t="s">
        <v>3865</v>
      </c>
      <c r="E2096" s="44"/>
      <c r="F2096" s="45">
        <v>39598.593854166662</v>
      </c>
      <c r="G2096" s="46">
        <v>124</v>
      </c>
      <c r="H2096" s="47">
        <v>43386</v>
      </c>
      <c r="I2096" s="47">
        <v>43395</v>
      </c>
      <c r="J2096" s="46">
        <v>2366155</v>
      </c>
      <c r="K2096" s="46">
        <v>0</v>
      </c>
      <c r="L2096" s="46">
        <v>0</v>
      </c>
      <c r="M2096" s="46">
        <f t="shared" si="585"/>
        <v>2366155</v>
      </c>
      <c r="N2096" s="46">
        <v>2237895</v>
      </c>
      <c r="O2096" s="48">
        <f t="shared" si="586"/>
        <v>0</v>
      </c>
      <c r="P2096" s="46">
        <v>0</v>
      </c>
      <c r="Q2096" s="46">
        <v>2366155</v>
      </c>
      <c r="R2096" s="49">
        <f t="shared" si="587"/>
        <v>1</v>
      </c>
      <c r="S2096" s="50">
        <f t="shared" si="588"/>
        <v>0.01</v>
      </c>
      <c r="T2096" s="49">
        <f t="shared" si="589"/>
        <v>23661.55</v>
      </c>
      <c r="U2096" s="51">
        <f t="shared" si="590"/>
        <v>0</v>
      </c>
      <c r="V2096" s="52">
        <f>IF(0&lt;0.8,0,IF(0&lt;1,Sheet3!L561,1))*IF(G2096&lt;3,0.12 - O2096,0.01) *U2096</f>
        <v>0</v>
      </c>
      <c r="W2096" s="52">
        <f t="shared" si="591"/>
        <v>0</v>
      </c>
      <c r="X2096" s="53">
        <f t="shared" si="592"/>
        <v>0</v>
      </c>
      <c r="Y2096" s="53">
        <f t="shared" si="593"/>
        <v>0</v>
      </c>
      <c r="Z2096" s="54">
        <f t="shared" si="597"/>
        <v>0</v>
      </c>
      <c r="AA2096" s="54">
        <f t="shared" si="594"/>
        <v>0</v>
      </c>
      <c r="AB2096" s="55">
        <f t="shared" si="599"/>
        <v>0</v>
      </c>
      <c r="AC2096" s="55">
        <f t="shared" si="595"/>
        <v>0</v>
      </c>
      <c r="AD2096" s="56">
        <f t="shared" si="596"/>
        <v>23661.55</v>
      </c>
    </row>
    <row r="2097" spans="3:30">
      <c r="C2097" s="43" t="s">
        <v>3866</v>
      </c>
      <c r="D2097" s="44" t="s">
        <v>3867</v>
      </c>
      <c r="E2097" s="44"/>
      <c r="F2097" s="45">
        <v>40441.663599537038</v>
      </c>
      <c r="G2097" s="46">
        <v>96</v>
      </c>
      <c r="H2097" s="47">
        <v>43376</v>
      </c>
      <c r="I2097" s="47">
        <v>43434</v>
      </c>
      <c r="J2097" s="46">
        <v>5149710</v>
      </c>
      <c r="K2097" s="46">
        <v>0</v>
      </c>
      <c r="L2097" s="46">
        <v>0</v>
      </c>
      <c r="M2097" s="46">
        <f t="shared" si="585"/>
        <v>5149710</v>
      </c>
      <c r="N2097" s="46">
        <v>5149710</v>
      </c>
      <c r="O2097" s="48">
        <f t="shared" si="586"/>
        <v>0</v>
      </c>
      <c r="P2097" s="46">
        <v>0</v>
      </c>
      <c r="Q2097" s="46">
        <v>5149710</v>
      </c>
      <c r="R2097" s="49">
        <f t="shared" si="587"/>
        <v>1</v>
      </c>
      <c r="S2097" s="50">
        <f t="shared" si="588"/>
        <v>0.01</v>
      </c>
      <c r="T2097" s="49">
        <f t="shared" si="589"/>
        <v>51497.1</v>
      </c>
      <c r="U2097" s="51">
        <f t="shared" si="590"/>
        <v>0</v>
      </c>
      <c r="V2097" s="52">
        <f>IF(0&lt;0.8,0,IF(0&lt;1,Sheet3!L561,1))*IF(G2097&lt;3,0.12 - O2097,0.01) *U2097</f>
        <v>0</v>
      </c>
      <c r="W2097" s="52">
        <f t="shared" si="591"/>
        <v>0</v>
      </c>
      <c r="X2097" s="53">
        <f t="shared" si="592"/>
        <v>0</v>
      </c>
      <c r="Y2097" s="53">
        <f t="shared" si="593"/>
        <v>0</v>
      </c>
      <c r="Z2097" s="54">
        <f t="shared" si="597"/>
        <v>0</v>
      </c>
      <c r="AA2097" s="54">
        <f t="shared" si="594"/>
        <v>0</v>
      </c>
      <c r="AB2097" s="55">
        <f t="shared" si="599"/>
        <v>0</v>
      </c>
      <c r="AC2097" s="55">
        <f t="shared" si="595"/>
        <v>0</v>
      </c>
      <c r="AD2097" s="56">
        <f t="shared" si="596"/>
        <v>51497.1</v>
      </c>
    </row>
    <row r="2098" spans="3:30">
      <c r="C2098" s="43" t="s">
        <v>3868</v>
      </c>
      <c r="D2098" s="44" t="s">
        <v>3869</v>
      </c>
      <c r="E2098" s="44"/>
      <c r="F2098" s="45">
        <v>40469.377696759257</v>
      </c>
      <c r="G2098" s="46">
        <v>95</v>
      </c>
      <c r="H2098" s="47">
        <v>43383</v>
      </c>
      <c r="I2098" s="47">
        <v>43403</v>
      </c>
      <c r="J2098" s="46">
        <v>154880</v>
      </c>
      <c r="K2098" s="46">
        <v>0</v>
      </c>
      <c r="L2098" s="46">
        <v>0</v>
      </c>
      <c r="M2098" s="46">
        <f t="shared" si="585"/>
        <v>154880</v>
      </c>
      <c r="N2098" s="46">
        <v>154880</v>
      </c>
      <c r="O2098" s="48">
        <f t="shared" si="586"/>
        <v>0</v>
      </c>
      <c r="P2098" s="46">
        <v>0</v>
      </c>
      <c r="Q2098" s="46">
        <v>154880</v>
      </c>
      <c r="R2098" s="49">
        <f t="shared" si="587"/>
        <v>1</v>
      </c>
      <c r="S2098" s="50">
        <f t="shared" si="588"/>
        <v>0.01</v>
      </c>
      <c r="T2098" s="49">
        <f t="shared" si="589"/>
        <v>1548.8</v>
      </c>
      <c r="U2098" s="51">
        <f t="shared" si="590"/>
        <v>0</v>
      </c>
      <c r="V2098" s="52">
        <f>IF(0&lt;0.8,0,IF(0&lt;1,Sheet3!L561,1))*IF(G2098&lt;3,0.12 - O2098,0.01) *U2098</f>
        <v>0</v>
      </c>
      <c r="W2098" s="52">
        <f t="shared" si="591"/>
        <v>0</v>
      </c>
      <c r="X2098" s="53">
        <f t="shared" si="592"/>
        <v>0</v>
      </c>
      <c r="Y2098" s="53">
        <f t="shared" si="593"/>
        <v>0</v>
      </c>
      <c r="Z2098" s="54">
        <f t="shared" si="597"/>
        <v>0</v>
      </c>
      <c r="AA2098" s="54">
        <f t="shared" si="594"/>
        <v>0</v>
      </c>
      <c r="AB2098" s="55">
        <f t="shared" si="599"/>
        <v>0</v>
      </c>
      <c r="AC2098" s="55">
        <f t="shared" si="595"/>
        <v>0</v>
      </c>
      <c r="AD2098" s="56">
        <f t="shared" si="596"/>
        <v>1548.8</v>
      </c>
    </row>
    <row r="2099" spans="3:30">
      <c r="C2099" s="43" t="s">
        <v>3870</v>
      </c>
      <c r="D2099" s="44" t="s">
        <v>3871</v>
      </c>
      <c r="E2099" s="44"/>
      <c r="F2099" s="45">
        <v>40728.469965277778</v>
      </c>
      <c r="G2099" s="46">
        <v>86</v>
      </c>
      <c r="H2099" s="47">
        <v>43386</v>
      </c>
      <c r="I2099" s="47">
        <v>43395</v>
      </c>
      <c r="J2099" s="46">
        <v>1568788</v>
      </c>
      <c r="K2099" s="46">
        <v>0</v>
      </c>
      <c r="L2099" s="46">
        <v>0</v>
      </c>
      <c r="M2099" s="46">
        <f t="shared" ref="M2099:M2162" si="600">IFERROR(J2099-K2099-L2099,0)</f>
        <v>1568788</v>
      </c>
      <c r="N2099" s="46">
        <v>1568788</v>
      </c>
      <c r="O2099" s="48">
        <f t="shared" ref="O2099:O2162" si="601">IFERROR(IF(1 - M2099/N2099&lt;0,0,1-M2099/N2099),0)</f>
        <v>0</v>
      </c>
      <c r="P2099" s="46">
        <v>0</v>
      </c>
      <c r="Q2099" s="46">
        <v>1568788</v>
      </c>
      <c r="R2099" s="49">
        <f t="shared" ref="R2099:R2162" si="602">IF(F2099&lt;DATEVALUE("2018-07-01"),1,0)</f>
        <v>1</v>
      </c>
      <c r="S2099" s="50">
        <f t="shared" ref="S2099:S2162" si="603">IF(R2099=1,1%,0)</f>
        <v>0.01</v>
      </c>
      <c r="T2099" s="49">
        <f t="shared" ref="T2099:T2162" si="604">IFERROR(S2099*M2099,0)</f>
        <v>15687.880000000001</v>
      </c>
      <c r="U2099" s="51">
        <f t="shared" ref="U2099:U2162" si="605">IF(O2099&lt;=0.12,1,0)*(1-R2099)*M2099</f>
        <v>0</v>
      </c>
      <c r="V2099" s="52">
        <f>IF(0&lt;0.8,0,IF(0&lt;1,Sheet3!L561,1))*IF(G2099&lt;3,0.12 - O2099,0.01) *U2099</f>
        <v>0</v>
      </c>
      <c r="W2099" s="52">
        <f t="shared" ref="W2099:W2162" si="606">IF(0&gt;1,IF(0&lt;=1.1,1,IF(0&lt;=1.2,2,IF(0&lt;=1.5,3,5))),0) * 1000000</f>
        <v>0</v>
      </c>
      <c r="X2099" s="53">
        <f t="shared" ref="X2099:X2162" si="607">IF(AND(P2099&gt;=150000000,P2099&lt;300000000),5000000,IF(AND(P2099&gt;=300000000,P2099&lt;500000000),10000000,IF(AND(P2099&gt;=300000000,P2099&lt;500000000),15000000,IF(AND(P2099&gt;=500000000,P2099&lt;3000000000),20000000,IF(P2099&gt;=30000000000,35000000,0))))) * (1-R2099)</f>
        <v>0</v>
      </c>
      <c r="Y2099" s="53">
        <f t="shared" ref="Y2099:Y2162" si="608">IFERROR(Q2099 * (1-R2099),0)</f>
        <v>0</v>
      </c>
      <c r="Z2099" s="54">
        <f t="shared" si="597"/>
        <v>0</v>
      </c>
      <c r="AA2099" s="54">
        <f t="shared" ref="AA2099:AA2162" si="609">IFERROR((1-R2099) * Z2099 * 2%,0)</f>
        <v>0</v>
      </c>
      <c r="AB2099" s="55">
        <f t="shared" si="599"/>
        <v>0</v>
      </c>
      <c r="AC2099" s="55">
        <f t="shared" ref="AC2099:AC2162" si="610">IFERROR(AB2099 * (1-R2099) * 2%,0)</f>
        <v>0</v>
      </c>
      <c r="AD2099" s="56">
        <f t="shared" ref="AD2099:AD2162" si="611">T2099+V2099+W2099+X2099+AA2099+AC2099</f>
        <v>15687.880000000001</v>
      </c>
    </row>
    <row r="2100" spans="3:30">
      <c r="C2100" s="43" t="s">
        <v>3872</v>
      </c>
      <c r="D2100" s="44" t="s">
        <v>3873</v>
      </c>
      <c r="E2100" s="44"/>
      <c r="F2100" s="45">
        <v>41195.40489583333</v>
      </c>
      <c r="G2100" s="46">
        <v>71</v>
      </c>
      <c r="H2100" s="47">
        <v>43445</v>
      </c>
      <c r="I2100" s="47">
        <v>43439</v>
      </c>
      <c r="J2100" s="46">
        <v>6863060</v>
      </c>
      <c r="K2100" s="46">
        <v>623914</v>
      </c>
      <c r="L2100" s="46">
        <v>0</v>
      </c>
      <c r="M2100" s="46">
        <f t="shared" si="600"/>
        <v>6239146</v>
      </c>
      <c r="N2100" s="46">
        <v>6863060</v>
      </c>
      <c r="O2100" s="48">
        <f t="shared" si="601"/>
        <v>9.0909011432218301E-2</v>
      </c>
      <c r="P2100" s="46">
        <v>0</v>
      </c>
      <c r="Q2100" s="46">
        <v>6863060</v>
      </c>
      <c r="R2100" s="49">
        <f t="shared" si="602"/>
        <v>1</v>
      </c>
      <c r="S2100" s="50">
        <f t="shared" si="603"/>
        <v>0.01</v>
      </c>
      <c r="T2100" s="49">
        <f t="shared" si="604"/>
        <v>62391.46</v>
      </c>
      <c r="U2100" s="51">
        <f t="shared" si="605"/>
        <v>0</v>
      </c>
      <c r="V2100" s="52">
        <f>IF(0&lt;0.8,0,IF(0&lt;1,Sheet3!L561,1))*IF(G2100&lt;3,0.12 - O2100,0.01) *U2100</f>
        <v>0</v>
      </c>
      <c r="W2100" s="52">
        <f t="shared" si="606"/>
        <v>0</v>
      </c>
      <c r="X2100" s="53">
        <f t="shared" si="607"/>
        <v>0</v>
      </c>
      <c r="Y2100" s="53">
        <f t="shared" si="608"/>
        <v>0</v>
      </c>
      <c r="Z2100" s="54">
        <f t="shared" si="597"/>
        <v>0</v>
      </c>
      <c r="AA2100" s="54">
        <f t="shared" si="609"/>
        <v>0</v>
      </c>
      <c r="AB2100" s="55">
        <f t="shared" si="599"/>
        <v>0</v>
      </c>
      <c r="AC2100" s="55">
        <f t="shared" si="610"/>
        <v>0</v>
      </c>
      <c r="AD2100" s="56">
        <f t="shared" si="611"/>
        <v>62391.46</v>
      </c>
    </row>
    <row r="2101" spans="3:30">
      <c r="C2101" s="43" t="s">
        <v>3874</v>
      </c>
      <c r="D2101" s="44" t="s">
        <v>3875</v>
      </c>
      <c r="E2101" s="44"/>
      <c r="F2101" s="45">
        <v>41204.694965277777</v>
      </c>
      <c r="G2101" s="46">
        <v>71</v>
      </c>
      <c r="H2101" s="47">
        <v>43455</v>
      </c>
      <c r="I2101" s="47">
        <v>43475</v>
      </c>
      <c r="J2101" s="46">
        <v>10084</v>
      </c>
      <c r="K2101" s="46">
        <v>0</v>
      </c>
      <c r="L2101" s="46">
        <v>0</v>
      </c>
      <c r="M2101" s="46">
        <f t="shared" si="600"/>
        <v>10084</v>
      </c>
      <c r="N2101" s="46">
        <v>10084</v>
      </c>
      <c r="O2101" s="48">
        <f t="shared" si="601"/>
        <v>0</v>
      </c>
      <c r="P2101" s="46">
        <v>0</v>
      </c>
      <c r="Q2101" s="46">
        <v>20168</v>
      </c>
      <c r="R2101" s="49">
        <f t="shared" si="602"/>
        <v>1</v>
      </c>
      <c r="S2101" s="50">
        <f t="shared" si="603"/>
        <v>0.01</v>
      </c>
      <c r="T2101" s="49">
        <f t="shared" si="604"/>
        <v>100.84</v>
      </c>
      <c r="U2101" s="51">
        <f t="shared" si="605"/>
        <v>0</v>
      </c>
      <c r="V2101" s="52">
        <f>IF(0&lt;0.8,0,IF(0&lt;1,Sheet3!L561,1))*IF(G2101&lt;3,0.12 - O2101,0.01) *U2101</f>
        <v>0</v>
      </c>
      <c r="W2101" s="52">
        <f t="shared" si="606"/>
        <v>0</v>
      </c>
      <c r="X2101" s="53">
        <f t="shared" si="607"/>
        <v>0</v>
      </c>
      <c r="Y2101" s="53">
        <f t="shared" si="608"/>
        <v>0</v>
      </c>
      <c r="Z2101" s="54">
        <f t="shared" si="597"/>
        <v>0</v>
      </c>
      <c r="AA2101" s="54">
        <f t="shared" si="609"/>
        <v>0</v>
      </c>
      <c r="AB2101" s="55">
        <f t="shared" si="599"/>
        <v>0</v>
      </c>
      <c r="AC2101" s="55">
        <f t="shared" si="610"/>
        <v>0</v>
      </c>
      <c r="AD2101" s="56">
        <f t="shared" si="611"/>
        <v>100.84</v>
      </c>
    </row>
    <row r="2102" spans="3:30">
      <c r="C2102" s="43" t="s">
        <v>3876</v>
      </c>
      <c r="D2102" s="44" t="s">
        <v>3877</v>
      </c>
      <c r="E2102" s="44"/>
      <c r="F2102" s="45">
        <v>41227.580532407403</v>
      </c>
      <c r="G2102" s="46">
        <v>70</v>
      </c>
      <c r="H2102" s="47">
        <v>43386</v>
      </c>
      <c r="I2102" s="47">
        <v>43403</v>
      </c>
      <c r="J2102" s="46">
        <v>72842</v>
      </c>
      <c r="K2102" s="46">
        <v>0</v>
      </c>
      <c r="L2102" s="46">
        <v>0</v>
      </c>
      <c r="M2102" s="46">
        <f t="shared" si="600"/>
        <v>72842</v>
      </c>
      <c r="N2102" s="46">
        <v>72842</v>
      </c>
      <c r="O2102" s="48">
        <f t="shared" si="601"/>
        <v>0</v>
      </c>
      <c r="P2102" s="46">
        <v>0</v>
      </c>
      <c r="Q2102" s="46">
        <v>72842</v>
      </c>
      <c r="R2102" s="49">
        <f t="shared" si="602"/>
        <v>1</v>
      </c>
      <c r="S2102" s="50">
        <f t="shared" si="603"/>
        <v>0.01</v>
      </c>
      <c r="T2102" s="49">
        <f t="shared" si="604"/>
        <v>728.42</v>
      </c>
      <c r="U2102" s="51">
        <f t="shared" si="605"/>
        <v>0</v>
      </c>
      <c r="V2102" s="52">
        <f>IF(0&lt;0.8,0,IF(0&lt;1,Sheet3!L561,1))*IF(G2102&lt;3,0.12 - O2102,0.01) *U2102</f>
        <v>0</v>
      </c>
      <c r="W2102" s="52">
        <f t="shared" si="606"/>
        <v>0</v>
      </c>
      <c r="X2102" s="53">
        <f t="shared" si="607"/>
        <v>0</v>
      </c>
      <c r="Y2102" s="53">
        <f t="shared" si="608"/>
        <v>0</v>
      </c>
      <c r="Z2102" s="54">
        <f t="shared" si="597"/>
        <v>0</v>
      </c>
      <c r="AA2102" s="54">
        <f t="shared" si="609"/>
        <v>0</v>
      </c>
      <c r="AB2102" s="55">
        <f t="shared" si="599"/>
        <v>0</v>
      </c>
      <c r="AC2102" s="55">
        <f t="shared" si="610"/>
        <v>0</v>
      </c>
      <c r="AD2102" s="56">
        <f t="shared" si="611"/>
        <v>728.42</v>
      </c>
    </row>
    <row r="2103" spans="3:30">
      <c r="C2103" s="43" t="s">
        <v>3878</v>
      </c>
      <c r="D2103" s="44" t="s">
        <v>3879</v>
      </c>
      <c r="E2103" s="44"/>
      <c r="F2103" s="45">
        <v>41404.618668981479</v>
      </c>
      <c r="G2103" s="46">
        <v>64</v>
      </c>
      <c r="H2103" s="47">
        <v>43386</v>
      </c>
      <c r="I2103" s="47">
        <v>43395</v>
      </c>
      <c r="J2103" s="46">
        <v>399300</v>
      </c>
      <c r="K2103" s="46">
        <v>0</v>
      </c>
      <c r="L2103" s="46">
        <v>0</v>
      </c>
      <c r="M2103" s="46">
        <f t="shared" si="600"/>
        <v>399300</v>
      </c>
      <c r="N2103" s="46">
        <v>399300</v>
      </c>
      <c r="O2103" s="48">
        <f t="shared" si="601"/>
        <v>0</v>
      </c>
      <c r="P2103" s="46">
        <v>0</v>
      </c>
      <c r="Q2103" s="46">
        <v>399300</v>
      </c>
      <c r="R2103" s="49">
        <f t="shared" si="602"/>
        <v>1</v>
      </c>
      <c r="S2103" s="50">
        <f t="shared" si="603"/>
        <v>0.01</v>
      </c>
      <c r="T2103" s="49">
        <f t="shared" si="604"/>
        <v>3993</v>
      </c>
      <c r="U2103" s="51">
        <f t="shared" si="605"/>
        <v>0</v>
      </c>
      <c r="V2103" s="52">
        <f>IF(0&lt;0.8,0,IF(0&lt;1,Sheet3!L561,1))*IF(G2103&lt;3,0.12 - O2103,0.01) *U2103</f>
        <v>0</v>
      </c>
      <c r="W2103" s="52">
        <f t="shared" si="606"/>
        <v>0</v>
      </c>
      <c r="X2103" s="53">
        <f t="shared" si="607"/>
        <v>0</v>
      </c>
      <c r="Y2103" s="53">
        <f t="shared" si="608"/>
        <v>0</v>
      </c>
      <c r="Z2103" s="54">
        <f t="shared" si="597"/>
        <v>0</v>
      </c>
      <c r="AA2103" s="54">
        <f t="shared" si="609"/>
        <v>0</v>
      </c>
      <c r="AB2103" s="55">
        <f t="shared" si="599"/>
        <v>0</v>
      </c>
      <c r="AC2103" s="55">
        <f t="shared" si="610"/>
        <v>0</v>
      </c>
      <c r="AD2103" s="56">
        <f t="shared" si="611"/>
        <v>3993</v>
      </c>
    </row>
    <row r="2104" spans="3:30">
      <c r="C2104" s="43" t="s">
        <v>3880</v>
      </c>
      <c r="D2104" s="44" t="s">
        <v>3881</v>
      </c>
      <c r="E2104" s="44"/>
      <c r="F2104" s="45">
        <v>41731.631307870368</v>
      </c>
      <c r="G2104" s="46">
        <v>53</v>
      </c>
      <c r="H2104" s="47">
        <v>43386</v>
      </c>
      <c r="I2104" s="47">
        <v>43395</v>
      </c>
      <c r="J2104" s="46">
        <v>186340</v>
      </c>
      <c r="K2104" s="46">
        <v>0</v>
      </c>
      <c r="L2104" s="46">
        <v>0</v>
      </c>
      <c r="M2104" s="46">
        <f t="shared" si="600"/>
        <v>186340</v>
      </c>
      <c r="N2104" s="46">
        <v>186340</v>
      </c>
      <c r="O2104" s="48">
        <f t="shared" si="601"/>
        <v>0</v>
      </c>
      <c r="P2104" s="46">
        <v>0</v>
      </c>
      <c r="Q2104" s="46">
        <v>186340</v>
      </c>
      <c r="R2104" s="49">
        <f t="shared" si="602"/>
        <v>1</v>
      </c>
      <c r="S2104" s="50">
        <f t="shared" si="603"/>
        <v>0.01</v>
      </c>
      <c r="T2104" s="49">
        <f t="shared" si="604"/>
        <v>1863.4</v>
      </c>
      <c r="U2104" s="51">
        <f t="shared" si="605"/>
        <v>0</v>
      </c>
      <c r="V2104" s="52">
        <f>IF(0&lt;0.8,0,IF(0&lt;1,Sheet3!L561,1))*IF(G2104&lt;3,0.12 - O2104,0.01) *U2104</f>
        <v>0</v>
      </c>
      <c r="W2104" s="52">
        <f t="shared" si="606"/>
        <v>0</v>
      </c>
      <c r="X2104" s="53">
        <f t="shared" si="607"/>
        <v>0</v>
      </c>
      <c r="Y2104" s="53">
        <f t="shared" si="608"/>
        <v>0</v>
      </c>
      <c r="Z2104" s="54">
        <f t="shared" si="597"/>
        <v>0</v>
      </c>
      <c r="AA2104" s="54">
        <f t="shared" si="609"/>
        <v>0</v>
      </c>
      <c r="AB2104" s="55">
        <f t="shared" si="599"/>
        <v>0</v>
      </c>
      <c r="AC2104" s="55">
        <f t="shared" si="610"/>
        <v>0</v>
      </c>
      <c r="AD2104" s="56">
        <f t="shared" si="611"/>
        <v>1863.4</v>
      </c>
    </row>
    <row r="2105" spans="3:30">
      <c r="C2105" s="43" t="s">
        <v>3882</v>
      </c>
      <c r="D2105" s="44" t="s">
        <v>3883</v>
      </c>
      <c r="E2105" s="44"/>
      <c r="F2105" s="45">
        <v>42077.464085648149</v>
      </c>
      <c r="G2105" s="46">
        <v>42</v>
      </c>
      <c r="H2105" s="47">
        <v>43388</v>
      </c>
      <c r="I2105" s="47">
        <v>43402</v>
      </c>
      <c r="J2105" s="46">
        <v>903527</v>
      </c>
      <c r="K2105" s="46">
        <v>0</v>
      </c>
      <c r="L2105" s="46">
        <v>0</v>
      </c>
      <c r="M2105" s="46">
        <f t="shared" si="600"/>
        <v>903527</v>
      </c>
      <c r="N2105" s="46">
        <v>1076416</v>
      </c>
      <c r="O2105" s="48">
        <f t="shared" si="601"/>
        <v>0.16061541262857482</v>
      </c>
      <c r="P2105" s="46">
        <v>0</v>
      </c>
      <c r="Q2105" s="46">
        <v>903527</v>
      </c>
      <c r="R2105" s="49">
        <f t="shared" si="602"/>
        <v>1</v>
      </c>
      <c r="S2105" s="50">
        <f t="shared" si="603"/>
        <v>0.01</v>
      </c>
      <c r="T2105" s="49">
        <f t="shared" si="604"/>
        <v>9035.27</v>
      </c>
      <c r="U2105" s="51">
        <f t="shared" si="605"/>
        <v>0</v>
      </c>
      <c r="V2105" s="52">
        <f>IF(0&lt;0.8,0,IF(0&lt;1,Sheet3!L561,1))*IF(G2105&lt;3,0.12 - O2105,0.01) *U2105</f>
        <v>0</v>
      </c>
      <c r="W2105" s="52">
        <f t="shared" si="606"/>
        <v>0</v>
      </c>
      <c r="X2105" s="53">
        <f t="shared" si="607"/>
        <v>0</v>
      </c>
      <c r="Y2105" s="53">
        <f t="shared" si="608"/>
        <v>0</v>
      </c>
      <c r="Z2105" s="54">
        <f t="shared" si="597"/>
        <v>0</v>
      </c>
      <c r="AA2105" s="54">
        <f t="shared" si="609"/>
        <v>0</v>
      </c>
      <c r="AB2105" s="55">
        <f t="shared" si="599"/>
        <v>0</v>
      </c>
      <c r="AC2105" s="55">
        <f t="shared" si="610"/>
        <v>0</v>
      </c>
      <c r="AD2105" s="56">
        <f t="shared" si="611"/>
        <v>9035.27</v>
      </c>
    </row>
    <row r="2106" spans="3:30">
      <c r="C2106" s="43" t="s">
        <v>3884</v>
      </c>
      <c r="D2106" s="44" t="s">
        <v>3885</v>
      </c>
      <c r="E2106" s="44"/>
      <c r="F2106" s="45">
        <v>42137.526620370372</v>
      </c>
      <c r="G2106" s="46">
        <v>40</v>
      </c>
      <c r="H2106" s="47">
        <v>43383</v>
      </c>
      <c r="I2106" s="47">
        <v>43419</v>
      </c>
      <c r="J2106" s="46">
        <v>2999590</v>
      </c>
      <c r="K2106" s="46">
        <v>0</v>
      </c>
      <c r="L2106" s="46">
        <v>0</v>
      </c>
      <c r="M2106" s="46">
        <f t="shared" si="600"/>
        <v>2999590</v>
      </c>
      <c r="N2106" s="46">
        <v>2999590</v>
      </c>
      <c r="O2106" s="48">
        <f t="shared" si="601"/>
        <v>0</v>
      </c>
      <c r="P2106" s="46">
        <v>0</v>
      </c>
      <c r="Q2106" s="46">
        <v>2999590</v>
      </c>
      <c r="R2106" s="49">
        <f t="shared" si="602"/>
        <v>1</v>
      </c>
      <c r="S2106" s="50">
        <f t="shared" si="603"/>
        <v>0.01</v>
      </c>
      <c r="T2106" s="49">
        <f t="shared" si="604"/>
        <v>29995.9</v>
      </c>
      <c r="U2106" s="51">
        <f t="shared" si="605"/>
        <v>0</v>
      </c>
      <c r="V2106" s="52">
        <f>IF(0&lt;0.8,0,IF(0&lt;1,Sheet3!L561,1))*IF(G2106&lt;3,0.12 - O2106,0.01) *U2106</f>
        <v>0</v>
      </c>
      <c r="W2106" s="52">
        <f t="shared" si="606"/>
        <v>0</v>
      </c>
      <c r="X2106" s="53">
        <f t="shared" si="607"/>
        <v>0</v>
      </c>
      <c r="Y2106" s="53">
        <f t="shared" si="608"/>
        <v>0</v>
      </c>
      <c r="Z2106" s="54">
        <f t="shared" si="597"/>
        <v>0</v>
      </c>
      <c r="AA2106" s="54">
        <f t="shared" si="609"/>
        <v>0</v>
      </c>
      <c r="AB2106" s="55">
        <f t="shared" si="599"/>
        <v>0</v>
      </c>
      <c r="AC2106" s="55">
        <f t="shared" si="610"/>
        <v>0</v>
      </c>
      <c r="AD2106" s="56">
        <f t="shared" si="611"/>
        <v>29995.9</v>
      </c>
    </row>
    <row r="2107" spans="3:30">
      <c r="C2107" s="43" t="s">
        <v>3886</v>
      </c>
      <c r="D2107" s="44" t="s">
        <v>3887</v>
      </c>
      <c r="E2107" s="44"/>
      <c r="F2107" s="45">
        <v>42210.390416666662</v>
      </c>
      <c r="G2107" s="46">
        <v>38</v>
      </c>
      <c r="H2107" s="47">
        <v>43386</v>
      </c>
      <c r="I2107" s="47">
        <v>43403</v>
      </c>
      <c r="J2107" s="46">
        <v>73229</v>
      </c>
      <c r="K2107" s="46">
        <v>0</v>
      </c>
      <c r="L2107" s="46">
        <v>0</v>
      </c>
      <c r="M2107" s="46">
        <f t="shared" si="600"/>
        <v>73229</v>
      </c>
      <c r="N2107" s="46">
        <v>73229</v>
      </c>
      <c r="O2107" s="48">
        <f t="shared" si="601"/>
        <v>0</v>
      </c>
      <c r="P2107" s="46">
        <v>0</v>
      </c>
      <c r="Q2107" s="46">
        <v>73229</v>
      </c>
      <c r="R2107" s="49">
        <f t="shared" si="602"/>
        <v>1</v>
      </c>
      <c r="S2107" s="50">
        <f t="shared" si="603"/>
        <v>0.01</v>
      </c>
      <c r="T2107" s="49">
        <f t="shared" si="604"/>
        <v>732.29</v>
      </c>
      <c r="U2107" s="51">
        <f t="shared" si="605"/>
        <v>0</v>
      </c>
      <c r="V2107" s="52">
        <f>IF(0&lt;0.8,0,IF(0&lt;1,Sheet3!L561,1))*IF(G2107&lt;3,0.12 - O2107,0.01) *U2107</f>
        <v>0</v>
      </c>
      <c r="W2107" s="52">
        <f t="shared" si="606"/>
        <v>0</v>
      </c>
      <c r="X2107" s="53">
        <f t="shared" si="607"/>
        <v>0</v>
      </c>
      <c r="Y2107" s="53">
        <f t="shared" si="608"/>
        <v>0</v>
      </c>
      <c r="Z2107" s="54">
        <f t="shared" si="597"/>
        <v>0</v>
      </c>
      <c r="AA2107" s="54">
        <f t="shared" si="609"/>
        <v>0</v>
      </c>
      <c r="AB2107" s="55">
        <f t="shared" si="599"/>
        <v>0</v>
      </c>
      <c r="AC2107" s="55">
        <f t="shared" si="610"/>
        <v>0</v>
      </c>
      <c r="AD2107" s="56">
        <f t="shared" si="611"/>
        <v>732.29</v>
      </c>
    </row>
    <row r="2108" spans="3:30">
      <c r="C2108" s="43" t="s">
        <v>3888</v>
      </c>
      <c r="D2108" s="44" t="s">
        <v>3889</v>
      </c>
      <c r="E2108" s="44"/>
      <c r="F2108" s="45">
        <v>42228.410150462958</v>
      </c>
      <c r="G2108" s="46">
        <v>37</v>
      </c>
      <c r="H2108" s="47">
        <v>43386</v>
      </c>
      <c r="I2108" s="47">
        <v>43395</v>
      </c>
      <c r="J2108" s="46">
        <v>211387</v>
      </c>
      <c r="K2108" s="46">
        <v>0</v>
      </c>
      <c r="L2108" s="46">
        <v>0</v>
      </c>
      <c r="M2108" s="46">
        <f t="shared" si="600"/>
        <v>211387</v>
      </c>
      <c r="N2108" s="46">
        <v>211387</v>
      </c>
      <c r="O2108" s="48">
        <f t="shared" si="601"/>
        <v>0</v>
      </c>
      <c r="P2108" s="46">
        <v>0</v>
      </c>
      <c r="Q2108" s="46">
        <v>211387</v>
      </c>
      <c r="R2108" s="49">
        <f t="shared" si="602"/>
        <v>1</v>
      </c>
      <c r="S2108" s="50">
        <f t="shared" si="603"/>
        <v>0.01</v>
      </c>
      <c r="T2108" s="49">
        <f t="shared" si="604"/>
        <v>2113.87</v>
      </c>
      <c r="U2108" s="51">
        <f t="shared" si="605"/>
        <v>0</v>
      </c>
      <c r="V2108" s="52">
        <f>IF(0&lt;0.8,0,IF(0&lt;1,Sheet3!L561,1))*IF(G2108&lt;3,0.12 - O2108,0.01) *U2108</f>
        <v>0</v>
      </c>
      <c r="W2108" s="52">
        <f t="shared" si="606"/>
        <v>0</v>
      </c>
      <c r="X2108" s="53">
        <f t="shared" si="607"/>
        <v>0</v>
      </c>
      <c r="Y2108" s="53">
        <f t="shared" si="608"/>
        <v>0</v>
      </c>
      <c r="Z2108" s="54">
        <f t="shared" si="597"/>
        <v>0</v>
      </c>
      <c r="AA2108" s="54">
        <f t="shared" si="609"/>
        <v>0</v>
      </c>
      <c r="AB2108" s="55">
        <f t="shared" si="599"/>
        <v>0</v>
      </c>
      <c r="AC2108" s="55">
        <f t="shared" si="610"/>
        <v>0</v>
      </c>
      <c r="AD2108" s="56">
        <f t="shared" si="611"/>
        <v>2113.87</v>
      </c>
    </row>
    <row r="2109" spans="3:30">
      <c r="C2109" s="43" t="s">
        <v>3890</v>
      </c>
      <c r="D2109" s="44" t="s">
        <v>3891</v>
      </c>
      <c r="E2109" s="44"/>
      <c r="F2109" s="45">
        <v>42242.383298611108</v>
      </c>
      <c r="G2109" s="46">
        <v>37</v>
      </c>
      <c r="H2109" s="47">
        <v>43391</v>
      </c>
      <c r="I2109" s="47">
        <v>43395</v>
      </c>
      <c r="J2109" s="46">
        <v>2598475</v>
      </c>
      <c r="K2109" s="46">
        <v>0</v>
      </c>
      <c r="L2109" s="46">
        <v>0</v>
      </c>
      <c r="M2109" s="46">
        <f t="shared" si="600"/>
        <v>2598475</v>
      </c>
      <c r="N2109" s="46">
        <v>2598475</v>
      </c>
      <c r="O2109" s="48">
        <f t="shared" si="601"/>
        <v>0</v>
      </c>
      <c r="P2109" s="46">
        <v>0</v>
      </c>
      <c r="Q2109" s="46">
        <v>3693767</v>
      </c>
      <c r="R2109" s="49">
        <f t="shared" si="602"/>
        <v>1</v>
      </c>
      <c r="S2109" s="50">
        <f t="shared" si="603"/>
        <v>0.01</v>
      </c>
      <c r="T2109" s="49">
        <f t="shared" si="604"/>
        <v>25984.75</v>
      </c>
      <c r="U2109" s="51">
        <f t="shared" si="605"/>
        <v>0</v>
      </c>
      <c r="V2109" s="52">
        <f>IF(0&lt;0.8,0,IF(0&lt;1,Sheet3!L561,1))*IF(G2109&lt;3,0.12 - O2109,0.01) *U2109</f>
        <v>0</v>
      </c>
      <c r="W2109" s="52">
        <f t="shared" si="606"/>
        <v>0</v>
      </c>
      <c r="X2109" s="53">
        <f t="shared" si="607"/>
        <v>0</v>
      </c>
      <c r="Y2109" s="53">
        <f t="shared" si="608"/>
        <v>0</v>
      </c>
      <c r="Z2109" s="54">
        <f t="shared" si="597"/>
        <v>0</v>
      </c>
      <c r="AA2109" s="54">
        <f t="shared" si="609"/>
        <v>0</v>
      </c>
      <c r="AB2109" s="55">
        <f t="shared" si="599"/>
        <v>0</v>
      </c>
      <c r="AC2109" s="55">
        <f t="shared" si="610"/>
        <v>0</v>
      </c>
      <c r="AD2109" s="56">
        <f t="shared" si="611"/>
        <v>25984.75</v>
      </c>
    </row>
    <row r="2110" spans="3:30">
      <c r="C2110" s="43" t="s">
        <v>3892</v>
      </c>
      <c r="D2110" s="44" t="s">
        <v>3893</v>
      </c>
      <c r="E2110" s="44"/>
      <c r="F2110" s="45">
        <v>42297.591458333329</v>
      </c>
      <c r="G2110" s="46">
        <v>35</v>
      </c>
      <c r="H2110" s="47">
        <v>43386</v>
      </c>
      <c r="I2110" s="47">
        <v>43427</v>
      </c>
      <c r="J2110" s="46">
        <v>9431671</v>
      </c>
      <c r="K2110" s="46">
        <v>0</v>
      </c>
      <c r="L2110" s="46">
        <v>0</v>
      </c>
      <c r="M2110" s="46">
        <f t="shared" si="600"/>
        <v>9431671</v>
      </c>
      <c r="N2110" s="46">
        <v>6548617</v>
      </c>
      <c r="O2110" s="48">
        <f t="shared" si="601"/>
        <v>0</v>
      </c>
      <c r="P2110" s="46">
        <v>0</v>
      </c>
      <c r="Q2110" s="46">
        <v>9431671</v>
      </c>
      <c r="R2110" s="49">
        <f t="shared" si="602"/>
        <v>1</v>
      </c>
      <c r="S2110" s="50">
        <f t="shared" si="603"/>
        <v>0.01</v>
      </c>
      <c r="T2110" s="49">
        <f t="shared" si="604"/>
        <v>94316.71</v>
      </c>
      <c r="U2110" s="51">
        <f t="shared" si="605"/>
        <v>0</v>
      </c>
      <c r="V2110" s="52">
        <f>IF(0&lt;0.8,0,IF(0&lt;1,Sheet3!L561,1))*IF(G2110&lt;3,0.12 - O2110,0.01) *U2110</f>
        <v>0</v>
      </c>
      <c r="W2110" s="52">
        <f t="shared" si="606"/>
        <v>0</v>
      </c>
      <c r="X2110" s="53">
        <f t="shared" si="607"/>
        <v>0</v>
      </c>
      <c r="Y2110" s="53">
        <f t="shared" si="608"/>
        <v>0</v>
      </c>
      <c r="Z2110" s="54">
        <f t="shared" si="597"/>
        <v>0</v>
      </c>
      <c r="AA2110" s="54">
        <f t="shared" si="609"/>
        <v>0</v>
      </c>
      <c r="AB2110" s="55">
        <f t="shared" si="599"/>
        <v>0</v>
      </c>
      <c r="AC2110" s="55">
        <f t="shared" si="610"/>
        <v>0</v>
      </c>
      <c r="AD2110" s="56">
        <f t="shared" si="611"/>
        <v>94316.71</v>
      </c>
    </row>
    <row r="2111" spans="3:30">
      <c r="C2111" s="43" t="s">
        <v>3894</v>
      </c>
      <c r="D2111" s="44" t="s">
        <v>3895</v>
      </c>
      <c r="E2111" s="44"/>
      <c r="F2111" s="45">
        <v>42340.70685185185</v>
      </c>
      <c r="G2111" s="46">
        <v>33</v>
      </c>
      <c r="H2111" s="47">
        <v>43383</v>
      </c>
      <c r="I2111" s="47">
        <v>43392</v>
      </c>
      <c r="J2111" s="46">
        <v>56189485</v>
      </c>
      <c r="K2111" s="46">
        <v>0</v>
      </c>
      <c r="L2111" s="46">
        <v>0</v>
      </c>
      <c r="M2111" s="46">
        <f t="shared" si="600"/>
        <v>56189485</v>
      </c>
      <c r="N2111" s="46">
        <v>61381007</v>
      </c>
      <c r="O2111" s="48">
        <f t="shared" si="601"/>
        <v>8.4578638470365952E-2</v>
      </c>
      <c r="P2111" s="46">
        <v>0</v>
      </c>
      <c r="Q2111" s="46">
        <v>56189485</v>
      </c>
      <c r="R2111" s="49">
        <f t="shared" si="602"/>
        <v>1</v>
      </c>
      <c r="S2111" s="50">
        <f t="shared" si="603"/>
        <v>0.01</v>
      </c>
      <c r="T2111" s="49">
        <f t="shared" si="604"/>
        <v>561894.85</v>
      </c>
      <c r="U2111" s="51">
        <f t="shared" si="605"/>
        <v>0</v>
      </c>
      <c r="V2111" s="52">
        <f>IF(0&lt;0.8,0,IF(0&lt;1,Sheet3!L561,1))*IF(G2111&lt;3,0.12 - O2111,0.01) *U2111</f>
        <v>0</v>
      </c>
      <c r="W2111" s="52">
        <f t="shared" si="606"/>
        <v>0</v>
      </c>
      <c r="X2111" s="53">
        <f t="shared" si="607"/>
        <v>0</v>
      </c>
      <c r="Y2111" s="53">
        <f t="shared" si="608"/>
        <v>0</v>
      </c>
      <c r="Z2111" s="54">
        <f t="shared" si="597"/>
        <v>0</v>
      </c>
      <c r="AA2111" s="54">
        <f t="shared" si="609"/>
        <v>0</v>
      </c>
      <c r="AB2111" s="55">
        <f t="shared" si="599"/>
        <v>0</v>
      </c>
      <c r="AC2111" s="55">
        <f t="shared" si="610"/>
        <v>0</v>
      </c>
      <c r="AD2111" s="56">
        <f t="shared" si="611"/>
        <v>561894.85</v>
      </c>
    </row>
    <row r="2112" spans="3:30">
      <c r="C2112" s="43" t="s">
        <v>3896</v>
      </c>
      <c r="D2112" s="44" t="s">
        <v>3897</v>
      </c>
      <c r="E2112" s="44"/>
      <c r="F2112" s="45">
        <v>42363.364016203705</v>
      </c>
      <c r="G2112" s="46">
        <v>33</v>
      </c>
      <c r="H2112" s="47">
        <v>43386</v>
      </c>
      <c r="I2112" s="47">
        <v>43404</v>
      </c>
      <c r="J2112" s="46">
        <v>5056711</v>
      </c>
      <c r="K2112" s="46">
        <v>0</v>
      </c>
      <c r="L2112" s="46">
        <v>0</v>
      </c>
      <c r="M2112" s="46">
        <f t="shared" si="600"/>
        <v>5056711</v>
      </c>
      <c r="N2112" s="46">
        <v>5056711</v>
      </c>
      <c r="O2112" s="48">
        <f t="shared" si="601"/>
        <v>0</v>
      </c>
      <c r="P2112" s="46">
        <v>0</v>
      </c>
      <c r="Q2112" s="46">
        <v>5056711</v>
      </c>
      <c r="R2112" s="49">
        <f t="shared" si="602"/>
        <v>1</v>
      </c>
      <c r="S2112" s="50">
        <f t="shared" si="603"/>
        <v>0.01</v>
      </c>
      <c r="T2112" s="49">
        <f t="shared" si="604"/>
        <v>50567.11</v>
      </c>
      <c r="U2112" s="51">
        <f t="shared" si="605"/>
        <v>0</v>
      </c>
      <c r="V2112" s="52">
        <f>IF(0&lt;0.8,0,IF(0&lt;1,Sheet3!L561,1))*IF(G2112&lt;3,0.12 - O2112,0.01) *U2112</f>
        <v>0</v>
      </c>
      <c r="W2112" s="52">
        <f t="shared" si="606"/>
        <v>0</v>
      </c>
      <c r="X2112" s="53">
        <f t="shared" si="607"/>
        <v>0</v>
      </c>
      <c r="Y2112" s="53">
        <f t="shared" si="608"/>
        <v>0</v>
      </c>
      <c r="Z2112" s="54">
        <f t="shared" si="597"/>
        <v>0</v>
      </c>
      <c r="AA2112" s="54">
        <f t="shared" si="609"/>
        <v>0</v>
      </c>
      <c r="AB2112" s="55">
        <f t="shared" si="599"/>
        <v>0</v>
      </c>
      <c r="AC2112" s="55">
        <f t="shared" si="610"/>
        <v>0</v>
      </c>
      <c r="AD2112" s="56">
        <f t="shared" si="611"/>
        <v>50567.11</v>
      </c>
    </row>
    <row r="2113" spans="3:30">
      <c r="C2113" s="43" t="s">
        <v>3898</v>
      </c>
      <c r="D2113" s="44" t="s">
        <v>3899</v>
      </c>
      <c r="E2113" s="44"/>
      <c r="F2113" s="45">
        <v>42894.188425925924</v>
      </c>
      <c r="G2113" s="46">
        <v>15</v>
      </c>
      <c r="H2113" s="47">
        <v>43386</v>
      </c>
      <c r="I2113" s="47">
        <v>43399</v>
      </c>
      <c r="J2113" s="46">
        <v>751894</v>
      </c>
      <c r="K2113" s="46">
        <v>0</v>
      </c>
      <c r="L2113" s="46">
        <v>0</v>
      </c>
      <c r="M2113" s="46">
        <f t="shared" si="600"/>
        <v>751894</v>
      </c>
      <c r="N2113" s="46">
        <v>751894</v>
      </c>
      <c r="O2113" s="48">
        <f t="shared" si="601"/>
        <v>0</v>
      </c>
      <c r="P2113" s="46">
        <v>0</v>
      </c>
      <c r="Q2113" s="46">
        <v>751894</v>
      </c>
      <c r="R2113" s="49">
        <f t="shared" si="602"/>
        <v>1</v>
      </c>
      <c r="S2113" s="50">
        <f t="shared" si="603"/>
        <v>0.01</v>
      </c>
      <c r="T2113" s="49">
        <f t="shared" si="604"/>
        <v>7518.9400000000005</v>
      </c>
      <c r="U2113" s="51">
        <f t="shared" si="605"/>
        <v>0</v>
      </c>
      <c r="V2113" s="52">
        <f>IF(0&lt;0.8,0,IF(0&lt;1,Sheet3!L561,1))*IF(G2113&lt;3,0.12 - O2113,0.01) *U2113</f>
        <v>0</v>
      </c>
      <c r="W2113" s="52">
        <f t="shared" si="606"/>
        <v>0</v>
      </c>
      <c r="X2113" s="53">
        <f t="shared" si="607"/>
        <v>0</v>
      </c>
      <c r="Y2113" s="53">
        <f t="shared" si="608"/>
        <v>0</v>
      </c>
      <c r="Z2113" s="54">
        <f t="shared" si="597"/>
        <v>0</v>
      </c>
      <c r="AA2113" s="54">
        <f t="shared" si="609"/>
        <v>0</v>
      </c>
      <c r="AB2113" s="55">
        <f t="shared" si="599"/>
        <v>0</v>
      </c>
      <c r="AC2113" s="55">
        <f t="shared" si="610"/>
        <v>0</v>
      </c>
      <c r="AD2113" s="56">
        <f t="shared" si="611"/>
        <v>7518.9400000000005</v>
      </c>
    </row>
    <row r="2114" spans="3:30">
      <c r="C2114" s="43" t="s">
        <v>3900</v>
      </c>
      <c r="D2114" s="44" t="s">
        <v>3901</v>
      </c>
      <c r="E2114" s="44"/>
      <c r="F2114" s="45">
        <v>42923.278680555552</v>
      </c>
      <c r="G2114" s="46">
        <v>14</v>
      </c>
      <c r="H2114" s="47">
        <v>43386</v>
      </c>
      <c r="I2114" s="47">
        <v>43399</v>
      </c>
      <c r="J2114" s="46">
        <v>1450464</v>
      </c>
      <c r="K2114" s="46">
        <v>0</v>
      </c>
      <c r="L2114" s="46">
        <v>0</v>
      </c>
      <c r="M2114" s="46">
        <f t="shared" si="600"/>
        <v>1450464</v>
      </c>
      <c r="N2114" s="46">
        <v>1451598</v>
      </c>
      <c r="O2114" s="48">
        <f t="shared" si="601"/>
        <v>7.8120802040237969E-4</v>
      </c>
      <c r="P2114" s="46">
        <v>0</v>
      </c>
      <c r="Q2114" s="46">
        <v>1450464</v>
      </c>
      <c r="R2114" s="49">
        <f t="shared" si="602"/>
        <v>1</v>
      </c>
      <c r="S2114" s="50">
        <f t="shared" si="603"/>
        <v>0.01</v>
      </c>
      <c r="T2114" s="49">
        <f t="shared" si="604"/>
        <v>14504.64</v>
      </c>
      <c r="U2114" s="51">
        <f t="shared" si="605"/>
        <v>0</v>
      </c>
      <c r="V2114" s="52">
        <f>IF(0&lt;0.8,0,IF(0&lt;1,Sheet3!L561,1))*IF(G2114&lt;3,0.12 - O2114,0.01) *U2114</f>
        <v>0</v>
      </c>
      <c r="W2114" s="52">
        <f t="shared" si="606"/>
        <v>0</v>
      </c>
      <c r="X2114" s="53">
        <f t="shared" si="607"/>
        <v>0</v>
      </c>
      <c r="Y2114" s="53">
        <f t="shared" si="608"/>
        <v>0</v>
      </c>
      <c r="Z2114" s="54">
        <f t="shared" si="597"/>
        <v>0</v>
      </c>
      <c r="AA2114" s="54">
        <f t="shared" si="609"/>
        <v>0</v>
      </c>
      <c r="AB2114" s="55">
        <f t="shared" si="599"/>
        <v>0</v>
      </c>
      <c r="AC2114" s="55">
        <f t="shared" si="610"/>
        <v>0</v>
      </c>
      <c r="AD2114" s="56">
        <f t="shared" si="611"/>
        <v>14504.64</v>
      </c>
    </row>
    <row r="2115" spans="3:30">
      <c r="C2115" s="43" t="s">
        <v>3902</v>
      </c>
      <c r="D2115" s="44" t="s">
        <v>3903</v>
      </c>
      <c r="E2115" s="44"/>
      <c r="F2115" s="45">
        <v>42972.164930555555</v>
      </c>
      <c r="G2115" s="46">
        <v>13</v>
      </c>
      <c r="H2115" s="47">
        <v>43386</v>
      </c>
      <c r="I2115" s="47">
        <v>43403</v>
      </c>
      <c r="J2115" s="46">
        <v>110110</v>
      </c>
      <c r="K2115" s="46">
        <v>0</v>
      </c>
      <c r="L2115" s="46">
        <v>0</v>
      </c>
      <c r="M2115" s="46">
        <f t="shared" si="600"/>
        <v>110110</v>
      </c>
      <c r="N2115" s="46">
        <v>110110</v>
      </c>
      <c r="O2115" s="48">
        <f t="shared" si="601"/>
        <v>0</v>
      </c>
      <c r="P2115" s="46">
        <v>0</v>
      </c>
      <c r="Q2115" s="46">
        <v>110110</v>
      </c>
      <c r="R2115" s="49">
        <f t="shared" si="602"/>
        <v>1</v>
      </c>
      <c r="S2115" s="50">
        <f t="shared" si="603"/>
        <v>0.01</v>
      </c>
      <c r="T2115" s="49">
        <f t="shared" si="604"/>
        <v>1101.1000000000001</v>
      </c>
      <c r="U2115" s="51">
        <f t="shared" si="605"/>
        <v>0</v>
      </c>
      <c r="V2115" s="52">
        <f>IF(0&lt;0.8,0,IF(0&lt;1,Sheet3!L561,1))*IF(G2115&lt;3,0.12 - O2115,0.01) *U2115</f>
        <v>0</v>
      </c>
      <c r="W2115" s="52">
        <f t="shared" si="606"/>
        <v>0</v>
      </c>
      <c r="X2115" s="53">
        <f t="shared" si="607"/>
        <v>0</v>
      </c>
      <c r="Y2115" s="53">
        <f t="shared" si="608"/>
        <v>0</v>
      </c>
      <c r="Z2115" s="54">
        <f t="shared" si="597"/>
        <v>0</v>
      </c>
      <c r="AA2115" s="54">
        <f t="shared" si="609"/>
        <v>0</v>
      </c>
      <c r="AB2115" s="55">
        <f t="shared" si="599"/>
        <v>0</v>
      </c>
      <c r="AC2115" s="55">
        <f t="shared" si="610"/>
        <v>0</v>
      </c>
      <c r="AD2115" s="56">
        <f t="shared" si="611"/>
        <v>1101.1000000000001</v>
      </c>
    </row>
    <row r="2116" spans="3:30">
      <c r="C2116" s="43" t="s">
        <v>3904</v>
      </c>
      <c r="D2116" s="44" t="s">
        <v>3905</v>
      </c>
      <c r="E2116" s="44"/>
      <c r="F2116" s="45">
        <v>43125.277349537035</v>
      </c>
      <c r="G2116" s="46">
        <v>8</v>
      </c>
      <c r="H2116" s="47">
        <v>43386</v>
      </c>
      <c r="I2116" s="47">
        <v>43395</v>
      </c>
      <c r="J2116" s="46">
        <v>937362</v>
      </c>
      <c r="K2116" s="46">
        <v>0</v>
      </c>
      <c r="L2116" s="46">
        <v>0</v>
      </c>
      <c r="M2116" s="46">
        <f t="shared" si="600"/>
        <v>937362</v>
      </c>
      <c r="N2116" s="46">
        <v>937362</v>
      </c>
      <c r="O2116" s="48">
        <f t="shared" si="601"/>
        <v>0</v>
      </c>
      <c r="P2116" s="46">
        <v>0</v>
      </c>
      <c r="Q2116" s="46">
        <v>937362</v>
      </c>
      <c r="R2116" s="49">
        <f t="shared" si="602"/>
        <v>1</v>
      </c>
      <c r="S2116" s="50">
        <f t="shared" si="603"/>
        <v>0.01</v>
      </c>
      <c r="T2116" s="49">
        <f t="shared" si="604"/>
        <v>9373.6200000000008</v>
      </c>
      <c r="U2116" s="51">
        <f t="shared" si="605"/>
        <v>0</v>
      </c>
      <c r="V2116" s="52">
        <f>IF(0&lt;0.8,0,IF(0&lt;1,Sheet3!L561,1))*IF(G2116&lt;3,0.12 - O2116,0.01) *U2116</f>
        <v>0</v>
      </c>
      <c r="W2116" s="52">
        <f t="shared" si="606"/>
        <v>0</v>
      </c>
      <c r="X2116" s="53">
        <f t="shared" si="607"/>
        <v>0</v>
      </c>
      <c r="Y2116" s="53">
        <f t="shared" si="608"/>
        <v>0</v>
      </c>
      <c r="Z2116" s="54">
        <f t="shared" si="597"/>
        <v>0</v>
      </c>
      <c r="AA2116" s="54">
        <f t="shared" si="609"/>
        <v>0</v>
      </c>
      <c r="AB2116" s="55">
        <f t="shared" si="599"/>
        <v>0</v>
      </c>
      <c r="AC2116" s="55">
        <f t="shared" si="610"/>
        <v>0</v>
      </c>
      <c r="AD2116" s="56">
        <f t="shared" si="611"/>
        <v>9373.6200000000008</v>
      </c>
    </row>
    <row r="2117" spans="3:30">
      <c r="C2117" s="43" t="s">
        <v>3906</v>
      </c>
      <c r="D2117" s="44" t="s">
        <v>3907</v>
      </c>
      <c r="E2117" s="44"/>
      <c r="F2117" s="45">
        <v>43259.069247685184</v>
      </c>
      <c r="G2117" s="46">
        <v>3</v>
      </c>
      <c r="H2117" s="47">
        <v>43383</v>
      </c>
      <c r="I2117" s="47">
        <v>43392</v>
      </c>
      <c r="J2117" s="46">
        <v>2546932</v>
      </c>
      <c r="K2117" s="46">
        <v>0</v>
      </c>
      <c r="L2117" s="46">
        <v>0</v>
      </c>
      <c r="M2117" s="46">
        <f t="shared" si="600"/>
        <v>2546932</v>
      </c>
      <c r="N2117" s="46">
        <v>2308716</v>
      </c>
      <c r="O2117" s="48">
        <f t="shared" si="601"/>
        <v>0</v>
      </c>
      <c r="P2117" s="46">
        <v>0</v>
      </c>
      <c r="Q2117" s="46">
        <v>0</v>
      </c>
      <c r="R2117" s="49">
        <f t="shared" si="602"/>
        <v>1</v>
      </c>
      <c r="S2117" s="50">
        <f t="shared" si="603"/>
        <v>0.01</v>
      </c>
      <c r="T2117" s="49">
        <f t="shared" si="604"/>
        <v>25469.32</v>
      </c>
      <c r="U2117" s="51">
        <f t="shared" si="605"/>
        <v>0</v>
      </c>
      <c r="V2117" s="52">
        <f>IF(0&lt;0.8,0,IF(0&lt;1,Sheet3!L561,1))*IF(G2117&lt;3,0.12 - O2117,0.01) *U2117</f>
        <v>0</v>
      </c>
      <c r="W2117" s="52">
        <f t="shared" si="606"/>
        <v>0</v>
      </c>
      <c r="X2117" s="53">
        <f t="shared" si="607"/>
        <v>0</v>
      </c>
      <c r="Y2117" s="53">
        <f t="shared" si="608"/>
        <v>0</v>
      </c>
      <c r="Z2117" s="54">
        <f t="shared" si="597"/>
        <v>0</v>
      </c>
      <c r="AA2117" s="54">
        <f t="shared" si="609"/>
        <v>0</v>
      </c>
      <c r="AB2117" s="55">
        <f t="shared" si="599"/>
        <v>0</v>
      </c>
      <c r="AC2117" s="55">
        <f t="shared" si="610"/>
        <v>0</v>
      </c>
      <c r="AD2117" s="56">
        <f t="shared" si="611"/>
        <v>25469.32</v>
      </c>
    </row>
    <row r="2118" spans="3:30">
      <c r="C2118" s="43" t="s">
        <v>3908</v>
      </c>
      <c r="D2118" s="44" t="s">
        <v>3909</v>
      </c>
      <c r="E2118" s="44"/>
      <c r="F2118" s="45">
        <v>43347.387210648143</v>
      </c>
      <c r="G2118" s="46">
        <v>0</v>
      </c>
      <c r="H2118" s="47">
        <v>43367</v>
      </c>
      <c r="I2118" s="47">
        <v>43368</v>
      </c>
      <c r="J2118" s="46">
        <v>1000000</v>
      </c>
      <c r="K2118" s="46">
        <v>0</v>
      </c>
      <c r="L2118" s="46">
        <v>0</v>
      </c>
      <c r="M2118" s="46">
        <f t="shared" si="600"/>
        <v>1000000</v>
      </c>
      <c r="N2118" s="46">
        <v>2952884</v>
      </c>
      <c r="O2118" s="48">
        <f t="shared" si="601"/>
        <v>0.66134802450756625</v>
      </c>
      <c r="P2118" s="46">
        <v>0</v>
      </c>
      <c r="Q2118" s="46">
        <v>0</v>
      </c>
      <c r="R2118" s="49">
        <f t="shared" si="602"/>
        <v>0</v>
      </c>
      <c r="S2118" s="50">
        <f t="shared" si="603"/>
        <v>0</v>
      </c>
      <c r="T2118" s="49">
        <f t="shared" si="604"/>
        <v>0</v>
      </c>
      <c r="U2118" s="51">
        <f t="shared" si="605"/>
        <v>0</v>
      </c>
      <c r="V2118" s="52">
        <f>IF(0&lt;0.8,0,IF(0&lt;1,Sheet3!L561,1))*IF(G2118&lt;3,0.12 - O2118,0.01) *U2118</f>
        <v>0</v>
      </c>
      <c r="W2118" s="52">
        <f t="shared" si="606"/>
        <v>0</v>
      </c>
      <c r="X2118" s="53">
        <f t="shared" si="607"/>
        <v>0</v>
      </c>
      <c r="Y2118" s="53">
        <f t="shared" si="608"/>
        <v>0</v>
      </c>
      <c r="Z2118" s="54">
        <f>IF(R2118=1,0,1000000)</f>
        <v>1000000</v>
      </c>
      <c r="AA2118" s="54">
        <f t="shared" si="609"/>
        <v>20000</v>
      </c>
      <c r="AB2118" s="55">
        <f t="shared" si="599"/>
        <v>0</v>
      </c>
      <c r="AC2118" s="55">
        <f t="shared" si="610"/>
        <v>0</v>
      </c>
      <c r="AD2118" s="56">
        <f t="shared" si="611"/>
        <v>20000</v>
      </c>
    </row>
    <row r="2119" spans="3:30">
      <c r="C2119" s="43" t="s">
        <v>3910</v>
      </c>
      <c r="D2119" s="44" t="s">
        <v>3911</v>
      </c>
      <c r="E2119" s="44"/>
      <c r="F2119" s="45">
        <v>38960.638252314813</v>
      </c>
      <c r="G2119" s="46">
        <v>145</v>
      </c>
      <c r="H2119" s="47">
        <v>43388</v>
      </c>
      <c r="I2119" s="47">
        <v>43411</v>
      </c>
      <c r="J2119" s="46">
        <v>216590</v>
      </c>
      <c r="K2119" s="46">
        <v>0</v>
      </c>
      <c r="L2119" s="46">
        <v>0</v>
      </c>
      <c r="M2119" s="46">
        <f t="shared" si="600"/>
        <v>216590</v>
      </c>
      <c r="N2119" s="46">
        <v>216590</v>
      </c>
      <c r="O2119" s="48">
        <f t="shared" si="601"/>
        <v>0</v>
      </c>
      <c r="P2119" s="46">
        <v>0</v>
      </c>
      <c r="Q2119" s="46">
        <v>216590</v>
      </c>
      <c r="R2119" s="49">
        <f t="shared" si="602"/>
        <v>1</v>
      </c>
      <c r="S2119" s="50">
        <f t="shared" si="603"/>
        <v>0.01</v>
      </c>
      <c r="T2119" s="49">
        <f t="shared" si="604"/>
        <v>2165.9</v>
      </c>
      <c r="U2119" s="51">
        <f t="shared" si="605"/>
        <v>0</v>
      </c>
      <c r="V2119" s="52">
        <f>IF(0&lt;0.8,0,IF(0&lt;1,Sheet3!L561,1))*IF(G2119&lt;3,0.12 - O2119,0.01) *U2119</f>
        <v>0</v>
      </c>
      <c r="W2119" s="52">
        <f t="shared" si="606"/>
        <v>0</v>
      </c>
      <c r="X2119" s="53">
        <f t="shared" si="607"/>
        <v>0</v>
      </c>
      <c r="Y2119" s="53">
        <f t="shared" si="608"/>
        <v>0</v>
      </c>
      <c r="Z2119" s="54">
        <f t="shared" ref="Z2119:Z2175" si="612">IF(R2119=1,0,0)</f>
        <v>0</v>
      </c>
      <c r="AA2119" s="54">
        <f t="shared" si="609"/>
        <v>0</v>
      </c>
      <c r="AB2119" s="55">
        <f t="shared" si="599"/>
        <v>0</v>
      </c>
      <c r="AC2119" s="55">
        <f t="shared" si="610"/>
        <v>0</v>
      </c>
      <c r="AD2119" s="56">
        <f t="shared" si="611"/>
        <v>2165.9</v>
      </c>
    </row>
    <row r="2120" spans="3:30">
      <c r="C2120" s="43" t="s">
        <v>3912</v>
      </c>
      <c r="D2120" s="44" t="s">
        <v>3913</v>
      </c>
      <c r="E2120" s="44"/>
      <c r="F2120" s="45">
        <v>39883.596620370372</v>
      </c>
      <c r="G2120" s="46">
        <v>114</v>
      </c>
      <c r="H2120" s="47">
        <v>43396</v>
      </c>
      <c r="I2120" s="47">
        <v>43402</v>
      </c>
      <c r="J2120" s="46">
        <v>408738</v>
      </c>
      <c r="K2120" s="46">
        <v>0</v>
      </c>
      <c r="L2120" s="46">
        <v>0</v>
      </c>
      <c r="M2120" s="46">
        <f t="shared" si="600"/>
        <v>408738</v>
      </c>
      <c r="N2120" s="46">
        <v>408738</v>
      </c>
      <c r="O2120" s="48">
        <f t="shared" si="601"/>
        <v>0</v>
      </c>
      <c r="P2120" s="46">
        <v>0</v>
      </c>
      <c r="Q2120" s="46">
        <v>408738</v>
      </c>
      <c r="R2120" s="49">
        <f t="shared" si="602"/>
        <v>1</v>
      </c>
      <c r="S2120" s="50">
        <f t="shared" si="603"/>
        <v>0.01</v>
      </c>
      <c r="T2120" s="49">
        <f t="shared" si="604"/>
        <v>4087.38</v>
      </c>
      <c r="U2120" s="51">
        <f t="shared" si="605"/>
        <v>0</v>
      </c>
      <c r="V2120" s="52">
        <f>IF(0&lt;0.8,0,IF(0&lt;1,Sheet3!L561,1))*IF(G2120&lt;3,0.12 - O2120,0.01) *U2120</f>
        <v>0</v>
      </c>
      <c r="W2120" s="52">
        <f t="shared" si="606"/>
        <v>0</v>
      </c>
      <c r="X2120" s="53">
        <f t="shared" si="607"/>
        <v>0</v>
      </c>
      <c r="Y2120" s="53">
        <f t="shared" si="608"/>
        <v>0</v>
      </c>
      <c r="Z2120" s="54">
        <f t="shared" si="612"/>
        <v>0</v>
      </c>
      <c r="AA2120" s="54">
        <f t="shared" si="609"/>
        <v>0</v>
      </c>
      <c r="AB2120" s="55">
        <f t="shared" si="599"/>
        <v>0</v>
      </c>
      <c r="AC2120" s="55">
        <f t="shared" si="610"/>
        <v>0</v>
      </c>
      <c r="AD2120" s="56">
        <f t="shared" si="611"/>
        <v>4087.38</v>
      </c>
    </row>
    <row r="2121" spans="3:30">
      <c r="C2121" s="43" t="s">
        <v>3914</v>
      </c>
      <c r="D2121" s="44" t="s">
        <v>3915</v>
      </c>
      <c r="E2121" s="44"/>
      <c r="F2121" s="45">
        <v>40317.450902777775</v>
      </c>
      <c r="G2121" s="46">
        <v>100</v>
      </c>
      <c r="H2121" s="47">
        <v>43383</v>
      </c>
      <c r="I2121" s="47">
        <v>43299</v>
      </c>
      <c r="J2121" s="46">
        <v>993894</v>
      </c>
      <c r="K2121" s="46">
        <v>0</v>
      </c>
      <c r="L2121" s="46">
        <v>0</v>
      </c>
      <c r="M2121" s="46">
        <f t="shared" si="600"/>
        <v>993894</v>
      </c>
      <c r="N2121" s="46">
        <v>967274</v>
      </c>
      <c r="O2121" s="48">
        <f t="shared" si="601"/>
        <v>0</v>
      </c>
      <c r="P2121" s="46">
        <v>0</v>
      </c>
      <c r="Q2121" s="46">
        <v>993894</v>
      </c>
      <c r="R2121" s="49">
        <f t="shared" si="602"/>
        <v>1</v>
      </c>
      <c r="S2121" s="50">
        <f t="shared" si="603"/>
        <v>0.01</v>
      </c>
      <c r="T2121" s="49">
        <f t="shared" si="604"/>
        <v>9938.94</v>
      </c>
      <c r="U2121" s="51">
        <f t="shared" si="605"/>
        <v>0</v>
      </c>
      <c r="V2121" s="52">
        <f>IF(0&lt;0.8,0,IF(0&lt;1,Sheet3!L561,1))*IF(G2121&lt;3,0.12 - O2121,0.01) *U2121</f>
        <v>0</v>
      </c>
      <c r="W2121" s="52">
        <f t="shared" si="606"/>
        <v>0</v>
      </c>
      <c r="X2121" s="53">
        <f t="shared" si="607"/>
        <v>0</v>
      </c>
      <c r="Y2121" s="53">
        <f t="shared" si="608"/>
        <v>0</v>
      </c>
      <c r="Z2121" s="54">
        <f t="shared" si="612"/>
        <v>0</v>
      </c>
      <c r="AA2121" s="54">
        <f t="shared" si="609"/>
        <v>0</v>
      </c>
      <c r="AB2121" s="55">
        <f t="shared" si="599"/>
        <v>0</v>
      </c>
      <c r="AC2121" s="55">
        <f t="shared" si="610"/>
        <v>0</v>
      </c>
      <c r="AD2121" s="56">
        <f t="shared" si="611"/>
        <v>9938.94</v>
      </c>
    </row>
    <row r="2122" spans="3:30">
      <c r="C2122" s="43" t="s">
        <v>3916</v>
      </c>
      <c r="D2122" s="44" t="s">
        <v>3917</v>
      </c>
      <c r="E2122" s="44"/>
      <c r="F2122" s="45">
        <v>40730.610532407409</v>
      </c>
      <c r="G2122" s="46">
        <v>86</v>
      </c>
      <c r="H2122" s="47">
        <v>43388</v>
      </c>
      <c r="I2122" s="47">
        <v>43404</v>
      </c>
      <c r="J2122" s="46">
        <v>500214</v>
      </c>
      <c r="K2122" s="46">
        <v>0</v>
      </c>
      <c r="L2122" s="46">
        <v>0</v>
      </c>
      <c r="M2122" s="46">
        <f t="shared" si="600"/>
        <v>500214</v>
      </c>
      <c r="N2122" s="46">
        <v>500214</v>
      </c>
      <c r="O2122" s="48">
        <f t="shared" si="601"/>
        <v>0</v>
      </c>
      <c r="P2122" s="46">
        <v>0</v>
      </c>
      <c r="Q2122" s="46">
        <v>500214</v>
      </c>
      <c r="R2122" s="49">
        <f t="shared" si="602"/>
        <v>1</v>
      </c>
      <c r="S2122" s="50">
        <f t="shared" si="603"/>
        <v>0.01</v>
      </c>
      <c r="T2122" s="49">
        <f t="shared" si="604"/>
        <v>5002.1400000000003</v>
      </c>
      <c r="U2122" s="51">
        <f t="shared" si="605"/>
        <v>0</v>
      </c>
      <c r="V2122" s="52">
        <f>IF(0&lt;0.8,0,IF(0&lt;1,Sheet3!L561,1))*IF(G2122&lt;3,0.12 - O2122,0.01) *U2122</f>
        <v>0</v>
      </c>
      <c r="W2122" s="52">
        <f t="shared" si="606"/>
        <v>0</v>
      </c>
      <c r="X2122" s="53">
        <f t="shared" si="607"/>
        <v>0</v>
      </c>
      <c r="Y2122" s="53">
        <f t="shared" si="608"/>
        <v>0</v>
      </c>
      <c r="Z2122" s="54">
        <f t="shared" si="612"/>
        <v>0</v>
      </c>
      <c r="AA2122" s="54">
        <f t="shared" si="609"/>
        <v>0</v>
      </c>
      <c r="AB2122" s="55">
        <f t="shared" si="599"/>
        <v>0</v>
      </c>
      <c r="AC2122" s="55">
        <f t="shared" si="610"/>
        <v>0</v>
      </c>
      <c r="AD2122" s="56">
        <f t="shared" si="611"/>
        <v>5002.1400000000003</v>
      </c>
    </row>
    <row r="2123" spans="3:30">
      <c r="C2123" s="43" t="s">
        <v>3918</v>
      </c>
      <c r="D2123" s="44" t="s">
        <v>3919</v>
      </c>
      <c r="E2123" s="44"/>
      <c r="F2123" s="45">
        <v>40977.711087962962</v>
      </c>
      <c r="G2123" s="46">
        <v>78</v>
      </c>
      <c r="H2123" s="47">
        <v>43399</v>
      </c>
      <c r="I2123" s="47">
        <v>43404</v>
      </c>
      <c r="J2123" s="46">
        <v>464640</v>
      </c>
      <c r="K2123" s="46">
        <v>0</v>
      </c>
      <c r="L2123" s="46">
        <v>0</v>
      </c>
      <c r="M2123" s="46">
        <f t="shared" si="600"/>
        <v>464640</v>
      </c>
      <c r="N2123" s="46">
        <v>464640</v>
      </c>
      <c r="O2123" s="48">
        <f t="shared" si="601"/>
        <v>0</v>
      </c>
      <c r="P2123" s="46">
        <v>0</v>
      </c>
      <c r="Q2123" s="46">
        <v>606210</v>
      </c>
      <c r="R2123" s="49">
        <f t="shared" si="602"/>
        <v>1</v>
      </c>
      <c r="S2123" s="50">
        <f t="shared" si="603"/>
        <v>0.01</v>
      </c>
      <c r="T2123" s="49">
        <f t="shared" si="604"/>
        <v>4646.4000000000005</v>
      </c>
      <c r="U2123" s="51">
        <f t="shared" si="605"/>
        <v>0</v>
      </c>
      <c r="V2123" s="52">
        <f>IF(0&lt;0.8,0,IF(0&lt;1,Sheet3!L561,1))*IF(G2123&lt;3,0.12 - O2123,0.01) *U2123</f>
        <v>0</v>
      </c>
      <c r="W2123" s="52">
        <f t="shared" si="606"/>
        <v>0</v>
      </c>
      <c r="X2123" s="53">
        <f t="shared" si="607"/>
        <v>0</v>
      </c>
      <c r="Y2123" s="53">
        <f t="shared" si="608"/>
        <v>0</v>
      </c>
      <c r="Z2123" s="54">
        <f t="shared" si="612"/>
        <v>0</v>
      </c>
      <c r="AA2123" s="54">
        <f t="shared" si="609"/>
        <v>0</v>
      </c>
      <c r="AB2123" s="55">
        <f t="shared" si="599"/>
        <v>0</v>
      </c>
      <c r="AC2123" s="55">
        <f t="shared" si="610"/>
        <v>0</v>
      </c>
      <c r="AD2123" s="56">
        <f t="shared" si="611"/>
        <v>4646.4000000000005</v>
      </c>
    </row>
    <row r="2124" spans="3:30">
      <c r="C2124" s="43" t="s">
        <v>3920</v>
      </c>
      <c r="D2124" s="44" t="s">
        <v>3921</v>
      </c>
      <c r="E2124" s="44"/>
      <c r="F2124" s="45">
        <v>41031.387592592589</v>
      </c>
      <c r="G2124" s="46">
        <v>76</v>
      </c>
      <c r="H2124" s="47">
        <v>43388</v>
      </c>
      <c r="I2124" s="47">
        <v>43404</v>
      </c>
      <c r="J2124" s="46">
        <v>883563</v>
      </c>
      <c r="K2124" s="46">
        <v>0</v>
      </c>
      <c r="L2124" s="46">
        <v>0</v>
      </c>
      <c r="M2124" s="46">
        <f t="shared" si="600"/>
        <v>883563</v>
      </c>
      <c r="N2124" s="46">
        <v>871200</v>
      </c>
      <c r="O2124" s="48">
        <f t="shared" si="601"/>
        <v>0</v>
      </c>
      <c r="P2124" s="46">
        <v>0</v>
      </c>
      <c r="Q2124" s="46">
        <v>883563</v>
      </c>
      <c r="R2124" s="49">
        <f t="shared" si="602"/>
        <v>1</v>
      </c>
      <c r="S2124" s="50">
        <f t="shared" si="603"/>
        <v>0.01</v>
      </c>
      <c r="T2124" s="49">
        <f t="shared" si="604"/>
        <v>8835.630000000001</v>
      </c>
      <c r="U2124" s="51">
        <f t="shared" si="605"/>
        <v>0</v>
      </c>
      <c r="V2124" s="52">
        <f>IF(0&lt;0.8,0,IF(0&lt;1,Sheet3!L561,1))*IF(G2124&lt;3,0.12 - O2124,0.01) *U2124</f>
        <v>0</v>
      </c>
      <c r="W2124" s="52">
        <f t="shared" si="606"/>
        <v>0</v>
      </c>
      <c r="X2124" s="53">
        <f t="shared" si="607"/>
        <v>0</v>
      </c>
      <c r="Y2124" s="53">
        <f t="shared" si="608"/>
        <v>0</v>
      </c>
      <c r="Z2124" s="54">
        <f t="shared" si="612"/>
        <v>0</v>
      </c>
      <c r="AA2124" s="54">
        <f t="shared" si="609"/>
        <v>0</v>
      </c>
      <c r="AB2124" s="55">
        <f t="shared" si="599"/>
        <v>0</v>
      </c>
      <c r="AC2124" s="55">
        <f t="shared" si="610"/>
        <v>0</v>
      </c>
      <c r="AD2124" s="56">
        <f t="shared" si="611"/>
        <v>8835.630000000001</v>
      </c>
    </row>
    <row r="2125" spans="3:30">
      <c r="C2125" s="43" t="s">
        <v>3922</v>
      </c>
      <c r="D2125" s="44" t="s">
        <v>3923</v>
      </c>
      <c r="E2125" s="44"/>
      <c r="F2125" s="45">
        <v>41256.467824074076</v>
      </c>
      <c r="G2125" s="46">
        <v>69</v>
      </c>
      <c r="H2125" s="47">
        <v>43383</v>
      </c>
      <c r="I2125" s="47">
        <v>43388</v>
      </c>
      <c r="J2125" s="46">
        <v>4494061</v>
      </c>
      <c r="K2125" s="46">
        <v>0</v>
      </c>
      <c r="L2125" s="46">
        <v>0</v>
      </c>
      <c r="M2125" s="46">
        <f t="shared" si="600"/>
        <v>4494061</v>
      </c>
      <c r="N2125" s="46">
        <v>4494061</v>
      </c>
      <c r="O2125" s="48">
        <f t="shared" si="601"/>
        <v>0</v>
      </c>
      <c r="P2125" s="46">
        <v>0</v>
      </c>
      <c r="Q2125" s="46">
        <v>4494061</v>
      </c>
      <c r="R2125" s="49">
        <f t="shared" si="602"/>
        <v>1</v>
      </c>
      <c r="S2125" s="50">
        <f t="shared" si="603"/>
        <v>0.01</v>
      </c>
      <c r="T2125" s="49">
        <f t="shared" si="604"/>
        <v>44940.61</v>
      </c>
      <c r="U2125" s="51">
        <f t="shared" si="605"/>
        <v>0</v>
      </c>
      <c r="V2125" s="52">
        <f>IF(0&lt;0.8,0,IF(0&lt;1,Sheet3!L561,1))*IF(G2125&lt;3,0.12 - O2125,0.01) *U2125</f>
        <v>0</v>
      </c>
      <c r="W2125" s="52">
        <f t="shared" si="606"/>
        <v>0</v>
      </c>
      <c r="X2125" s="53">
        <f t="shared" si="607"/>
        <v>0</v>
      </c>
      <c r="Y2125" s="53">
        <f t="shared" si="608"/>
        <v>0</v>
      </c>
      <c r="Z2125" s="54">
        <f t="shared" si="612"/>
        <v>0</v>
      </c>
      <c r="AA2125" s="54">
        <f t="shared" si="609"/>
        <v>0</v>
      </c>
      <c r="AB2125" s="55">
        <f t="shared" si="599"/>
        <v>0</v>
      </c>
      <c r="AC2125" s="55">
        <f t="shared" si="610"/>
        <v>0</v>
      </c>
      <c r="AD2125" s="56">
        <f t="shared" si="611"/>
        <v>44940.61</v>
      </c>
    </row>
    <row r="2126" spans="3:30">
      <c r="C2126" s="43" t="s">
        <v>3924</v>
      </c>
      <c r="D2126" s="44" t="s">
        <v>3925</v>
      </c>
      <c r="E2126" s="44"/>
      <c r="F2126" s="45">
        <v>41475.440972222219</v>
      </c>
      <c r="G2126" s="46">
        <v>62</v>
      </c>
      <c r="H2126" s="47">
        <v>43388</v>
      </c>
      <c r="I2126" s="47">
        <v>43404</v>
      </c>
      <c r="J2126" s="46">
        <v>396638</v>
      </c>
      <c r="K2126" s="46">
        <v>0</v>
      </c>
      <c r="L2126" s="46">
        <v>0</v>
      </c>
      <c r="M2126" s="46">
        <f t="shared" si="600"/>
        <v>396638</v>
      </c>
      <c r="N2126" s="46">
        <v>396638</v>
      </c>
      <c r="O2126" s="48">
        <f t="shared" si="601"/>
        <v>0</v>
      </c>
      <c r="P2126" s="46">
        <v>0</v>
      </c>
      <c r="Q2126" s="46">
        <v>396638</v>
      </c>
      <c r="R2126" s="49">
        <f t="shared" si="602"/>
        <v>1</v>
      </c>
      <c r="S2126" s="50">
        <f t="shared" si="603"/>
        <v>0.01</v>
      </c>
      <c r="T2126" s="49">
        <f t="shared" si="604"/>
        <v>3966.38</v>
      </c>
      <c r="U2126" s="51">
        <f t="shared" si="605"/>
        <v>0</v>
      </c>
      <c r="V2126" s="52">
        <f>IF(0&lt;0.8,0,IF(0&lt;1,Sheet3!L561,1))*IF(G2126&lt;3,0.12 - O2126,0.01) *U2126</f>
        <v>0</v>
      </c>
      <c r="W2126" s="52">
        <f t="shared" si="606"/>
        <v>0</v>
      </c>
      <c r="X2126" s="53">
        <f t="shared" si="607"/>
        <v>0</v>
      </c>
      <c r="Y2126" s="53">
        <f t="shared" si="608"/>
        <v>0</v>
      </c>
      <c r="Z2126" s="54">
        <f t="shared" si="612"/>
        <v>0</v>
      </c>
      <c r="AA2126" s="54">
        <f t="shared" si="609"/>
        <v>0</v>
      </c>
      <c r="AB2126" s="55">
        <f t="shared" si="599"/>
        <v>0</v>
      </c>
      <c r="AC2126" s="55">
        <f t="shared" si="610"/>
        <v>0</v>
      </c>
      <c r="AD2126" s="56">
        <f t="shared" si="611"/>
        <v>3966.38</v>
      </c>
    </row>
    <row r="2127" spans="3:30">
      <c r="C2127" s="43" t="s">
        <v>3926</v>
      </c>
      <c r="D2127" s="44" t="s">
        <v>3927</v>
      </c>
      <c r="E2127" s="44"/>
      <c r="F2127" s="45">
        <v>41562.374837962961</v>
      </c>
      <c r="G2127" s="46">
        <v>59</v>
      </c>
      <c r="H2127" s="47">
        <v>43383</v>
      </c>
      <c r="I2127" s="47">
        <v>43444</v>
      </c>
      <c r="J2127" s="46">
        <v>1936968</v>
      </c>
      <c r="K2127" s="46">
        <v>0</v>
      </c>
      <c r="L2127" s="46">
        <v>0</v>
      </c>
      <c r="M2127" s="46">
        <f t="shared" si="600"/>
        <v>1936968</v>
      </c>
      <c r="N2127" s="46">
        <v>1936968</v>
      </c>
      <c r="O2127" s="48">
        <f t="shared" si="601"/>
        <v>0</v>
      </c>
      <c r="P2127" s="46">
        <v>0</v>
      </c>
      <c r="Q2127" s="46">
        <v>1936968</v>
      </c>
      <c r="R2127" s="49">
        <f t="shared" si="602"/>
        <v>1</v>
      </c>
      <c r="S2127" s="50">
        <f t="shared" si="603"/>
        <v>0.01</v>
      </c>
      <c r="T2127" s="49">
        <f t="shared" si="604"/>
        <v>19369.68</v>
      </c>
      <c r="U2127" s="51">
        <f t="shared" si="605"/>
        <v>0</v>
      </c>
      <c r="V2127" s="52">
        <f>IF(0&lt;0.8,0,IF(0&lt;1,Sheet3!L561,1))*IF(G2127&lt;3,0.12 - O2127,0.01) *U2127</f>
        <v>0</v>
      </c>
      <c r="W2127" s="52">
        <f t="shared" si="606"/>
        <v>0</v>
      </c>
      <c r="X2127" s="53">
        <f t="shared" si="607"/>
        <v>0</v>
      </c>
      <c r="Y2127" s="53">
        <f t="shared" si="608"/>
        <v>0</v>
      </c>
      <c r="Z2127" s="54">
        <f t="shared" si="612"/>
        <v>0</v>
      </c>
      <c r="AA2127" s="54">
        <f t="shared" si="609"/>
        <v>0</v>
      </c>
      <c r="AB2127" s="55">
        <f t="shared" si="599"/>
        <v>0</v>
      </c>
      <c r="AC2127" s="55">
        <f t="shared" si="610"/>
        <v>0</v>
      </c>
      <c r="AD2127" s="56">
        <f t="shared" si="611"/>
        <v>19369.68</v>
      </c>
    </row>
    <row r="2128" spans="3:30">
      <c r="C2128" s="43" t="s">
        <v>3928</v>
      </c>
      <c r="D2128" s="44" t="s">
        <v>3929</v>
      </c>
      <c r="E2128" s="44"/>
      <c r="F2128" s="45">
        <v>41713.396111111113</v>
      </c>
      <c r="G2128" s="46">
        <v>54</v>
      </c>
      <c r="H2128" s="47">
        <v>43388</v>
      </c>
      <c r="I2128" s="47">
        <v>43424</v>
      </c>
      <c r="J2128" s="46">
        <v>41866</v>
      </c>
      <c r="K2128" s="46">
        <v>0</v>
      </c>
      <c r="L2128" s="46">
        <v>0</v>
      </c>
      <c r="M2128" s="46">
        <f t="shared" si="600"/>
        <v>41866</v>
      </c>
      <c r="N2128" s="46">
        <v>41866</v>
      </c>
      <c r="O2128" s="48">
        <f t="shared" si="601"/>
        <v>0</v>
      </c>
      <c r="P2128" s="46">
        <v>0</v>
      </c>
      <c r="Q2128" s="46">
        <v>41866</v>
      </c>
      <c r="R2128" s="49">
        <f t="shared" si="602"/>
        <v>1</v>
      </c>
      <c r="S2128" s="50">
        <f t="shared" si="603"/>
        <v>0.01</v>
      </c>
      <c r="T2128" s="49">
        <f t="shared" si="604"/>
        <v>418.66</v>
      </c>
      <c r="U2128" s="51">
        <f t="shared" si="605"/>
        <v>0</v>
      </c>
      <c r="V2128" s="52">
        <f>IF(0&lt;0.8,0,IF(0&lt;1,Sheet3!L561,1))*IF(G2128&lt;3,0.12 - O2128,0.01) *U2128</f>
        <v>0</v>
      </c>
      <c r="W2128" s="52">
        <f t="shared" si="606"/>
        <v>0</v>
      </c>
      <c r="X2128" s="53">
        <f t="shared" si="607"/>
        <v>0</v>
      </c>
      <c r="Y2128" s="53">
        <f t="shared" si="608"/>
        <v>0</v>
      </c>
      <c r="Z2128" s="54">
        <f t="shared" si="612"/>
        <v>0</v>
      </c>
      <c r="AA2128" s="54">
        <f t="shared" si="609"/>
        <v>0</v>
      </c>
      <c r="AB2128" s="55">
        <f t="shared" si="599"/>
        <v>0</v>
      </c>
      <c r="AC2128" s="55">
        <f t="shared" si="610"/>
        <v>0</v>
      </c>
      <c r="AD2128" s="56">
        <f t="shared" si="611"/>
        <v>418.66</v>
      </c>
    </row>
    <row r="2129" spans="3:30">
      <c r="C2129" s="43" t="s">
        <v>3930</v>
      </c>
      <c r="D2129" s="44" t="s">
        <v>3931</v>
      </c>
      <c r="E2129" s="44"/>
      <c r="F2129" s="45">
        <v>41767.6405787037</v>
      </c>
      <c r="G2129" s="46">
        <v>52</v>
      </c>
      <c r="H2129" s="47">
        <v>43388</v>
      </c>
      <c r="I2129" s="47">
        <v>43424</v>
      </c>
      <c r="J2129" s="46">
        <v>844023</v>
      </c>
      <c r="K2129" s="46">
        <v>0</v>
      </c>
      <c r="L2129" s="46">
        <v>0</v>
      </c>
      <c r="M2129" s="46">
        <f t="shared" si="600"/>
        <v>844023</v>
      </c>
      <c r="N2129" s="46">
        <v>844023</v>
      </c>
      <c r="O2129" s="48">
        <f t="shared" si="601"/>
        <v>0</v>
      </c>
      <c r="P2129" s="46">
        <v>0</v>
      </c>
      <c r="Q2129" s="46">
        <v>844023</v>
      </c>
      <c r="R2129" s="49">
        <f t="shared" si="602"/>
        <v>1</v>
      </c>
      <c r="S2129" s="50">
        <f t="shared" si="603"/>
        <v>0.01</v>
      </c>
      <c r="T2129" s="49">
        <f t="shared" si="604"/>
        <v>8440.23</v>
      </c>
      <c r="U2129" s="51">
        <f t="shared" si="605"/>
        <v>0</v>
      </c>
      <c r="V2129" s="52">
        <f>IF(0&lt;0.8,0,IF(0&lt;1,Sheet3!L561,1))*IF(G2129&lt;3,0.12 - O2129,0.01) *U2129</f>
        <v>0</v>
      </c>
      <c r="W2129" s="52">
        <f t="shared" si="606"/>
        <v>0</v>
      </c>
      <c r="X2129" s="53">
        <f t="shared" si="607"/>
        <v>0</v>
      </c>
      <c r="Y2129" s="53">
        <f t="shared" si="608"/>
        <v>0</v>
      </c>
      <c r="Z2129" s="54">
        <f t="shared" si="612"/>
        <v>0</v>
      </c>
      <c r="AA2129" s="54">
        <f t="shared" si="609"/>
        <v>0</v>
      </c>
      <c r="AB2129" s="55">
        <f t="shared" si="599"/>
        <v>0</v>
      </c>
      <c r="AC2129" s="55">
        <f t="shared" si="610"/>
        <v>0</v>
      </c>
      <c r="AD2129" s="56">
        <f t="shared" si="611"/>
        <v>8440.23</v>
      </c>
    </row>
    <row r="2130" spans="3:30">
      <c r="C2130" s="43" t="s">
        <v>3932</v>
      </c>
      <c r="D2130" s="44" t="s">
        <v>3933</v>
      </c>
      <c r="E2130" s="44"/>
      <c r="F2130" s="45">
        <v>41830.367222222223</v>
      </c>
      <c r="G2130" s="46">
        <v>50</v>
      </c>
      <c r="H2130" s="47">
        <v>43388</v>
      </c>
      <c r="I2130" s="47">
        <v>43424</v>
      </c>
      <c r="J2130" s="46">
        <v>146410</v>
      </c>
      <c r="K2130" s="46">
        <v>0</v>
      </c>
      <c r="L2130" s="46">
        <v>0</v>
      </c>
      <c r="M2130" s="46">
        <f t="shared" si="600"/>
        <v>146410</v>
      </c>
      <c r="N2130" s="46">
        <v>146410</v>
      </c>
      <c r="O2130" s="48">
        <f t="shared" si="601"/>
        <v>0</v>
      </c>
      <c r="P2130" s="46">
        <v>0</v>
      </c>
      <c r="Q2130" s="46">
        <v>146410</v>
      </c>
      <c r="R2130" s="49">
        <f t="shared" si="602"/>
        <v>1</v>
      </c>
      <c r="S2130" s="50">
        <f t="shared" si="603"/>
        <v>0.01</v>
      </c>
      <c r="T2130" s="49">
        <f t="shared" si="604"/>
        <v>1464.1000000000001</v>
      </c>
      <c r="U2130" s="51">
        <f t="shared" si="605"/>
        <v>0</v>
      </c>
      <c r="V2130" s="52">
        <f>IF(0&lt;0.8,0,IF(0&lt;1,Sheet3!L561,1))*IF(G2130&lt;3,0.12 - O2130,0.01) *U2130</f>
        <v>0</v>
      </c>
      <c r="W2130" s="52">
        <f t="shared" si="606"/>
        <v>0</v>
      </c>
      <c r="X2130" s="53">
        <f t="shared" si="607"/>
        <v>0</v>
      </c>
      <c r="Y2130" s="53">
        <f t="shared" si="608"/>
        <v>0</v>
      </c>
      <c r="Z2130" s="54">
        <f t="shared" si="612"/>
        <v>0</v>
      </c>
      <c r="AA2130" s="54">
        <f t="shared" si="609"/>
        <v>0</v>
      </c>
      <c r="AB2130" s="55">
        <f t="shared" si="599"/>
        <v>0</v>
      </c>
      <c r="AC2130" s="55">
        <f t="shared" si="610"/>
        <v>0</v>
      </c>
      <c r="AD2130" s="56">
        <f t="shared" si="611"/>
        <v>1464.1000000000001</v>
      </c>
    </row>
    <row r="2131" spans="3:30">
      <c r="C2131" s="43" t="s">
        <v>3934</v>
      </c>
      <c r="D2131" s="44" t="s">
        <v>3935</v>
      </c>
      <c r="E2131" s="44"/>
      <c r="F2131" s="45">
        <v>41830.365115740737</v>
      </c>
      <c r="G2131" s="46">
        <v>50</v>
      </c>
      <c r="H2131" s="47">
        <v>43389</v>
      </c>
      <c r="I2131" s="47">
        <v>43434</v>
      </c>
      <c r="J2131" s="46">
        <v>19414296</v>
      </c>
      <c r="K2131" s="46">
        <v>0</v>
      </c>
      <c r="L2131" s="46">
        <v>0</v>
      </c>
      <c r="M2131" s="46">
        <f t="shared" si="600"/>
        <v>19414296</v>
      </c>
      <c r="N2131" s="46">
        <v>21380856</v>
      </c>
      <c r="O2131" s="48">
        <f t="shared" si="601"/>
        <v>9.1977608380132247E-2</v>
      </c>
      <c r="P2131" s="46">
        <v>0</v>
      </c>
      <c r="Q2131" s="46">
        <v>19414296</v>
      </c>
      <c r="R2131" s="49">
        <f t="shared" si="602"/>
        <v>1</v>
      </c>
      <c r="S2131" s="50">
        <f t="shared" si="603"/>
        <v>0.01</v>
      </c>
      <c r="T2131" s="49">
        <f t="shared" si="604"/>
        <v>194142.96</v>
      </c>
      <c r="U2131" s="51">
        <f t="shared" si="605"/>
        <v>0</v>
      </c>
      <c r="V2131" s="52">
        <f>IF(0&lt;0.8,0,IF(0&lt;1,Sheet3!L561,1))*IF(G2131&lt;3,0.12 - O2131,0.01) *U2131</f>
        <v>0</v>
      </c>
      <c r="W2131" s="52">
        <f t="shared" si="606"/>
        <v>0</v>
      </c>
      <c r="X2131" s="53">
        <f t="shared" si="607"/>
        <v>0</v>
      </c>
      <c r="Y2131" s="53">
        <f t="shared" si="608"/>
        <v>0</v>
      </c>
      <c r="Z2131" s="54">
        <f t="shared" si="612"/>
        <v>0</v>
      </c>
      <c r="AA2131" s="54">
        <f t="shared" si="609"/>
        <v>0</v>
      </c>
      <c r="AB2131" s="55">
        <f t="shared" si="599"/>
        <v>0</v>
      </c>
      <c r="AC2131" s="55">
        <f t="shared" si="610"/>
        <v>0</v>
      </c>
      <c r="AD2131" s="56">
        <f t="shared" si="611"/>
        <v>194142.96</v>
      </c>
    </row>
    <row r="2132" spans="3:30">
      <c r="C2132" s="43" t="s">
        <v>3936</v>
      </c>
      <c r="D2132" s="44" t="s">
        <v>3937</v>
      </c>
      <c r="E2132" s="44"/>
      <c r="F2132" s="45">
        <v>41885.588356481479</v>
      </c>
      <c r="G2132" s="46">
        <v>48</v>
      </c>
      <c r="H2132" s="47">
        <v>43388</v>
      </c>
      <c r="I2132" s="47">
        <v>43411</v>
      </c>
      <c r="J2132" s="46">
        <v>858510</v>
      </c>
      <c r="K2132" s="46">
        <v>0</v>
      </c>
      <c r="L2132" s="46">
        <v>0</v>
      </c>
      <c r="M2132" s="46">
        <f t="shared" si="600"/>
        <v>858510</v>
      </c>
      <c r="N2132" s="46">
        <v>859240</v>
      </c>
      <c r="O2132" s="48">
        <f t="shared" si="601"/>
        <v>8.495880080070517E-4</v>
      </c>
      <c r="P2132" s="46">
        <v>0</v>
      </c>
      <c r="Q2132" s="46">
        <v>858510</v>
      </c>
      <c r="R2132" s="49">
        <f t="shared" si="602"/>
        <v>1</v>
      </c>
      <c r="S2132" s="50">
        <f t="shared" si="603"/>
        <v>0.01</v>
      </c>
      <c r="T2132" s="49">
        <f t="shared" si="604"/>
        <v>8585.1</v>
      </c>
      <c r="U2132" s="51">
        <f t="shared" si="605"/>
        <v>0</v>
      </c>
      <c r="V2132" s="52">
        <f>IF(0&lt;0.8,0,IF(0&lt;1,Sheet3!L561,1))*IF(G2132&lt;3,0.12 - O2132,0.01) *U2132</f>
        <v>0</v>
      </c>
      <c r="W2132" s="52">
        <f t="shared" si="606"/>
        <v>0</v>
      </c>
      <c r="X2132" s="53">
        <f t="shared" si="607"/>
        <v>0</v>
      </c>
      <c r="Y2132" s="53">
        <f t="shared" si="608"/>
        <v>0</v>
      </c>
      <c r="Z2132" s="54">
        <f t="shared" si="612"/>
        <v>0</v>
      </c>
      <c r="AA2132" s="54">
        <f t="shared" si="609"/>
        <v>0</v>
      </c>
      <c r="AB2132" s="55">
        <f t="shared" si="599"/>
        <v>0</v>
      </c>
      <c r="AC2132" s="55">
        <f t="shared" si="610"/>
        <v>0</v>
      </c>
      <c r="AD2132" s="56">
        <f t="shared" si="611"/>
        <v>8585.1</v>
      </c>
    </row>
    <row r="2133" spans="3:30">
      <c r="C2133" s="43" t="s">
        <v>3938</v>
      </c>
      <c r="D2133" s="44" t="s">
        <v>3939</v>
      </c>
      <c r="E2133" s="44"/>
      <c r="F2133" s="45">
        <v>41954.433425925927</v>
      </c>
      <c r="G2133" s="46">
        <v>46</v>
      </c>
      <c r="H2133" s="47">
        <v>43404</v>
      </c>
      <c r="I2133" s="47">
        <v>43413</v>
      </c>
      <c r="J2133" s="46">
        <v>3806607</v>
      </c>
      <c r="K2133" s="46">
        <v>297319</v>
      </c>
      <c r="L2133" s="46">
        <v>0</v>
      </c>
      <c r="M2133" s="46">
        <f t="shared" si="600"/>
        <v>3509288</v>
      </c>
      <c r="N2133" s="46">
        <v>4796198</v>
      </c>
      <c r="O2133" s="48">
        <f t="shared" si="601"/>
        <v>0.26831878083431915</v>
      </c>
      <c r="P2133" s="46">
        <v>0</v>
      </c>
      <c r="Q2133" s="46">
        <v>3626867</v>
      </c>
      <c r="R2133" s="49">
        <f t="shared" si="602"/>
        <v>1</v>
      </c>
      <c r="S2133" s="50">
        <f t="shared" si="603"/>
        <v>0.01</v>
      </c>
      <c r="T2133" s="49">
        <f t="shared" si="604"/>
        <v>35092.879999999997</v>
      </c>
      <c r="U2133" s="51">
        <f t="shared" si="605"/>
        <v>0</v>
      </c>
      <c r="V2133" s="52">
        <f>IF(0&lt;0.8,0,IF(0&lt;1,Sheet3!L561,1))*IF(G2133&lt;3,0.12 - O2133,0.01) *U2133</f>
        <v>0</v>
      </c>
      <c r="W2133" s="52">
        <f t="shared" si="606"/>
        <v>0</v>
      </c>
      <c r="X2133" s="53">
        <f t="shared" si="607"/>
        <v>0</v>
      </c>
      <c r="Y2133" s="53">
        <f t="shared" si="608"/>
        <v>0</v>
      </c>
      <c r="Z2133" s="54">
        <f t="shared" si="612"/>
        <v>0</v>
      </c>
      <c r="AA2133" s="54">
        <f t="shared" si="609"/>
        <v>0</v>
      </c>
      <c r="AB2133" s="55">
        <f t="shared" si="599"/>
        <v>0</v>
      </c>
      <c r="AC2133" s="55">
        <f t="shared" si="610"/>
        <v>0</v>
      </c>
      <c r="AD2133" s="56">
        <f t="shared" si="611"/>
        <v>35092.879999999997</v>
      </c>
    </row>
    <row r="2134" spans="3:30">
      <c r="C2134" s="43" t="s">
        <v>3940</v>
      </c>
      <c r="D2134" s="44" t="s">
        <v>3941</v>
      </c>
      <c r="E2134" s="44"/>
      <c r="F2134" s="45">
        <v>41958.598969907405</v>
      </c>
      <c r="G2134" s="46">
        <v>46</v>
      </c>
      <c r="H2134" s="47">
        <v>43393</v>
      </c>
      <c r="I2134" s="47">
        <v>43410</v>
      </c>
      <c r="J2134" s="46">
        <v>66550</v>
      </c>
      <c r="K2134" s="46">
        <v>0</v>
      </c>
      <c r="L2134" s="46">
        <v>0</v>
      </c>
      <c r="M2134" s="46">
        <f t="shared" si="600"/>
        <v>66550</v>
      </c>
      <c r="N2134" s="46">
        <v>66550</v>
      </c>
      <c r="O2134" s="48">
        <f t="shared" si="601"/>
        <v>0</v>
      </c>
      <c r="P2134" s="46">
        <v>0</v>
      </c>
      <c r="Q2134" s="46">
        <v>66550</v>
      </c>
      <c r="R2134" s="49">
        <f t="shared" si="602"/>
        <v>1</v>
      </c>
      <c r="S2134" s="50">
        <f t="shared" si="603"/>
        <v>0.01</v>
      </c>
      <c r="T2134" s="49">
        <f t="shared" si="604"/>
        <v>665.5</v>
      </c>
      <c r="U2134" s="51">
        <f t="shared" si="605"/>
        <v>0</v>
      </c>
      <c r="V2134" s="52">
        <f>IF(0&lt;0.8,0,IF(0&lt;1,Sheet3!L561,1))*IF(G2134&lt;3,0.12 - O2134,0.01) *U2134</f>
        <v>0</v>
      </c>
      <c r="W2134" s="52">
        <f t="shared" si="606"/>
        <v>0</v>
      </c>
      <c r="X2134" s="53">
        <f t="shared" si="607"/>
        <v>0</v>
      </c>
      <c r="Y2134" s="53">
        <f t="shared" si="608"/>
        <v>0</v>
      </c>
      <c r="Z2134" s="54">
        <f t="shared" si="612"/>
        <v>0</v>
      </c>
      <c r="AA2134" s="54">
        <f t="shared" si="609"/>
        <v>0</v>
      </c>
      <c r="AB2134" s="55">
        <f t="shared" si="599"/>
        <v>0</v>
      </c>
      <c r="AC2134" s="55">
        <f t="shared" si="610"/>
        <v>0</v>
      </c>
      <c r="AD2134" s="56">
        <f t="shared" si="611"/>
        <v>665.5</v>
      </c>
    </row>
    <row r="2135" spans="3:30">
      <c r="C2135" s="43" t="s">
        <v>3942</v>
      </c>
      <c r="D2135" s="44" t="s">
        <v>3943</v>
      </c>
      <c r="E2135" s="44"/>
      <c r="F2135" s="45">
        <v>42147.420972222222</v>
      </c>
      <c r="G2135" s="46">
        <v>40</v>
      </c>
      <c r="H2135" s="47">
        <v>43376</v>
      </c>
      <c r="I2135" s="47">
        <v>43427</v>
      </c>
      <c r="J2135" s="46">
        <v>105512</v>
      </c>
      <c r="K2135" s="46">
        <v>0</v>
      </c>
      <c r="L2135" s="46">
        <v>0</v>
      </c>
      <c r="M2135" s="46">
        <f t="shared" si="600"/>
        <v>105512</v>
      </c>
      <c r="N2135" s="46">
        <v>105512</v>
      </c>
      <c r="O2135" s="48">
        <f t="shared" si="601"/>
        <v>0</v>
      </c>
      <c r="P2135" s="46">
        <v>0</v>
      </c>
      <c r="Q2135" s="46">
        <v>105512</v>
      </c>
      <c r="R2135" s="49">
        <f t="shared" si="602"/>
        <v>1</v>
      </c>
      <c r="S2135" s="50">
        <f t="shared" si="603"/>
        <v>0.01</v>
      </c>
      <c r="T2135" s="49">
        <f t="shared" si="604"/>
        <v>1055.1200000000001</v>
      </c>
      <c r="U2135" s="51">
        <f t="shared" si="605"/>
        <v>0</v>
      </c>
      <c r="V2135" s="52">
        <f>IF(0&lt;0.8,0,IF(0&lt;1,Sheet3!L561,1))*IF(G2135&lt;3,0.12 - O2135,0.01) *U2135</f>
        <v>0</v>
      </c>
      <c r="W2135" s="52">
        <f t="shared" si="606"/>
        <v>0</v>
      </c>
      <c r="X2135" s="53">
        <f t="shared" si="607"/>
        <v>0</v>
      </c>
      <c r="Y2135" s="53">
        <f t="shared" si="608"/>
        <v>0</v>
      </c>
      <c r="Z2135" s="54">
        <f t="shared" si="612"/>
        <v>0</v>
      </c>
      <c r="AA2135" s="54">
        <f t="shared" si="609"/>
        <v>0</v>
      </c>
      <c r="AB2135" s="55">
        <f t="shared" si="599"/>
        <v>0</v>
      </c>
      <c r="AC2135" s="55">
        <f t="shared" si="610"/>
        <v>0</v>
      </c>
      <c r="AD2135" s="56">
        <f t="shared" si="611"/>
        <v>1055.1200000000001</v>
      </c>
    </row>
    <row r="2136" spans="3:30">
      <c r="C2136" s="43" t="s">
        <v>3944</v>
      </c>
      <c r="D2136" s="44" t="s">
        <v>3945</v>
      </c>
      <c r="E2136" s="44"/>
      <c r="F2136" s="45">
        <v>42156.453356481477</v>
      </c>
      <c r="G2136" s="46">
        <v>39</v>
      </c>
      <c r="H2136" s="47">
        <v>43388</v>
      </c>
      <c r="I2136" s="47">
        <v>43411</v>
      </c>
      <c r="J2136" s="46">
        <v>133100</v>
      </c>
      <c r="K2136" s="46">
        <v>0</v>
      </c>
      <c r="L2136" s="46">
        <v>0</v>
      </c>
      <c r="M2136" s="46">
        <f t="shared" si="600"/>
        <v>133100</v>
      </c>
      <c r="N2136" s="46">
        <v>133100</v>
      </c>
      <c r="O2136" s="48">
        <f t="shared" si="601"/>
        <v>0</v>
      </c>
      <c r="P2136" s="46">
        <v>0</v>
      </c>
      <c r="Q2136" s="46">
        <v>133100</v>
      </c>
      <c r="R2136" s="49">
        <f t="shared" si="602"/>
        <v>1</v>
      </c>
      <c r="S2136" s="50">
        <f t="shared" si="603"/>
        <v>0.01</v>
      </c>
      <c r="T2136" s="49">
        <f t="shared" si="604"/>
        <v>1331</v>
      </c>
      <c r="U2136" s="51">
        <f t="shared" si="605"/>
        <v>0</v>
      </c>
      <c r="V2136" s="52">
        <f>IF(0&lt;0.8,0,IF(0&lt;1,Sheet3!L561,1))*IF(G2136&lt;3,0.12 - O2136,0.01) *U2136</f>
        <v>0</v>
      </c>
      <c r="W2136" s="52">
        <f t="shared" si="606"/>
        <v>0</v>
      </c>
      <c r="X2136" s="53">
        <f t="shared" si="607"/>
        <v>0</v>
      </c>
      <c r="Y2136" s="53">
        <f t="shared" si="608"/>
        <v>0</v>
      </c>
      <c r="Z2136" s="54">
        <f t="shared" si="612"/>
        <v>0</v>
      </c>
      <c r="AA2136" s="54">
        <f t="shared" si="609"/>
        <v>0</v>
      </c>
      <c r="AB2136" s="55">
        <f t="shared" si="599"/>
        <v>0</v>
      </c>
      <c r="AC2136" s="55">
        <f t="shared" si="610"/>
        <v>0</v>
      </c>
      <c r="AD2136" s="56">
        <f t="shared" si="611"/>
        <v>1331</v>
      </c>
    </row>
    <row r="2137" spans="3:30">
      <c r="C2137" s="43" t="s">
        <v>3946</v>
      </c>
      <c r="D2137" s="44" t="s">
        <v>3947</v>
      </c>
      <c r="E2137" s="44"/>
      <c r="F2137" s="45">
        <v>42182.401157407403</v>
      </c>
      <c r="G2137" s="46">
        <v>39</v>
      </c>
      <c r="H2137" s="47">
        <v>43383</v>
      </c>
      <c r="I2137" s="47">
        <v>43431</v>
      </c>
      <c r="J2137" s="46">
        <v>450120</v>
      </c>
      <c r="K2137" s="46">
        <v>0</v>
      </c>
      <c r="L2137" s="46">
        <v>0</v>
      </c>
      <c r="M2137" s="46">
        <f t="shared" si="600"/>
        <v>450120</v>
      </c>
      <c r="N2137" s="46">
        <v>450120</v>
      </c>
      <c r="O2137" s="48">
        <f t="shared" si="601"/>
        <v>0</v>
      </c>
      <c r="P2137" s="46">
        <v>0</v>
      </c>
      <c r="Q2137" s="46">
        <v>450120</v>
      </c>
      <c r="R2137" s="49">
        <f t="shared" si="602"/>
        <v>1</v>
      </c>
      <c r="S2137" s="50">
        <f t="shared" si="603"/>
        <v>0.01</v>
      </c>
      <c r="T2137" s="49">
        <f t="shared" si="604"/>
        <v>4501.2</v>
      </c>
      <c r="U2137" s="51">
        <f t="shared" si="605"/>
        <v>0</v>
      </c>
      <c r="V2137" s="52">
        <f>IF(0&lt;0.8,0,IF(0&lt;1,Sheet3!L561,1))*IF(G2137&lt;3,0.12 - O2137,0.01) *U2137</f>
        <v>0</v>
      </c>
      <c r="W2137" s="52">
        <f t="shared" si="606"/>
        <v>0</v>
      </c>
      <c r="X2137" s="53">
        <f t="shared" si="607"/>
        <v>0</v>
      </c>
      <c r="Y2137" s="53">
        <f t="shared" si="608"/>
        <v>0</v>
      </c>
      <c r="Z2137" s="54">
        <f t="shared" si="612"/>
        <v>0</v>
      </c>
      <c r="AA2137" s="54">
        <f t="shared" si="609"/>
        <v>0</v>
      </c>
      <c r="AB2137" s="55">
        <f t="shared" si="599"/>
        <v>0</v>
      </c>
      <c r="AC2137" s="55">
        <f t="shared" si="610"/>
        <v>0</v>
      </c>
      <c r="AD2137" s="56">
        <f t="shared" si="611"/>
        <v>4501.2</v>
      </c>
    </row>
    <row r="2138" spans="3:30">
      <c r="C2138" s="43" t="s">
        <v>3948</v>
      </c>
      <c r="D2138" s="44" t="s">
        <v>3949</v>
      </c>
      <c r="E2138" s="44"/>
      <c r="F2138" s="45">
        <v>42280.405335648145</v>
      </c>
      <c r="G2138" s="46">
        <v>35</v>
      </c>
      <c r="H2138" s="47">
        <v>43376</v>
      </c>
      <c r="I2138" s="47">
        <v>43389</v>
      </c>
      <c r="J2138" s="46">
        <v>21565336</v>
      </c>
      <c r="K2138" s="46">
        <v>2855983</v>
      </c>
      <c r="L2138" s="46">
        <v>0</v>
      </c>
      <c r="M2138" s="46">
        <f t="shared" si="600"/>
        <v>18709353</v>
      </c>
      <c r="N2138" s="46">
        <v>21540410</v>
      </c>
      <c r="O2138" s="48">
        <f t="shared" si="601"/>
        <v>0.13143004241794842</v>
      </c>
      <c r="P2138" s="46">
        <v>0</v>
      </c>
      <c r="Q2138" s="46">
        <v>21565336</v>
      </c>
      <c r="R2138" s="49">
        <f t="shared" si="602"/>
        <v>1</v>
      </c>
      <c r="S2138" s="50">
        <f t="shared" si="603"/>
        <v>0.01</v>
      </c>
      <c r="T2138" s="49">
        <f t="shared" si="604"/>
        <v>187093.53</v>
      </c>
      <c r="U2138" s="51">
        <f t="shared" si="605"/>
        <v>0</v>
      </c>
      <c r="V2138" s="52">
        <f>IF(0&lt;0.8,0,IF(0&lt;1,Sheet3!L561,1))*IF(G2138&lt;3,0.12 - O2138,0.01) *U2138</f>
        <v>0</v>
      </c>
      <c r="W2138" s="52">
        <f t="shared" si="606"/>
        <v>0</v>
      </c>
      <c r="X2138" s="53">
        <f t="shared" si="607"/>
        <v>0</v>
      </c>
      <c r="Y2138" s="53">
        <f t="shared" si="608"/>
        <v>0</v>
      </c>
      <c r="Z2138" s="54">
        <f t="shared" si="612"/>
        <v>0</v>
      </c>
      <c r="AA2138" s="54">
        <f t="shared" si="609"/>
        <v>0</v>
      </c>
      <c r="AB2138" s="55">
        <f t="shared" si="599"/>
        <v>0</v>
      </c>
      <c r="AC2138" s="55">
        <f t="shared" si="610"/>
        <v>0</v>
      </c>
      <c r="AD2138" s="56">
        <f t="shared" si="611"/>
        <v>187093.53</v>
      </c>
    </row>
    <row r="2139" spans="3:30">
      <c r="C2139" s="43" t="s">
        <v>3950</v>
      </c>
      <c r="D2139" s="44" t="s">
        <v>3951</v>
      </c>
      <c r="E2139" s="44"/>
      <c r="F2139" s="45">
        <v>42378.441076388888</v>
      </c>
      <c r="G2139" s="46">
        <v>32</v>
      </c>
      <c r="H2139" s="47">
        <v>43399</v>
      </c>
      <c r="I2139" s="47">
        <v>43413</v>
      </c>
      <c r="J2139" s="46">
        <v>3803664</v>
      </c>
      <c r="K2139" s="46">
        <v>0</v>
      </c>
      <c r="L2139" s="46">
        <v>0</v>
      </c>
      <c r="M2139" s="46">
        <f t="shared" si="600"/>
        <v>3803664</v>
      </c>
      <c r="N2139" s="46">
        <v>3800465</v>
      </c>
      <c r="O2139" s="48">
        <f t="shared" si="601"/>
        <v>0</v>
      </c>
      <c r="P2139" s="46">
        <v>0</v>
      </c>
      <c r="Q2139" s="46">
        <v>3803664</v>
      </c>
      <c r="R2139" s="49">
        <f t="shared" si="602"/>
        <v>1</v>
      </c>
      <c r="S2139" s="50">
        <f t="shared" si="603"/>
        <v>0.01</v>
      </c>
      <c r="T2139" s="49">
        <f t="shared" si="604"/>
        <v>38036.639999999999</v>
      </c>
      <c r="U2139" s="51">
        <f t="shared" si="605"/>
        <v>0</v>
      </c>
      <c r="V2139" s="52">
        <f>IF(0&lt;0.8,0,IF(0&lt;1,Sheet3!L561,1))*IF(G2139&lt;3,0.12 - O2139,0.01) *U2139</f>
        <v>0</v>
      </c>
      <c r="W2139" s="52">
        <f t="shared" si="606"/>
        <v>0</v>
      </c>
      <c r="X2139" s="53">
        <f t="shared" si="607"/>
        <v>0</v>
      </c>
      <c r="Y2139" s="53">
        <f t="shared" si="608"/>
        <v>0</v>
      </c>
      <c r="Z2139" s="54">
        <f t="shared" si="612"/>
        <v>0</v>
      </c>
      <c r="AA2139" s="54">
        <f t="shared" si="609"/>
        <v>0</v>
      </c>
      <c r="AB2139" s="55">
        <f t="shared" si="599"/>
        <v>0</v>
      </c>
      <c r="AC2139" s="55">
        <f t="shared" si="610"/>
        <v>0</v>
      </c>
      <c r="AD2139" s="56">
        <f t="shared" si="611"/>
        <v>38036.639999999999</v>
      </c>
    </row>
    <row r="2140" spans="3:30">
      <c r="C2140" s="43" t="s">
        <v>3952</v>
      </c>
      <c r="D2140" s="44" t="s">
        <v>3953</v>
      </c>
      <c r="E2140" s="44"/>
      <c r="F2140" s="45">
        <v>42440.444236111107</v>
      </c>
      <c r="G2140" s="46">
        <v>30</v>
      </c>
      <c r="H2140" s="47">
        <v>43388</v>
      </c>
      <c r="I2140" s="47">
        <v>43404</v>
      </c>
      <c r="J2140" s="46">
        <v>1207809</v>
      </c>
      <c r="K2140" s="46">
        <v>0</v>
      </c>
      <c r="L2140" s="46">
        <v>0</v>
      </c>
      <c r="M2140" s="46">
        <f t="shared" si="600"/>
        <v>1207809</v>
      </c>
      <c r="N2140" s="46">
        <v>1207119</v>
      </c>
      <c r="O2140" s="48">
        <f t="shared" si="601"/>
        <v>0</v>
      </c>
      <c r="P2140" s="46">
        <v>0</v>
      </c>
      <c r="Q2140" s="46">
        <v>1207809</v>
      </c>
      <c r="R2140" s="49">
        <f t="shared" si="602"/>
        <v>1</v>
      </c>
      <c r="S2140" s="50">
        <f t="shared" si="603"/>
        <v>0.01</v>
      </c>
      <c r="T2140" s="49">
        <f t="shared" si="604"/>
        <v>12078.09</v>
      </c>
      <c r="U2140" s="51">
        <f t="shared" si="605"/>
        <v>0</v>
      </c>
      <c r="V2140" s="52">
        <f>IF(0&lt;0.8,0,IF(0&lt;1,Sheet3!L561,1))*IF(G2140&lt;3,0.12 - O2140,0.01) *U2140</f>
        <v>0</v>
      </c>
      <c r="W2140" s="52">
        <f t="shared" si="606"/>
        <v>0</v>
      </c>
      <c r="X2140" s="53">
        <f t="shared" si="607"/>
        <v>0</v>
      </c>
      <c r="Y2140" s="53">
        <f t="shared" si="608"/>
        <v>0</v>
      </c>
      <c r="Z2140" s="54">
        <f t="shared" si="612"/>
        <v>0</v>
      </c>
      <c r="AA2140" s="54">
        <f t="shared" si="609"/>
        <v>0</v>
      </c>
      <c r="AB2140" s="55">
        <f t="shared" si="599"/>
        <v>0</v>
      </c>
      <c r="AC2140" s="55">
        <f t="shared" si="610"/>
        <v>0</v>
      </c>
      <c r="AD2140" s="56">
        <f t="shared" si="611"/>
        <v>12078.09</v>
      </c>
    </row>
    <row r="2141" spans="3:30">
      <c r="C2141" s="43" t="s">
        <v>3954</v>
      </c>
      <c r="D2141" s="44" t="s">
        <v>3955</v>
      </c>
      <c r="E2141" s="44"/>
      <c r="F2141" s="45">
        <v>42571.120844907404</v>
      </c>
      <c r="G2141" s="46">
        <v>26</v>
      </c>
      <c r="H2141" s="47">
        <v>43388</v>
      </c>
      <c r="I2141" s="47">
        <v>43403</v>
      </c>
      <c r="J2141" s="46">
        <v>274912</v>
      </c>
      <c r="K2141" s="46">
        <v>0</v>
      </c>
      <c r="L2141" s="46">
        <v>0</v>
      </c>
      <c r="M2141" s="46">
        <f t="shared" si="600"/>
        <v>274912</v>
      </c>
      <c r="N2141" s="46">
        <v>274912</v>
      </c>
      <c r="O2141" s="48">
        <f t="shared" si="601"/>
        <v>0</v>
      </c>
      <c r="P2141" s="46">
        <v>0</v>
      </c>
      <c r="Q2141" s="46">
        <v>274912</v>
      </c>
      <c r="R2141" s="49">
        <f t="shared" si="602"/>
        <v>1</v>
      </c>
      <c r="S2141" s="50">
        <f t="shared" si="603"/>
        <v>0.01</v>
      </c>
      <c r="T2141" s="49">
        <f t="shared" si="604"/>
        <v>2749.12</v>
      </c>
      <c r="U2141" s="51">
        <f t="shared" si="605"/>
        <v>0</v>
      </c>
      <c r="V2141" s="52">
        <f>IF(0&lt;0.8,0,IF(0&lt;1,Sheet3!L561,1))*IF(G2141&lt;3,0.12 - O2141,0.01) *U2141</f>
        <v>0</v>
      </c>
      <c r="W2141" s="52">
        <f t="shared" si="606"/>
        <v>0</v>
      </c>
      <c r="X2141" s="53">
        <f t="shared" si="607"/>
        <v>0</v>
      </c>
      <c r="Y2141" s="53">
        <f t="shared" si="608"/>
        <v>0</v>
      </c>
      <c r="Z2141" s="54">
        <f t="shared" si="612"/>
        <v>0</v>
      </c>
      <c r="AA2141" s="54">
        <f t="shared" si="609"/>
        <v>0</v>
      </c>
      <c r="AB2141" s="55">
        <f t="shared" si="599"/>
        <v>0</v>
      </c>
      <c r="AC2141" s="55">
        <f t="shared" si="610"/>
        <v>0</v>
      </c>
      <c r="AD2141" s="56">
        <f t="shared" si="611"/>
        <v>2749.12</v>
      </c>
    </row>
    <row r="2142" spans="3:30">
      <c r="C2142" s="43" t="s">
        <v>3956</v>
      </c>
      <c r="D2142" s="44" t="s">
        <v>3957</v>
      </c>
      <c r="E2142" s="44"/>
      <c r="F2142" s="45">
        <v>42592.378935185181</v>
      </c>
      <c r="G2142" s="46">
        <v>25</v>
      </c>
      <c r="H2142" s="47">
        <v>43388</v>
      </c>
      <c r="I2142" s="47">
        <v>43403</v>
      </c>
      <c r="J2142" s="46">
        <v>648560</v>
      </c>
      <c r="K2142" s="46">
        <v>0</v>
      </c>
      <c r="L2142" s="46">
        <v>0</v>
      </c>
      <c r="M2142" s="46">
        <f t="shared" si="600"/>
        <v>648560</v>
      </c>
      <c r="N2142" s="46">
        <v>648560</v>
      </c>
      <c r="O2142" s="48">
        <f t="shared" si="601"/>
        <v>0</v>
      </c>
      <c r="P2142" s="46">
        <v>0</v>
      </c>
      <c r="Q2142" s="46">
        <v>648560</v>
      </c>
      <c r="R2142" s="49">
        <f t="shared" si="602"/>
        <v>1</v>
      </c>
      <c r="S2142" s="50">
        <f t="shared" si="603"/>
        <v>0.01</v>
      </c>
      <c r="T2142" s="49">
        <f t="shared" si="604"/>
        <v>6485.6</v>
      </c>
      <c r="U2142" s="51">
        <f t="shared" si="605"/>
        <v>0</v>
      </c>
      <c r="V2142" s="52">
        <f>IF(0&lt;0.8,0,IF(0&lt;1,Sheet3!L561,1))*IF(G2142&lt;3,0.12 - O2142,0.01) *U2142</f>
        <v>0</v>
      </c>
      <c r="W2142" s="52">
        <f t="shared" si="606"/>
        <v>0</v>
      </c>
      <c r="X2142" s="53">
        <f t="shared" si="607"/>
        <v>0</v>
      </c>
      <c r="Y2142" s="53">
        <f t="shared" si="608"/>
        <v>0</v>
      </c>
      <c r="Z2142" s="54">
        <f t="shared" si="612"/>
        <v>0</v>
      </c>
      <c r="AA2142" s="54">
        <f t="shared" si="609"/>
        <v>0</v>
      </c>
      <c r="AB2142" s="55">
        <f t="shared" si="599"/>
        <v>0</v>
      </c>
      <c r="AC2142" s="55">
        <f t="shared" si="610"/>
        <v>0</v>
      </c>
      <c r="AD2142" s="56">
        <f t="shared" si="611"/>
        <v>6485.6</v>
      </c>
    </row>
    <row r="2143" spans="3:30">
      <c r="C2143" s="43" t="s">
        <v>3958</v>
      </c>
      <c r="D2143" s="44" t="s">
        <v>3959</v>
      </c>
      <c r="E2143" s="44"/>
      <c r="F2143" s="45">
        <v>42721.342939814815</v>
      </c>
      <c r="G2143" s="46">
        <v>21</v>
      </c>
      <c r="H2143" s="47">
        <v>43383</v>
      </c>
      <c r="I2143" s="47">
        <v>43385</v>
      </c>
      <c r="J2143" s="46">
        <v>1415337</v>
      </c>
      <c r="K2143" s="46">
        <v>0</v>
      </c>
      <c r="L2143" s="46">
        <v>0</v>
      </c>
      <c r="M2143" s="46">
        <f t="shared" si="600"/>
        <v>1415337</v>
      </c>
      <c r="N2143" s="46">
        <v>1415337</v>
      </c>
      <c r="O2143" s="48">
        <f t="shared" si="601"/>
        <v>0</v>
      </c>
      <c r="P2143" s="46">
        <v>0</v>
      </c>
      <c r="Q2143" s="46">
        <v>1415337</v>
      </c>
      <c r="R2143" s="49">
        <f t="shared" si="602"/>
        <v>1</v>
      </c>
      <c r="S2143" s="50">
        <f t="shared" si="603"/>
        <v>0.01</v>
      </c>
      <c r="T2143" s="49">
        <f t="shared" si="604"/>
        <v>14153.37</v>
      </c>
      <c r="U2143" s="51">
        <f t="shared" si="605"/>
        <v>0</v>
      </c>
      <c r="V2143" s="52">
        <f>IF(0&lt;0.8,0,IF(0&lt;1,Sheet3!L561,1))*IF(G2143&lt;3,0.12 - O2143,0.01) *U2143</f>
        <v>0</v>
      </c>
      <c r="W2143" s="52">
        <f t="shared" si="606"/>
        <v>0</v>
      </c>
      <c r="X2143" s="53">
        <f t="shared" si="607"/>
        <v>0</v>
      </c>
      <c r="Y2143" s="53">
        <f t="shared" si="608"/>
        <v>0</v>
      </c>
      <c r="Z2143" s="54">
        <f t="shared" si="612"/>
        <v>0</v>
      </c>
      <c r="AA2143" s="54">
        <f t="shared" si="609"/>
        <v>0</v>
      </c>
      <c r="AB2143" s="55">
        <f t="shared" si="599"/>
        <v>0</v>
      </c>
      <c r="AC2143" s="55">
        <f t="shared" si="610"/>
        <v>0</v>
      </c>
      <c r="AD2143" s="56">
        <f t="shared" si="611"/>
        <v>14153.37</v>
      </c>
    </row>
    <row r="2144" spans="3:30">
      <c r="C2144" s="43" t="s">
        <v>3960</v>
      </c>
      <c r="D2144" s="44" t="s">
        <v>2467</v>
      </c>
      <c r="E2144" s="44"/>
      <c r="F2144" s="45">
        <v>42786.159907407404</v>
      </c>
      <c r="G2144" s="46">
        <v>19</v>
      </c>
      <c r="H2144" s="47">
        <v>43447</v>
      </c>
      <c r="I2144" s="47">
        <v>43455</v>
      </c>
      <c r="J2144" s="46">
        <v>25881481</v>
      </c>
      <c r="K2144" s="46">
        <v>4206323</v>
      </c>
      <c r="L2144" s="46">
        <v>0</v>
      </c>
      <c r="M2144" s="46">
        <f t="shared" si="600"/>
        <v>21675158</v>
      </c>
      <c r="N2144" s="46">
        <v>33030087</v>
      </c>
      <c r="O2144" s="48">
        <f t="shared" si="601"/>
        <v>0.34377532823331647</v>
      </c>
      <c r="P2144" s="46">
        <v>0</v>
      </c>
      <c r="Q2144" s="46">
        <v>25881481</v>
      </c>
      <c r="R2144" s="49">
        <f t="shared" si="602"/>
        <v>1</v>
      </c>
      <c r="S2144" s="50">
        <f t="shared" si="603"/>
        <v>0.01</v>
      </c>
      <c r="T2144" s="49">
        <f t="shared" si="604"/>
        <v>216751.58000000002</v>
      </c>
      <c r="U2144" s="51">
        <f t="shared" si="605"/>
        <v>0</v>
      </c>
      <c r="V2144" s="52">
        <f>IF(0&lt;0.8,0,IF(0&lt;1,Sheet3!L561,1))*IF(G2144&lt;3,0.12 - O2144,0.01) *U2144</f>
        <v>0</v>
      </c>
      <c r="W2144" s="52">
        <f t="shared" si="606"/>
        <v>0</v>
      </c>
      <c r="X2144" s="53">
        <f t="shared" si="607"/>
        <v>0</v>
      </c>
      <c r="Y2144" s="53">
        <f t="shared" si="608"/>
        <v>0</v>
      </c>
      <c r="Z2144" s="54">
        <f t="shared" si="612"/>
        <v>0</v>
      </c>
      <c r="AA2144" s="54">
        <f t="shared" si="609"/>
        <v>0</v>
      </c>
      <c r="AB2144" s="55">
        <f t="shared" si="599"/>
        <v>0</v>
      </c>
      <c r="AC2144" s="55">
        <f t="shared" si="610"/>
        <v>0</v>
      </c>
      <c r="AD2144" s="56">
        <f t="shared" si="611"/>
        <v>216751.58000000002</v>
      </c>
    </row>
    <row r="2145" spans="3:30">
      <c r="C2145" s="43" t="s">
        <v>3961</v>
      </c>
      <c r="D2145" s="44" t="s">
        <v>3962</v>
      </c>
      <c r="E2145" s="44"/>
      <c r="F2145" s="45">
        <v>42948.415451388886</v>
      </c>
      <c r="G2145" s="46">
        <v>13</v>
      </c>
      <c r="H2145" s="47">
        <v>43383</v>
      </c>
      <c r="I2145" s="47">
        <v>43419</v>
      </c>
      <c r="J2145" s="46">
        <v>1226263</v>
      </c>
      <c r="K2145" s="46">
        <v>0</v>
      </c>
      <c r="L2145" s="46">
        <v>0</v>
      </c>
      <c r="M2145" s="46">
        <f t="shared" si="600"/>
        <v>1226263</v>
      </c>
      <c r="N2145" s="46">
        <v>1226263</v>
      </c>
      <c r="O2145" s="48">
        <f t="shared" si="601"/>
        <v>0</v>
      </c>
      <c r="P2145" s="46">
        <v>0</v>
      </c>
      <c r="Q2145" s="46">
        <v>1226263</v>
      </c>
      <c r="R2145" s="49">
        <f t="shared" si="602"/>
        <v>1</v>
      </c>
      <c r="S2145" s="50">
        <f t="shared" si="603"/>
        <v>0.01</v>
      </c>
      <c r="T2145" s="49">
        <f t="shared" si="604"/>
        <v>12262.630000000001</v>
      </c>
      <c r="U2145" s="51">
        <f t="shared" si="605"/>
        <v>0</v>
      </c>
      <c r="V2145" s="52">
        <f>IF(0&lt;0.8,0,IF(0&lt;1,Sheet3!L561,1))*IF(G2145&lt;3,0.12 - O2145,0.01) *U2145</f>
        <v>0</v>
      </c>
      <c r="W2145" s="52">
        <f t="shared" si="606"/>
        <v>0</v>
      </c>
      <c r="X2145" s="53">
        <f t="shared" si="607"/>
        <v>0</v>
      </c>
      <c r="Y2145" s="53">
        <f t="shared" si="608"/>
        <v>0</v>
      </c>
      <c r="Z2145" s="54">
        <f t="shared" si="612"/>
        <v>0</v>
      </c>
      <c r="AA2145" s="54">
        <f t="shared" si="609"/>
        <v>0</v>
      </c>
      <c r="AB2145" s="55">
        <f t="shared" si="599"/>
        <v>0</v>
      </c>
      <c r="AC2145" s="55">
        <f t="shared" si="610"/>
        <v>0</v>
      </c>
      <c r="AD2145" s="56">
        <f t="shared" si="611"/>
        <v>12262.630000000001</v>
      </c>
    </row>
    <row r="2146" spans="3:30">
      <c r="C2146" s="43" t="s">
        <v>3963</v>
      </c>
      <c r="D2146" s="44" t="s">
        <v>3964</v>
      </c>
      <c r="E2146" s="44"/>
      <c r="F2146" s="45">
        <v>43029.063368055555</v>
      </c>
      <c r="G2146" s="46">
        <v>11</v>
      </c>
      <c r="H2146" s="47">
        <v>43383</v>
      </c>
      <c r="I2146" s="47">
        <v>43388</v>
      </c>
      <c r="J2146" s="46">
        <v>5340418</v>
      </c>
      <c r="K2146" s="46">
        <v>0</v>
      </c>
      <c r="L2146" s="46">
        <v>0</v>
      </c>
      <c r="M2146" s="46">
        <f t="shared" si="600"/>
        <v>5340418</v>
      </c>
      <c r="N2146" s="46">
        <v>5339488</v>
      </c>
      <c r="O2146" s="48">
        <f t="shared" si="601"/>
        <v>0</v>
      </c>
      <c r="P2146" s="46">
        <v>0</v>
      </c>
      <c r="Q2146" s="46">
        <v>5340418</v>
      </c>
      <c r="R2146" s="49">
        <f t="shared" si="602"/>
        <v>1</v>
      </c>
      <c r="S2146" s="50">
        <f t="shared" si="603"/>
        <v>0.01</v>
      </c>
      <c r="T2146" s="49">
        <f t="shared" si="604"/>
        <v>53404.18</v>
      </c>
      <c r="U2146" s="51">
        <f t="shared" si="605"/>
        <v>0</v>
      </c>
      <c r="V2146" s="52">
        <f>IF(0&lt;0.8,0,IF(0&lt;1,Sheet3!L561,1))*IF(G2146&lt;3,0.12 - O2146,0.01) *U2146</f>
        <v>0</v>
      </c>
      <c r="W2146" s="52">
        <f t="shared" si="606"/>
        <v>0</v>
      </c>
      <c r="X2146" s="53">
        <f t="shared" si="607"/>
        <v>0</v>
      </c>
      <c r="Y2146" s="53">
        <f t="shared" si="608"/>
        <v>0</v>
      </c>
      <c r="Z2146" s="54">
        <f t="shared" si="612"/>
        <v>0</v>
      </c>
      <c r="AA2146" s="54">
        <f t="shared" si="609"/>
        <v>0</v>
      </c>
      <c r="AB2146" s="55">
        <f t="shared" si="599"/>
        <v>0</v>
      </c>
      <c r="AC2146" s="55">
        <f t="shared" si="610"/>
        <v>0</v>
      </c>
      <c r="AD2146" s="56">
        <f t="shared" si="611"/>
        <v>53404.18</v>
      </c>
    </row>
    <row r="2147" spans="3:30">
      <c r="C2147" s="43" t="s">
        <v>3965</v>
      </c>
      <c r="D2147" s="44" t="s">
        <v>3966</v>
      </c>
      <c r="E2147" s="44"/>
      <c r="F2147" s="45">
        <v>43035.370787037034</v>
      </c>
      <c r="G2147" s="46">
        <v>11</v>
      </c>
      <c r="H2147" s="47">
        <v>43383</v>
      </c>
      <c r="I2147" s="47">
        <v>43388</v>
      </c>
      <c r="J2147" s="46">
        <v>694056</v>
      </c>
      <c r="K2147" s="46">
        <v>0</v>
      </c>
      <c r="L2147" s="46">
        <v>0</v>
      </c>
      <c r="M2147" s="46">
        <f t="shared" si="600"/>
        <v>694056</v>
      </c>
      <c r="N2147" s="46">
        <v>611897</v>
      </c>
      <c r="O2147" s="48">
        <f t="shared" si="601"/>
        <v>0</v>
      </c>
      <c r="P2147" s="46">
        <v>0</v>
      </c>
      <c r="Q2147" s="46">
        <v>694056</v>
      </c>
      <c r="R2147" s="49">
        <f t="shared" si="602"/>
        <v>1</v>
      </c>
      <c r="S2147" s="50">
        <f t="shared" si="603"/>
        <v>0.01</v>
      </c>
      <c r="T2147" s="49">
        <f t="shared" si="604"/>
        <v>6940.56</v>
      </c>
      <c r="U2147" s="51">
        <f t="shared" si="605"/>
        <v>0</v>
      </c>
      <c r="V2147" s="52">
        <f>IF(0&lt;0.8,0,IF(0&lt;1,Sheet3!L561,1))*IF(G2147&lt;3,0.12 - O2147,0.01) *U2147</f>
        <v>0</v>
      </c>
      <c r="W2147" s="52">
        <f t="shared" si="606"/>
        <v>0</v>
      </c>
      <c r="X2147" s="53">
        <f t="shared" si="607"/>
        <v>0</v>
      </c>
      <c r="Y2147" s="53">
        <f t="shared" si="608"/>
        <v>0</v>
      </c>
      <c r="Z2147" s="54">
        <f t="shared" si="612"/>
        <v>0</v>
      </c>
      <c r="AA2147" s="54">
        <f t="shared" si="609"/>
        <v>0</v>
      </c>
      <c r="AB2147" s="55">
        <f t="shared" si="599"/>
        <v>0</v>
      </c>
      <c r="AC2147" s="55">
        <f t="shared" si="610"/>
        <v>0</v>
      </c>
      <c r="AD2147" s="56">
        <f t="shared" si="611"/>
        <v>6940.56</v>
      </c>
    </row>
    <row r="2148" spans="3:30">
      <c r="C2148" s="43" t="s">
        <v>3967</v>
      </c>
      <c r="D2148" s="44" t="s">
        <v>3968</v>
      </c>
      <c r="E2148" s="44"/>
      <c r="F2148" s="45">
        <v>43117.327407407407</v>
      </c>
      <c r="G2148" s="46">
        <v>8</v>
      </c>
      <c r="H2148" s="47">
        <v>43388</v>
      </c>
      <c r="I2148" s="47">
        <v>43411</v>
      </c>
      <c r="J2148" s="46">
        <v>246586</v>
      </c>
      <c r="K2148" s="46">
        <v>0</v>
      </c>
      <c r="L2148" s="46">
        <v>0</v>
      </c>
      <c r="M2148" s="46">
        <f t="shared" si="600"/>
        <v>246586</v>
      </c>
      <c r="N2148" s="46">
        <v>245908</v>
      </c>
      <c r="O2148" s="48">
        <f t="shared" si="601"/>
        <v>0</v>
      </c>
      <c r="P2148" s="46">
        <v>0</v>
      </c>
      <c r="Q2148" s="46">
        <v>246586</v>
      </c>
      <c r="R2148" s="49">
        <f t="shared" si="602"/>
        <v>1</v>
      </c>
      <c r="S2148" s="50">
        <f t="shared" si="603"/>
        <v>0.01</v>
      </c>
      <c r="T2148" s="49">
        <f t="shared" si="604"/>
        <v>2465.86</v>
      </c>
      <c r="U2148" s="51">
        <f t="shared" si="605"/>
        <v>0</v>
      </c>
      <c r="V2148" s="52">
        <f>IF(0&lt;0.8,0,IF(0&lt;1,Sheet3!L561,1))*IF(G2148&lt;3,0.12 - O2148,0.01) *U2148</f>
        <v>0</v>
      </c>
      <c r="W2148" s="52">
        <f t="shared" si="606"/>
        <v>0</v>
      </c>
      <c r="X2148" s="53">
        <f t="shared" si="607"/>
        <v>0</v>
      </c>
      <c r="Y2148" s="53">
        <f t="shared" si="608"/>
        <v>0</v>
      </c>
      <c r="Z2148" s="54">
        <f t="shared" si="612"/>
        <v>0</v>
      </c>
      <c r="AA2148" s="54">
        <f t="shared" si="609"/>
        <v>0</v>
      </c>
      <c r="AB2148" s="55">
        <f t="shared" si="599"/>
        <v>0</v>
      </c>
      <c r="AC2148" s="55">
        <f t="shared" si="610"/>
        <v>0</v>
      </c>
      <c r="AD2148" s="56">
        <f t="shared" si="611"/>
        <v>2465.86</v>
      </c>
    </row>
    <row r="2149" spans="3:30">
      <c r="C2149" s="43" t="s">
        <v>3969</v>
      </c>
      <c r="D2149" s="44" t="s">
        <v>3970</v>
      </c>
      <c r="E2149" s="44"/>
      <c r="F2149" s="45">
        <v>43122.257847222223</v>
      </c>
      <c r="G2149" s="46">
        <v>8</v>
      </c>
      <c r="H2149" s="47">
        <v>43388</v>
      </c>
      <c r="I2149" s="47">
        <v>43431</v>
      </c>
      <c r="J2149" s="46">
        <v>3571700</v>
      </c>
      <c r="K2149" s="46">
        <v>0</v>
      </c>
      <c r="L2149" s="46">
        <v>0</v>
      </c>
      <c r="M2149" s="46">
        <f t="shared" si="600"/>
        <v>3571700</v>
      </c>
      <c r="N2149" s="46">
        <v>3683361</v>
      </c>
      <c r="O2149" s="48">
        <f t="shared" si="601"/>
        <v>3.0314975914660591E-2</v>
      </c>
      <c r="P2149" s="46">
        <v>0</v>
      </c>
      <c r="Q2149" s="46">
        <v>3571700</v>
      </c>
      <c r="R2149" s="49">
        <f t="shared" si="602"/>
        <v>1</v>
      </c>
      <c r="S2149" s="50">
        <f t="shared" si="603"/>
        <v>0.01</v>
      </c>
      <c r="T2149" s="49">
        <f t="shared" si="604"/>
        <v>35717</v>
      </c>
      <c r="U2149" s="51">
        <f t="shared" si="605"/>
        <v>0</v>
      </c>
      <c r="V2149" s="52">
        <f>IF(0&lt;0.8,0,IF(0&lt;1,Sheet3!L561,1))*IF(G2149&lt;3,0.12 - O2149,0.01) *U2149</f>
        <v>0</v>
      </c>
      <c r="W2149" s="52">
        <f t="shared" si="606"/>
        <v>0</v>
      </c>
      <c r="X2149" s="53">
        <f t="shared" si="607"/>
        <v>0</v>
      </c>
      <c r="Y2149" s="53">
        <f t="shared" si="608"/>
        <v>0</v>
      </c>
      <c r="Z2149" s="54">
        <f t="shared" si="612"/>
        <v>0</v>
      </c>
      <c r="AA2149" s="54">
        <f t="shared" si="609"/>
        <v>0</v>
      </c>
      <c r="AB2149" s="55">
        <f t="shared" si="599"/>
        <v>0</v>
      </c>
      <c r="AC2149" s="55">
        <f t="shared" si="610"/>
        <v>0</v>
      </c>
      <c r="AD2149" s="56">
        <f t="shared" si="611"/>
        <v>35717</v>
      </c>
    </row>
    <row r="2150" spans="3:30">
      <c r="C2150" s="43" t="s">
        <v>3971</v>
      </c>
      <c r="D2150" s="44" t="s">
        <v>3972</v>
      </c>
      <c r="E2150" s="44"/>
      <c r="F2150" s="45">
        <v>43138.239282407405</v>
      </c>
      <c r="G2150" s="46">
        <v>7</v>
      </c>
      <c r="H2150" s="47">
        <v>43390</v>
      </c>
      <c r="I2150" s="47">
        <v>43389</v>
      </c>
      <c r="J2150" s="46">
        <v>7591720</v>
      </c>
      <c r="K2150" s="46">
        <v>0</v>
      </c>
      <c r="L2150" s="46">
        <v>0</v>
      </c>
      <c r="M2150" s="46">
        <f t="shared" si="600"/>
        <v>7591720</v>
      </c>
      <c r="N2150" s="46">
        <v>7547875</v>
      </c>
      <c r="O2150" s="48">
        <f t="shared" si="601"/>
        <v>0</v>
      </c>
      <c r="P2150" s="46">
        <v>0</v>
      </c>
      <c r="Q2150" s="46">
        <v>7591720</v>
      </c>
      <c r="R2150" s="49">
        <f t="shared" si="602"/>
        <v>1</v>
      </c>
      <c r="S2150" s="50">
        <f t="shared" si="603"/>
        <v>0.01</v>
      </c>
      <c r="T2150" s="49">
        <f t="shared" si="604"/>
        <v>75917.2</v>
      </c>
      <c r="U2150" s="51">
        <f t="shared" si="605"/>
        <v>0</v>
      </c>
      <c r="V2150" s="52">
        <f>IF(0&lt;0.8,0,IF(0&lt;1,Sheet3!L561,1))*IF(G2150&lt;3,0.12 - O2150,0.01) *U2150</f>
        <v>0</v>
      </c>
      <c r="W2150" s="52">
        <f t="shared" si="606"/>
        <v>0</v>
      </c>
      <c r="X2150" s="53">
        <f t="shared" si="607"/>
        <v>0</v>
      </c>
      <c r="Y2150" s="53">
        <f t="shared" si="608"/>
        <v>0</v>
      </c>
      <c r="Z2150" s="54">
        <f t="shared" si="612"/>
        <v>0</v>
      </c>
      <c r="AA2150" s="54">
        <f t="shared" si="609"/>
        <v>0</v>
      </c>
      <c r="AB2150" s="55">
        <f t="shared" si="599"/>
        <v>0</v>
      </c>
      <c r="AC2150" s="55">
        <f t="shared" si="610"/>
        <v>0</v>
      </c>
      <c r="AD2150" s="56">
        <f t="shared" si="611"/>
        <v>75917.2</v>
      </c>
    </row>
    <row r="2151" spans="3:30">
      <c r="C2151" s="43" t="s">
        <v>3973</v>
      </c>
      <c r="D2151" s="44" t="s">
        <v>3974</v>
      </c>
      <c r="E2151" s="44"/>
      <c r="F2151" s="45">
        <v>43242.191446759258</v>
      </c>
      <c r="G2151" s="46">
        <v>4</v>
      </c>
      <c r="H2151" s="47">
        <v>43388</v>
      </c>
      <c r="I2151" s="47">
        <v>43404</v>
      </c>
      <c r="J2151" s="46">
        <v>977450</v>
      </c>
      <c r="K2151" s="46">
        <v>0</v>
      </c>
      <c r="L2151" s="46">
        <v>0</v>
      </c>
      <c r="M2151" s="46">
        <f t="shared" si="600"/>
        <v>977450</v>
      </c>
      <c r="N2151" s="46">
        <v>1021149</v>
      </c>
      <c r="O2151" s="48">
        <f t="shared" si="601"/>
        <v>4.2793950735886765E-2</v>
      </c>
      <c r="P2151" s="46">
        <v>0</v>
      </c>
      <c r="Q2151" s="46">
        <v>977450</v>
      </c>
      <c r="R2151" s="49">
        <f t="shared" si="602"/>
        <v>1</v>
      </c>
      <c r="S2151" s="50">
        <f t="shared" si="603"/>
        <v>0.01</v>
      </c>
      <c r="T2151" s="49">
        <f t="shared" si="604"/>
        <v>9774.5</v>
      </c>
      <c r="U2151" s="51">
        <f t="shared" si="605"/>
        <v>0</v>
      </c>
      <c r="V2151" s="52">
        <f>IF(0&lt;0.8,0,IF(0&lt;1,Sheet3!L561,1))*IF(G2151&lt;3,0.12 - O2151,0.01) *U2151</f>
        <v>0</v>
      </c>
      <c r="W2151" s="52">
        <f t="shared" si="606"/>
        <v>0</v>
      </c>
      <c r="X2151" s="53">
        <f t="shared" si="607"/>
        <v>0</v>
      </c>
      <c r="Y2151" s="53">
        <f t="shared" si="608"/>
        <v>0</v>
      </c>
      <c r="Z2151" s="54">
        <f t="shared" si="612"/>
        <v>0</v>
      </c>
      <c r="AA2151" s="54">
        <f t="shared" si="609"/>
        <v>0</v>
      </c>
      <c r="AB2151" s="55">
        <f t="shared" si="599"/>
        <v>0</v>
      </c>
      <c r="AC2151" s="55">
        <f t="shared" si="610"/>
        <v>0</v>
      </c>
      <c r="AD2151" s="56">
        <f t="shared" si="611"/>
        <v>9774.5</v>
      </c>
    </row>
    <row r="2152" spans="3:30">
      <c r="C2152" s="43" t="s">
        <v>3975</v>
      </c>
      <c r="D2152" s="44" t="s">
        <v>3976</v>
      </c>
      <c r="E2152" s="44"/>
      <c r="F2152" s="45">
        <v>43295.194722222222</v>
      </c>
      <c r="G2152" s="46">
        <v>2</v>
      </c>
      <c r="H2152" s="47">
        <v>43390</v>
      </c>
      <c r="I2152" s="47">
        <v>43392</v>
      </c>
      <c r="J2152" s="46">
        <v>94199</v>
      </c>
      <c r="K2152" s="46">
        <v>0</v>
      </c>
      <c r="L2152" s="46">
        <v>0</v>
      </c>
      <c r="M2152" s="46">
        <f t="shared" si="600"/>
        <v>94199</v>
      </c>
      <c r="N2152" s="46">
        <v>141207</v>
      </c>
      <c r="O2152" s="48">
        <f t="shared" si="601"/>
        <v>0.33290134341781918</v>
      </c>
      <c r="P2152" s="46">
        <v>94199</v>
      </c>
      <c r="Q2152" s="46">
        <v>0</v>
      </c>
      <c r="R2152" s="49">
        <f t="shared" si="602"/>
        <v>0</v>
      </c>
      <c r="S2152" s="50">
        <f t="shared" si="603"/>
        <v>0</v>
      </c>
      <c r="T2152" s="49">
        <f t="shared" si="604"/>
        <v>0</v>
      </c>
      <c r="U2152" s="51">
        <f t="shared" si="605"/>
        <v>0</v>
      </c>
      <c r="V2152" s="52">
        <f>IF(0&lt;0.8,0,IF(0&lt;1,Sheet3!L561,1))*IF(G2152&lt;3,0.12 - O2152,0.01) *U2152</f>
        <v>0</v>
      </c>
      <c r="W2152" s="52">
        <f t="shared" si="606"/>
        <v>0</v>
      </c>
      <c r="X2152" s="53">
        <f t="shared" si="607"/>
        <v>0</v>
      </c>
      <c r="Y2152" s="53">
        <f t="shared" si="608"/>
        <v>0</v>
      </c>
      <c r="Z2152" s="54">
        <f t="shared" si="612"/>
        <v>0</v>
      </c>
      <c r="AA2152" s="54">
        <f t="shared" si="609"/>
        <v>0</v>
      </c>
      <c r="AB2152" s="55">
        <f t="shared" si="599"/>
        <v>0</v>
      </c>
      <c r="AC2152" s="55">
        <f t="shared" si="610"/>
        <v>0</v>
      </c>
      <c r="AD2152" s="56">
        <f t="shared" si="611"/>
        <v>0</v>
      </c>
    </row>
    <row r="2153" spans="3:30">
      <c r="C2153" s="43" t="s">
        <v>3977</v>
      </c>
      <c r="D2153" s="44" t="s">
        <v>3978</v>
      </c>
      <c r="E2153" s="44"/>
      <c r="F2153" s="45">
        <v>43360.178923611107</v>
      </c>
      <c r="G2153" s="46">
        <v>0</v>
      </c>
      <c r="H2153" s="47">
        <v>43388</v>
      </c>
      <c r="I2153" s="47">
        <v>43446</v>
      </c>
      <c r="J2153" s="46">
        <v>269280</v>
      </c>
      <c r="K2153" s="46">
        <v>0</v>
      </c>
      <c r="L2153" s="46">
        <v>0</v>
      </c>
      <c r="M2153" s="46">
        <f t="shared" si="600"/>
        <v>269280</v>
      </c>
      <c r="N2153" s="46">
        <v>307901</v>
      </c>
      <c r="O2153" s="48">
        <f t="shared" si="601"/>
        <v>0.12543317494909079</v>
      </c>
      <c r="P2153" s="46">
        <v>0</v>
      </c>
      <c r="Q2153" s="46">
        <v>0</v>
      </c>
      <c r="R2153" s="49">
        <f t="shared" si="602"/>
        <v>0</v>
      </c>
      <c r="S2153" s="50">
        <f t="shared" si="603"/>
        <v>0</v>
      </c>
      <c r="T2153" s="49">
        <f t="shared" si="604"/>
        <v>0</v>
      </c>
      <c r="U2153" s="51">
        <f t="shared" si="605"/>
        <v>0</v>
      </c>
      <c r="V2153" s="52">
        <f>IF(0&lt;0.8,0,IF(0&lt;1,Sheet3!L561,1))*IF(G2153&lt;3,0.12 - O2153,0.01) *U2153</f>
        <v>0</v>
      </c>
      <c r="W2153" s="52">
        <f t="shared" si="606"/>
        <v>0</v>
      </c>
      <c r="X2153" s="53">
        <f t="shared" si="607"/>
        <v>0</v>
      </c>
      <c r="Y2153" s="53">
        <f t="shared" si="608"/>
        <v>0</v>
      </c>
      <c r="Z2153" s="54">
        <f t="shared" si="612"/>
        <v>0</v>
      </c>
      <c r="AA2153" s="54">
        <f t="shared" si="609"/>
        <v>0</v>
      </c>
      <c r="AB2153" s="55">
        <f t="shared" si="599"/>
        <v>0</v>
      </c>
      <c r="AC2153" s="55">
        <f t="shared" si="610"/>
        <v>0</v>
      </c>
      <c r="AD2153" s="56">
        <f t="shared" si="611"/>
        <v>0</v>
      </c>
    </row>
    <row r="2154" spans="3:30">
      <c r="C2154" s="43" t="s">
        <v>3979</v>
      </c>
      <c r="D2154" s="44" t="s">
        <v>3980</v>
      </c>
      <c r="E2154" s="44"/>
      <c r="F2154" s="45">
        <v>39625.619259259256</v>
      </c>
      <c r="G2154" s="46">
        <v>123</v>
      </c>
      <c r="H2154" s="47">
        <v>43369</v>
      </c>
      <c r="I2154" s="47">
        <v>43389</v>
      </c>
      <c r="J2154" s="46">
        <v>54635450</v>
      </c>
      <c r="K2154" s="46">
        <v>0</v>
      </c>
      <c r="L2154" s="46">
        <v>0</v>
      </c>
      <c r="M2154" s="46">
        <f t="shared" si="600"/>
        <v>54635450</v>
      </c>
      <c r="N2154" s="46">
        <v>67935692</v>
      </c>
      <c r="O2154" s="48">
        <f t="shared" si="601"/>
        <v>0.19577694152287428</v>
      </c>
      <c r="P2154" s="46">
        <v>0</v>
      </c>
      <c r="Q2154" s="46">
        <v>54635450</v>
      </c>
      <c r="R2154" s="49">
        <f t="shared" si="602"/>
        <v>1</v>
      </c>
      <c r="S2154" s="50">
        <f t="shared" si="603"/>
        <v>0.01</v>
      </c>
      <c r="T2154" s="49">
        <f t="shared" si="604"/>
        <v>546354.5</v>
      </c>
      <c r="U2154" s="51">
        <f t="shared" si="605"/>
        <v>0</v>
      </c>
      <c r="V2154" s="52">
        <f>IF(0&lt;0.8,0,IF(0&lt;1,Sheet3!L561,1))*IF(G2154&lt;3,0.12 - O2154,0.01) *U2154</f>
        <v>0</v>
      </c>
      <c r="W2154" s="52">
        <f t="shared" si="606"/>
        <v>0</v>
      </c>
      <c r="X2154" s="53">
        <f t="shared" si="607"/>
        <v>0</v>
      </c>
      <c r="Y2154" s="53">
        <f t="shared" si="608"/>
        <v>0</v>
      </c>
      <c r="Z2154" s="54">
        <f t="shared" si="612"/>
        <v>0</v>
      </c>
      <c r="AA2154" s="54">
        <f t="shared" si="609"/>
        <v>0</v>
      </c>
      <c r="AB2154" s="55">
        <f t="shared" si="599"/>
        <v>0</v>
      </c>
      <c r="AC2154" s="55">
        <f t="shared" si="610"/>
        <v>0</v>
      </c>
      <c r="AD2154" s="56">
        <f t="shared" si="611"/>
        <v>546354.5</v>
      </c>
    </row>
    <row r="2155" spans="3:30">
      <c r="C2155" s="43" t="s">
        <v>3981</v>
      </c>
      <c r="D2155" s="44" t="s">
        <v>3982</v>
      </c>
      <c r="E2155" s="44"/>
      <c r="F2155" s="45">
        <v>39799.37631944444</v>
      </c>
      <c r="G2155" s="46">
        <v>117</v>
      </c>
      <c r="H2155" s="47">
        <v>43393</v>
      </c>
      <c r="I2155" s="47">
        <v>43495</v>
      </c>
      <c r="J2155" s="46">
        <v>13310</v>
      </c>
      <c r="K2155" s="46">
        <v>0</v>
      </c>
      <c r="L2155" s="46">
        <v>0</v>
      </c>
      <c r="M2155" s="46">
        <f t="shared" si="600"/>
        <v>13310</v>
      </c>
      <c r="N2155" s="46">
        <v>13310</v>
      </c>
      <c r="O2155" s="48">
        <f t="shared" si="601"/>
        <v>0</v>
      </c>
      <c r="P2155" s="46">
        <v>0</v>
      </c>
      <c r="Q2155" s="46">
        <v>26620</v>
      </c>
      <c r="R2155" s="49">
        <f t="shared" si="602"/>
        <v>1</v>
      </c>
      <c r="S2155" s="50">
        <f t="shared" si="603"/>
        <v>0.01</v>
      </c>
      <c r="T2155" s="49">
        <f t="shared" si="604"/>
        <v>133.1</v>
      </c>
      <c r="U2155" s="51">
        <f t="shared" si="605"/>
        <v>0</v>
      </c>
      <c r="V2155" s="52">
        <f>IF(0&lt;0.8,0,IF(0&lt;1,Sheet3!L561,1))*IF(G2155&lt;3,0.12 - O2155,0.01) *U2155</f>
        <v>0</v>
      </c>
      <c r="W2155" s="52">
        <f t="shared" si="606"/>
        <v>0</v>
      </c>
      <c r="X2155" s="53">
        <f t="shared" si="607"/>
        <v>0</v>
      </c>
      <c r="Y2155" s="53">
        <f t="shared" si="608"/>
        <v>0</v>
      </c>
      <c r="Z2155" s="54">
        <f t="shared" si="612"/>
        <v>0</v>
      </c>
      <c r="AA2155" s="54">
        <f t="shared" si="609"/>
        <v>0</v>
      </c>
      <c r="AB2155" s="55">
        <f t="shared" si="599"/>
        <v>0</v>
      </c>
      <c r="AC2155" s="55">
        <f t="shared" si="610"/>
        <v>0</v>
      </c>
      <c r="AD2155" s="56">
        <f t="shared" si="611"/>
        <v>133.1</v>
      </c>
    </row>
    <row r="2156" spans="3:30">
      <c r="C2156" s="43" t="s">
        <v>3983</v>
      </c>
      <c r="D2156" s="44" t="s">
        <v>3984</v>
      </c>
      <c r="E2156" s="44"/>
      <c r="F2156" s="45">
        <v>40896.424537037034</v>
      </c>
      <c r="G2156" s="46">
        <v>81</v>
      </c>
      <c r="H2156" s="47">
        <v>43383</v>
      </c>
      <c r="I2156" s="47">
        <v>43398</v>
      </c>
      <c r="J2156" s="46">
        <v>2068883</v>
      </c>
      <c r="K2156" s="46">
        <v>0</v>
      </c>
      <c r="L2156" s="46">
        <v>0</v>
      </c>
      <c r="M2156" s="46">
        <f t="shared" si="600"/>
        <v>2068883</v>
      </c>
      <c r="N2156" s="46">
        <v>2068883</v>
      </c>
      <c r="O2156" s="48">
        <f t="shared" si="601"/>
        <v>0</v>
      </c>
      <c r="P2156" s="46">
        <v>0</v>
      </c>
      <c r="Q2156" s="46">
        <v>2068883</v>
      </c>
      <c r="R2156" s="49">
        <f t="shared" si="602"/>
        <v>1</v>
      </c>
      <c r="S2156" s="50">
        <f t="shared" si="603"/>
        <v>0.01</v>
      </c>
      <c r="T2156" s="49">
        <f t="shared" si="604"/>
        <v>20688.830000000002</v>
      </c>
      <c r="U2156" s="51">
        <f t="shared" si="605"/>
        <v>0</v>
      </c>
      <c r="V2156" s="52">
        <f>IF(0&lt;0.8,0,IF(0&lt;1,Sheet3!L561,1))*IF(G2156&lt;3,0.12 - O2156,0.01) *U2156</f>
        <v>0</v>
      </c>
      <c r="W2156" s="52">
        <f t="shared" si="606"/>
        <v>0</v>
      </c>
      <c r="X2156" s="53">
        <f t="shared" si="607"/>
        <v>0</v>
      </c>
      <c r="Y2156" s="53">
        <f t="shared" si="608"/>
        <v>0</v>
      </c>
      <c r="Z2156" s="54">
        <f t="shared" si="612"/>
        <v>0</v>
      </c>
      <c r="AA2156" s="54">
        <f t="shared" si="609"/>
        <v>0</v>
      </c>
      <c r="AB2156" s="55">
        <f t="shared" ref="AB2156:AB2167" si="613">IF(R2156=0,0,0)</f>
        <v>0</v>
      </c>
      <c r="AC2156" s="55">
        <f t="shared" si="610"/>
        <v>0</v>
      </c>
      <c r="AD2156" s="56">
        <f t="shared" si="611"/>
        <v>20688.830000000002</v>
      </c>
    </row>
    <row r="2157" spans="3:30">
      <c r="C2157" s="43" t="s">
        <v>3985</v>
      </c>
      <c r="D2157" s="44" t="s">
        <v>3986</v>
      </c>
      <c r="E2157" s="44"/>
      <c r="F2157" s="45">
        <v>41034.668391203704</v>
      </c>
      <c r="G2157" s="46">
        <v>76</v>
      </c>
      <c r="H2157" s="47">
        <v>43391</v>
      </c>
      <c r="I2157" s="47">
        <v>43397</v>
      </c>
      <c r="J2157" s="46">
        <v>2941714</v>
      </c>
      <c r="K2157" s="46">
        <v>0</v>
      </c>
      <c r="L2157" s="46">
        <v>0</v>
      </c>
      <c r="M2157" s="46">
        <f t="shared" si="600"/>
        <v>2941714</v>
      </c>
      <c r="N2157" s="46">
        <v>2809521</v>
      </c>
      <c r="O2157" s="48">
        <f t="shared" si="601"/>
        <v>0</v>
      </c>
      <c r="P2157" s="46">
        <v>0</v>
      </c>
      <c r="Q2157" s="46">
        <v>2941714</v>
      </c>
      <c r="R2157" s="49">
        <f t="shared" si="602"/>
        <v>1</v>
      </c>
      <c r="S2157" s="50">
        <f t="shared" si="603"/>
        <v>0.01</v>
      </c>
      <c r="T2157" s="49">
        <f t="shared" si="604"/>
        <v>29417.14</v>
      </c>
      <c r="U2157" s="51">
        <f t="shared" si="605"/>
        <v>0</v>
      </c>
      <c r="V2157" s="52">
        <f>IF(0&lt;0.8,0,IF(0&lt;1,Sheet3!L561,1))*IF(G2157&lt;3,0.12 - O2157,0.01) *U2157</f>
        <v>0</v>
      </c>
      <c r="W2157" s="52">
        <f t="shared" si="606"/>
        <v>0</v>
      </c>
      <c r="X2157" s="53">
        <f t="shared" si="607"/>
        <v>0</v>
      </c>
      <c r="Y2157" s="53">
        <f t="shared" si="608"/>
        <v>0</v>
      </c>
      <c r="Z2157" s="54">
        <f t="shared" si="612"/>
        <v>0</v>
      </c>
      <c r="AA2157" s="54">
        <f t="shared" si="609"/>
        <v>0</v>
      </c>
      <c r="AB2157" s="55">
        <f t="shared" si="613"/>
        <v>0</v>
      </c>
      <c r="AC2157" s="55">
        <f t="shared" si="610"/>
        <v>0</v>
      </c>
      <c r="AD2157" s="56">
        <f t="shared" si="611"/>
        <v>29417.14</v>
      </c>
    </row>
    <row r="2158" spans="3:30">
      <c r="C2158" s="43" t="s">
        <v>3987</v>
      </c>
      <c r="D2158" s="44" t="s">
        <v>3988</v>
      </c>
      <c r="E2158" s="44"/>
      <c r="F2158" s="45">
        <v>41074.396944444445</v>
      </c>
      <c r="G2158" s="46">
        <v>75</v>
      </c>
      <c r="H2158" s="47">
        <v>43391</v>
      </c>
      <c r="I2158" s="47">
        <v>43397</v>
      </c>
      <c r="J2158" s="46">
        <v>651585</v>
      </c>
      <c r="K2158" s="46">
        <v>0</v>
      </c>
      <c r="L2158" s="46">
        <v>0</v>
      </c>
      <c r="M2158" s="46">
        <f t="shared" si="600"/>
        <v>651585</v>
      </c>
      <c r="N2158" s="46">
        <v>651585</v>
      </c>
      <c r="O2158" s="48">
        <f t="shared" si="601"/>
        <v>0</v>
      </c>
      <c r="P2158" s="46">
        <v>0</v>
      </c>
      <c r="Q2158" s="46">
        <v>651585</v>
      </c>
      <c r="R2158" s="49">
        <f t="shared" si="602"/>
        <v>1</v>
      </c>
      <c r="S2158" s="50">
        <f t="shared" si="603"/>
        <v>0.01</v>
      </c>
      <c r="T2158" s="49">
        <f t="shared" si="604"/>
        <v>6515.85</v>
      </c>
      <c r="U2158" s="51">
        <f t="shared" si="605"/>
        <v>0</v>
      </c>
      <c r="V2158" s="52">
        <f>IF(0&lt;0.8,0,IF(0&lt;1,Sheet3!L561,1))*IF(G2158&lt;3,0.12 - O2158,0.01) *U2158</f>
        <v>0</v>
      </c>
      <c r="W2158" s="52">
        <f t="shared" si="606"/>
        <v>0</v>
      </c>
      <c r="X2158" s="53">
        <f t="shared" si="607"/>
        <v>0</v>
      </c>
      <c r="Y2158" s="53">
        <f t="shared" si="608"/>
        <v>0</v>
      </c>
      <c r="Z2158" s="54">
        <f t="shared" si="612"/>
        <v>0</v>
      </c>
      <c r="AA2158" s="54">
        <f t="shared" si="609"/>
        <v>0</v>
      </c>
      <c r="AB2158" s="55">
        <f t="shared" si="613"/>
        <v>0</v>
      </c>
      <c r="AC2158" s="55">
        <f t="shared" si="610"/>
        <v>0</v>
      </c>
      <c r="AD2158" s="56">
        <f t="shared" si="611"/>
        <v>6515.85</v>
      </c>
    </row>
    <row r="2159" spans="3:30">
      <c r="C2159" s="43" t="s">
        <v>3989</v>
      </c>
      <c r="D2159" s="44" t="s">
        <v>3990</v>
      </c>
      <c r="E2159" s="44"/>
      <c r="F2159" s="45">
        <v>41199.597013888888</v>
      </c>
      <c r="G2159" s="46">
        <v>71</v>
      </c>
      <c r="H2159" s="47">
        <v>43391</v>
      </c>
      <c r="I2159" s="47">
        <v>43397</v>
      </c>
      <c r="J2159" s="46">
        <v>420741</v>
      </c>
      <c r="K2159" s="46">
        <v>0</v>
      </c>
      <c r="L2159" s="46">
        <v>0</v>
      </c>
      <c r="M2159" s="46">
        <f t="shared" si="600"/>
        <v>420741</v>
      </c>
      <c r="N2159" s="46">
        <v>420741</v>
      </c>
      <c r="O2159" s="48">
        <f t="shared" si="601"/>
        <v>0</v>
      </c>
      <c r="P2159" s="46">
        <v>0</v>
      </c>
      <c r="Q2159" s="46">
        <v>420741</v>
      </c>
      <c r="R2159" s="49">
        <f t="shared" si="602"/>
        <v>1</v>
      </c>
      <c r="S2159" s="50">
        <f t="shared" si="603"/>
        <v>0.01</v>
      </c>
      <c r="T2159" s="49">
        <f t="shared" si="604"/>
        <v>4207.41</v>
      </c>
      <c r="U2159" s="51">
        <f t="shared" si="605"/>
        <v>0</v>
      </c>
      <c r="V2159" s="52">
        <f>IF(0&lt;0.8,0,IF(0&lt;1,Sheet3!L561,1))*IF(G2159&lt;3,0.12 - O2159,0.01) *U2159</f>
        <v>0</v>
      </c>
      <c r="W2159" s="52">
        <f t="shared" si="606"/>
        <v>0</v>
      </c>
      <c r="X2159" s="53">
        <f t="shared" si="607"/>
        <v>0</v>
      </c>
      <c r="Y2159" s="53">
        <f t="shared" si="608"/>
        <v>0</v>
      </c>
      <c r="Z2159" s="54">
        <f t="shared" si="612"/>
        <v>0</v>
      </c>
      <c r="AA2159" s="54">
        <f t="shared" si="609"/>
        <v>0</v>
      </c>
      <c r="AB2159" s="55">
        <f t="shared" si="613"/>
        <v>0</v>
      </c>
      <c r="AC2159" s="55">
        <f t="shared" si="610"/>
        <v>0</v>
      </c>
      <c r="AD2159" s="56">
        <f t="shared" si="611"/>
        <v>4207.41</v>
      </c>
    </row>
    <row r="2160" spans="3:30">
      <c r="C2160" s="43" t="s">
        <v>3991</v>
      </c>
      <c r="D2160" s="44" t="s">
        <v>3992</v>
      </c>
      <c r="E2160" s="44"/>
      <c r="F2160" s="45">
        <v>41412.443981481483</v>
      </c>
      <c r="G2160" s="46">
        <v>64</v>
      </c>
      <c r="H2160" s="47">
        <v>43376</v>
      </c>
      <c r="I2160" s="47">
        <v>43420</v>
      </c>
      <c r="J2160" s="46">
        <v>2632529</v>
      </c>
      <c r="K2160" s="46">
        <v>0</v>
      </c>
      <c r="L2160" s="46">
        <v>0</v>
      </c>
      <c r="M2160" s="46">
        <f t="shared" si="600"/>
        <v>2632529</v>
      </c>
      <c r="N2160" s="46">
        <v>2606219</v>
      </c>
      <c r="O2160" s="48">
        <f t="shared" si="601"/>
        <v>0</v>
      </c>
      <c r="P2160" s="46">
        <v>0</v>
      </c>
      <c r="Q2160" s="46">
        <v>2632529</v>
      </c>
      <c r="R2160" s="49">
        <f t="shared" si="602"/>
        <v>1</v>
      </c>
      <c r="S2160" s="50">
        <f t="shared" si="603"/>
        <v>0.01</v>
      </c>
      <c r="T2160" s="49">
        <f t="shared" si="604"/>
        <v>26325.29</v>
      </c>
      <c r="U2160" s="51">
        <f t="shared" si="605"/>
        <v>0</v>
      </c>
      <c r="V2160" s="52">
        <f>IF(0&lt;0.8,0,IF(0&lt;1,Sheet3!L561,1))*IF(G2160&lt;3,0.12 - O2160,0.01) *U2160</f>
        <v>0</v>
      </c>
      <c r="W2160" s="52">
        <f t="shared" si="606"/>
        <v>0</v>
      </c>
      <c r="X2160" s="53">
        <f t="shared" si="607"/>
        <v>0</v>
      </c>
      <c r="Y2160" s="53">
        <f t="shared" si="608"/>
        <v>0</v>
      </c>
      <c r="Z2160" s="54">
        <f t="shared" si="612"/>
        <v>0</v>
      </c>
      <c r="AA2160" s="54">
        <f t="shared" si="609"/>
        <v>0</v>
      </c>
      <c r="AB2160" s="55">
        <f t="shared" si="613"/>
        <v>0</v>
      </c>
      <c r="AC2160" s="55">
        <f t="shared" si="610"/>
        <v>0</v>
      </c>
      <c r="AD2160" s="56">
        <f t="shared" si="611"/>
        <v>26325.29</v>
      </c>
    </row>
    <row r="2161" spans="3:30">
      <c r="C2161" s="43" t="s">
        <v>3993</v>
      </c>
      <c r="D2161" s="44" t="s">
        <v>3994</v>
      </c>
      <c r="E2161" s="44"/>
      <c r="F2161" s="45">
        <v>41534.584467592591</v>
      </c>
      <c r="G2161" s="46">
        <v>60</v>
      </c>
      <c r="H2161" s="47">
        <v>43372</v>
      </c>
      <c r="I2161" s="47">
        <v>43399</v>
      </c>
      <c r="J2161" s="46">
        <v>21641098</v>
      </c>
      <c r="K2161" s="46">
        <v>1967342</v>
      </c>
      <c r="L2161" s="46">
        <v>0</v>
      </c>
      <c r="M2161" s="46">
        <f t="shared" si="600"/>
        <v>19673756</v>
      </c>
      <c r="N2161" s="46">
        <v>32160779</v>
      </c>
      <c r="O2161" s="48">
        <f t="shared" si="601"/>
        <v>0.38826867346714455</v>
      </c>
      <c r="P2161" s="46">
        <v>0</v>
      </c>
      <c r="Q2161" s="46">
        <v>21641098</v>
      </c>
      <c r="R2161" s="49">
        <f t="shared" si="602"/>
        <v>1</v>
      </c>
      <c r="S2161" s="50">
        <f t="shared" si="603"/>
        <v>0.01</v>
      </c>
      <c r="T2161" s="49">
        <f t="shared" si="604"/>
        <v>196737.56</v>
      </c>
      <c r="U2161" s="51">
        <f t="shared" si="605"/>
        <v>0</v>
      </c>
      <c r="V2161" s="52">
        <f>IF(0&lt;0.8,0,IF(0&lt;1,Sheet3!L561,1))*IF(G2161&lt;3,0.12 - O2161,0.01) *U2161</f>
        <v>0</v>
      </c>
      <c r="W2161" s="52">
        <f t="shared" si="606"/>
        <v>0</v>
      </c>
      <c r="X2161" s="53">
        <f t="shared" si="607"/>
        <v>0</v>
      </c>
      <c r="Y2161" s="53">
        <f t="shared" si="608"/>
        <v>0</v>
      </c>
      <c r="Z2161" s="54">
        <f t="shared" si="612"/>
        <v>0</v>
      </c>
      <c r="AA2161" s="54">
        <f t="shared" si="609"/>
        <v>0</v>
      </c>
      <c r="AB2161" s="55">
        <f t="shared" si="613"/>
        <v>0</v>
      </c>
      <c r="AC2161" s="55">
        <f t="shared" si="610"/>
        <v>0</v>
      </c>
      <c r="AD2161" s="56">
        <f t="shared" si="611"/>
        <v>196737.56</v>
      </c>
    </row>
    <row r="2162" spans="3:30">
      <c r="C2162" s="43" t="s">
        <v>3995</v>
      </c>
      <c r="D2162" s="44" t="s">
        <v>3996</v>
      </c>
      <c r="E2162" s="44"/>
      <c r="F2162" s="45">
        <v>41694.450243055551</v>
      </c>
      <c r="G2162" s="46">
        <v>55</v>
      </c>
      <c r="H2162" s="47">
        <v>43391</v>
      </c>
      <c r="I2162" s="47">
        <v>43399</v>
      </c>
      <c r="J2162" s="46">
        <v>565913</v>
      </c>
      <c r="K2162" s="46">
        <v>0</v>
      </c>
      <c r="L2162" s="46">
        <v>0</v>
      </c>
      <c r="M2162" s="46">
        <f t="shared" si="600"/>
        <v>565913</v>
      </c>
      <c r="N2162" s="46">
        <v>565796</v>
      </c>
      <c r="O2162" s="48">
        <f t="shared" si="601"/>
        <v>0</v>
      </c>
      <c r="P2162" s="46">
        <v>0</v>
      </c>
      <c r="Q2162" s="46">
        <v>565913</v>
      </c>
      <c r="R2162" s="49">
        <f t="shared" si="602"/>
        <v>1</v>
      </c>
      <c r="S2162" s="50">
        <f t="shared" si="603"/>
        <v>0.01</v>
      </c>
      <c r="T2162" s="49">
        <f t="shared" si="604"/>
        <v>5659.13</v>
      </c>
      <c r="U2162" s="51">
        <f t="shared" si="605"/>
        <v>0</v>
      </c>
      <c r="V2162" s="52">
        <f>IF(0&lt;0.8,0,IF(0&lt;1,Sheet3!L561,1))*IF(G2162&lt;3,0.12 - O2162,0.01) *U2162</f>
        <v>0</v>
      </c>
      <c r="W2162" s="52">
        <f t="shared" si="606"/>
        <v>0</v>
      </c>
      <c r="X2162" s="53">
        <f t="shared" si="607"/>
        <v>0</v>
      </c>
      <c r="Y2162" s="53">
        <f t="shared" si="608"/>
        <v>0</v>
      </c>
      <c r="Z2162" s="54">
        <f t="shared" si="612"/>
        <v>0</v>
      </c>
      <c r="AA2162" s="54">
        <f t="shared" si="609"/>
        <v>0</v>
      </c>
      <c r="AB2162" s="55">
        <f t="shared" si="613"/>
        <v>0</v>
      </c>
      <c r="AC2162" s="55">
        <f t="shared" si="610"/>
        <v>0</v>
      </c>
      <c r="AD2162" s="56">
        <f t="shared" si="611"/>
        <v>5659.13</v>
      </c>
    </row>
    <row r="2163" spans="3:30">
      <c r="C2163" s="43" t="s">
        <v>3997</v>
      </c>
      <c r="D2163" s="44" t="s">
        <v>3998</v>
      </c>
      <c r="E2163" s="44"/>
      <c r="F2163" s="45">
        <v>41730.390219907407</v>
      </c>
      <c r="G2163" s="46">
        <v>53</v>
      </c>
      <c r="H2163" s="47">
        <v>43383</v>
      </c>
      <c r="I2163" s="47">
        <v>43390</v>
      </c>
      <c r="J2163" s="46">
        <v>611897</v>
      </c>
      <c r="K2163" s="46">
        <v>0</v>
      </c>
      <c r="L2163" s="46">
        <v>0</v>
      </c>
      <c r="M2163" s="46">
        <f t="shared" ref="M2163:M2226" si="614">IFERROR(J2163-K2163-L2163,0)</f>
        <v>611897</v>
      </c>
      <c r="N2163" s="46">
        <v>611897</v>
      </c>
      <c r="O2163" s="48">
        <f t="shared" ref="O2163:O2226" si="615">IFERROR(IF(1 - M2163/N2163&lt;0,0,1-M2163/N2163),0)</f>
        <v>0</v>
      </c>
      <c r="P2163" s="46">
        <v>0</v>
      </c>
      <c r="Q2163" s="46">
        <v>611897</v>
      </c>
      <c r="R2163" s="49">
        <f t="shared" ref="R2163:R2226" si="616">IF(F2163&lt;DATEVALUE("2018-07-01"),1,0)</f>
        <v>1</v>
      </c>
      <c r="S2163" s="50">
        <f t="shared" ref="S2163:S2226" si="617">IF(R2163=1,1%,0)</f>
        <v>0.01</v>
      </c>
      <c r="T2163" s="49">
        <f t="shared" ref="T2163:T2226" si="618">IFERROR(S2163*M2163,0)</f>
        <v>6118.97</v>
      </c>
      <c r="U2163" s="51">
        <f t="shared" ref="U2163:U2226" si="619">IF(O2163&lt;=0.12,1,0)*(1-R2163)*M2163</f>
        <v>0</v>
      </c>
      <c r="V2163" s="52">
        <f>IF(0&lt;0.8,0,IF(0&lt;1,Sheet3!L561,1))*IF(G2163&lt;3,0.12 - O2163,0.01) *U2163</f>
        <v>0</v>
      </c>
      <c r="W2163" s="52">
        <f t="shared" ref="W2163:W2226" si="620">IF(0&gt;1,IF(0&lt;=1.1,1,IF(0&lt;=1.2,2,IF(0&lt;=1.5,3,5))),0) * 1000000</f>
        <v>0</v>
      </c>
      <c r="X2163" s="53">
        <f t="shared" ref="X2163:X2226" si="621">IF(AND(P2163&gt;=150000000,P2163&lt;300000000),5000000,IF(AND(P2163&gt;=300000000,P2163&lt;500000000),10000000,IF(AND(P2163&gt;=300000000,P2163&lt;500000000),15000000,IF(AND(P2163&gt;=500000000,P2163&lt;3000000000),20000000,IF(P2163&gt;=30000000000,35000000,0))))) * (1-R2163)</f>
        <v>0</v>
      </c>
      <c r="Y2163" s="53">
        <f t="shared" ref="Y2163:Y2226" si="622">IFERROR(Q2163 * (1-R2163),0)</f>
        <v>0</v>
      </c>
      <c r="Z2163" s="54">
        <f t="shared" si="612"/>
        <v>0</v>
      </c>
      <c r="AA2163" s="54">
        <f t="shared" ref="AA2163:AA2226" si="623">IFERROR((1-R2163) * Z2163 * 2%,0)</f>
        <v>0</v>
      </c>
      <c r="AB2163" s="55">
        <f t="shared" si="613"/>
        <v>0</v>
      </c>
      <c r="AC2163" s="55">
        <f t="shared" ref="AC2163:AC2226" si="624">IFERROR(AB2163 * (1-R2163) * 2%,0)</f>
        <v>0</v>
      </c>
      <c r="AD2163" s="56">
        <f t="shared" ref="AD2163:AD2226" si="625">T2163+V2163+W2163+X2163+AA2163+AC2163</f>
        <v>6118.97</v>
      </c>
    </row>
    <row r="2164" spans="3:30">
      <c r="C2164" s="43" t="s">
        <v>3999</v>
      </c>
      <c r="D2164" s="44" t="s">
        <v>4000</v>
      </c>
      <c r="E2164" s="44"/>
      <c r="F2164" s="45">
        <v>41792.590833333328</v>
      </c>
      <c r="G2164" s="46">
        <v>51</v>
      </c>
      <c r="H2164" s="47">
        <v>43383</v>
      </c>
      <c r="I2164" s="47">
        <v>43405</v>
      </c>
      <c r="J2164" s="46">
        <v>72789962</v>
      </c>
      <c r="K2164" s="46">
        <v>5290480</v>
      </c>
      <c r="L2164" s="46">
        <v>0</v>
      </c>
      <c r="M2164" s="46">
        <f t="shared" si="614"/>
        <v>67499482</v>
      </c>
      <c r="N2164" s="46">
        <v>86677462</v>
      </c>
      <c r="O2164" s="48">
        <f t="shared" si="615"/>
        <v>0.22125682452492668</v>
      </c>
      <c r="P2164" s="46">
        <v>0</v>
      </c>
      <c r="Q2164" s="46">
        <v>72789962</v>
      </c>
      <c r="R2164" s="49">
        <f t="shared" si="616"/>
        <v>1</v>
      </c>
      <c r="S2164" s="50">
        <f t="shared" si="617"/>
        <v>0.01</v>
      </c>
      <c r="T2164" s="49">
        <f t="shared" si="618"/>
        <v>674994.82000000007</v>
      </c>
      <c r="U2164" s="51">
        <f t="shared" si="619"/>
        <v>0</v>
      </c>
      <c r="V2164" s="52">
        <f>IF(0&lt;0.8,0,IF(0&lt;1,Sheet3!L561,1))*IF(G2164&lt;3,0.12 - O2164,0.01) *U2164</f>
        <v>0</v>
      </c>
      <c r="W2164" s="52">
        <f t="shared" si="620"/>
        <v>0</v>
      </c>
      <c r="X2164" s="53">
        <f t="shared" si="621"/>
        <v>0</v>
      </c>
      <c r="Y2164" s="53">
        <f t="shared" si="622"/>
        <v>0</v>
      </c>
      <c r="Z2164" s="54">
        <f t="shared" si="612"/>
        <v>0</v>
      </c>
      <c r="AA2164" s="54">
        <f t="shared" si="623"/>
        <v>0</v>
      </c>
      <c r="AB2164" s="55">
        <f t="shared" si="613"/>
        <v>0</v>
      </c>
      <c r="AC2164" s="55">
        <f t="shared" si="624"/>
        <v>0</v>
      </c>
      <c r="AD2164" s="56">
        <f t="shared" si="625"/>
        <v>674994.82000000007</v>
      </c>
    </row>
    <row r="2165" spans="3:30">
      <c r="C2165" s="43" t="s">
        <v>4001</v>
      </c>
      <c r="D2165" s="44" t="s">
        <v>4002</v>
      </c>
      <c r="E2165" s="44"/>
      <c r="F2165" s="45">
        <v>41860.407708333332</v>
      </c>
      <c r="G2165" s="46">
        <v>49</v>
      </c>
      <c r="H2165" s="47">
        <v>43383</v>
      </c>
      <c r="I2165" s="47">
        <v>43396</v>
      </c>
      <c r="J2165" s="46">
        <v>742214</v>
      </c>
      <c r="K2165" s="46">
        <v>0</v>
      </c>
      <c r="L2165" s="46">
        <v>0</v>
      </c>
      <c r="M2165" s="46">
        <f t="shared" si="614"/>
        <v>742214</v>
      </c>
      <c r="N2165" s="46">
        <v>742214</v>
      </c>
      <c r="O2165" s="48">
        <f t="shared" si="615"/>
        <v>0</v>
      </c>
      <c r="P2165" s="46">
        <v>0</v>
      </c>
      <c r="Q2165" s="46">
        <v>742214</v>
      </c>
      <c r="R2165" s="49">
        <f t="shared" si="616"/>
        <v>1</v>
      </c>
      <c r="S2165" s="50">
        <f t="shared" si="617"/>
        <v>0.01</v>
      </c>
      <c r="T2165" s="49">
        <f t="shared" si="618"/>
        <v>7422.14</v>
      </c>
      <c r="U2165" s="51">
        <f t="shared" si="619"/>
        <v>0</v>
      </c>
      <c r="V2165" s="52">
        <f>IF(0&lt;0.8,0,IF(0&lt;1,Sheet3!L561,1))*IF(G2165&lt;3,0.12 - O2165,0.01) *U2165</f>
        <v>0</v>
      </c>
      <c r="W2165" s="52">
        <f t="shared" si="620"/>
        <v>0</v>
      </c>
      <c r="X2165" s="53">
        <f t="shared" si="621"/>
        <v>0</v>
      </c>
      <c r="Y2165" s="53">
        <f t="shared" si="622"/>
        <v>0</v>
      </c>
      <c r="Z2165" s="54">
        <f t="shared" si="612"/>
        <v>0</v>
      </c>
      <c r="AA2165" s="54">
        <f t="shared" si="623"/>
        <v>0</v>
      </c>
      <c r="AB2165" s="55">
        <f t="shared" si="613"/>
        <v>0</v>
      </c>
      <c r="AC2165" s="55">
        <f t="shared" si="624"/>
        <v>0</v>
      </c>
      <c r="AD2165" s="56">
        <f t="shared" si="625"/>
        <v>7422.14</v>
      </c>
    </row>
    <row r="2166" spans="3:30">
      <c r="C2166" s="43" t="s">
        <v>4003</v>
      </c>
      <c r="D2166" s="44" t="s">
        <v>4004</v>
      </c>
      <c r="E2166" s="44"/>
      <c r="F2166" s="45">
        <v>42150.640127314815</v>
      </c>
      <c r="G2166" s="46">
        <v>40</v>
      </c>
      <c r="H2166" s="47">
        <v>43383</v>
      </c>
      <c r="I2166" s="47">
        <v>43397</v>
      </c>
      <c r="J2166" s="46">
        <v>2366890</v>
      </c>
      <c r="K2166" s="46">
        <v>0</v>
      </c>
      <c r="L2166" s="46">
        <v>0</v>
      </c>
      <c r="M2166" s="46">
        <f t="shared" si="614"/>
        <v>2366890</v>
      </c>
      <c r="N2166" s="46">
        <v>2518930</v>
      </c>
      <c r="O2166" s="48">
        <f t="shared" si="615"/>
        <v>6.035896194018886E-2</v>
      </c>
      <c r="P2166" s="46">
        <v>0</v>
      </c>
      <c r="Q2166" s="46">
        <v>2366890</v>
      </c>
      <c r="R2166" s="49">
        <f t="shared" si="616"/>
        <v>1</v>
      </c>
      <c r="S2166" s="50">
        <f t="shared" si="617"/>
        <v>0.01</v>
      </c>
      <c r="T2166" s="49">
        <f t="shared" si="618"/>
        <v>23668.9</v>
      </c>
      <c r="U2166" s="51">
        <f t="shared" si="619"/>
        <v>0</v>
      </c>
      <c r="V2166" s="52">
        <f>IF(0&lt;0.8,0,IF(0&lt;1,Sheet3!L561,1))*IF(G2166&lt;3,0.12 - O2166,0.01) *U2166</f>
        <v>0</v>
      </c>
      <c r="W2166" s="52">
        <f t="shared" si="620"/>
        <v>0</v>
      </c>
      <c r="X2166" s="53">
        <f t="shared" si="621"/>
        <v>0</v>
      </c>
      <c r="Y2166" s="53">
        <f t="shared" si="622"/>
        <v>0</v>
      </c>
      <c r="Z2166" s="54">
        <f t="shared" si="612"/>
        <v>0</v>
      </c>
      <c r="AA2166" s="54">
        <f t="shared" si="623"/>
        <v>0</v>
      </c>
      <c r="AB2166" s="55">
        <f t="shared" si="613"/>
        <v>0</v>
      </c>
      <c r="AC2166" s="55">
        <f t="shared" si="624"/>
        <v>0</v>
      </c>
      <c r="AD2166" s="56">
        <f t="shared" si="625"/>
        <v>23668.9</v>
      </c>
    </row>
    <row r="2167" spans="3:30">
      <c r="C2167" s="43" t="s">
        <v>4005</v>
      </c>
      <c r="D2167" s="44" t="s">
        <v>4006</v>
      </c>
      <c r="E2167" s="44"/>
      <c r="F2167" s="45">
        <v>42451.580590277779</v>
      </c>
      <c r="G2167" s="46">
        <v>30</v>
      </c>
      <c r="H2167" s="47">
        <v>43391</v>
      </c>
      <c r="I2167" s="47">
        <v>43397</v>
      </c>
      <c r="J2167" s="46">
        <v>531080</v>
      </c>
      <c r="K2167" s="46">
        <v>0</v>
      </c>
      <c r="L2167" s="46">
        <v>0</v>
      </c>
      <c r="M2167" s="46">
        <f t="shared" si="614"/>
        <v>531080</v>
      </c>
      <c r="N2167" s="46">
        <v>629750</v>
      </c>
      <c r="O2167" s="48">
        <f t="shared" si="615"/>
        <v>0.15668122270742357</v>
      </c>
      <c r="P2167" s="46">
        <v>0</v>
      </c>
      <c r="Q2167" s="46">
        <v>531080</v>
      </c>
      <c r="R2167" s="49">
        <f t="shared" si="616"/>
        <v>1</v>
      </c>
      <c r="S2167" s="50">
        <f t="shared" si="617"/>
        <v>0.01</v>
      </c>
      <c r="T2167" s="49">
        <f t="shared" si="618"/>
        <v>5310.8</v>
      </c>
      <c r="U2167" s="51">
        <f t="shared" si="619"/>
        <v>0</v>
      </c>
      <c r="V2167" s="52">
        <f>IF(0&lt;0.8,0,IF(0&lt;1,Sheet3!L561,1))*IF(G2167&lt;3,0.12 - O2167,0.01) *U2167</f>
        <v>0</v>
      </c>
      <c r="W2167" s="52">
        <f t="shared" si="620"/>
        <v>0</v>
      </c>
      <c r="X2167" s="53">
        <f t="shared" si="621"/>
        <v>0</v>
      </c>
      <c r="Y2167" s="53">
        <f t="shared" si="622"/>
        <v>0</v>
      </c>
      <c r="Z2167" s="54">
        <f t="shared" si="612"/>
        <v>0</v>
      </c>
      <c r="AA2167" s="54">
        <f t="shared" si="623"/>
        <v>0</v>
      </c>
      <c r="AB2167" s="55">
        <f t="shared" si="613"/>
        <v>0</v>
      </c>
      <c r="AC2167" s="55">
        <f t="shared" si="624"/>
        <v>0</v>
      </c>
      <c r="AD2167" s="56">
        <f t="shared" si="625"/>
        <v>5310.8</v>
      </c>
    </row>
    <row r="2168" spans="3:30">
      <c r="C2168" s="43" t="s">
        <v>4007</v>
      </c>
      <c r="D2168" s="44" t="s">
        <v>4008</v>
      </c>
      <c r="E2168" s="44"/>
      <c r="F2168" s="45">
        <v>42493.291446759256</v>
      </c>
      <c r="G2168" s="46">
        <v>28</v>
      </c>
      <c r="H2168" s="47">
        <v>43383</v>
      </c>
      <c r="I2168" s="47">
        <v>43420</v>
      </c>
      <c r="J2168" s="46">
        <v>765000</v>
      </c>
      <c r="K2168" s="46">
        <v>0</v>
      </c>
      <c r="L2168" s="46">
        <v>0</v>
      </c>
      <c r="M2168" s="46">
        <f t="shared" si="614"/>
        <v>765000</v>
      </c>
      <c r="N2168" s="46">
        <v>-1</v>
      </c>
      <c r="O2168" s="48">
        <f t="shared" si="615"/>
        <v>765001</v>
      </c>
      <c r="P2168" s="46">
        <v>0</v>
      </c>
      <c r="Q2168" s="46">
        <v>765000</v>
      </c>
      <c r="R2168" s="49">
        <f t="shared" si="616"/>
        <v>1</v>
      </c>
      <c r="S2168" s="50">
        <f t="shared" si="617"/>
        <v>0.01</v>
      </c>
      <c r="T2168" s="49">
        <f t="shared" si="618"/>
        <v>7650</v>
      </c>
      <c r="U2168" s="51">
        <f t="shared" si="619"/>
        <v>0</v>
      </c>
      <c r="V2168" s="52">
        <f>IF(0&lt;0.8,0,IF(0&lt;1,Sheet3!L561,1))*IF(G2168&lt;3,0.12 - O2168,0.01) *U2168</f>
        <v>0</v>
      </c>
      <c r="W2168" s="52">
        <f t="shared" si="620"/>
        <v>0</v>
      </c>
      <c r="X2168" s="53">
        <f t="shared" si="621"/>
        <v>0</v>
      </c>
      <c r="Y2168" s="53">
        <f t="shared" si="622"/>
        <v>0</v>
      </c>
      <c r="Z2168" s="54">
        <f t="shared" si="612"/>
        <v>0</v>
      </c>
      <c r="AA2168" s="54">
        <f t="shared" si="623"/>
        <v>0</v>
      </c>
      <c r="AB2168" s="55">
        <f>IF(R2168=0,765000,0)</f>
        <v>0</v>
      </c>
      <c r="AC2168" s="55">
        <f t="shared" si="624"/>
        <v>0</v>
      </c>
      <c r="AD2168" s="56">
        <f t="shared" si="625"/>
        <v>7650</v>
      </c>
    </row>
    <row r="2169" spans="3:30">
      <c r="C2169" s="43" t="s">
        <v>4009</v>
      </c>
      <c r="D2169" s="44" t="s">
        <v>4010</v>
      </c>
      <c r="E2169" s="44"/>
      <c r="F2169" s="45">
        <v>42499.290706018517</v>
      </c>
      <c r="G2169" s="46">
        <v>28</v>
      </c>
      <c r="H2169" s="47">
        <v>43383</v>
      </c>
      <c r="I2169" s="47">
        <v>43418</v>
      </c>
      <c r="J2169" s="46">
        <v>1047997</v>
      </c>
      <c r="K2169" s="46">
        <v>0</v>
      </c>
      <c r="L2169" s="46">
        <v>0</v>
      </c>
      <c r="M2169" s="46">
        <f t="shared" si="614"/>
        <v>1047997</v>
      </c>
      <c r="N2169" s="46">
        <v>1012165</v>
      </c>
      <c r="O2169" s="48">
        <f t="shared" si="615"/>
        <v>0</v>
      </c>
      <c r="P2169" s="46">
        <v>0</v>
      </c>
      <c r="Q2169" s="46">
        <v>1047997</v>
      </c>
      <c r="R2169" s="49">
        <f t="shared" si="616"/>
        <v>1</v>
      </c>
      <c r="S2169" s="50">
        <f t="shared" si="617"/>
        <v>0.01</v>
      </c>
      <c r="T2169" s="49">
        <f t="shared" si="618"/>
        <v>10479.969999999999</v>
      </c>
      <c r="U2169" s="51">
        <f t="shared" si="619"/>
        <v>0</v>
      </c>
      <c r="V2169" s="52">
        <f>IF(0&lt;0.8,0,IF(0&lt;1,Sheet3!L561,1))*IF(G2169&lt;3,0.12 - O2169,0.01) *U2169</f>
        <v>0</v>
      </c>
      <c r="W2169" s="52">
        <f t="shared" si="620"/>
        <v>0</v>
      </c>
      <c r="X2169" s="53">
        <f t="shared" si="621"/>
        <v>0</v>
      </c>
      <c r="Y2169" s="53">
        <f t="shared" si="622"/>
        <v>0</v>
      </c>
      <c r="Z2169" s="54">
        <f t="shared" si="612"/>
        <v>0</v>
      </c>
      <c r="AA2169" s="54">
        <f t="shared" si="623"/>
        <v>0</v>
      </c>
      <c r="AB2169" s="55">
        <f>IF(R2169=0,0,0)</f>
        <v>0</v>
      </c>
      <c r="AC2169" s="55">
        <f t="shared" si="624"/>
        <v>0</v>
      </c>
      <c r="AD2169" s="56">
        <f t="shared" si="625"/>
        <v>10479.969999999999</v>
      </c>
    </row>
    <row r="2170" spans="3:30">
      <c r="C2170" s="43" t="s">
        <v>4011</v>
      </c>
      <c r="D2170" s="44" t="s">
        <v>4012</v>
      </c>
      <c r="E2170" s="44"/>
      <c r="F2170" s="45">
        <v>42510.170300925922</v>
      </c>
      <c r="G2170" s="46">
        <v>28</v>
      </c>
      <c r="H2170" s="47">
        <v>43399</v>
      </c>
      <c r="I2170" s="47">
        <v>43437</v>
      </c>
      <c r="J2170" s="46">
        <v>7884892</v>
      </c>
      <c r="K2170" s="46">
        <v>0</v>
      </c>
      <c r="L2170" s="46">
        <v>0</v>
      </c>
      <c r="M2170" s="46">
        <f t="shared" si="614"/>
        <v>7884892</v>
      </c>
      <c r="N2170" s="46">
        <v>6369375</v>
      </c>
      <c r="O2170" s="48">
        <f t="shared" si="615"/>
        <v>0</v>
      </c>
      <c r="P2170" s="46">
        <v>0</v>
      </c>
      <c r="Q2170" s="46">
        <v>7884892</v>
      </c>
      <c r="R2170" s="49">
        <f t="shared" si="616"/>
        <v>1</v>
      </c>
      <c r="S2170" s="50">
        <f t="shared" si="617"/>
        <v>0.01</v>
      </c>
      <c r="T2170" s="49">
        <f t="shared" si="618"/>
        <v>78848.92</v>
      </c>
      <c r="U2170" s="51">
        <f t="shared" si="619"/>
        <v>0</v>
      </c>
      <c r="V2170" s="52">
        <f>IF(0&lt;0.8,0,IF(0&lt;1,Sheet3!L561,1))*IF(G2170&lt;3,0.12 - O2170,0.01) *U2170</f>
        <v>0</v>
      </c>
      <c r="W2170" s="52">
        <f t="shared" si="620"/>
        <v>0</v>
      </c>
      <c r="X2170" s="53">
        <f t="shared" si="621"/>
        <v>0</v>
      </c>
      <c r="Y2170" s="53">
        <f t="shared" si="622"/>
        <v>0</v>
      </c>
      <c r="Z2170" s="54">
        <f t="shared" si="612"/>
        <v>0</v>
      </c>
      <c r="AA2170" s="54">
        <f t="shared" si="623"/>
        <v>0</v>
      </c>
      <c r="AB2170" s="55">
        <f>IF(R2170=0,1322024,0)</f>
        <v>0</v>
      </c>
      <c r="AC2170" s="55">
        <f t="shared" si="624"/>
        <v>0</v>
      </c>
      <c r="AD2170" s="56">
        <f t="shared" si="625"/>
        <v>78848.92</v>
      </c>
    </row>
    <row r="2171" spans="3:30">
      <c r="C2171" s="43" t="s">
        <v>4013</v>
      </c>
      <c r="D2171" s="44" t="s">
        <v>4014</v>
      </c>
      <c r="E2171" s="44"/>
      <c r="F2171" s="45">
        <v>42557.179340277777</v>
      </c>
      <c r="G2171" s="46">
        <v>26</v>
      </c>
      <c r="H2171" s="47">
        <v>43399</v>
      </c>
      <c r="I2171" s="47">
        <v>43423</v>
      </c>
      <c r="J2171" s="46">
        <v>3586539</v>
      </c>
      <c r="K2171" s="46">
        <v>0</v>
      </c>
      <c r="L2171" s="46">
        <v>0</v>
      </c>
      <c r="M2171" s="46">
        <f t="shared" si="614"/>
        <v>3586539</v>
      </c>
      <c r="N2171" s="46">
        <v>3569905</v>
      </c>
      <c r="O2171" s="48">
        <f t="shared" si="615"/>
        <v>0</v>
      </c>
      <c r="P2171" s="46">
        <v>0</v>
      </c>
      <c r="Q2171" s="46">
        <v>3586539</v>
      </c>
      <c r="R2171" s="49">
        <f t="shared" si="616"/>
        <v>1</v>
      </c>
      <c r="S2171" s="50">
        <f t="shared" si="617"/>
        <v>0.01</v>
      </c>
      <c r="T2171" s="49">
        <f t="shared" si="618"/>
        <v>35865.39</v>
      </c>
      <c r="U2171" s="51">
        <f t="shared" si="619"/>
        <v>0</v>
      </c>
      <c r="V2171" s="52">
        <f>IF(0&lt;0.8,0,IF(0&lt;1,Sheet3!L561,1))*IF(G2171&lt;3,0.12 - O2171,0.01) *U2171</f>
        <v>0</v>
      </c>
      <c r="W2171" s="52">
        <f t="shared" si="620"/>
        <v>0</v>
      </c>
      <c r="X2171" s="53">
        <f t="shared" si="621"/>
        <v>0</v>
      </c>
      <c r="Y2171" s="53">
        <f t="shared" si="622"/>
        <v>0</v>
      </c>
      <c r="Z2171" s="54">
        <f t="shared" si="612"/>
        <v>0</v>
      </c>
      <c r="AA2171" s="54">
        <f t="shared" si="623"/>
        <v>0</v>
      </c>
      <c r="AB2171" s="55">
        <f>IF(R2171=0,0,0)</f>
        <v>0</v>
      </c>
      <c r="AC2171" s="55">
        <f t="shared" si="624"/>
        <v>0</v>
      </c>
      <c r="AD2171" s="56">
        <f t="shared" si="625"/>
        <v>35865.39</v>
      </c>
    </row>
    <row r="2172" spans="3:30">
      <c r="C2172" s="43" t="s">
        <v>4015</v>
      </c>
      <c r="D2172" s="44" t="s">
        <v>4016</v>
      </c>
      <c r="E2172" s="44"/>
      <c r="F2172" s="45">
        <v>42587.090787037036</v>
      </c>
      <c r="G2172" s="46">
        <v>25</v>
      </c>
      <c r="H2172" s="47">
        <v>43383</v>
      </c>
      <c r="I2172" s="47">
        <v>43395</v>
      </c>
      <c r="J2172" s="46">
        <v>2138542</v>
      </c>
      <c r="K2172" s="46">
        <v>0</v>
      </c>
      <c r="L2172" s="46">
        <v>0</v>
      </c>
      <c r="M2172" s="46">
        <f t="shared" si="614"/>
        <v>2138542</v>
      </c>
      <c r="N2172" s="46">
        <v>2138542</v>
      </c>
      <c r="O2172" s="48">
        <f t="shared" si="615"/>
        <v>0</v>
      </c>
      <c r="P2172" s="46">
        <v>0</v>
      </c>
      <c r="Q2172" s="46">
        <v>2138542</v>
      </c>
      <c r="R2172" s="49">
        <f t="shared" si="616"/>
        <v>1</v>
      </c>
      <c r="S2172" s="50">
        <f t="shared" si="617"/>
        <v>0.01</v>
      </c>
      <c r="T2172" s="49">
        <f t="shared" si="618"/>
        <v>21385.420000000002</v>
      </c>
      <c r="U2172" s="51">
        <f t="shared" si="619"/>
        <v>0</v>
      </c>
      <c r="V2172" s="52">
        <f>IF(0&lt;0.8,0,IF(0&lt;1,Sheet3!L561,1))*IF(G2172&lt;3,0.12 - O2172,0.01) *U2172</f>
        <v>0</v>
      </c>
      <c r="W2172" s="52">
        <f t="shared" si="620"/>
        <v>0</v>
      </c>
      <c r="X2172" s="53">
        <f t="shared" si="621"/>
        <v>0</v>
      </c>
      <c r="Y2172" s="53">
        <f t="shared" si="622"/>
        <v>0</v>
      </c>
      <c r="Z2172" s="54">
        <f t="shared" si="612"/>
        <v>0</v>
      </c>
      <c r="AA2172" s="54">
        <f t="shared" si="623"/>
        <v>0</v>
      </c>
      <c r="AB2172" s="55">
        <f>IF(R2172=0,0,0)</f>
        <v>0</v>
      </c>
      <c r="AC2172" s="55">
        <f t="shared" si="624"/>
        <v>0</v>
      </c>
      <c r="AD2172" s="56">
        <f t="shared" si="625"/>
        <v>21385.420000000002</v>
      </c>
    </row>
    <row r="2173" spans="3:30">
      <c r="C2173" s="43" t="s">
        <v>4017</v>
      </c>
      <c r="D2173" s="44" t="s">
        <v>4018</v>
      </c>
      <c r="E2173" s="44"/>
      <c r="F2173" s="45">
        <v>42588.069085648145</v>
      </c>
      <c r="G2173" s="46">
        <v>25</v>
      </c>
      <c r="H2173" s="47">
        <v>43391</v>
      </c>
      <c r="I2173" s="47">
        <v>43399</v>
      </c>
      <c r="J2173" s="46">
        <v>1213146</v>
      </c>
      <c r="K2173" s="46">
        <v>0</v>
      </c>
      <c r="L2173" s="46">
        <v>0</v>
      </c>
      <c r="M2173" s="46">
        <f t="shared" si="614"/>
        <v>1213146</v>
      </c>
      <c r="N2173" s="46">
        <v>1213146</v>
      </c>
      <c r="O2173" s="48">
        <f t="shared" si="615"/>
        <v>0</v>
      </c>
      <c r="P2173" s="46">
        <v>0</v>
      </c>
      <c r="Q2173" s="46">
        <v>1213146</v>
      </c>
      <c r="R2173" s="49">
        <f t="shared" si="616"/>
        <v>1</v>
      </c>
      <c r="S2173" s="50">
        <f t="shared" si="617"/>
        <v>0.01</v>
      </c>
      <c r="T2173" s="49">
        <f t="shared" si="618"/>
        <v>12131.460000000001</v>
      </c>
      <c r="U2173" s="51">
        <f t="shared" si="619"/>
        <v>0</v>
      </c>
      <c r="V2173" s="52">
        <f>IF(0&lt;0.8,0,IF(0&lt;1,Sheet3!L561,1))*IF(G2173&lt;3,0.12 - O2173,0.01) *U2173</f>
        <v>0</v>
      </c>
      <c r="W2173" s="52">
        <f t="shared" si="620"/>
        <v>0</v>
      </c>
      <c r="X2173" s="53">
        <f t="shared" si="621"/>
        <v>0</v>
      </c>
      <c r="Y2173" s="53">
        <f t="shared" si="622"/>
        <v>0</v>
      </c>
      <c r="Z2173" s="54">
        <f t="shared" si="612"/>
        <v>0</v>
      </c>
      <c r="AA2173" s="54">
        <f t="shared" si="623"/>
        <v>0</v>
      </c>
      <c r="AB2173" s="55">
        <f>IF(R2173=0,0,0)</f>
        <v>0</v>
      </c>
      <c r="AC2173" s="55">
        <f t="shared" si="624"/>
        <v>0</v>
      </c>
      <c r="AD2173" s="56">
        <f t="shared" si="625"/>
        <v>12131.460000000001</v>
      </c>
    </row>
    <row r="2174" spans="3:30">
      <c r="C2174" s="43" t="s">
        <v>4019</v>
      </c>
      <c r="D2174" s="44" t="s">
        <v>4020</v>
      </c>
      <c r="E2174" s="44"/>
      <c r="F2174" s="45">
        <v>42709.331805555557</v>
      </c>
      <c r="G2174" s="46">
        <v>21</v>
      </c>
      <c r="H2174" s="47">
        <v>43420</v>
      </c>
      <c r="I2174" s="47">
        <v>43430</v>
      </c>
      <c r="J2174" s="46">
        <v>121880</v>
      </c>
      <c r="K2174" s="46">
        <v>0</v>
      </c>
      <c r="L2174" s="46">
        <v>0</v>
      </c>
      <c r="M2174" s="46">
        <f t="shared" si="614"/>
        <v>121880</v>
      </c>
      <c r="N2174" s="46">
        <v>126566</v>
      </c>
      <c r="O2174" s="48">
        <f t="shared" si="615"/>
        <v>3.7024161307144143E-2</v>
      </c>
      <c r="P2174" s="46">
        <v>0</v>
      </c>
      <c r="Q2174" s="46">
        <v>121880</v>
      </c>
      <c r="R2174" s="49">
        <f t="shared" si="616"/>
        <v>1</v>
      </c>
      <c r="S2174" s="50">
        <f t="shared" si="617"/>
        <v>0.01</v>
      </c>
      <c r="T2174" s="49">
        <f t="shared" si="618"/>
        <v>1218.8</v>
      </c>
      <c r="U2174" s="51">
        <f t="shared" si="619"/>
        <v>0</v>
      </c>
      <c r="V2174" s="52">
        <f>IF(0&lt;0.8,0,IF(0&lt;1,Sheet3!L561,1))*IF(G2174&lt;3,0.12 - O2174,0.01) *U2174</f>
        <v>0</v>
      </c>
      <c r="W2174" s="52">
        <f t="shared" si="620"/>
        <v>0</v>
      </c>
      <c r="X2174" s="53">
        <f t="shared" si="621"/>
        <v>0</v>
      </c>
      <c r="Y2174" s="53">
        <f t="shared" si="622"/>
        <v>0</v>
      </c>
      <c r="Z2174" s="54">
        <f t="shared" si="612"/>
        <v>0</v>
      </c>
      <c r="AA2174" s="54">
        <f t="shared" si="623"/>
        <v>0</v>
      </c>
      <c r="AB2174" s="55">
        <f>IF(R2174=0,0,0)</f>
        <v>0</v>
      </c>
      <c r="AC2174" s="55">
        <f t="shared" si="624"/>
        <v>0</v>
      </c>
      <c r="AD2174" s="56">
        <f t="shared" si="625"/>
        <v>1218.8</v>
      </c>
    </row>
    <row r="2175" spans="3:30">
      <c r="C2175" s="43" t="s">
        <v>4021</v>
      </c>
      <c r="D2175" s="44" t="s">
        <v>4022</v>
      </c>
      <c r="E2175" s="44"/>
      <c r="F2175" s="45">
        <v>42811.266226851847</v>
      </c>
      <c r="G2175" s="46">
        <v>18</v>
      </c>
      <c r="H2175" s="47">
        <v>43376</v>
      </c>
      <c r="I2175" s="47">
        <v>43391</v>
      </c>
      <c r="J2175" s="46">
        <v>5293485</v>
      </c>
      <c r="K2175" s="46">
        <v>0</v>
      </c>
      <c r="L2175" s="46">
        <v>0</v>
      </c>
      <c r="M2175" s="46">
        <f t="shared" si="614"/>
        <v>5293485</v>
      </c>
      <c r="N2175" s="46">
        <v>4999188</v>
      </c>
      <c r="O2175" s="48">
        <f t="shared" si="615"/>
        <v>0</v>
      </c>
      <c r="P2175" s="46">
        <v>0</v>
      </c>
      <c r="Q2175" s="46">
        <v>5293485</v>
      </c>
      <c r="R2175" s="49">
        <f t="shared" si="616"/>
        <v>1</v>
      </c>
      <c r="S2175" s="50">
        <f t="shared" si="617"/>
        <v>0.01</v>
      </c>
      <c r="T2175" s="49">
        <f t="shared" si="618"/>
        <v>52934.85</v>
      </c>
      <c r="U2175" s="51">
        <f t="shared" si="619"/>
        <v>0</v>
      </c>
      <c r="V2175" s="52">
        <f>IF(0&lt;0.8,0,IF(0&lt;1,Sheet3!L561,1))*IF(G2175&lt;3,0.12 - O2175,0.01) *U2175</f>
        <v>0</v>
      </c>
      <c r="W2175" s="52">
        <f t="shared" si="620"/>
        <v>0</v>
      </c>
      <c r="X2175" s="53">
        <f t="shared" si="621"/>
        <v>0</v>
      </c>
      <c r="Y2175" s="53">
        <f t="shared" si="622"/>
        <v>0</v>
      </c>
      <c r="Z2175" s="54">
        <f t="shared" si="612"/>
        <v>0</v>
      </c>
      <c r="AA2175" s="54">
        <f t="shared" si="623"/>
        <v>0</v>
      </c>
      <c r="AB2175" s="55">
        <f>IF(R2175=0,0,0)</f>
        <v>0</v>
      </c>
      <c r="AC2175" s="55">
        <f t="shared" si="624"/>
        <v>0</v>
      </c>
      <c r="AD2175" s="56">
        <f t="shared" si="625"/>
        <v>52934.85</v>
      </c>
    </row>
    <row r="2176" spans="3:30">
      <c r="C2176" s="43" t="s">
        <v>4023</v>
      </c>
      <c r="D2176" s="44" t="s">
        <v>24</v>
      </c>
      <c r="E2176" s="44"/>
      <c r="F2176" s="45" t="s">
        <v>24</v>
      </c>
      <c r="G2176" s="46" t="s">
        <v>24</v>
      </c>
      <c r="H2176" s="47" t="s">
        <v>24</v>
      </c>
      <c r="I2176" s="47" t="s">
        <v>24</v>
      </c>
      <c r="J2176" s="46">
        <v>217316</v>
      </c>
      <c r="K2176" s="46">
        <v>0</v>
      </c>
      <c r="L2176" s="46">
        <v>0</v>
      </c>
      <c r="M2176" s="46">
        <f t="shared" si="614"/>
        <v>217316</v>
      </c>
      <c r="N2176" s="46" t="s">
        <v>24</v>
      </c>
      <c r="O2176" s="48">
        <f t="shared" si="615"/>
        <v>0</v>
      </c>
      <c r="P2176" s="46">
        <v>0</v>
      </c>
      <c r="Q2176" s="46">
        <v>0</v>
      </c>
      <c r="R2176" s="49">
        <f t="shared" si="616"/>
        <v>0</v>
      </c>
      <c r="S2176" s="50">
        <f t="shared" si="617"/>
        <v>0</v>
      </c>
      <c r="T2176" s="49">
        <f t="shared" si="618"/>
        <v>0</v>
      </c>
      <c r="U2176" s="51">
        <f t="shared" si="619"/>
        <v>217316</v>
      </c>
      <c r="V2176" s="52">
        <f>IF(0&lt;0.8,0,IF(0&lt;1,Sheet3!L561,1))*IF(G2176&lt;3,0.12 - O2176,0.01) *U2176</f>
        <v>0</v>
      </c>
      <c r="W2176" s="52">
        <f t="shared" si="620"/>
        <v>0</v>
      </c>
      <c r="X2176" s="53">
        <f t="shared" si="621"/>
        <v>0</v>
      </c>
      <c r="Y2176" s="53">
        <f t="shared" si="622"/>
        <v>0</v>
      </c>
      <c r="Z2176" s="54" t="str">
        <f>IF(R2176=1,0,"")</f>
        <v/>
      </c>
      <c r="AA2176" s="54">
        <f t="shared" si="623"/>
        <v>0</v>
      </c>
      <c r="AB2176" s="55" t="str">
        <f>IF(R2176=0,"",0)</f>
        <v/>
      </c>
      <c r="AC2176" s="55">
        <f t="shared" si="624"/>
        <v>0</v>
      </c>
      <c r="AD2176" s="56">
        <f t="shared" si="625"/>
        <v>0</v>
      </c>
    </row>
    <row r="2177" spans="3:30">
      <c r="C2177" s="43" t="s">
        <v>4024</v>
      </c>
      <c r="D2177" s="44" t="s">
        <v>4025</v>
      </c>
      <c r="E2177" s="44"/>
      <c r="F2177" s="45">
        <v>42886.107766203699</v>
      </c>
      <c r="G2177" s="46">
        <v>16</v>
      </c>
      <c r="H2177" s="47">
        <v>43391</v>
      </c>
      <c r="I2177" s="47">
        <v>43405</v>
      </c>
      <c r="J2177" s="46">
        <v>919963</v>
      </c>
      <c r="K2177" s="46">
        <v>0</v>
      </c>
      <c r="L2177" s="46">
        <v>0</v>
      </c>
      <c r="M2177" s="46">
        <f t="shared" si="614"/>
        <v>919963</v>
      </c>
      <c r="N2177" s="46">
        <v>919963</v>
      </c>
      <c r="O2177" s="48">
        <f t="shared" si="615"/>
        <v>0</v>
      </c>
      <c r="P2177" s="46">
        <v>0</v>
      </c>
      <c r="Q2177" s="46">
        <v>919963</v>
      </c>
      <c r="R2177" s="49">
        <f t="shared" si="616"/>
        <v>1</v>
      </c>
      <c r="S2177" s="50">
        <f t="shared" si="617"/>
        <v>0.01</v>
      </c>
      <c r="T2177" s="49">
        <f t="shared" si="618"/>
        <v>9199.630000000001</v>
      </c>
      <c r="U2177" s="51">
        <f t="shared" si="619"/>
        <v>0</v>
      </c>
      <c r="V2177" s="52">
        <f>IF(0&lt;0.8,0,IF(0&lt;1,Sheet3!L561,1))*IF(G2177&lt;3,0.12 - O2177,0.01) *U2177</f>
        <v>0</v>
      </c>
      <c r="W2177" s="52">
        <f t="shared" si="620"/>
        <v>0</v>
      </c>
      <c r="X2177" s="53">
        <f t="shared" si="621"/>
        <v>0</v>
      </c>
      <c r="Y2177" s="53">
        <f t="shared" si="622"/>
        <v>0</v>
      </c>
      <c r="Z2177" s="54">
        <f>IF(R2177=1,0,0)</f>
        <v>0</v>
      </c>
      <c r="AA2177" s="54">
        <f t="shared" si="623"/>
        <v>0</v>
      </c>
      <c r="AB2177" s="55">
        <f>IF(R2177=0,0,0)</f>
        <v>0</v>
      </c>
      <c r="AC2177" s="55">
        <f t="shared" si="624"/>
        <v>0</v>
      </c>
      <c r="AD2177" s="56">
        <f t="shared" si="625"/>
        <v>9199.630000000001</v>
      </c>
    </row>
    <row r="2178" spans="3:30">
      <c r="C2178" s="43" t="s">
        <v>4026</v>
      </c>
      <c r="D2178" s="44" t="s">
        <v>24</v>
      </c>
      <c r="E2178" s="44"/>
      <c r="F2178" s="45" t="s">
        <v>24</v>
      </c>
      <c r="G2178" s="46" t="s">
        <v>24</v>
      </c>
      <c r="H2178" s="47" t="s">
        <v>24</v>
      </c>
      <c r="I2178" s="47" t="s">
        <v>24</v>
      </c>
      <c r="J2178" s="46">
        <v>40172</v>
      </c>
      <c r="K2178" s="46">
        <v>0</v>
      </c>
      <c r="L2178" s="46">
        <v>0</v>
      </c>
      <c r="M2178" s="46">
        <f t="shared" si="614"/>
        <v>40172</v>
      </c>
      <c r="N2178" s="46" t="s">
        <v>24</v>
      </c>
      <c r="O2178" s="48">
        <f t="shared" si="615"/>
        <v>0</v>
      </c>
      <c r="P2178" s="46">
        <v>0</v>
      </c>
      <c r="Q2178" s="46">
        <v>0</v>
      </c>
      <c r="R2178" s="49">
        <f t="shared" si="616"/>
        <v>0</v>
      </c>
      <c r="S2178" s="50">
        <f t="shared" si="617"/>
        <v>0</v>
      </c>
      <c r="T2178" s="49">
        <f t="shared" si="618"/>
        <v>0</v>
      </c>
      <c r="U2178" s="51">
        <f t="shared" si="619"/>
        <v>40172</v>
      </c>
      <c r="V2178" s="52">
        <f>IF(0&lt;0.8,0,IF(0&lt;1,Sheet3!L561,1))*IF(G2178&lt;3,0.12 - O2178,0.01) *U2178</f>
        <v>0</v>
      </c>
      <c r="W2178" s="52">
        <f t="shared" si="620"/>
        <v>0</v>
      </c>
      <c r="X2178" s="53">
        <f t="shared" si="621"/>
        <v>0</v>
      </c>
      <c r="Y2178" s="53">
        <f t="shared" si="622"/>
        <v>0</v>
      </c>
      <c r="Z2178" s="54" t="str">
        <f>IF(R2178=1,0,"")</f>
        <v/>
      </c>
      <c r="AA2178" s="54">
        <f t="shared" si="623"/>
        <v>0</v>
      </c>
      <c r="AB2178" s="55" t="str">
        <f>IF(R2178=0,"",0)</f>
        <v/>
      </c>
      <c r="AC2178" s="55">
        <f t="shared" si="624"/>
        <v>0</v>
      </c>
      <c r="AD2178" s="56">
        <f t="shared" si="625"/>
        <v>0</v>
      </c>
    </row>
    <row r="2179" spans="3:30">
      <c r="C2179" s="43" t="s">
        <v>4027</v>
      </c>
      <c r="D2179" s="44" t="s">
        <v>4028</v>
      </c>
      <c r="E2179" s="44"/>
      <c r="F2179" s="45">
        <v>42954.171620370369</v>
      </c>
      <c r="G2179" s="46">
        <v>13</v>
      </c>
      <c r="H2179" s="47">
        <v>43383</v>
      </c>
      <c r="I2179" s="47">
        <v>43382</v>
      </c>
      <c r="J2179" s="46">
        <v>3390541</v>
      </c>
      <c r="K2179" s="46">
        <v>0</v>
      </c>
      <c r="L2179" s="46">
        <v>0</v>
      </c>
      <c r="M2179" s="46">
        <f t="shared" si="614"/>
        <v>3390541</v>
      </c>
      <c r="N2179" s="46">
        <v>3390541</v>
      </c>
      <c r="O2179" s="48">
        <f t="shared" si="615"/>
        <v>0</v>
      </c>
      <c r="P2179" s="46">
        <v>0</v>
      </c>
      <c r="Q2179" s="46">
        <v>3390541</v>
      </c>
      <c r="R2179" s="49">
        <f t="shared" si="616"/>
        <v>1</v>
      </c>
      <c r="S2179" s="50">
        <f t="shared" si="617"/>
        <v>0.01</v>
      </c>
      <c r="T2179" s="49">
        <f t="shared" si="618"/>
        <v>33905.410000000003</v>
      </c>
      <c r="U2179" s="51">
        <f t="shared" si="619"/>
        <v>0</v>
      </c>
      <c r="V2179" s="52">
        <f>IF(0&lt;0.8,0,IF(0&lt;1,Sheet3!L561,1))*IF(G2179&lt;3,0.12 - O2179,0.01) *U2179</f>
        <v>0</v>
      </c>
      <c r="W2179" s="52">
        <f t="shared" si="620"/>
        <v>0</v>
      </c>
      <c r="X2179" s="53">
        <f t="shared" si="621"/>
        <v>0</v>
      </c>
      <c r="Y2179" s="53">
        <f t="shared" si="622"/>
        <v>0</v>
      </c>
      <c r="Z2179" s="54">
        <f t="shared" ref="Z2179:Z2218" si="626">IF(R2179=1,0,0)</f>
        <v>0</v>
      </c>
      <c r="AA2179" s="54">
        <f t="shared" si="623"/>
        <v>0</v>
      </c>
      <c r="AB2179" s="55">
        <f t="shared" ref="AB2179:AB2218" si="627">IF(R2179=0,0,0)</f>
        <v>0</v>
      </c>
      <c r="AC2179" s="55">
        <f t="shared" si="624"/>
        <v>0</v>
      </c>
      <c r="AD2179" s="56">
        <f t="shared" si="625"/>
        <v>33905.410000000003</v>
      </c>
    </row>
    <row r="2180" spans="3:30">
      <c r="C2180" s="43" t="s">
        <v>4029</v>
      </c>
      <c r="D2180" s="44" t="s">
        <v>4030</v>
      </c>
      <c r="E2180" s="44"/>
      <c r="F2180" s="45">
        <v>42975.395173611112</v>
      </c>
      <c r="G2180" s="46">
        <v>13</v>
      </c>
      <c r="H2180" s="47">
        <v>43383</v>
      </c>
      <c r="I2180" s="47">
        <v>43390</v>
      </c>
      <c r="J2180" s="46">
        <v>692575</v>
      </c>
      <c r="K2180" s="46">
        <v>0</v>
      </c>
      <c r="L2180" s="46">
        <v>0</v>
      </c>
      <c r="M2180" s="46">
        <f t="shared" si="614"/>
        <v>692575</v>
      </c>
      <c r="N2180" s="46">
        <v>690381</v>
      </c>
      <c r="O2180" s="48">
        <f t="shared" si="615"/>
        <v>0</v>
      </c>
      <c r="P2180" s="46">
        <v>0</v>
      </c>
      <c r="Q2180" s="46">
        <v>692575</v>
      </c>
      <c r="R2180" s="49">
        <f t="shared" si="616"/>
        <v>1</v>
      </c>
      <c r="S2180" s="50">
        <f t="shared" si="617"/>
        <v>0.01</v>
      </c>
      <c r="T2180" s="49">
        <f t="shared" si="618"/>
        <v>6925.75</v>
      </c>
      <c r="U2180" s="51">
        <f t="shared" si="619"/>
        <v>0</v>
      </c>
      <c r="V2180" s="52">
        <f>IF(0&lt;0.8,0,IF(0&lt;1,Sheet3!L561,1))*IF(G2180&lt;3,0.12 - O2180,0.01) *U2180</f>
        <v>0</v>
      </c>
      <c r="W2180" s="52">
        <f t="shared" si="620"/>
        <v>0</v>
      </c>
      <c r="X2180" s="53">
        <f t="shared" si="621"/>
        <v>0</v>
      </c>
      <c r="Y2180" s="53">
        <f t="shared" si="622"/>
        <v>0</v>
      </c>
      <c r="Z2180" s="54">
        <f t="shared" si="626"/>
        <v>0</v>
      </c>
      <c r="AA2180" s="54">
        <f t="shared" si="623"/>
        <v>0</v>
      </c>
      <c r="AB2180" s="55">
        <f t="shared" si="627"/>
        <v>0</v>
      </c>
      <c r="AC2180" s="55">
        <f t="shared" si="624"/>
        <v>0</v>
      </c>
      <c r="AD2180" s="56">
        <f t="shared" si="625"/>
        <v>6925.75</v>
      </c>
    </row>
    <row r="2181" spans="3:30">
      <c r="C2181" s="43" t="s">
        <v>4031</v>
      </c>
      <c r="D2181" s="44" t="s">
        <v>2515</v>
      </c>
      <c r="E2181" s="44"/>
      <c r="F2181" s="45">
        <v>42994.310983796291</v>
      </c>
      <c r="G2181" s="46">
        <v>12</v>
      </c>
      <c r="H2181" s="47">
        <v>43376</v>
      </c>
      <c r="I2181" s="47">
        <v>43386</v>
      </c>
      <c r="J2181" s="46">
        <v>13310</v>
      </c>
      <c r="K2181" s="46">
        <v>0</v>
      </c>
      <c r="L2181" s="46">
        <v>0</v>
      </c>
      <c r="M2181" s="46">
        <f t="shared" si="614"/>
        <v>13310</v>
      </c>
      <c r="N2181" s="46">
        <v>13310</v>
      </c>
      <c r="O2181" s="48">
        <f t="shared" si="615"/>
        <v>0</v>
      </c>
      <c r="P2181" s="46">
        <v>0</v>
      </c>
      <c r="Q2181" s="46">
        <v>13310</v>
      </c>
      <c r="R2181" s="49">
        <f t="shared" si="616"/>
        <v>1</v>
      </c>
      <c r="S2181" s="50">
        <f t="shared" si="617"/>
        <v>0.01</v>
      </c>
      <c r="T2181" s="49">
        <f t="shared" si="618"/>
        <v>133.1</v>
      </c>
      <c r="U2181" s="51">
        <f t="shared" si="619"/>
        <v>0</v>
      </c>
      <c r="V2181" s="52">
        <f>IF(0&lt;0.8,0,IF(0&lt;1,Sheet3!L561,1))*IF(G2181&lt;3,0.12 - O2181,0.01) *U2181</f>
        <v>0</v>
      </c>
      <c r="W2181" s="52">
        <f t="shared" si="620"/>
        <v>0</v>
      </c>
      <c r="X2181" s="53">
        <f t="shared" si="621"/>
        <v>0</v>
      </c>
      <c r="Y2181" s="53">
        <f t="shared" si="622"/>
        <v>0</v>
      </c>
      <c r="Z2181" s="54">
        <f t="shared" si="626"/>
        <v>0</v>
      </c>
      <c r="AA2181" s="54">
        <f t="shared" si="623"/>
        <v>0</v>
      </c>
      <c r="AB2181" s="55">
        <f t="shared" si="627"/>
        <v>0</v>
      </c>
      <c r="AC2181" s="55">
        <f t="shared" si="624"/>
        <v>0</v>
      </c>
      <c r="AD2181" s="56">
        <f t="shared" si="625"/>
        <v>133.1</v>
      </c>
    </row>
    <row r="2182" spans="3:30">
      <c r="C2182" s="43" t="s">
        <v>4032</v>
      </c>
      <c r="D2182" s="44" t="s">
        <v>4033</v>
      </c>
      <c r="E2182" s="44"/>
      <c r="F2182" s="45">
        <v>42999.196099537032</v>
      </c>
      <c r="G2182" s="46">
        <v>12</v>
      </c>
      <c r="H2182" s="47">
        <v>43383</v>
      </c>
      <c r="I2182" s="47">
        <v>43392</v>
      </c>
      <c r="J2182" s="46">
        <v>4421446</v>
      </c>
      <c r="K2182" s="46">
        <v>0</v>
      </c>
      <c r="L2182" s="46">
        <v>0</v>
      </c>
      <c r="M2182" s="46">
        <f t="shared" si="614"/>
        <v>4421446</v>
      </c>
      <c r="N2182" s="46">
        <v>4408756</v>
      </c>
      <c r="O2182" s="48">
        <f t="shared" si="615"/>
        <v>0</v>
      </c>
      <c r="P2182" s="46">
        <v>0</v>
      </c>
      <c r="Q2182" s="46">
        <v>4421446</v>
      </c>
      <c r="R2182" s="49">
        <f t="shared" si="616"/>
        <v>1</v>
      </c>
      <c r="S2182" s="50">
        <f t="shared" si="617"/>
        <v>0.01</v>
      </c>
      <c r="T2182" s="49">
        <f t="shared" si="618"/>
        <v>44214.46</v>
      </c>
      <c r="U2182" s="51">
        <f t="shared" si="619"/>
        <v>0</v>
      </c>
      <c r="V2182" s="52">
        <f>IF(0&lt;0.8,0,IF(0&lt;1,Sheet3!L561,1))*IF(G2182&lt;3,0.12 - O2182,0.01) *U2182</f>
        <v>0</v>
      </c>
      <c r="W2182" s="52">
        <f t="shared" si="620"/>
        <v>0</v>
      </c>
      <c r="X2182" s="53">
        <f t="shared" si="621"/>
        <v>0</v>
      </c>
      <c r="Y2182" s="53">
        <f t="shared" si="622"/>
        <v>0</v>
      </c>
      <c r="Z2182" s="54">
        <f t="shared" si="626"/>
        <v>0</v>
      </c>
      <c r="AA2182" s="54">
        <f t="shared" si="623"/>
        <v>0</v>
      </c>
      <c r="AB2182" s="55">
        <f t="shared" si="627"/>
        <v>0</v>
      </c>
      <c r="AC2182" s="55">
        <f t="shared" si="624"/>
        <v>0</v>
      </c>
      <c r="AD2182" s="56">
        <f t="shared" si="625"/>
        <v>44214.46</v>
      </c>
    </row>
    <row r="2183" spans="3:30">
      <c r="C2183" s="43" t="s">
        <v>4034</v>
      </c>
      <c r="D2183" s="44" t="s">
        <v>4035</v>
      </c>
      <c r="E2183" s="44"/>
      <c r="F2183" s="45">
        <v>43001.400208333333</v>
      </c>
      <c r="G2183" s="46">
        <v>12</v>
      </c>
      <c r="H2183" s="47">
        <v>43420</v>
      </c>
      <c r="I2183" s="47">
        <v>43430</v>
      </c>
      <c r="J2183" s="46">
        <v>150563</v>
      </c>
      <c r="K2183" s="46">
        <v>0</v>
      </c>
      <c r="L2183" s="46">
        <v>0</v>
      </c>
      <c r="M2183" s="46">
        <f t="shared" si="614"/>
        <v>150563</v>
      </c>
      <c r="N2183" s="46">
        <v>158131</v>
      </c>
      <c r="O2183" s="48">
        <f t="shared" si="615"/>
        <v>4.7859053569508814E-2</v>
      </c>
      <c r="P2183" s="46">
        <v>0</v>
      </c>
      <c r="Q2183" s="46">
        <v>150563</v>
      </c>
      <c r="R2183" s="49">
        <f t="shared" si="616"/>
        <v>1</v>
      </c>
      <c r="S2183" s="50">
        <f t="shared" si="617"/>
        <v>0.01</v>
      </c>
      <c r="T2183" s="49">
        <f t="shared" si="618"/>
        <v>1505.63</v>
      </c>
      <c r="U2183" s="51">
        <f t="shared" si="619"/>
        <v>0</v>
      </c>
      <c r="V2183" s="52">
        <f>IF(0&lt;0.8,0,IF(0&lt;1,Sheet3!L561,1))*IF(G2183&lt;3,0.12 - O2183,0.01) *U2183</f>
        <v>0</v>
      </c>
      <c r="W2183" s="52">
        <f t="shared" si="620"/>
        <v>0</v>
      </c>
      <c r="X2183" s="53">
        <f t="shared" si="621"/>
        <v>0</v>
      </c>
      <c r="Y2183" s="53">
        <f t="shared" si="622"/>
        <v>0</v>
      </c>
      <c r="Z2183" s="54">
        <f t="shared" si="626"/>
        <v>0</v>
      </c>
      <c r="AA2183" s="54">
        <f t="shared" si="623"/>
        <v>0</v>
      </c>
      <c r="AB2183" s="55">
        <f t="shared" si="627"/>
        <v>0</v>
      </c>
      <c r="AC2183" s="55">
        <f t="shared" si="624"/>
        <v>0</v>
      </c>
      <c r="AD2183" s="56">
        <f t="shared" si="625"/>
        <v>1505.63</v>
      </c>
    </row>
    <row r="2184" spans="3:30">
      <c r="C2184" s="43" t="s">
        <v>4036</v>
      </c>
      <c r="D2184" s="44" t="s">
        <v>4037</v>
      </c>
      <c r="E2184" s="44"/>
      <c r="F2184" s="45">
        <v>43001.401689814811</v>
      </c>
      <c r="G2184" s="46">
        <v>12</v>
      </c>
      <c r="H2184" s="47">
        <v>43420</v>
      </c>
      <c r="I2184" s="47">
        <v>43430</v>
      </c>
      <c r="J2184" s="46">
        <v>258390</v>
      </c>
      <c r="K2184" s="46">
        <v>0</v>
      </c>
      <c r="L2184" s="46">
        <v>0</v>
      </c>
      <c r="M2184" s="46">
        <f t="shared" si="614"/>
        <v>258390</v>
      </c>
      <c r="N2184" s="46">
        <v>317141</v>
      </c>
      <c r="O2184" s="48">
        <f t="shared" si="615"/>
        <v>0.18525198570982626</v>
      </c>
      <c r="P2184" s="46">
        <v>0</v>
      </c>
      <c r="Q2184" s="46">
        <v>258390</v>
      </c>
      <c r="R2184" s="49">
        <f t="shared" si="616"/>
        <v>1</v>
      </c>
      <c r="S2184" s="50">
        <f t="shared" si="617"/>
        <v>0.01</v>
      </c>
      <c r="T2184" s="49">
        <f t="shared" si="618"/>
        <v>2583.9</v>
      </c>
      <c r="U2184" s="51">
        <f t="shared" si="619"/>
        <v>0</v>
      </c>
      <c r="V2184" s="52">
        <f>IF(0&lt;0.8,0,IF(0&lt;1,Sheet3!L561,1))*IF(G2184&lt;3,0.12 - O2184,0.01) *U2184</f>
        <v>0</v>
      </c>
      <c r="W2184" s="52">
        <f t="shared" si="620"/>
        <v>0</v>
      </c>
      <c r="X2184" s="53">
        <f t="shared" si="621"/>
        <v>0</v>
      </c>
      <c r="Y2184" s="53">
        <f t="shared" si="622"/>
        <v>0</v>
      </c>
      <c r="Z2184" s="54">
        <f t="shared" si="626"/>
        <v>0</v>
      </c>
      <c r="AA2184" s="54">
        <f t="shared" si="623"/>
        <v>0</v>
      </c>
      <c r="AB2184" s="55">
        <f t="shared" si="627"/>
        <v>0</v>
      </c>
      <c r="AC2184" s="55">
        <f t="shared" si="624"/>
        <v>0</v>
      </c>
      <c r="AD2184" s="56">
        <f t="shared" si="625"/>
        <v>2583.9</v>
      </c>
    </row>
    <row r="2185" spans="3:30">
      <c r="C2185" s="43" t="s">
        <v>4038</v>
      </c>
      <c r="D2185" s="44" t="s">
        <v>4039</v>
      </c>
      <c r="E2185" s="44"/>
      <c r="F2185" s="45">
        <v>43001.402939814812</v>
      </c>
      <c r="G2185" s="46">
        <v>12</v>
      </c>
      <c r="H2185" s="47">
        <v>43420</v>
      </c>
      <c r="I2185" s="47">
        <v>43430</v>
      </c>
      <c r="J2185" s="46">
        <v>172062</v>
      </c>
      <c r="K2185" s="46">
        <v>0</v>
      </c>
      <c r="L2185" s="46">
        <v>0</v>
      </c>
      <c r="M2185" s="46">
        <f t="shared" si="614"/>
        <v>172062</v>
      </c>
      <c r="N2185" s="46">
        <v>252164</v>
      </c>
      <c r="O2185" s="48">
        <f t="shared" si="615"/>
        <v>0.31765834932821502</v>
      </c>
      <c r="P2185" s="46">
        <v>0</v>
      </c>
      <c r="Q2185" s="46">
        <v>172062</v>
      </c>
      <c r="R2185" s="49">
        <f t="shared" si="616"/>
        <v>1</v>
      </c>
      <c r="S2185" s="50">
        <f t="shared" si="617"/>
        <v>0.01</v>
      </c>
      <c r="T2185" s="49">
        <f t="shared" si="618"/>
        <v>1720.6200000000001</v>
      </c>
      <c r="U2185" s="51">
        <f t="shared" si="619"/>
        <v>0</v>
      </c>
      <c r="V2185" s="52">
        <f>IF(0&lt;0.8,0,IF(0&lt;1,Sheet3!L561,1))*IF(G2185&lt;3,0.12 - O2185,0.01) *U2185</f>
        <v>0</v>
      </c>
      <c r="W2185" s="52">
        <f t="shared" si="620"/>
        <v>0</v>
      </c>
      <c r="X2185" s="53">
        <f t="shared" si="621"/>
        <v>0</v>
      </c>
      <c r="Y2185" s="53">
        <f t="shared" si="622"/>
        <v>0</v>
      </c>
      <c r="Z2185" s="54">
        <f t="shared" si="626"/>
        <v>0</v>
      </c>
      <c r="AA2185" s="54">
        <f t="shared" si="623"/>
        <v>0</v>
      </c>
      <c r="AB2185" s="55">
        <f t="shared" si="627"/>
        <v>0</v>
      </c>
      <c r="AC2185" s="55">
        <f t="shared" si="624"/>
        <v>0</v>
      </c>
      <c r="AD2185" s="56">
        <f t="shared" si="625"/>
        <v>1720.6200000000001</v>
      </c>
    </row>
    <row r="2186" spans="3:30">
      <c r="C2186" s="43" t="s">
        <v>4040</v>
      </c>
      <c r="D2186" s="44" t="s">
        <v>4041</v>
      </c>
      <c r="E2186" s="44"/>
      <c r="F2186" s="45">
        <v>43001.404479166667</v>
      </c>
      <c r="G2186" s="46">
        <v>12</v>
      </c>
      <c r="H2186" s="47">
        <v>43420</v>
      </c>
      <c r="I2186" s="47">
        <v>43430</v>
      </c>
      <c r="J2186" s="46">
        <v>430320</v>
      </c>
      <c r="K2186" s="46">
        <v>0</v>
      </c>
      <c r="L2186" s="46">
        <v>0</v>
      </c>
      <c r="M2186" s="46">
        <f t="shared" si="614"/>
        <v>430320</v>
      </c>
      <c r="N2186" s="46">
        <v>606936</v>
      </c>
      <c r="O2186" s="48">
        <f t="shared" si="615"/>
        <v>0.29099608525445841</v>
      </c>
      <c r="P2186" s="46">
        <v>0</v>
      </c>
      <c r="Q2186" s="46">
        <v>430320</v>
      </c>
      <c r="R2186" s="49">
        <f t="shared" si="616"/>
        <v>1</v>
      </c>
      <c r="S2186" s="50">
        <f t="shared" si="617"/>
        <v>0.01</v>
      </c>
      <c r="T2186" s="49">
        <f t="shared" si="618"/>
        <v>4303.2</v>
      </c>
      <c r="U2186" s="51">
        <f t="shared" si="619"/>
        <v>0</v>
      </c>
      <c r="V2186" s="52">
        <f>IF(0&lt;0.8,0,IF(0&lt;1,Sheet3!L561,1))*IF(G2186&lt;3,0.12 - O2186,0.01) *U2186</f>
        <v>0</v>
      </c>
      <c r="W2186" s="52">
        <f t="shared" si="620"/>
        <v>0</v>
      </c>
      <c r="X2186" s="53">
        <f t="shared" si="621"/>
        <v>0</v>
      </c>
      <c r="Y2186" s="53">
        <f t="shared" si="622"/>
        <v>0</v>
      </c>
      <c r="Z2186" s="54">
        <f t="shared" si="626"/>
        <v>0</v>
      </c>
      <c r="AA2186" s="54">
        <f t="shared" si="623"/>
        <v>0</v>
      </c>
      <c r="AB2186" s="55">
        <f t="shared" si="627"/>
        <v>0</v>
      </c>
      <c r="AC2186" s="55">
        <f t="shared" si="624"/>
        <v>0</v>
      </c>
      <c r="AD2186" s="56">
        <f t="shared" si="625"/>
        <v>4303.2</v>
      </c>
    </row>
    <row r="2187" spans="3:30">
      <c r="C2187" s="43" t="s">
        <v>4042</v>
      </c>
      <c r="D2187" s="44" t="s">
        <v>4043</v>
      </c>
      <c r="E2187" s="44"/>
      <c r="F2187" s="45">
        <v>43001.405763888884</v>
      </c>
      <c r="G2187" s="46">
        <v>12</v>
      </c>
      <c r="H2187" s="47">
        <v>43420</v>
      </c>
      <c r="I2187" s="47">
        <v>43430</v>
      </c>
      <c r="J2187" s="46">
        <v>59840</v>
      </c>
      <c r="K2187" s="46">
        <v>0</v>
      </c>
      <c r="L2187" s="46">
        <v>0</v>
      </c>
      <c r="M2187" s="46">
        <f t="shared" si="614"/>
        <v>59840</v>
      </c>
      <c r="N2187" s="46">
        <v>85789</v>
      </c>
      <c r="O2187" s="48">
        <f t="shared" si="615"/>
        <v>0.30247467624054369</v>
      </c>
      <c r="P2187" s="46">
        <v>0</v>
      </c>
      <c r="Q2187" s="46">
        <v>59840</v>
      </c>
      <c r="R2187" s="49">
        <f t="shared" si="616"/>
        <v>1</v>
      </c>
      <c r="S2187" s="50">
        <f t="shared" si="617"/>
        <v>0.01</v>
      </c>
      <c r="T2187" s="49">
        <f t="shared" si="618"/>
        <v>598.4</v>
      </c>
      <c r="U2187" s="51">
        <f t="shared" si="619"/>
        <v>0</v>
      </c>
      <c r="V2187" s="52">
        <f>IF(0&lt;0.8,0,IF(0&lt;1,Sheet3!L561,1))*IF(G2187&lt;3,0.12 - O2187,0.01) *U2187</f>
        <v>0</v>
      </c>
      <c r="W2187" s="52">
        <f t="shared" si="620"/>
        <v>0</v>
      </c>
      <c r="X2187" s="53">
        <f t="shared" si="621"/>
        <v>0</v>
      </c>
      <c r="Y2187" s="53">
        <f t="shared" si="622"/>
        <v>0</v>
      </c>
      <c r="Z2187" s="54">
        <f t="shared" si="626"/>
        <v>0</v>
      </c>
      <c r="AA2187" s="54">
        <f t="shared" si="623"/>
        <v>0</v>
      </c>
      <c r="AB2187" s="55">
        <f t="shared" si="627"/>
        <v>0</v>
      </c>
      <c r="AC2187" s="55">
        <f t="shared" si="624"/>
        <v>0</v>
      </c>
      <c r="AD2187" s="56">
        <f t="shared" si="625"/>
        <v>598.4</v>
      </c>
    </row>
    <row r="2188" spans="3:30">
      <c r="C2188" s="43" t="s">
        <v>4044</v>
      </c>
      <c r="D2188" s="44" t="s">
        <v>4045</v>
      </c>
      <c r="E2188" s="44"/>
      <c r="F2188" s="45">
        <v>43001.407337962963</v>
      </c>
      <c r="G2188" s="46">
        <v>12</v>
      </c>
      <c r="H2188" s="47">
        <v>43420</v>
      </c>
      <c r="I2188" s="47">
        <v>43430</v>
      </c>
      <c r="J2188" s="46">
        <v>132880</v>
      </c>
      <c r="K2188" s="46">
        <v>0</v>
      </c>
      <c r="L2188" s="46">
        <v>0</v>
      </c>
      <c r="M2188" s="46">
        <f t="shared" si="614"/>
        <v>132880</v>
      </c>
      <c r="N2188" s="46">
        <v>197230</v>
      </c>
      <c r="O2188" s="48">
        <f t="shared" si="615"/>
        <v>0.32626882320133854</v>
      </c>
      <c r="P2188" s="46">
        <v>0</v>
      </c>
      <c r="Q2188" s="46">
        <v>132880</v>
      </c>
      <c r="R2188" s="49">
        <f t="shared" si="616"/>
        <v>1</v>
      </c>
      <c r="S2188" s="50">
        <f t="shared" si="617"/>
        <v>0.01</v>
      </c>
      <c r="T2188" s="49">
        <f t="shared" si="618"/>
        <v>1328.8</v>
      </c>
      <c r="U2188" s="51">
        <f t="shared" si="619"/>
        <v>0</v>
      </c>
      <c r="V2188" s="52">
        <f>IF(0&lt;0.8,0,IF(0&lt;1,Sheet3!L561,1))*IF(G2188&lt;3,0.12 - O2188,0.01) *U2188</f>
        <v>0</v>
      </c>
      <c r="W2188" s="52">
        <f t="shared" si="620"/>
        <v>0</v>
      </c>
      <c r="X2188" s="53">
        <f t="shared" si="621"/>
        <v>0</v>
      </c>
      <c r="Y2188" s="53">
        <f t="shared" si="622"/>
        <v>0</v>
      </c>
      <c r="Z2188" s="54">
        <f t="shared" si="626"/>
        <v>0</v>
      </c>
      <c r="AA2188" s="54">
        <f t="shared" si="623"/>
        <v>0</v>
      </c>
      <c r="AB2188" s="55">
        <f t="shared" si="627"/>
        <v>0</v>
      </c>
      <c r="AC2188" s="55">
        <f t="shared" si="624"/>
        <v>0</v>
      </c>
      <c r="AD2188" s="56">
        <f t="shared" si="625"/>
        <v>1328.8</v>
      </c>
    </row>
    <row r="2189" spans="3:30">
      <c r="C2189" s="43" t="s">
        <v>4046</v>
      </c>
      <c r="D2189" s="44" t="s">
        <v>4047</v>
      </c>
      <c r="E2189" s="44"/>
      <c r="F2189" s="45">
        <v>43001.408657407403</v>
      </c>
      <c r="G2189" s="46">
        <v>12</v>
      </c>
      <c r="H2189" s="47">
        <v>43420</v>
      </c>
      <c r="I2189" s="47">
        <v>43430</v>
      </c>
      <c r="J2189" s="46">
        <v>191510</v>
      </c>
      <c r="K2189" s="46">
        <v>0</v>
      </c>
      <c r="L2189" s="46">
        <v>0</v>
      </c>
      <c r="M2189" s="46">
        <f t="shared" si="614"/>
        <v>191510</v>
      </c>
      <c r="N2189" s="46">
        <v>241032</v>
      </c>
      <c r="O2189" s="48">
        <f t="shared" si="615"/>
        <v>0.20545819642205188</v>
      </c>
      <c r="P2189" s="46">
        <v>0</v>
      </c>
      <c r="Q2189" s="46">
        <v>191510</v>
      </c>
      <c r="R2189" s="49">
        <f t="shared" si="616"/>
        <v>1</v>
      </c>
      <c r="S2189" s="50">
        <f t="shared" si="617"/>
        <v>0.01</v>
      </c>
      <c r="T2189" s="49">
        <f t="shared" si="618"/>
        <v>1915.1000000000001</v>
      </c>
      <c r="U2189" s="51">
        <f t="shared" si="619"/>
        <v>0</v>
      </c>
      <c r="V2189" s="52">
        <f>IF(0&lt;0.8,0,IF(0&lt;1,Sheet3!L561,1))*IF(G2189&lt;3,0.12 - O2189,0.01) *U2189</f>
        <v>0</v>
      </c>
      <c r="W2189" s="52">
        <f t="shared" si="620"/>
        <v>0</v>
      </c>
      <c r="X2189" s="53">
        <f t="shared" si="621"/>
        <v>0</v>
      </c>
      <c r="Y2189" s="53">
        <f t="shared" si="622"/>
        <v>0</v>
      </c>
      <c r="Z2189" s="54">
        <f t="shared" si="626"/>
        <v>0</v>
      </c>
      <c r="AA2189" s="54">
        <f t="shared" si="623"/>
        <v>0</v>
      </c>
      <c r="AB2189" s="55">
        <f t="shared" si="627"/>
        <v>0</v>
      </c>
      <c r="AC2189" s="55">
        <f t="shared" si="624"/>
        <v>0</v>
      </c>
      <c r="AD2189" s="56">
        <f t="shared" si="625"/>
        <v>1915.1000000000001</v>
      </c>
    </row>
    <row r="2190" spans="3:30">
      <c r="C2190" s="43" t="s">
        <v>4048</v>
      </c>
      <c r="D2190" s="44" t="s">
        <v>4049</v>
      </c>
      <c r="E2190" s="44"/>
      <c r="F2190" s="45">
        <v>43001.409930555557</v>
      </c>
      <c r="G2190" s="46">
        <v>12</v>
      </c>
      <c r="H2190" s="47">
        <v>43420</v>
      </c>
      <c r="I2190" s="47">
        <v>43430</v>
      </c>
      <c r="J2190" s="46">
        <v>286704</v>
      </c>
      <c r="K2190" s="46">
        <v>0</v>
      </c>
      <c r="L2190" s="46">
        <v>0</v>
      </c>
      <c r="M2190" s="46">
        <f t="shared" si="614"/>
        <v>286704</v>
      </c>
      <c r="N2190" s="46">
        <v>492833</v>
      </c>
      <c r="O2190" s="48">
        <f t="shared" si="615"/>
        <v>0.41825324197040381</v>
      </c>
      <c r="P2190" s="46">
        <v>0</v>
      </c>
      <c r="Q2190" s="46">
        <v>286704</v>
      </c>
      <c r="R2190" s="49">
        <f t="shared" si="616"/>
        <v>1</v>
      </c>
      <c r="S2190" s="50">
        <f t="shared" si="617"/>
        <v>0.01</v>
      </c>
      <c r="T2190" s="49">
        <f t="shared" si="618"/>
        <v>2867.04</v>
      </c>
      <c r="U2190" s="51">
        <f t="shared" si="619"/>
        <v>0</v>
      </c>
      <c r="V2190" s="52">
        <f>IF(0&lt;0.8,0,IF(0&lt;1,Sheet3!L561,1))*IF(G2190&lt;3,0.12 - O2190,0.01) *U2190</f>
        <v>0</v>
      </c>
      <c r="W2190" s="52">
        <f t="shared" si="620"/>
        <v>0</v>
      </c>
      <c r="X2190" s="53">
        <f t="shared" si="621"/>
        <v>0</v>
      </c>
      <c r="Y2190" s="53">
        <f t="shared" si="622"/>
        <v>0</v>
      </c>
      <c r="Z2190" s="54">
        <f t="shared" si="626"/>
        <v>0</v>
      </c>
      <c r="AA2190" s="54">
        <f t="shared" si="623"/>
        <v>0</v>
      </c>
      <c r="AB2190" s="55">
        <f t="shared" si="627"/>
        <v>0</v>
      </c>
      <c r="AC2190" s="55">
        <f t="shared" si="624"/>
        <v>0</v>
      </c>
      <c r="AD2190" s="56">
        <f t="shared" si="625"/>
        <v>2867.04</v>
      </c>
    </row>
    <row r="2191" spans="3:30">
      <c r="C2191" s="43" t="s">
        <v>4050</v>
      </c>
      <c r="D2191" s="44" t="s">
        <v>4051</v>
      </c>
      <c r="E2191" s="44"/>
      <c r="F2191" s="45">
        <v>43001.411030092589</v>
      </c>
      <c r="G2191" s="46">
        <v>12</v>
      </c>
      <c r="H2191" s="47">
        <v>43420</v>
      </c>
      <c r="I2191" s="47">
        <v>43430</v>
      </c>
      <c r="J2191" s="46">
        <v>231022</v>
      </c>
      <c r="K2191" s="46">
        <v>0</v>
      </c>
      <c r="L2191" s="46">
        <v>0</v>
      </c>
      <c r="M2191" s="46">
        <f t="shared" si="614"/>
        <v>231022</v>
      </c>
      <c r="N2191" s="46">
        <v>257004</v>
      </c>
      <c r="O2191" s="48">
        <f t="shared" si="615"/>
        <v>0.10109570279061808</v>
      </c>
      <c r="P2191" s="46">
        <v>0</v>
      </c>
      <c r="Q2191" s="46">
        <v>231022</v>
      </c>
      <c r="R2191" s="49">
        <f t="shared" si="616"/>
        <v>1</v>
      </c>
      <c r="S2191" s="50">
        <f t="shared" si="617"/>
        <v>0.01</v>
      </c>
      <c r="T2191" s="49">
        <f t="shared" si="618"/>
        <v>2310.2200000000003</v>
      </c>
      <c r="U2191" s="51">
        <f t="shared" si="619"/>
        <v>0</v>
      </c>
      <c r="V2191" s="52">
        <f>IF(0&lt;0.8,0,IF(0&lt;1,Sheet3!L561,1))*IF(G2191&lt;3,0.12 - O2191,0.01) *U2191</f>
        <v>0</v>
      </c>
      <c r="W2191" s="52">
        <f t="shared" si="620"/>
        <v>0</v>
      </c>
      <c r="X2191" s="53">
        <f t="shared" si="621"/>
        <v>0</v>
      </c>
      <c r="Y2191" s="53">
        <f t="shared" si="622"/>
        <v>0</v>
      </c>
      <c r="Z2191" s="54">
        <f t="shared" si="626"/>
        <v>0</v>
      </c>
      <c r="AA2191" s="54">
        <f t="shared" si="623"/>
        <v>0</v>
      </c>
      <c r="AB2191" s="55">
        <f t="shared" si="627"/>
        <v>0</v>
      </c>
      <c r="AC2191" s="55">
        <f t="shared" si="624"/>
        <v>0</v>
      </c>
      <c r="AD2191" s="56">
        <f t="shared" si="625"/>
        <v>2310.2200000000003</v>
      </c>
    </row>
    <row r="2192" spans="3:30">
      <c r="C2192" s="43" t="s">
        <v>4052</v>
      </c>
      <c r="D2192" s="44" t="s">
        <v>4053</v>
      </c>
      <c r="E2192" s="44"/>
      <c r="F2192" s="45">
        <v>43025.271238425921</v>
      </c>
      <c r="G2192" s="46">
        <v>11</v>
      </c>
      <c r="H2192" s="47" t="s">
        <v>24</v>
      </c>
      <c r="I2192" s="47" t="s">
        <v>24</v>
      </c>
      <c r="J2192" s="46">
        <v>318516</v>
      </c>
      <c r="K2192" s="46">
        <v>0</v>
      </c>
      <c r="L2192" s="46">
        <v>0</v>
      </c>
      <c r="M2192" s="46">
        <f t="shared" si="614"/>
        <v>318516</v>
      </c>
      <c r="N2192" s="46">
        <v>329362</v>
      </c>
      <c r="O2192" s="48">
        <f t="shared" si="615"/>
        <v>3.2930331975151939E-2</v>
      </c>
      <c r="P2192" s="46">
        <v>0</v>
      </c>
      <c r="Q2192" s="46">
        <v>318516</v>
      </c>
      <c r="R2192" s="49">
        <f t="shared" si="616"/>
        <v>1</v>
      </c>
      <c r="S2192" s="50">
        <f t="shared" si="617"/>
        <v>0.01</v>
      </c>
      <c r="T2192" s="49">
        <f t="shared" si="618"/>
        <v>3185.16</v>
      </c>
      <c r="U2192" s="51">
        <f t="shared" si="619"/>
        <v>0</v>
      </c>
      <c r="V2192" s="52">
        <f>IF(0&lt;0.8,0,IF(0&lt;1,Sheet3!L561,1))*IF(G2192&lt;3,0.12 - O2192,0.01) *U2192</f>
        <v>0</v>
      </c>
      <c r="W2192" s="52">
        <f t="shared" si="620"/>
        <v>0</v>
      </c>
      <c r="X2192" s="53">
        <f t="shared" si="621"/>
        <v>0</v>
      </c>
      <c r="Y2192" s="53">
        <f t="shared" si="622"/>
        <v>0</v>
      </c>
      <c r="Z2192" s="54">
        <f t="shared" si="626"/>
        <v>0</v>
      </c>
      <c r="AA2192" s="54">
        <f t="shared" si="623"/>
        <v>0</v>
      </c>
      <c r="AB2192" s="55">
        <f t="shared" si="627"/>
        <v>0</v>
      </c>
      <c r="AC2192" s="55">
        <f t="shared" si="624"/>
        <v>0</v>
      </c>
      <c r="AD2192" s="56">
        <f t="shared" si="625"/>
        <v>3185.16</v>
      </c>
    </row>
    <row r="2193" spans="3:30">
      <c r="C2193" s="43" t="s">
        <v>4054</v>
      </c>
      <c r="D2193" s="44" t="s">
        <v>4055</v>
      </c>
      <c r="E2193" s="44"/>
      <c r="F2193" s="45">
        <v>43032.185601851852</v>
      </c>
      <c r="G2193" s="46">
        <v>11</v>
      </c>
      <c r="H2193" s="47" t="s">
        <v>24</v>
      </c>
      <c r="I2193" s="47" t="s">
        <v>24</v>
      </c>
      <c r="J2193" s="46">
        <v>162800</v>
      </c>
      <c r="K2193" s="46">
        <v>0</v>
      </c>
      <c r="L2193" s="46">
        <v>0</v>
      </c>
      <c r="M2193" s="46">
        <f t="shared" si="614"/>
        <v>162800</v>
      </c>
      <c r="N2193" s="46">
        <v>294030</v>
      </c>
      <c r="O2193" s="48">
        <f t="shared" si="615"/>
        <v>0.44631500187055739</v>
      </c>
      <c r="P2193" s="46">
        <v>0</v>
      </c>
      <c r="Q2193" s="46">
        <v>162800</v>
      </c>
      <c r="R2193" s="49">
        <f t="shared" si="616"/>
        <v>1</v>
      </c>
      <c r="S2193" s="50">
        <f t="shared" si="617"/>
        <v>0.01</v>
      </c>
      <c r="T2193" s="49">
        <f t="shared" si="618"/>
        <v>1628</v>
      </c>
      <c r="U2193" s="51">
        <f t="shared" si="619"/>
        <v>0</v>
      </c>
      <c r="V2193" s="52">
        <f>IF(0&lt;0.8,0,IF(0&lt;1,Sheet3!L561,1))*IF(G2193&lt;3,0.12 - O2193,0.01) *U2193</f>
        <v>0</v>
      </c>
      <c r="W2193" s="52">
        <f t="shared" si="620"/>
        <v>0</v>
      </c>
      <c r="X2193" s="53">
        <f t="shared" si="621"/>
        <v>0</v>
      </c>
      <c r="Y2193" s="53">
        <f t="shared" si="622"/>
        <v>0</v>
      </c>
      <c r="Z2193" s="54">
        <f t="shared" si="626"/>
        <v>0</v>
      </c>
      <c r="AA2193" s="54">
        <f t="shared" si="623"/>
        <v>0</v>
      </c>
      <c r="AB2193" s="55">
        <f t="shared" si="627"/>
        <v>0</v>
      </c>
      <c r="AC2193" s="55">
        <f t="shared" si="624"/>
        <v>0</v>
      </c>
      <c r="AD2193" s="56">
        <f t="shared" si="625"/>
        <v>1628</v>
      </c>
    </row>
    <row r="2194" spans="3:30">
      <c r="C2194" s="43" t="s">
        <v>4056</v>
      </c>
      <c r="D2194" s="44" t="s">
        <v>4057</v>
      </c>
      <c r="E2194" s="44"/>
      <c r="F2194" s="45">
        <v>43108.349548611106</v>
      </c>
      <c r="G2194" s="46">
        <v>8</v>
      </c>
      <c r="H2194" s="47">
        <v>43383</v>
      </c>
      <c r="I2194" s="47">
        <v>43438</v>
      </c>
      <c r="J2194" s="46">
        <v>3669480</v>
      </c>
      <c r="K2194" s="46">
        <v>0</v>
      </c>
      <c r="L2194" s="46">
        <v>0</v>
      </c>
      <c r="M2194" s="46">
        <f t="shared" si="614"/>
        <v>3669480</v>
      </c>
      <c r="N2194" s="46">
        <v>3668138</v>
      </c>
      <c r="O2194" s="48">
        <f t="shared" si="615"/>
        <v>0</v>
      </c>
      <c r="P2194" s="46">
        <v>0</v>
      </c>
      <c r="Q2194" s="46">
        <v>3669480</v>
      </c>
      <c r="R2194" s="49">
        <f t="shared" si="616"/>
        <v>1</v>
      </c>
      <c r="S2194" s="50">
        <f t="shared" si="617"/>
        <v>0.01</v>
      </c>
      <c r="T2194" s="49">
        <f t="shared" si="618"/>
        <v>36694.800000000003</v>
      </c>
      <c r="U2194" s="51">
        <f t="shared" si="619"/>
        <v>0</v>
      </c>
      <c r="V2194" s="52">
        <f>IF(0&lt;0.8,0,IF(0&lt;1,Sheet3!L561,1))*IF(G2194&lt;3,0.12 - O2194,0.01) *U2194</f>
        <v>0</v>
      </c>
      <c r="W2194" s="52">
        <f t="shared" si="620"/>
        <v>0</v>
      </c>
      <c r="X2194" s="53">
        <f t="shared" si="621"/>
        <v>0</v>
      </c>
      <c r="Y2194" s="53">
        <f t="shared" si="622"/>
        <v>0</v>
      </c>
      <c r="Z2194" s="54">
        <f t="shared" si="626"/>
        <v>0</v>
      </c>
      <c r="AA2194" s="54">
        <f t="shared" si="623"/>
        <v>0</v>
      </c>
      <c r="AB2194" s="55">
        <f t="shared" si="627"/>
        <v>0</v>
      </c>
      <c r="AC2194" s="55">
        <f t="shared" si="624"/>
        <v>0</v>
      </c>
      <c r="AD2194" s="56">
        <f t="shared" si="625"/>
        <v>36694.800000000003</v>
      </c>
    </row>
    <row r="2195" spans="3:30">
      <c r="C2195" s="43" t="s">
        <v>4058</v>
      </c>
      <c r="D2195" s="44" t="s">
        <v>4059</v>
      </c>
      <c r="E2195" s="44"/>
      <c r="F2195" s="45">
        <v>43133.16506944444</v>
      </c>
      <c r="G2195" s="46">
        <v>7</v>
      </c>
      <c r="H2195" s="47">
        <v>43383</v>
      </c>
      <c r="I2195" s="47">
        <v>43385</v>
      </c>
      <c r="J2195" s="46">
        <v>5242494</v>
      </c>
      <c r="K2195" s="46">
        <v>0</v>
      </c>
      <c r="L2195" s="46">
        <v>0</v>
      </c>
      <c r="M2195" s="46">
        <f t="shared" si="614"/>
        <v>5242494</v>
      </c>
      <c r="N2195" s="46">
        <v>5242494</v>
      </c>
      <c r="O2195" s="48">
        <f t="shared" si="615"/>
        <v>0</v>
      </c>
      <c r="P2195" s="46">
        <v>0</v>
      </c>
      <c r="Q2195" s="46">
        <v>5242494</v>
      </c>
      <c r="R2195" s="49">
        <f t="shared" si="616"/>
        <v>1</v>
      </c>
      <c r="S2195" s="50">
        <f t="shared" si="617"/>
        <v>0.01</v>
      </c>
      <c r="T2195" s="49">
        <f t="shared" si="618"/>
        <v>52424.94</v>
      </c>
      <c r="U2195" s="51">
        <f t="shared" si="619"/>
        <v>0</v>
      </c>
      <c r="V2195" s="52">
        <f>IF(0&lt;0.8,0,IF(0&lt;1,Sheet3!L561,1))*IF(G2195&lt;3,0.12 - O2195,0.01) *U2195</f>
        <v>0</v>
      </c>
      <c r="W2195" s="52">
        <f t="shared" si="620"/>
        <v>0</v>
      </c>
      <c r="X2195" s="53">
        <f t="shared" si="621"/>
        <v>0</v>
      </c>
      <c r="Y2195" s="53">
        <f t="shared" si="622"/>
        <v>0</v>
      </c>
      <c r="Z2195" s="54">
        <f t="shared" si="626"/>
        <v>0</v>
      </c>
      <c r="AA2195" s="54">
        <f t="shared" si="623"/>
        <v>0</v>
      </c>
      <c r="AB2195" s="55">
        <f t="shared" si="627"/>
        <v>0</v>
      </c>
      <c r="AC2195" s="55">
        <f t="shared" si="624"/>
        <v>0</v>
      </c>
      <c r="AD2195" s="56">
        <f t="shared" si="625"/>
        <v>52424.94</v>
      </c>
    </row>
    <row r="2196" spans="3:30">
      <c r="C2196" s="43" t="s">
        <v>4060</v>
      </c>
      <c r="D2196" s="44" t="s">
        <v>4061</v>
      </c>
      <c r="E2196" s="44"/>
      <c r="F2196" s="45">
        <v>43140.424965277773</v>
      </c>
      <c r="G2196" s="46">
        <v>7</v>
      </c>
      <c r="H2196" s="47">
        <v>43383</v>
      </c>
      <c r="I2196" s="47">
        <v>43383</v>
      </c>
      <c r="J2196" s="46">
        <v>586533</v>
      </c>
      <c r="K2196" s="46">
        <v>0</v>
      </c>
      <c r="L2196" s="46">
        <v>0</v>
      </c>
      <c r="M2196" s="46">
        <f t="shared" si="614"/>
        <v>586533</v>
      </c>
      <c r="N2196" s="46">
        <v>586533</v>
      </c>
      <c r="O2196" s="48">
        <f t="shared" si="615"/>
        <v>0</v>
      </c>
      <c r="P2196" s="46">
        <v>0</v>
      </c>
      <c r="Q2196" s="46">
        <v>586533</v>
      </c>
      <c r="R2196" s="49">
        <f t="shared" si="616"/>
        <v>1</v>
      </c>
      <c r="S2196" s="50">
        <f t="shared" si="617"/>
        <v>0.01</v>
      </c>
      <c r="T2196" s="49">
        <f t="shared" si="618"/>
        <v>5865.33</v>
      </c>
      <c r="U2196" s="51">
        <f t="shared" si="619"/>
        <v>0</v>
      </c>
      <c r="V2196" s="52">
        <f>IF(0&lt;0.8,0,IF(0&lt;1,Sheet3!L561,1))*IF(G2196&lt;3,0.12 - O2196,0.01) *U2196</f>
        <v>0</v>
      </c>
      <c r="W2196" s="52">
        <f t="shared" si="620"/>
        <v>0</v>
      </c>
      <c r="X2196" s="53">
        <f t="shared" si="621"/>
        <v>0</v>
      </c>
      <c r="Y2196" s="53">
        <f t="shared" si="622"/>
        <v>0</v>
      </c>
      <c r="Z2196" s="54">
        <f t="shared" si="626"/>
        <v>0</v>
      </c>
      <c r="AA2196" s="54">
        <f t="shared" si="623"/>
        <v>0</v>
      </c>
      <c r="AB2196" s="55">
        <f t="shared" si="627"/>
        <v>0</v>
      </c>
      <c r="AC2196" s="55">
        <f t="shared" si="624"/>
        <v>0</v>
      </c>
      <c r="AD2196" s="56">
        <f t="shared" si="625"/>
        <v>5865.33</v>
      </c>
    </row>
    <row r="2197" spans="3:30">
      <c r="C2197" s="43" t="s">
        <v>4062</v>
      </c>
      <c r="D2197" s="44" t="s">
        <v>4063</v>
      </c>
      <c r="E2197" s="44"/>
      <c r="F2197" s="45">
        <v>43180.137685185182</v>
      </c>
      <c r="G2197" s="46">
        <v>6</v>
      </c>
      <c r="H2197" s="47">
        <v>43383</v>
      </c>
      <c r="I2197" s="47">
        <v>43412</v>
      </c>
      <c r="J2197" s="46">
        <v>9576215</v>
      </c>
      <c r="K2197" s="46">
        <v>0</v>
      </c>
      <c r="L2197" s="46">
        <v>0</v>
      </c>
      <c r="M2197" s="46">
        <f t="shared" si="614"/>
        <v>9576215</v>
      </c>
      <c r="N2197" s="46">
        <v>9027067</v>
      </c>
      <c r="O2197" s="48">
        <f t="shared" si="615"/>
        <v>0</v>
      </c>
      <c r="P2197" s="46">
        <v>0</v>
      </c>
      <c r="Q2197" s="46">
        <v>9576215</v>
      </c>
      <c r="R2197" s="49">
        <f t="shared" si="616"/>
        <v>1</v>
      </c>
      <c r="S2197" s="50">
        <f t="shared" si="617"/>
        <v>0.01</v>
      </c>
      <c r="T2197" s="49">
        <f t="shared" si="618"/>
        <v>95762.150000000009</v>
      </c>
      <c r="U2197" s="51">
        <f t="shared" si="619"/>
        <v>0</v>
      </c>
      <c r="V2197" s="52">
        <f>IF(0&lt;0.8,0,IF(0&lt;1,Sheet3!L561,1))*IF(G2197&lt;3,0.12 - O2197,0.01) *U2197</f>
        <v>0</v>
      </c>
      <c r="W2197" s="52">
        <f t="shared" si="620"/>
        <v>0</v>
      </c>
      <c r="X2197" s="53">
        <f t="shared" si="621"/>
        <v>0</v>
      </c>
      <c r="Y2197" s="53">
        <f t="shared" si="622"/>
        <v>0</v>
      </c>
      <c r="Z2197" s="54">
        <f t="shared" si="626"/>
        <v>0</v>
      </c>
      <c r="AA2197" s="54">
        <f t="shared" si="623"/>
        <v>0</v>
      </c>
      <c r="AB2197" s="55">
        <f t="shared" si="627"/>
        <v>0</v>
      </c>
      <c r="AC2197" s="55">
        <f t="shared" si="624"/>
        <v>0</v>
      </c>
      <c r="AD2197" s="56">
        <f t="shared" si="625"/>
        <v>95762.150000000009</v>
      </c>
    </row>
    <row r="2198" spans="3:30">
      <c r="C2198" s="43" t="s">
        <v>4064</v>
      </c>
      <c r="D2198" s="44" t="s">
        <v>4065</v>
      </c>
      <c r="E2198" s="44"/>
      <c r="F2198" s="45">
        <v>43225.129502314812</v>
      </c>
      <c r="G2198" s="46">
        <v>4</v>
      </c>
      <c r="H2198" s="47">
        <v>43383</v>
      </c>
      <c r="I2198" s="47">
        <v>43385</v>
      </c>
      <c r="J2198" s="46">
        <v>2292986</v>
      </c>
      <c r="K2198" s="46">
        <v>0</v>
      </c>
      <c r="L2198" s="46">
        <v>0</v>
      </c>
      <c r="M2198" s="46">
        <f t="shared" si="614"/>
        <v>2292986</v>
      </c>
      <c r="N2198" s="46">
        <v>2254024</v>
      </c>
      <c r="O2198" s="48">
        <f t="shared" si="615"/>
        <v>0</v>
      </c>
      <c r="P2198" s="46">
        <v>0</v>
      </c>
      <c r="Q2198" s="46">
        <v>2292986</v>
      </c>
      <c r="R2198" s="49">
        <f t="shared" si="616"/>
        <v>1</v>
      </c>
      <c r="S2198" s="50">
        <f t="shared" si="617"/>
        <v>0.01</v>
      </c>
      <c r="T2198" s="49">
        <f t="shared" si="618"/>
        <v>22929.86</v>
      </c>
      <c r="U2198" s="51">
        <f t="shared" si="619"/>
        <v>0</v>
      </c>
      <c r="V2198" s="52">
        <f>IF(0&lt;0.8,0,IF(0&lt;1,Sheet3!L561,1))*IF(G2198&lt;3,0.12 - O2198,0.01) *U2198</f>
        <v>0</v>
      </c>
      <c r="W2198" s="52">
        <f t="shared" si="620"/>
        <v>0</v>
      </c>
      <c r="X2198" s="53">
        <f t="shared" si="621"/>
        <v>0</v>
      </c>
      <c r="Y2198" s="53">
        <f t="shared" si="622"/>
        <v>0</v>
      </c>
      <c r="Z2198" s="54">
        <f t="shared" si="626"/>
        <v>0</v>
      </c>
      <c r="AA2198" s="54">
        <f t="shared" si="623"/>
        <v>0</v>
      </c>
      <c r="AB2198" s="55">
        <f t="shared" si="627"/>
        <v>0</v>
      </c>
      <c r="AC2198" s="55">
        <f t="shared" si="624"/>
        <v>0</v>
      </c>
      <c r="AD2198" s="56">
        <f t="shared" si="625"/>
        <v>22929.86</v>
      </c>
    </row>
    <row r="2199" spans="3:30">
      <c r="C2199" s="43" t="s">
        <v>4066</v>
      </c>
      <c r="D2199" s="44" t="s">
        <v>4067</v>
      </c>
      <c r="E2199" s="44"/>
      <c r="F2199" s="45">
        <v>43225.131423611107</v>
      </c>
      <c r="G2199" s="46">
        <v>4</v>
      </c>
      <c r="H2199" s="47">
        <v>43391</v>
      </c>
      <c r="I2199" s="47">
        <v>43397</v>
      </c>
      <c r="J2199" s="46">
        <v>808940</v>
      </c>
      <c r="K2199" s="46">
        <v>0</v>
      </c>
      <c r="L2199" s="46">
        <v>0</v>
      </c>
      <c r="M2199" s="46">
        <f t="shared" si="614"/>
        <v>808940</v>
      </c>
      <c r="N2199" s="46">
        <v>986293</v>
      </c>
      <c r="O2199" s="48">
        <f t="shared" si="615"/>
        <v>0.17981776206461975</v>
      </c>
      <c r="P2199" s="46">
        <v>0</v>
      </c>
      <c r="Q2199" s="46">
        <v>808940</v>
      </c>
      <c r="R2199" s="49">
        <f t="shared" si="616"/>
        <v>1</v>
      </c>
      <c r="S2199" s="50">
        <f t="shared" si="617"/>
        <v>0.01</v>
      </c>
      <c r="T2199" s="49">
        <f t="shared" si="618"/>
        <v>8089.4000000000005</v>
      </c>
      <c r="U2199" s="51">
        <f t="shared" si="619"/>
        <v>0</v>
      </c>
      <c r="V2199" s="52">
        <f>IF(0&lt;0.8,0,IF(0&lt;1,Sheet3!L561,1))*IF(G2199&lt;3,0.12 - O2199,0.01) *U2199</f>
        <v>0</v>
      </c>
      <c r="W2199" s="52">
        <f t="shared" si="620"/>
        <v>0</v>
      </c>
      <c r="X2199" s="53">
        <f t="shared" si="621"/>
        <v>0</v>
      </c>
      <c r="Y2199" s="53">
        <f t="shared" si="622"/>
        <v>0</v>
      </c>
      <c r="Z2199" s="54">
        <f t="shared" si="626"/>
        <v>0</v>
      </c>
      <c r="AA2199" s="54">
        <f t="shared" si="623"/>
        <v>0</v>
      </c>
      <c r="AB2199" s="55">
        <f t="shared" si="627"/>
        <v>0</v>
      </c>
      <c r="AC2199" s="55">
        <f t="shared" si="624"/>
        <v>0</v>
      </c>
      <c r="AD2199" s="56">
        <f t="shared" si="625"/>
        <v>8089.4000000000005</v>
      </c>
    </row>
    <row r="2200" spans="3:30">
      <c r="C2200" s="43" t="s">
        <v>4068</v>
      </c>
      <c r="D2200" s="44" t="s">
        <v>4069</v>
      </c>
      <c r="E2200" s="44"/>
      <c r="F2200" s="45">
        <v>43326.109560185185</v>
      </c>
      <c r="G2200" s="46">
        <v>1</v>
      </c>
      <c r="H2200" s="47">
        <v>43404</v>
      </c>
      <c r="I2200" s="47">
        <v>43416</v>
      </c>
      <c r="J2200" s="46">
        <v>1504724</v>
      </c>
      <c r="K2200" s="46">
        <v>0</v>
      </c>
      <c r="L2200" s="46">
        <v>0</v>
      </c>
      <c r="M2200" s="46">
        <f t="shared" si="614"/>
        <v>1504724</v>
      </c>
      <c r="N2200" s="46">
        <v>1605301</v>
      </c>
      <c r="O2200" s="48">
        <f t="shared" si="615"/>
        <v>6.2653047621598734E-2</v>
      </c>
      <c r="P2200" s="46">
        <v>0</v>
      </c>
      <c r="Q2200" s="46">
        <v>0</v>
      </c>
      <c r="R2200" s="49">
        <f t="shared" si="616"/>
        <v>0</v>
      </c>
      <c r="S2200" s="50">
        <f t="shared" si="617"/>
        <v>0</v>
      </c>
      <c r="T2200" s="49">
        <f t="shared" si="618"/>
        <v>0</v>
      </c>
      <c r="U2200" s="51">
        <f t="shared" si="619"/>
        <v>1504724</v>
      </c>
      <c r="V2200" s="52">
        <f>IF(0&lt;0.8,0,IF(0&lt;1,Sheet3!L561,1))*IF(G2200&lt;3,0.12 - O2200,0.01) *U2200</f>
        <v>0</v>
      </c>
      <c r="W2200" s="52">
        <f t="shared" si="620"/>
        <v>0</v>
      </c>
      <c r="X2200" s="53">
        <f t="shared" si="621"/>
        <v>0</v>
      </c>
      <c r="Y2200" s="53">
        <f t="shared" si="622"/>
        <v>0</v>
      </c>
      <c r="Z2200" s="54">
        <f t="shared" si="626"/>
        <v>0</v>
      </c>
      <c r="AA2200" s="54">
        <f t="shared" si="623"/>
        <v>0</v>
      </c>
      <c r="AB2200" s="55">
        <f t="shared" si="627"/>
        <v>0</v>
      </c>
      <c r="AC2200" s="55">
        <f t="shared" si="624"/>
        <v>0</v>
      </c>
      <c r="AD2200" s="56">
        <f t="shared" si="625"/>
        <v>0</v>
      </c>
    </row>
    <row r="2201" spans="3:30">
      <c r="C2201" s="43" t="s">
        <v>4070</v>
      </c>
      <c r="D2201" s="44" t="s">
        <v>4071</v>
      </c>
      <c r="E2201" s="44"/>
      <c r="F2201" s="45">
        <v>43349.157604166663</v>
      </c>
      <c r="G2201" s="46">
        <v>0</v>
      </c>
      <c r="H2201" s="47">
        <v>43452</v>
      </c>
      <c r="I2201" s="47">
        <v>43455</v>
      </c>
      <c r="J2201" s="46">
        <v>5909024</v>
      </c>
      <c r="K2201" s="46">
        <v>0</v>
      </c>
      <c r="L2201" s="46">
        <v>0</v>
      </c>
      <c r="M2201" s="46">
        <f t="shared" si="614"/>
        <v>5909024</v>
      </c>
      <c r="N2201" s="46">
        <v>8687426</v>
      </c>
      <c r="O2201" s="48">
        <f t="shared" si="615"/>
        <v>0.31981878176573819</v>
      </c>
      <c r="P2201" s="46">
        <v>0</v>
      </c>
      <c r="Q2201" s="46">
        <v>0</v>
      </c>
      <c r="R2201" s="49">
        <f t="shared" si="616"/>
        <v>0</v>
      </c>
      <c r="S2201" s="50">
        <f t="shared" si="617"/>
        <v>0</v>
      </c>
      <c r="T2201" s="49">
        <f t="shared" si="618"/>
        <v>0</v>
      </c>
      <c r="U2201" s="51">
        <f t="shared" si="619"/>
        <v>0</v>
      </c>
      <c r="V2201" s="52">
        <f>IF(0&lt;0.8,0,IF(0&lt;1,Sheet3!L561,1))*IF(G2201&lt;3,0.12 - O2201,0.01) *U2201</f>
        <v>0</v>
      </c>
      <c r="W2201" s="52">
        <f t="shared" si="620"/>
        <v>0</v>
      </c>
      <c r="X2201" s="53">
        <f t="shared" si="621"/>
        <v>0</v>
      </c>
      <c r="Y2201" s="53">
        <f t="shared" si="622"/>
        <v>0</v>
      </c>
      <c r="Z2201" s="54">
        <f t="shared" si="626"/>
        <v>0</v>
      </c>
      <c r="AA2201" s="54">
        <f t="shared" si="623"/>
        <v>0</v>
      </c>
      <c r="AB2201" s="55">
        <f t="shared" si="627"/>
        <v>0</v>
      </c>
      <c r="AC2201" s="55">
        <f t="shared" si="624"/>
        <v>0</v>
      </c>
      <c r="AD2201" s="56">
        <f t="shared" si="625"/>
        <v>0</v>
      </c>
    </row>
    <row r="2202" spans="3:30">
      <c r="C2202" s="43" t="s">
        <v>4072</v>
      </c>
      <c r="D2202" s="44" t="s">
        <v>4073</v>
      </c>
      <c r="E2202" s="44"/>
      <c r="F2202" s="45">
        <v>43349.293229166666</v>
      </c>
      <c r="G2202" s="46">
        <v>0</v>
      </c>
      <c r="H2202" s="47">
        <v>43391</v>
      </c>
      <c r="I2202" s="47">
        <v>43399</v>
      </c>
      <c r="J2202" s="46">
        <v>244420</v>
      </c>
      <c r="K2202" s="46">
        <v>0</v>
      </c>
      <c r="L2202" s="46">
        <v>0</v>
      </c>
      <c r="M2202" s="46">
        <f t="shared" si="614"/>
        <v>244420</v>
      </c>
      <c r="N2202" s="46">
        <v>244420</v>
      </c>
      <c r="O2202" s="48">
        <f t="shared" si="615"/>
        <v>0</v>
      </c>
      <c r="P2202" s="46">
        <v>0</v>
      </c>
      <c r="Q2202" s="46">
        <v>0</v>
      </c>
      <c r="R2202" s="49">
        <f t="shared" si="616"/>
        <v>0</v>
      </c>
      <c r="S2202" s="50">
        <f t="shared" si="617"/>
        <v>0</v>
      </c>
      <c r="T2202" s="49">
        <f t="shared" si="618"/>
        <v>0</v>
      </c>
      <c r="U2202" s="51">
        <f t="shared" si="619"/>
        <v>244420</v>
      </c>
      <c r="V2202" s="52">
        <f>IF(0&lt;0.8,0,IF(0&lt;1,Sheet3!L561,1))*IF(G2202&lt;3,0.12 - O2202,0.01) *U2202</f>
        <v>0</v>
      </c>
      <c r="W2202" s="52">
        <f t="shared" si="620"/>
        <v>0</v>
      </c>
      <c r="X2202" s="53">
        <f t="shared" si="621"/>
        <v>0</v>
      </c>
      <c r="Y2202" s="53">
        <f t="shared" si="622"/>
        <v>0</v>
      </c>
      <c r="Z2202" s="54">
        <f t="shared" si="626"/>
        <v>0</v>
      </c>
      <c r="AA2202" s="54">
        <f t="shared" si="623"/>
        <v>0</v>
      </c>
      <c r="AB2202" s="55">
        <f t="shared" si="627"/>
        <v>0</v>
      </c>
      <c r="AC2202" s="55">
        <f t="shared" si="624"/>
        <v>0</v>
      </c>
      <c r="AD2202" s="56">
        <f t="shared" si="625"/>
        <v>0</v>
      </c>
    </row>
    <row r="2203" spans="3:30">
      <c r="C2203" s="43" t="s">
        <v>4074</v>
      </c>
      <c r="D2203" s="44" t="s">
        <v>4075</v>
      </c>
      <c r="E2203" s="44"/>
      <c r="F2203" s="45">
        <v>39756.485798611109</v>
      </c>
      <c r="G2203" s="46">
        <v>118</v>
      </c>
      <c r="H2203" s="47">
        <v>43388</v>
      </c>
      <c r="I2203" s="47">
        <v>43406</v>
      </c>
      <c r="J2203" s="46">
        <v>345455</v>
      </c>
      <c r="K2203" s="46">
        <v>0</v>
      </c>
      <c r="L2203" s="46">
        <v>0</v>
      </c>
      <c r="M2203" s="46">
        <f t="shared" si="614"/>
        <v>345455</v>
      </c>
      <c r="N2203" s="46">
        <v>345455</v>
      </c>
      <c r="O2203" s="48">
        <f t="shared" si="615"/>
        <v>0</v>
      </c>
      <c r="P2203" s="46">
        <v>0</v>
      </c>
      <c r="Q2203" s="46">
        <v>345455</v>
      </c>
      <c r="R2203" s="49">
        <f t="shared" si="616"/>
        <v>1</v>
      </c>
      <c r="S2203" s="50">
        <f t="shared" si="617"/>
        <v>0.01</v>
      </c>
      <c r="T2203" s="49">
        <f t="shared" si="618"/>
        <v>3454.55</v>
      </c>
      <c r="U2203" s="51">
        <f t="shared" si="619"/>
        <v>0</v>
      </c>
      <c r="V2203" s="52">
        <f>IF(0&lt;0.8,0,IF(0&lt;1,Sheet3!L561,1))*IF(G2203&lt;3,0.12 - O2203,0.01) *U2203</f>
        <v>0</v>
      </c>
      <c r="W2203" s="52">
        <f t="shared" si="620"/>
        <v>0</v>
      </c>
      <c r="X2203" s="53">
        <f t="shared" si="621"/>
        <v>0</v>
      </c>
      <c r="Y2203" s="53">
        <f t="shared" si="622"/>
        <v>0</v>
      </c>
      <c r="Z2203" s="54">
        <f t="shared" si="626"/>
        <v>0</v>
      </c>
      <c r="AA2203" s="54">
        <f t="shared" si="623"/>
        <v>0</v>
      </c>
      <c r="AB2203" s="55">
        <f t="shared" si="627"/>
        <v>0</v>
      </c>
      <c r="AC2203" s="55">
        <f t="shared" si="624"/>
        <v>0</v>
      </c>
      <c r="AD2203" s="56">
        <f t="shared" si="625"/>
        <v>3454.55</v>
      </c>
    </row>
    <row r="2204" spans="3:30">
      <c r="C2204" s="43" t="s">
        <v>4076</v>
      </c>
      <c r="D2204" s="44" t="s">
        <v>4077</v>
      </c>
      <c r="E2204" s="44"/>
      <c r="F2204" s="45">
        <v>40728.468692129631</v>
      </c>
      <c r="G2204" s="46">
        <v>86</v>
      </c>
      <c r="H2204" s="47">
        <v>43388</v>
      </c>
      <c r="I2204" s="47">
        <v>43406</v>
      </c>
      <c r="J2204" s="46">
        <v>606089</v>
      </c>
      <c r="K2204" s="46">
        <v>0</v>
      </c>
      <c r="L2204" s="46">
        <v>0</v>
      </c>
      <c r="M2204" s="46">
        <f t="shared" si="614"/>
        <v>606089</v>
      </c>
      <c r="N2204" s="46">
        <v>606089</v>
      </c>
      <c r="O2204" s="48">
        <f t="shared" si="615"/>
        <v>0</v>
      </c>
      <c r="P2204" s="46">
        <v>0</v>
      </c>
      <c r="Q2204" s="46">
        <v>606089</v>
      </c>
      <c r="R2204" s="49">
        <f t="shared" si="616"/>
        <v>1</v>
      </c>
      <c r="S2204" s="50">
        <f t="shared" si="617"/>
        <v>0.01</v>
      </c>
      <c r="T2204" s="49">
        <f t="shared" si="618"/>
        <v>6060.89</v>
      </c>
      <c r="U2204" s="51">
        <f t="shared" si="619"/>
        <v>0</v>
      </c>
      <c r="V2204" s="52">
        <f>IF(0&lt;0.8,0,IF(0&lt;1,Sheet3!L561,1))*IF(G2204&lt;3,0.12 - O2204,0.01) *U2204</f>
        <v>0</v>
      </c>
      <c r="W2204" s="52">
        <f t="shared" si="620"/>
        <v>0</v>
      </c>
      <c r="X2204" s="53">
        <f t="shared" si="621"/>
        <v>0</v>
      </c>
      <c r="Y2204" s="53">
        <f t="shared" si="622"/>
        <v>0</v>
      </c>
      <c r="Z2204" s="54">
        <f t="shared" si="626"/>
        <v>0</v>
      </c>
      <c r="AA2204" s="54">
        <f t="shared" si="623"/>
        <v>0</v>
      </c>
      <c r="AB2204" s="55">
        <f t="shared" si="627"/>
        <v>0</v>
      </c>
      <c r="AC2204" s="55">
        <f t="shared" si="624"/>
        <v>0</v>
      </c>
      <c r="AD2204" s="56">
        <f t="shared" si="625"/>
        <v>6060.89</v>
      </c>
    </row>
    <row r="2205" spans="3:30">
      <c r="C2205" s="43" t="s">
        <v>4078</v>
      </c>
      <c r="D2205" s="44" t="s">
        <v>4079</v>
      </c>
      <c r="E2205" s="44"/>
      <c r="F2205" s="45">
        <v>41198.590833333328</v>
      </c>
      <c r="G2205" s="46">
        <v>71</v>
      </c>
      <c r="H2205" s="47">
        <v>43388</v>
      </c>
      <c r="I2205" s="47">
        <v>43406</v>
      </c>
      <c r="J2205" s="46">
        <v>1135706</v>
      </c>
      <c r="K2205" s="46">
        <v>0</v>
      </c>
      <c r="L2205" s="46">
        <v>0</v>
      </c>
      <c r="M2205" s="46">
        <f t="shared" si="614"/>
        <v>1135706</v>
      </c>
      <c r="N2205" s="46">
        <v>1095776</v>
      </c>
      <c r="O2205" s="48">
        <f t="shared" si="615"/>
        <v>0</v>
      </c>
      <c r="P2205" s="46">
        <v>0</v>
      </c>
      <c r="Q2205" s="46">
        <v>1135706</v>
      </c>
      <c r="R2205" s="49">
        <f t="shared" si="616"/>
        <v>1</v>
      </c>
      <c r="S2205" s="50">
        <f t="shared" si="617"/>
        <v>0.01</v>
      </c>
      <c r="T2205" s="49">
        <f t="shared" si="618"/>
        <v>11357.06</v>
      </c>
      <c r="U2205" s="51">
        <f t="shared" si="619"/>
        <v>0</v>
      </c>
      <c r="V2205" s="52">
        <f>IF(0&lt;0.8,0,IF(0&lt;1,Sheet3!L561,1))*IF(G2205&lt;3,0.12 - O2205,0.01) *U2205</f>
        <v>0</v>
      </c>
      <c r="W2205" s="52">
        <f t="shared" si="620"/>
        <v>0</v>
      </c>
      <c r="X2205" s="53">
        <f t="shared" si="621"/>
        <v>0</v>
      </c>
      <c r="Y2205" s="53">
        <f t="shared" si="622"/>
        <v>0</v>
      </c>
      <c r="Z2205" s="54">
        <f t="shared" si="626"/>
        <v>0</v>
      </c>
      <c r="AA2205" s="54">
        <f t="shared" si="623"/>
        <v>0</v>
      </c>
      <c r="AB2205" s="55">
        <f t="shared" si="627"/>
        <v>0</v>
      </c>
      <c r="AC2205" s="55">
        <f t="shared" si="624"/>
        <v>0</v>
      </c>
      <c r="AD2205" s="56">
        <f t="shared" si="625"/>
        <v>11357.06</v>
      </c>
    </row>
    <row r="2206" spans="3:30">
      <c r="C2206" s="43" t="s">
        <v>4080</v>
      </c>
      <c r="D2206" s="44" t="s">
        <v>4081</v>
      </c>
      <c r="E2206" s="44"/>
      <c r="F2206" s="45">
        <v>41206.587870370371</v>
      </c>
      <c r="G2206" s="46">
        <v>71</v>
      </c>
      <c r="H2206" s="47">
        <v>43388</v>
      </c>
      <c r="I2206" s="47">
        <v>43411</v>
      </c>
      <c r="J2206" s="46">
        <v>475893</v>
      </c>
      <c r="K2206" s="46">
        <v>0</v>
      </c>
      <c r="L2206" s="46">
        <v>0</v>
      </c>
      <c r="M2206" s="46">
        <f t="shared" si="614"/>
        <v>475893</v>
      </c>
      <c r="N2206" s="46">
        <v>475893</v>
      </c>
      <c r="O2206" s="48">
        <f t="shared" si="615"/>
        <v>0</v>
      </c>
      <c r="P2206" s="46">
        <v>0</v>
      </c>
      <c r="Q2206" s="46">
        <v>475893</v>
      </c>
      <c r="R2206" s="49">
        <f t="shared" si="616"/>
        <v>1</v>
      </c>
      <c r="S2206" s="50">
        <f t="shared" si="617"/>
        <v>0.01</v>
      </c>
      <c r="T2206" s="49">
        <f t="shared" si="618"/>
        <v>4758.93</v>
      </c>
      <c r="U2206" s="51">
        <f t="shared" si="619"/>
        <v>0</v>
      </c>
      <c r="V2206" s="52">
        <f>IF(0&lt;0.8,0,IF(0&lt;1,Sheet3!L561,1))*IF(G2206&lt;3,0.12 - O2206,0.01) *U2206</f>
        <v>0</v>
      </c>
      <c r="W2206" s="52">
        <f t="shared" si="620"/>
        <v>0</v>
      </c>
      <c r="X2206" s="53">
        <f t="shared" si="621"/>
        <v>0</v>
      </c>
      <c r="Y2206" s="53">
        <f t="shared" si="622"/>
        <v>0</v>
      </c>
      <c r="Z2206" s="54">
        <f t="shared" si="626"/>
        <v>0</v>
      </c>
      <c r="AA2206" s="54">
        <f t="shared" si="623"/>
        <v>0</v>
      </c>
      <c r="AB2206" s="55">
        <f t="shared" si="627"/>
        <v>0</v>
      </c>
      <c r="AC2206" s="55">
        <f t="shared" si="624"/>
        <v>0</v>
      </c>
      <c r="AD2206" s="56">
        <f t="shared" si="625"/>
        <v>4758.93</v>
      </c>
    </row>
    <row r="2207" spans="3:30">
      <c r="C2207" s="43" t="s">
        <v>4082</v>
      </c>
      <c r="D2207" s="44" t="s">
        <v>4083</v>
      </c>
      <c r="E2207" s="44"/>
      <c r="F2207" s="45">
        <v>41211.404988425922</v>
      </c>
      <c r="G2207" s="46">
        <v>71</v>
      </c>
      <c r="H2207" s="47">
        <v>43383</v>
      </c>
      <c r="I2207" s="47">
        <v>43390</v>
      </c>
      <c r="J2207" s="46">
        <v>930974</v>
      </c>
      <c r="K2207" s="46">
        <v>0</v>
      </c>
      <c r="L2207" s="46">
        <v>0</v>
      </c>
      <c r="M2207" s="46">
        <f t="shared" si="614"/>
        <v>930974</v>
      </c>
      <c r="N2207" s="46">
        <v>930974</v>
      </c>
      <c r="O2207" s="48">
        <f t="shared" si="615"/>
        <v>0</v>
      </c>
      <c r="P2207" s="46">
        <v>0</v>
      </c>
      <c r="Q2207" s="46">
        <v>930974</v>
      </c>
      <c r="R2207" s="49">
        <f t="shared" si="616"/>
        <v>1</v>
      </c>
      <c r="S2207" s="50">
        <f t="shared" si="617"/>
        <v>0.01</v>
      </c>
      <c r="T2207" s="49">
        <f t="shared" si="618"/>
        <v>9309.74</v>
      </c>
      <c r="U2207" s="51">
        <f t="shared" si="619"/>
        <v>0</v>
      </c>
      <c r="V2207" s="52">
        <f>IF(0&lt;0.8,0,IF(0&lt;1,Sheet3!L561,1))*IF(G2207&lt;3,0.12 - O2207,0.01) *U2207</f>
        <v>0</v>
      </c>
      <c r="W2207" s="52">
        <f t="shared" si="620"/>
        <v>0</v>
      </c>
      <c r="X2207" s="53">
        <f t="shared" si="621"/>
        <v>0</v>
      </c>
      <c r="Y2207" s="53">
        <f t="shared" si="622"/>
        <v>0</v>
      </c>
      <c r="Z2207" s="54">
        <f t="shared" si="626"/>
        <v>0</v>
      </c>
      <c r="AA2207" s="54">
        <f t="shared" si="623"/>
        <v>0</v>
      </c>
      <c r="AB2207" s="55">
        <f t="shared" si="627"/>
        <v>0</v>
      </c>
      <c r="AC2207" s="55">
        <f t="shared" si="624"/>
        <v>0</v>
      </c>
      <c r="AD2207" s="56">
        <f t="shared" si="625"/>
        <v>9309.74</v>
      </c>
    </row>
    <row r="2208" spans="3:30">
      <c r="C2208" s="43" t="s">
        <v>4084</v>
      </c>
      <c r="D2208" s="44" t="s">
        <v>4085</v>
      </c>
      <c r="E2208" s="44"/>
      <c r="F2208" s="45">
        <v>41485.398692129631</v>
      </c>
      <c r="G2208" s="46">
        <v>62</v>
      </c>
      <c r="H2208" s="47">
        <v>43388</v>
      </c>
      <c r="I2208" s="47">
        <v>41704</v>
      </c>
      <c r="J2208" s="46">
        <v>933406</v>
      </c>
      <c r="K2208" s="46">
        <v>0</v>
      </c>
      <c r="L2208" s="46">
        <v>0</v>
      </c>
      <c r="M2208" s="46">
        <f t="shared" si="614"/>
        <v>933406</v>
      </c>
      <c r="N2208" s="46">
        <v>913187</v>
      </c>
      <c r="O2208" s="48">
        <f t="shared" si="615"/>
        <v>0</v>
      </c>
      <c r="P2208" s="46">
        <v>0</v>
      </c>
      <c r="Q2208" s="46">
        <v>933406</v>
      </c>
      <c r="R2208" s="49">
        <f t="shared" si="616"/>
        <v>1</v>
      </c>
      <c r="S2208" s="50">
        <f t="shared" si="617"/>
        <v>0.01</v>
      </c>
      <c r="T2208" s="49">
        <f t="shared" si="618"/>
        <v>9334.06</v>
      </c>
      <c r="U2208" s="51">
        <f t="shared" si="619"/>
        <v>0</v>
      </c>
      <c r="V2208" s="52">
        <f>IF(0&lt;0.8,0,IF(0&lt;1,Sheet3!L561,1))*IF(G2208&lt;3,0.12 - O2208,0.01) *U2208</f>
        <v>0</v>
      </c>
      <c r="W2208" s="52">
        <f t="shared" si="620"/>
        <v>0</v>
      </c>
      <c r="X2208" s="53">
        <f t="shared" si="621"/>
        <v>0</v>
      </c>
      <c r="Y2208" s="53">
        <f t="shared" si="622"/>
        <v>0</v>
      </c>
      <c r="Z2208" s="54">
        <f t="shared" si="626"/>
        <v>0</v>
      </c>
      <c r="AA2208" s="54">
        <f t="shared" si="623"/>
        <v>0</v>
      </c>
      <c r="AB2208" s="55">
        <f t="shared" si="627"/>
        <v>0</v>
      </c>
      <c r="AC2208" s="55">
        <f t="shared" si="624"/>
        <v>0</v>
      </c>
      <c r="AD2208" s="56">
        <f t="shared" si="625"/>
        <v>9334.06</v>
      </c>
    </row>
    <row r="2209" spans="3:30">
      <c r="C2209" s="43" t="s">
        <v>4086</v>
      </c>
      <c r="D2209" s="44" t="s">
        <v>4087</v>
      </c>
      <c r="E2209" s="44"/>
      <c r="F2209" s="45">
        <v>41646.389085648145</v>
      </c>
      <c r="G2209" s="46">
        <v>56</v>
      </c>
      <c r="H2209" s="47">
        <v>43388</v>
      </c>
      <c r="I2209" s="47">
        <v>43423</v>
      </c>
      <c r="J2209" s="46">
        <v>9485893</v>
      </c>
      <c r="K2209" s="46">
        <v>0</v>
      </c>
      <c r="L2209" s="46">
        <v>0</v>
      </c>
      <c r="M2209" s="46">
        <f t="shared" si="614"/>
        <v>9485893</v>
      </c>
      <c r="N2209" s="46">
        <v>10197992</v>
      </c>
      <c r="O2209" s="48">
        <f t="shared" si="615"/>
        <v>6.9827373859481345E-2</v>
      </c>
      <c r="P2209" s="46">
        <v>0</v>
      </c>
      <c r="Q2209" s="46">
        <v>9485893</v>
      </c>
      <c r="R2209" s="49">
        <f t="shared" si="616"/>
        <v>1</v>
      </c>
      <c r="S2209" s="50">
        <f t="shared" si="617"/>
        <v>0.01</v>
      </c>
      <c r="T2209" s="49">
        <f t="shared" si="618"/>
        <v>94858.930000000008</v>
      </c>
      <c r="U2209" s="51">
        <f t="shared" si="619"/>
        <v>0</v>
      </c>
      <c r="V2209" s="52">
        <f>IF(0&lt;0.8,0,IF(0&lt;1,Sheet3!L561,1))*IF(G2209&lt;3,0.12 - O2209,0.01) *U2209</f>
        <v>0</v>
      </c>
      <c r="W2209" s="52">
        <f t="shared" si="620"/>
        <v>0</v>
      </c>
      <c r="X2209" s="53">
        <f t="shared" si="621"/>
        <v>0</v>
      </c>
      <c r="Y2209" s="53">
        <f t="shared" si="622"/>
        <v>0</v>
      </c>
      <c r="Z2209" s="54">
        <f t="shared" si="626"/>
        <v>0</v>
      </c>
      <c r="AA2209" s="54">
        <f t="shared" si="623"/>
        <v>0</v>
      </c>
      <c r="AB2209" s="55">
        <f t="shared" si="627"/>
        <v>0</v>
      </c>
      <c r="AC2209" s="55">
        <f t="shared" si="624"/>
        <v>0</v>
      </c>
      <c r="AD2209" s="56">
        <f t="shared" si="625"/>
        <v>94858.930000000008</v>
      </c>
    </row>
    <row r="2210" spans="3:30">
      <c r="C2210" s="43" t="s">
        <v>4088</v>
      </c>
      <c r="D2210" s="44" t="s">
        <v>4089</v>
      </c>
      <c r="E2210" s="44"/>
      <c r="F2210" s="45">
        <v>41751.655555555553</v>
      </c>
      <c r="G2210" s="46">
        <v>53</v>
      </c>
      <c r="H2210" s="47">
        <v>43388</v>
      </c>
      <c r="I2210" s="47">
        <v>43406</v>
      </c>
      <c r="J2210" s="46">
        <v>2663712</v>
      </c>
      <c r="K2210" s="46">
        <v>0</v>
      </c>
      <c r="L2210" s="46">
        <v>0</v>
      </c>
      <c r="M2210" s="46">
        <f t="shared" si="614"/>
        <v>2663712</v>
      </c>
      <c r="N2210" s="46">
        <v>2663712</v>
      </c>
      <c r="O2210" s="48">
        <f t="shared" si="615"/>
        <v>0</v>
      </c>
      <c r="P2210" s="46">
        <v>0</v>
      </c>
      <c r="Q2210" s="46">
        <v>2663712</v>
      </c>
      <c r="R2210" s="49">
        <f t="shared" si="616"/>
        <v>1</v>
      </c>
      <c r="S2210" s="50">
        <f t="shared" si="617"/>
        <v>0.01</v>
      </c>
      <c r="T2210" s="49">
        <f t="shared" si="618"/>
        <v>26637.119999999999</v>
      </c>
      <c r="U2210" s="51">
        <f t="shared" si="619"/>
        <v>0</v>
      </c>
      <c r="V2210" s="52">
        <f>IF(0&lt;0.8,0,IF(0&lt;1,Sheet3!L561,1))*IF(G2210&lt;3,0.12 - O2210,0.01) *U2210</f>
        <v>0</v>
      </c>
      <c r="W2210" s="52">
        <f t="shared" si="620"/>
        <v>0</v>
      </c>
      <c r="X2210" s="53">
        <f t="shared" si="621"/>
        <v>0</v>
      </c>
      <c r="Y2210" s="53">
        <f t="shared" si="622"/>
        <v>0</v>
      </c>
      <c r="Z2210" s="54">
        <f t="shared" si="626"/>
        <v>0</v>
      </c>
      <c r="AA2210" s="54">
        <f t="shared" si="623"/>
        <v>0</v>
      </c>
      <c r="AB2210" s="55">
        <f t="shared" si="627"/>
        <v>0</v>
      </c>
      <c r="AC2210" s="55">
        <f t="shared" si="624"/>
        <v>0</v>
      </c>
      <c r="AD2210" s="56">
        <f t="shared" si="625"/>
        <v>26637.119999999999</v>
      </c>
    </row>
    <row r="2211" spans="3:30">
      <c r="C2211" s="43" t="s">
        <v>4090</v>
      </c>
      <c r="D2211" s="44" t="s">
        <v>4091</v>
      </c>
      <c r="E2211" s="44"/>
      <c r="F2211" s="45">
        <v>42181.463379629626</v>
      </c>
      <c r="G2211" s="46">
        <v>39</v>
      </c>
      <c r="H2211" s="47">
        <v>43388</v>
      </c>
      <c r="I2211" s="47">
        <v>43391</v>
      </c>
      <c r="J2211" s="46">
        <v>486561</v>
      </c>
      <c r="K2211" s="46">
        <v>0</v>
      </c>
      <c r="L2211" s="46">
        <v>0</v>
      </c>
      <c r="M2211" s="46">
        <f t="shared" si="614"/>
        <v>486561</v>
      </c>
      <c r="N2211" s="46">
        <v>485573</v>
      </c>
      <c r="O2211" s="48">
        <f t="shared" si="615"/>
        <v>0</v>
      </c>
      <c r="P2211" s="46">
        <v>0</v>
      </c>
      <c r="Q2211" s="46">
        <v>486561</v>
      </c>
      <c r="R2211" s="49">
        <f t="shared" si="616"/>
        <v>1</v>
      </c>
      <c r="S2211" s="50">
        <f t="shared" si="617"/>
        <v>0.01</v>
      </c>
      <c r="T2211" s="49">
        <f t="shared" si="618"/>
        <v>4865.6099999999997</v>
      </c>
      <c r="U2211" s="51">
        <f t="shared" si="619"/>
        <v>0</v>
      </c>
      <c r="V2211" s="52">
        <f>IF(0&lt;0.8,0,IF(0&lt;1,Sheet3!L561,1))*IF(G2211&lt;3,0.12 - O2211,0.01) *U2211</f>
        <v>0</v>
      </c>
      <c r="W2211" s="52">
        <f t="shared" si="620"/>
        <v>0</v>
      </c>
      <c r="X2211" s="53">
        <f t="shared" si="621"/>
        <v>0</v>
      </c>
      <c r="Y2211" s="53">
        <f t="shared" si="622"/>
        <v>0</v>
      </c>
      <c r="Z2211" s="54">
        <f t="shared" si="626"/>
        <v>0</v>
      </c>
      <c r="AA2211" s="54">
        <f t="shared" si="623"/>
        <v>0</v>
      </c>
      <c r="AB2211" s="55">
        <f t="shared" si="627"/>
        <v>0</v>
      </c>
      <c r="AC2211" s="55">
        <f t="shared" si="624"/>
        <v>0</v>
      </c>
      <c r="AD2211" s="56">
        <f t="shared" si="625"/>
        <v>4865.6099999999997</v>
      </c>
    </row>
    <row r="2212" spans="3:30">
      <c r="C2212" s="43" t="s">
        <v>4092</v>
      </c>
      <c r="D2212" s="44" t="s">
        <v>4093</v>
      </c>
      <c r="E2212" s="44"/>
      <c r="F2212" s="45">
        <v>42228.405624999999</v>
      </c>
      <c r="G2212" s="46">
        <v>37</v>
      </c>
      <c r="H2212" s="47">
        <v>43388</v>
      </c>
      <c r="I2212" s="47">
        <v>43424</v>
      </c>
      <c r="J2212" s="46">
        <v>212960</v>
      </c>
      <c r="K2212" s="46">
        <v>0</v>
      </c>
      <c r="L2212" s="46">
        <v>0</v>
      </c>
      <c r="M2212" s="46">
        <f t="shared" si="614"/>
        <v>212960</v>
      </c>
      <c r="N2212" s="46">
        <v>212960</v>
      </c>
      <c r="O2212" s="48">
        <f t="shared" si="615"/>
        <v>0</v>
      </c>
      <c r="P2212" s="46">
        <v>0</v>
      </c>
      <c r="Q2212" s="46">
        <v>212960</v>
      </c>
      <c r="R2212" s="49">
        <f t="shared" si="616"/>
        <v>1</v>
      </c>
      <c r="S2212" s="50">
        <f t="shared" si="617"/>
        <v>0.01</v>
      </c>
      <c r="T2212" s="49">
        <f t="shared" si="618"/>
        <v>2129.6</v>
      </c>
      <c r="U2212" s="51">
        <f t="shared" si="619"/>
        <v>0</v>
      </c>
      <c r="V2212" s="52">
        <f>IF(0&lt;0.8,0,IF(0&lt;1,Sheet3!L561,1))*IF(G2212&lt;3,0.12 - O2212,0.01) *U2212</f>
        <v>0</v>
      </c>
      <c r="W2212" s="52">
        <f t="shared" si="620"/>
        <v>0</v>
      </c>
      <c r="X2212" s="53">
        <f t="shared" si="621"/>
        <v>0</v>
      </c>
      <c r="Y2212" s="53">
        <f t="shared" si="622"/>
        <v>0</v>
      </c>
      <c r="Z2212" s="54">
        <f t="shared" si="626"/>
        <v>0</v>
      </c>
      <c r="AA2212" s="54">
        <f t="shared" si="623"/>
        <v>0</v>
      </c>
      <c r="AB2212" s="55">
        <f t="shared" si="627"/>
        <v>0</v>
      </c>
      <c r="AC2212" s="55">
        <f t="shared" si="624"/>
        <v>0</v>
      </c>
      <c r="AD2212" s="56">
        <f t="shared" si="625"/>
        <v>2129.6</v>
      </c>
    </row>
    <row r="2213" spans="3:30">
      <c r="C2213" s="43" t="s">
        <v>4094</v>
      </c>
      <c r="D2213" s="44" t="s">
        <v>4095</v>
      </c>
      <c r="E2213" s="44"/>
      <c r="F2213" s="45">
        <v>42495.31690972222</v>
      </c>
      <c r="G2213" s="46">
        <v>28</v>
      </c>
      <c r="H2213" s="47">
        <v>43388</v>
      </c>
      <c r="I2213" s="47">
        <v>43424</v>
      </c>
      <c r="J2213" s="46">
        <v>1415918</v>
      </c>
      <c r="K2213" s="46">
        <v>0</v>
      </c>
      <c r="L2213" s="46">
        <v>0</v>
      </c>
      <c r="M2213" s="46">
        <f t="shared" si="614"/>
        <v>1415918</v>
      </c>
      <c r="N2213" s="46">
        <v>1415918</v>
      </c>
      <c r="O2213" s="48">
        <f t="shared" si="615"/>
        <v>0</v>
      </c>
      <c r="P2213" s="46">
        <v>0</v>
      </c>
      <c r="Q2213" s="46">
        <v>1415918</v>
      </c>
      <c r="R2213" s="49">
        <f t="shared" si="616"/>
        <v>1</v>
      </c>
      <c r="S2213" s="50">
        <f t="shared" si="617"/>
        <v>0.01</v>
      </c>
      <c r="T2213" s="49">
        <f t="shared" si="618"/>
        <v>14159.18</v>
      </c>
      <c r="U2213" s="51">
        <f t="shared" si="619"/>
        <v>0</v>
      </c>
      <c r="V2213" s="52">
        <f>IF(0&lt;0.8,0,IF(0&lt;1,Sheet3!L561,1))*IF(G2213&lt;3,0.12 - O2213,0.01) *U2213</f>
        <v>0</v>
      </c>
      <c r="W2213" s="52">
        <f t="shared" si="620"/>
        <v>0</v>
      </c>
      <c r="X2213" s="53">
        <f t="shared" si="621"/>
        <v>0</v>
      </c>
      <c r="Y2213" s="53">
        <f t="shared" si="622"/>
        <v>0</v>
      </c>
      <c r="Z2213" s="54">
        <f t="shared" si="626"/>
        <v>0</v>
      </c>
      <c r="AA2213" s="54">
        <f t="shared" si="623"/>
        <v>0</v>
      </c>
      <c r="AB2213" s="55">
        <f t="shared" si="627"/>
        <v>0</v>
      </c>
      <c r="AC2213" s="55">
        <f t="shared" si="624"/>
        <v>0</v>
      </c>
      <c r="AD2213" s="56">
        <f t="shared" si="625"/>
        <v>14159.18</v>
      </c>
    </row>
    <row r="2214" spans="3:30">
      <c r="C2214" s="43" t="s">
        <v>4096</v>
      </c>
      <c r="D2214" s="44" t="s">
        <v>4097</v>
      </c>
      <c r="E2214" s="44"/>
      <c r="F2214" s="45">
        <v>42515.331215277773</v>
      </c>
      <c r="G2214" s="46">
        <v>28</v>
      </c>
      <c r="H2214" s="47">
        <v>43388</v>
      </c>
      <c r="I2214" s="47">
        <v>43406</v>
      </c>
      <c r="J2214" s="46">
        <v>487872</v>
      </c>
      <c r="K2214" s="46">
        <v>0</v>
      </c>
      <c r="L2214" s="46">
        <v>0</v>
      </c>
      <c r="M2214" s="46">
        <f t="shared" si="614"/>
        <v>487872</v>
      </c>
      <c r="N2214" s="46">
        <v>474562</v>
      </c>
      <c r="O2214" s="48">
        <f t="shared" si="615"/>
        <v>0</v>
      </c>
      <c r="P2214" s="46">
        <v>0</v>
      </c>
      <c r="Q2214" s="46">
        <v>487872</v>
      </c>
      <c r="R2214" s="49">
        <f t="shared" si="616"/>
        <v>1</v>
      </c>
      <c r="S2214" s="50">
        <f t="shared" si="617"/>
        <v>0.01</v>
      </c>
      <c r="T2214" s="49">
        <f t="shared" si="618"/>
        <v>4878.72</v>
      </c>
      <c r="U2214" s="51">
        <f t="shared" si="619"/>
        <v>0</v>
      </c>
      <c r="V2214" s="52">
        <f>IF(0&lt;0.8,0,IF(0&lt;1,Sheet3!L561,1))*IF(G2214&lt;3,0.12 - O2214,0.01) *U2214</f>
        <v>0</v>
      </c>
      <c r="W2214" s="52">
        <f t="shared" si="620"/>
        <v>0</v>
      </c>
      <c r="X2214" s="53">
        <f t="shared" si="621"/>
        <v>0</v>
      </c>
      <c r="Y2214" s="53">
        <f t="shared" si="622"/>
        <v>0</v>
      </c>
      <c r="Z2214" s="54">
        <f t="shared" si="626"/>
        <v>0</v>
      </c>
      <c r="AA2214" s="54">
        <f t="shared" si="623"/>
        <v>0</v>
      </c>
      <c r="AB2214" s="55">
        <f t="shared" si="627"/>
        <v>0</v>
      </c>
      <c r="AC2214" s="55">
        <f t="shared" si="624"/>
        <v>0</v>
      </c>
      <c r="AD2214" s="56">
        <f t="shared" si="625"/>
        <v>4878.72</v>
      </c>
    </row>
    <row r="2215" spans="3:30">
      <c r="C2215" s="43" t="s">
        <v>4098</v>
      </c>
      <c r="D2215" s="44" t="s">
        <v>4099</v>
      </c>
      <c r="E2215" s="44"/>
      <c r="F2215" s="45">
        <v>42837.187557870369</v>
      </c>
      <c r="G2215" s="46">
        <v>17</v>
      </c>
      <c r="H2215" s="47">
        <v>43388</v>
      </c>
      <c r="I2215" s="47">
        <v>43411</v>
      </c>
      <c r="J2215" s="46">
        <v>267458</v>
      </c>
      <c r="K2215" s="46">
        <v>0</v>
      </c>
      <c r="L2215" s="46">
        <v>0</v>
      </c>
      <c r="M2215" s="46">
        <f t="shared" si="614"/>
        <v>267458</v>
      </c>
      <c r="N2215" s="46">
        <v>267458</v>
      </c>
      <c r="O2215" s="48">
        <f t="shared" si="615"/>
        <v>0</v>
      </c>
      <c r="P2215" s="46">
        <v>0</v>
      </c>
      <c r="Q2215" s="46">
        <v>267458</v>
      </c>
      <c r="R2215" s="49">
        <f t="shared" si="616"/>
        <v>1</v>
      </c>
      <c r="S2215" s="50">
        <f t="shared" si="617"/>
        <v>0.01</v>
      </c>
      <c r="T2215" s="49">
        <f t="shared" si="618"/>
        <v>2674.58</v>
      </c>
      <c r="U2215" s="51">
        <f t="shared" si="619"/>
        <v>0</v>
      </c>
      <c r="V2215" s="52">
        <f>IF(0&lt;0.8,0,IF(0&lt;1,Sheet3!L561,1))*IF(G2215&lt;3,0.12 - O2215,0.01) *U2215</f>
        <v>0</v>
      </c>
      <c r="W2215" s="52">
        <f t="shared" si="620"/>
        <v>0</v>
      </c>
      <c r="X2215" s="53">
        <f t="shared" si="621"/>
        <v>0</v>
      </c>
      <c r="Y2215" s="53">
        <f t="shared" si="622"/>
        <v>0</v>
      </c>
      <c r="Z2215" s="54">
        <f t="shared" si="626"/>
        <v>0</v>
      </c>
      <c r="AA2215" s="54">
        <f t="shared" si="623"/>
        <v>0</v>
      </c>
      <c r="AB2215" s="55">
        <f t="shared" si="627"/>
        <v>0</v>
      </c>
      <c r="AC2215" s="55">
        <f t="shared" si="624"/>
        <v>0</v>
      </c>
      <c r="AD2215" s="56">
        <f t="shared" si="625"/>
        <v>2674.58</v>
      </c>
    </row>
    <row r="2216" spans="3:30">
      <c r="C2216" s="43" t="s">
        <v>4100</v>
      </c>
      <c r="D2216" s="44" t="s">
        <v>4101</v>
      </c>
      <c r="E2216" s="44"/>
      <c r="F2216" s="45">
        <v>43206.107060185182</v>
      </c>
      <c r="G2216" s="46">
        <v>5</v>
      </c>
      <c r="H2216" s="47">
        <v>43383</v>
      </c>
      <c r="I2216" s="47">
        <v>43389</v>
      </c>
      <c r="J2216" s="46">
        <v>138545</v>
      </c>
      <c r="K2216" s="46">
        <v>0</v>
      </c>
      <c r="L2216" s="46">
        <v>0</v>
      </c>
      <c r="M2216" s="46">
        <f t="shared" si="614"/>
        <v>138545</v>
      </c>
      <c r="N2216" s="46">
        <v>138545</v>
      </c>
      <c r="O2216" s="48">
        <f t="shared" si="615"/>
        <v>0</v>
      </c>
      <c r="P2216" s="46">
        <v>0</v>
      </c>
      <c r="Q2216" s="46">
        <v>138545</v>
      </c>
      <c r="R2216" s="49">
        <f t="shared" si="616"/>
        <v>1</v>
      </c>
      <c r="S2216" s="50">
        <f t="shared" si="617"/>
        <v>0.01</v>
      </c>
      <c r="T2216" s="49">
        <f t="shared" si="618"/>
        <v>1385.45</v>
      </c>
      <c r="U2216" s="51">
        <f t="shared" si="619"/>
        <v>0</v>
      </c>
      <c r="V2216" s="52">
        <f>IF(0&lt;0.8,0,IF(0&lt;1,Sheet3!L561,1))*IF(G2216&lt;3,0.12 - O2216,0.01) *U2216</f>
        <v>0</v>
      </c>
      <c r="W2216" s="52">
        <f t="shared" si="620"/>
        <v>0</v>
      </c>
      <c r="X2216" s="53">
        <f t="shared" si="621"/>
        <v>0</v>
      </c>
      <c r="Y2216" s="53">
        <f t="shared" si="622"/>
        <v>0</v>
      </c>
      <c r="Z2216" s="54">
        <f t="shared" si="626"/>
        <v>0</v>
      </c>
      <c r="AA2216" s="54">
        <f t="shared" si="623"/>
        <v>0</v>
      </c>
      <c r="AB2216" s="55">
        <f t="shared" si="627"/>
        <v>0</v>
      </c>
      <c r="AC2216" s="55">
        <f t="shared" si="624"/>
        <v>0</v>
      </c>
      <c r="AD2216" s="56">
        <f t="shared" si="625"/>
        <v>1385.45</v>
      </c>
    </row>
    <row r="2217" spans="3:30">
      <c r="C2217" s="43" t="s">
        <v>4102</v>
      </c>
      <c r="D2217" s="44" t="s">
        <v>4103</v>
      </c>
      <c r="E2217" s="44"/>
      <c r="F2217" s="45">
        <v>43213.292222222219</v>
      </c>
      <c r="G2217" s="46">
        <v>5</v>
      </c>
      <c r="H2217" s="47" t="s">
        <v>24</v>
      </c>
      <c r="I2217" s="47" t="s">
        <v>24</v>
      </c>
      <c r="J2217" s="46">
        <v>38500</v>
      </c>
      <c r="K2217" s="46">
        <v>0</v>
      </c>
      <c r="L2217" s="46">
        <v>0</v>
      </c>
      <c r="M2217" s="46">
        <f t="shared" si="614"/>
        <v>38500</v>
      </c>
      <c r="N2217" s="46">
        <v>42350</v>
      </c>
      <c r="O2217" s="48">
        <f t="shared" si="615"/>
        <v>9.0909090909090939E-2</v>
      </c>
      <c r="P2217" s="46">
        <v>0</v>
      </c>
      <c r="Q2217" s="46">
        <v>38500</v>
      </c>
      <c r="R2217" s="49">
        <f t="shared" si="616"/>
        <v>1</v>
      </c>
      <c r="S2217" s="50">
        <f t="shared" si="617"/>
        <v>0.01</v>
      </c>
      <c r="T2217" s="49">
        <f t="shared" si="618"/>
        <v>385</v>
      </c>
      <c r="U2217" s="51">
        <f t="shared" si="619"/>
        <v>0</v>
      </c>
      <c r="V2217" s="52">
        <f>IF(0&lt;0.8,0,IF(0&lt;1,Sheet3!L561,1))*IF(G2217&lt;3,0.12 - O2217,0.01) *U2217</f>
        <v>0</v>
      </c>
      <c r="W2217" s="52">
        <f t="shared" si="620"/>
        <v>0</v>
      </c>
      <c r="X2217" s="53">
        <f t="shared" si="621"/>
        <v>0</v>
      </c>
      <c r="Y2217" s="53">
        <f t="shared" si="622"/>
        <v>0</v>
      </c>
      <c r="Z2217" s="54">
        <f t="shared" si="626"/>
        <v>0</v>
      </c>
      <c r="AA2217" s="54">
        <f t="shared" si="623"/>
        <v>0</v>
      </c>
      <c r="AB2217" s="55">
        <f t="shared" si="627"/>
        <v>0</v>
      </c>
      <c r="AC2217" s="55">
        <f t="shared" si="624"/>
        <v>0</v>
      </c>
      <c r="AD2217" s="56">
        <f t="shared" si="625"/>
        <v>385</v>
      </c>
    </row>
    <row r="2218" spans="3:30">
      <c r="C2218" s="43" t="s">
        <v>4104</v>
      </c>
      <c r="D2218" s="44" t="s">
        <v>4105</v>
      </c>
      <c r="E2218" s="44"/>
      <c r="F2218" s="45">
        <v>43367.153425925921</v>
      </c>
      <c r="G2218" s="46">
        <v>0</v>
      </c>
      <c r="H2218" s="47">
        <v>43388</v>
      </c>
      <c r="I2218" s="47">
        <v>43424</v>
      </c>
      <c r="J2218" s="46">
        <v>189200</v>
      </c>
      <c r="K2218" s="46">
        <v>0</v>
      </c>
      <c r="L2218" s="46">
        <v>0</v>
      </c>
      <c r="M2218" s="46">
        <f t="shared" si="614"/>
        <v>189200</v>
      </c>
      <c r="N2218" s="46">
        <v>226270</v>
      </c>
      <c r="O2218" s="48">
        <f t="shared" si="615"/>
        <v>0.16383082158483231</v>
      </c>
      <c r="P2218" s="46">
        <v>0</v>
      </c>
      <c r="Q2218" s="46">
        <v>0</v>
      </c>
      <c r="R2218" s="49">
        <f t="shared" si="616"/>
        <v>0</v>
      </c>
      <c r="S2218" s="50">
        <f t="shared" si="617"/>
        <v>0</v>
      </c>
      <c r="T2218" s="49">
        <f t="shared" si="618"/>
        <v>0</v>
      </c>
      <c r="U2218" s="51">
        <f t="shared" si="619"/>
        <v>0</v>
      </c>
      <c r="V2218" s="52">
        <f>IF(0&lt;0.8,0,IF(0&lt;1,Sheet3!L561,1))*IF(G2218&lt;3,0.12 - O2218,0.01) *U2218</f>
        <v>0</v>
      </c>
      <c r="W2218" s="52">
        <f t="shared" si="620"/>
        <v>0</v>
      </c>
      <c r="X2218" s="53">
        <f t="shared" si="621"/>
        <v>0</v>
      </c>
      <c r="Y2218" s="53">
        <f t="shared" si="622"/>
        <v>0</v>
      </c>
      <c r="Z2218" s="54">
        <f t="shared" si="626"/>
        <v>0</v>
      </c>
      <c r="AA2218" s="54">
        <f t="shared" si="623"/>
        <v>0</v>
      </c>
      <c r="AB2218" s="55">
        <f t="shared" si="627"/>
        <v>0</v>
      </c>
      <c r="AC2218" s="55">
        <f t="shared" si="624"/>
        <v>0</v>
      </c>
      <c r="AD2218" s="56">
        <f t="shared" si="625"/>
        <v>0</v>
      </c>
    </row>
    <row r="2219" spans="3:30">
      <c r="C2219" s="43" t="s">
        <v>4106</v>
      </c>
      <c r="D2219" s="44" t="s">
        <v>4107</v>
      </c>
      <c r="E2219" s="44"/>
      <c r="F2219" s="45">
        <v>39491.576203703706</v>
      </c>
      <c r="G2219" s="46">
        <v>127</v>
      </c>
      <c r="H2219" s="47" t="s">
        <v>24</v>
      </c>
      <c r="I2219" s="47" t="s">
        <v>24</v>
      </c>
      <c r="J2219" s="46">
        <v>4272572</v>
      </c>
      <c r="K2219" s="46">
        <v>0</v>
      </c>
      <c r="L2219" s="46">
        <v>0</v>
      </c>
      <c r="M2219" s="46">
        <f t="shared" si="614"/>
        <v>4272572</v>
      </c>
      <c r="N2219" s="46" t="s">
        <v>24</v>
      </c>
      <c r="O2219" s="48">
        <f t="shared" si="615"/>
        <v>0</v>
      </c>
      <c r="P2219" s="46">
        <v>0</v>
      </c>
      <c r="Q2219" s="46">
        <v>0</v>
      </c>
      <c r="R2219" s="49">
        <f t="shared" si="616"/>
        <v>1</v>
      </c>
      <c r="S2219" s="50">
        <f t="shared" si="617"/>
        <v>0.01</v>
      </c>
      <c r="T2219" s="49">
        <f t="shared" si="618"/>
        <v>42725.72</v>
      </c>
      <c r="U2219" s="51">
        <f t="shared" si="619"/>
        <v>0</v>
      </c>
      <c r="V2219" s="52">
        <f>IF(0&lt;0.8,0,IF(0&lt;1,Sheet3!L561,1))*IF(G2219&lt;3,0.12 - O2219,0.01) *U2219</f>
        <v>0</v>
      </c>
      <c r="W2219" s="52">
        <f t="shared" si="620"/>
        <v>0</v>
      </c>
      <c r="X2219" s="53">
        <f t="shared" si="621"/>
        <v>0</v>
      </c>
      <c r="Y2219" s="53">
        <f t="shared" si="622"/>
        <v>0</v>
      </c>
      <c r="Z2219" s="54">
        <f>IF(R2219=1,0,"")</f>
        <v>0</v>
      </c>
      <c r="AA2219" s="54">
        <f t="shared" si="623"/>
        <v>0</v>
      </c>
      <c r="AB2219" s="55">
        <f>IF(R2219=0,"",0)</f>
        <v>0</v>
      </c>
      <c r="AC2219" s="55">
        <f t="shared" si="624"/>
        <v>0</v>
      </c>
      <c r="AD2219" s="56">
        <f t="shared" si="625"/>
        <v>42725.72</v>
      </c>
    </row>
    <row r="2220" spans="3:30">
      <c r="C2220" s="43" t="s">
        <v>4108</v>
      </c>
      <c r="D2220" s="44" t="s">
        <v>4109</v>
      </c>
      <c r="E2220" s="44"/>
      <c r="F2220" s="45">
        <v>39520.55945601852</v>
      </c>
      <c r="G2220" s="46">
        <v>126</v>
      </c>
      <c r="H2220" s="47">
        <v>43391</v>
      </c>
      <c r="I2220" s="47">
        <v>43426</v>
      </c>
      <c r="J2220" s="46">
        <v>1695280</v>
      </c>
      <c r="K2220" s="46">
        <v>0</v>
      </c>
      <c r="L2220" s="46">
        <v>0</v>
      </c>
      <c r="M2220" s="46">
        <f t="shared" si="614"/>
        <v>1695280</v>
      </c>
      <c r="N2220" s="46">
        <v>1159988</v>
      </c>
      <c r="O2220" s="48">
        <f t="shared" si="615"/>
        <v>0</v>
      </c>
      <c r="P2220" s="46">
        <v>0</v>
      </c>
      <c r="Q2220" s="46">
        <v>1695280</v>
      </c>
      <c r="R2220" s="49">
        <f t="shared" si="616"/>
        <v>1</v>
      </c>
      <c r="S2220" s="50">
        <f t="shared" si="617"/>
        <v>0.01</v>
      </c>
      <c r="T2220" s="49">
        <f t="shared" si="618"/>
        <v>16952.8</v>
      </c>
      <c r="U2220" s="51">
        <f t="shared" si="619"/>
        <v>0</v>
      </c>
      <c r="V2220" s="52">
        <f>IF(0&lt;0.8,0,IF(0&lt;1,Sheet3!L561,1))*IF(G2220&lt;3,0.12 - O2220,0.01) *U2220</f>
        <v>0</v>
      </c>
      <c r="W2220" s="52">
        <f t="shared" si="620"/>
        <v>0</v>
      </c>
      <c r="X2220" s="53">
        <f t="shared" si="621"/>
        <v>0</v>
      </c>
      <c r="Y2220" s="53">
        <f t="shared" si="622"/>
        <v>0</v>
      </c>
      <c r="Z2220" s="54">
        <f t="shared" ref="Z2220:Z2236" si="628">IF(R2220=1,0,0)</f>
        <v>0</v>
      </c>
      <c r="AA2220" s="54">
        <f t="shared" si="623"/>
        <v>0</v>
      </c>
      <c r="AB2220" s="55">
        <f t="shared" ref="AB2220:AB2236" si="629">IF(R2220=0,0,0)</f>
        <v>0</v>
      </c>
      <c r="AC2220" s="55">
        <f t="shared" si="624"/>
        <v>0</v>
      </c>
      <c r="AD2220" s="56">
        <f t="shared" si="625"/>
        <v>16952.8</v>
      </c>
    </row>
    <row r="2221" spans="3:30">
      <c r="C2221" s="43" t="s">
        <v>4110</v>
      </c>
      <c r="D2221" s="44" t="s">
        <v>4111</v>
      </c>
      <c r="E2221" s="44"/>
      <c r="F2221" s="45">
        <v>39827.668668981481</v>
      </c>
      <c r="G2221" s="46">
        <v>116</v>
      </c>
      <c r="H2221" s="47">
        <v>43376</v>
      </c>
      <c r="I2221" s="47">
        <v>43398</v>
      </c>
      <c r="J2221" s="46">
        <v>4626620</v>
      </c>
      <c r="K2221" s="46">
        <v>0</v>
      </c>
      <c r="L2221" s="46">
        <v>0</v>
      </c>
      <c r="M2221" s="46">
        <f t="shared" si="614"/>
        <v>4626620</v>
      </c>
      <c r="N2221" s="46">
        <v>4825524</v>
      </c>
      <c r="O2221" s="48">
        <f t="shared" si="615"/>
        <v>4.1219150500546697E-2</v>
      </c>
      <c r="P2221" s="46">
        <v>0</v>
      </c>
      <c r="Q2221" s="46">
        <v>4626620</v>
      </c>
      <c r="R2221" s="49">
        <f t="shared" si="616"/>
        <v>1</v>
      </c>
      <c r="S2221" s="50">
        <f t="shared" si="617"/>
        <v>0.01</v>
      </c>
      <c r="T2221" s="49">
        <f t="shared" si="618"/>
        <v>46266.200000000004</v>
      </c>
      <c r="U2221" s="51">
        <f t="shared" si="619"/>
        <v>0</v>
      </c>
      <c r="V2221" s="52">
        <f>IF(0&lt;0.8,0,IF(0&lt;1,Sheet3!L561,1))*IF(G2221&lt;3,0.12 - O2221,0.01) *U2221</f>
        <v>0</v>
      </c>
      <c r="W2221" s="52">
        <f t="shared" si="620"/>
        <v>0</v>
      </c>
      <c r="X2221" s="53">
        <f t="shared" si="621"/>
        <v>0</v>
      </c>
      <c r="Y2221" s="53">
        <f t="shared" si="622"/>
        <v>0</v>
      </c>
      <c r="Z2221" s="54">
        <f t="shared" si="628"/>
        <v>0</v>
      </c>
      <c r="AA2221" s="54">
        <f t="shared" si="623"/>
        <v>0</v>
      </c>
      <c r="AB2221" s="55">
        <f t="shared" si="629"/>
        <v>0</v>
      </c>
      <c r="AC2221" s="55">
        <f t="shared" si="624"/>
        <v>0</v>
      </c>
      <c r="AD2221" s="56">
        <f t="shared" si="625"/>
        <v>46266.200000000004</v>
      </c>
    </row>
    <row r="2222" spans="3:30">
      <c r="C2222" s="43" t="s">
        <v>4112</v>
      </c>
      <c r="D2222" s="44" t="s">
        <v>4113</v>
      </c>
      <c r="E2222" s="44"/>
      <c r="F2222" s="45">
        <v>39869.482673611106</v>
      </c>
      <c r="G2222" s="46">
        <v>115</v>
      </c>
      <c r="H2222" s="47">
        <v>43376</v>
      </c>
      <c r="I2222" s="47">
        <v>43420</v>
      </c>
      <c r="J2222" s="46">
        <v>1844239</v>
      </c>
      <c r="K2222" s="46">
        <v>0</v>
      </c>
      <c r="L2222" s="46">
        <v>0</v>
      </c>
      <c r="M2222" s="46">
        <f t="shared" si="614"/>
        <v>1844239</v>
      </c>
      <c r="N2222" s="46">
        <v>2004728</v>
      </c>
      <c r="O2222" s="48">
        <f t="shared" si="615"/>
        <v>8.0055249390440952E-2</v>
      </c>
      <c r="P2222" s="46">
        <v>0</v>
      </c>
      <c r="Q2222" s="46">
        <v>1844239</v>
      </c>
      <c r="R2222" s="49">
        <f t="shared" si="616"/>
        <v>1</v>
      </c>
      <c r="S2222" s="50">
        <f t="shared" si="617"/>
        <v>0.01</v>
      </c>
      <c r="T2222" s="49">
        <f t="shared" si="618"/>
        <v>18442.39</v>
      </c>
      <c r="U2222" s="51">
        <f t="shared" si="619"/>
        <v>0</v>
      </c>
      <c r="V2222" s="52">
        <f>IF(0&lt;0.8,0,IF(0&lt;1,Sheet3!L561,1))*IF(G2222&lt;3,0.12 - O2222,0.01) *U2222</f>
        <v>0</v>
      </c>
      <c r="W2222" s="52">
        <f t="shared" si="620"/>
        <v>0</v>
      </c>
      <c r="X2222" s="53">
        <f t="shared" si="621"/>
        <v>0</v>
      </c>
      <c r="Y2222" s="53">
        <f t="shared" si="622"/>
        <v>0</v>
      </c>
      <c r="Z2222" s="54">
        <f t="shared" si="628"/>
        <v>0</v>
      </c>
      <c r="AA2222" s="54">
        <f t="shared" si="623"/>
        <v>0</v>
      </c>
      <c r="AB2222" s="55">
        <f t="shared" si="629"/>
        <v>0</v>
      </c>
      <c r="AC2222" s="55">
        <f t="shared" si="624"/>
        <v>0</v>
      </c>
      <c r="AD2222" s="56">
        <f t="shared" si="625"/>
        <v>18442.39</v>
      </c>
    </row>
    <row r="2223" spans="3:30">
      <c r="C2223" s="43" t="s">
        <v>4114</v>
      </c>
      <c r="D2223" s="44" t="s">
        <v>4115</v>
      </c>
      <c r="E2223" s="44"/>
      <c r="F2223" s="45">
        <v>40730.60050925926</v>
      </c>
      <c r="G2223" s="46">
        <v>86</v>
      </c>
      <c r="H2223" s="47">
        <v>43391</v>
      </c>
      <c r="I2223" s="47">
        <v>43426</v>
      </c>
      <c r="J2223" s="46">
        <v>3172252</v>
      </c>
      <c r="K2223" s="46">
        <v>0</v>
      </c>
      <c r="L2223" s="46">
        <v>0</v>
      </c>
      <c r="M2223" s="46">
        <f t="shared" si="614"/>
        <v>3172252</v>
      </c>
      <c r="N2223" s="46">
        <v>3172252</v>
      </c>
      <c r="O2223" s="48">
        <f t="shared" si="615"/>
        <v>0</v>
      </c>
      <c r="P2223" s="46">
        <v>0</v>
      </c>
      <c r="Q2223" s="46">
        <v>3172252</v>
      </c>
      <c r="R2223" s="49">
        <f t="shared" si="616"/>
        <v>1</v>
      </c>
      <c r="S2223" s="50">
        <f t="shared" si="617"/>
        <v>0.01</v>
      </c>
      <c r="T2223" s="49">
        <f t="shared" si="618"/>
        <v>31722.52</v>
      </c>
      <c r="U2223" s="51">
        <f t="shared" si="619"/>
        <v>0</v>
      </c>
      <c r="V2223" s="52">
        <f>IF(0&lt;0.8,0,IF(0&lt;1,Sheet3!L561,1))*IF(G2223&lt;3,0.12 - O2223,0.01) *U2223</f>
        <v>0</v>
      </c>
      <c r="W2223" s="52">
        <f t="shared" si="620"/>
        <v>0</v>
      </c>
      <c r="X2223" s="53">
        <f t="shared" si="621"/>
        <v>0</v>
      </c>
      <c r="Y2223" s="53">
        <f t="shared" si="622"/>
        <v>0</v>
      </c>
      <c r="Z2223" s="54">
        <f t="shared" si="628"/>
        <v>0</v>
      </c>
      <c r="AA2223" s="54">
        <f t="shared" si="623"/>
        <v>0</v>
      </c>
      <c r="AB2223" s="55">
        <f t="shared" si="629"/>
        <v>0</v>
      </c>
      <c r="AC2223" s="55">
        <f t="shared" si="624"/>
        <v>0</v>
      </c>
      <c r="AD2223" s="56">
        <f t="shared" si="625"/>
        <v>31722.52</v>
      </c>
    </row>
    <row r="2224" spans="3:30">
      <c r="C2224" s="43" t="s">
        <v>4116</v>
      </c>
      <c r="D2224" s="44" t="s">
        <v>4117</v>
      </c>
      <c r="E2224" s="44"/>
      <c r="F2224" s="45">
        <v>40737.434421296297</v>
      </c>
      <c r="G2224" s="46">
        <v>86</v>
      </c>
      <c r="H2224" s="47">
        <v>43405</v>
      </c>
      <c r="I2224" s="47">
        <v>43455</v>
      </c>
      <c r="J2224" s="46">
        <v>256157</v>
      </c>
      <c r="K2224" s="46">
        <v>0</v>
      </c>
      <c r="L2224" s="46">
        <v>0</v>
      </c>
      <c r="M2224" s="46">
        <f t="shared" si="614"/>
        <v>256157</v>
      </c>
      <c r="N2224" s="46">
        <v>256157</v>
      </c>
      <c r="O2224" s="48">
        <f t="shared" si="615"/>
        <v>0</v>
      </c>
      <c r="P2224" s="46">
        <v>0</v>
      </c>
      <c r="Q2224" s="46">
        <v>256157</v>
      </c>
      <c r="R2224" s="49">
        <f t="shared" si="616"/>
        <v>1</v>
      </c>
      <c r="S2224" s="50">
        <f t="shared" si="617"/>
        <v>0.01</v>
      </c>
      <c r="T2224" s="49">
        <f t="shared" si="618"/>
        <v>2561.5700000000002</v>
      </c>
      <c r="U2224" s="51">
        <f t="shared" si="619"/>
        <v>0</v>
      </c>
      <c r="V2224" s="52">
        <f>IF(0&lt;0.8,0,IF(0&lt;1,Sheet3!L561,1))*IF(G2224&lt;3,0.12 - O2224,0.01) *U2224</f>
        <v>0</v>
      </c>
      <c r="W2224" s="52">
        <f t="shared" si="620"/>
        <v>0</v>
      </c>
      <c r="X2224" s="53">
        <f t="shared" si="621"/>
        <v>0</v>
      </c>
      <c r="Y2224" s="53">
        <f t="shared" si="622"/>
        <v>0</v>
      </c>
      <c r="Z2224" s="54">
        <f t="shared" si="628"/>
        <v>0</v>
      </c>
      <c r="AA2224" s="54">
        <f t="shared" si="623"/>
        <v>0</v>
      </c>
      <c r="AB2224" s="55">
        <f t="shared" si="629"/>
        <v>0</v>
      </c>
      <c r="AC2224" s="55">
        <f t="shared" si="624"/>
        <v>0</v>
      </c>
      <c r="AD2224" s="56">
        <f t="shared" si="625"/>
        <v>2561.5700000000002</v>
      </c>
    </row>
    <row r="2225" spans="3:30">
      <c r="C2225" s="43" t="s">
        <v>4118</v>
      </c>
      <c r="D2225" s="44" t="s">
        <v>4119</v>
      </c>
      <c r="E2225" s="44"/>
      <c r="F2225" s="45">
        <v>40970.365960648145</v>
      </c>
      <c r="G2225" s="46">
        <v>78</v>
      </c>
      <c r="H2225" s="47">
        <v>43396</v>
      </c>
      <c r="I2225" s="47">
        <v>43412</v>
      </c>
      <c r="J2225" s="46">
        <v>498762</v>
      </c>
      <c r="K2225" s="46">
        <v>0</v>
      </c>
      <c r="L2225" s="46">
        <v>0</v>
      </c>
      <c r="M2225" s="46">
        <f t="shared" si="614"/>
        <v>498762</v>
      </c>
      <c r="N2225" s="46">
        <v>498762</v>
      </c>
      <c r="O2225" s="48">
        <f t="shared" si="615"/>
        <v>0</v>
      </c>
      <c r="P2225" s="46">
        <v>0</v>
      </c>
      <c r="Q2225" s="46">
        <v>498762</v>
      </c>
      <c r="R2225" s="49">
        <f t="shared" si="616"/>
        <v>1</v>
      </c>
      <c r="S2225" s="50">
        <f t="shared" si="617"/>
        <v>0.01</v>
      </c>
      <c r="T2225" s="49">
        <f t="shared" si="618"/>
        <v>4987.62</v>
      </c>
      <c r="U2225" s="51">
        <f t="shared" si="619"/>
        <v>0</v>
      </c>
      <c r="V2225" s="52">
        <f>IF(0&lt;0.8,0,IF(0&lt;1,Sheet3!L561,1))*IF(G2225&lt;3,0.12 - O2225,0.01) *U2225</f>
        <v>0</v>
      </c>
      <c r="W2225" s="52">
        <f t="shared" si="620"/>
        <v>0</v>
      </c>
      <c r="X2225" s="53">
        <f t="shared" si="621"/>
        <v>0</v>
      </c>
      <c r="Y2225" s="53">
        <f t="shared" si="622"/>
        <v>0</v>
      </c>
      <c r="Z2225" s="54">
        <f t="shared" si="628"/>
        <v>0</v>
      </c>
      <c r="AA2225" s="54">
        <f t="shared" si="623"/>
        <v>0</v>
      </c>
      <c r="AB2225" s="55">
        <f t="shared" si="629"/>
        <v>0</v>
      </c>
      <c r="AC2225" s="55">
        <f t="shared" si="624"/>
        <v>0</v>
      </c>
      <c r="AD2225" s="56">
        <f t="shared" si="625"/>
        <v>4987.62</v>
      </c>
    </row>
    <row r="2226" spans="3:30">
      <c r="C2226" s="43" t="s">
        <v>4120</v>
      </c>
      <c r="D2226" s="44" t="s">
        <v>4121</v>
      </c>
      <c r="E2226" s="44"/>
      <c r="F2226" s="45">
        <v>40987.67219907407</v>
      </c>
      <c r="G2226" s="46">
        <v>78</v>
      </c>
      <c r="H2226" s="47">
        <v>43395</v>
      </c>
      <c r="I2226" s="47">
        <v>43441</v>
      </c>
      <c r="J2226" s="46">
        <v>8864326</v>
      </c>
      <c r="K2226" s="46">
        <v>0</v>
      </c>
      <c r="L2226" s="46">
        <v>0</v>
      </c>
      <c r="M2226" s="46">
        <f t="shared" si="614"/>
        <v>8864326</v>
      </c>
      <c r="N2226" s="46">
        <v>8712148</v>
      </c>
      <c r="O2226" s="48">
        <f t="shared" si="615"/>
        <v>0</v>
      </c>
      <c r="P2226" s="46">
        <v>0</v>
      </c>
      <c r="Q2226" s="46">
        <v>8864326</v>
      </c>
      <c r="R2226" s="49">
        <f t="shared" si="616"/>
        <v>1</v>
      </c>
      <c r="S2226" s="50">
        <f t="shared" si="617"/>
        <v>0.01</v>
      </c>
      <c r="T2226" s="49">
        <f t="shared" si="618"/>
        <v>88643.26</v>
      </c>
      <c r="U2226" s="51">
        <f t="shared" si="619"/>
        <v>0</v>
      </c>
      <c r="V2226" s="52">
        <f>IF(0&lt;0.8,0,IF(0&lt;1,Sheet3!L561,1))*IF(G2226&lt;3,0.12 - O2226,0.01) *U2226</f>
        <v>0</v>
      </c>
      <c r="W2226" s="52">
        <f t="shared" si="620"/>
        <v>0</v>
      </c>
      <c r="X2226" s="53">
        <f t="shared" si="621"/>
        <v>0</v>
      </c>
      <c r="Y2226" s="53">
        <f t="shared" si="622"/>
        <v>0</v>
      </c>
      <c r="Z2226" s="54">
        <f t="shared" si="628"/>
        <v>0</v>
      </c>
      <c r="AA2226" s="54">
        <f t="shared" si="623"/>
        <v>0</v>
      </c>
      <c r="AB2226" s="55">
        <f t="shared" si="629"/>
        <v>0</v>
      </c>
      <c r="AC2226" s="55">
        <f t="shared" si="624"/>
        <v>0</v>
      </c>
      <c r="AD2226" s="56">
        <f t="shared" si="625"/>
        <v>88643.26</v>
      </c>
    </row>
    <row r="2227" spans="3:30">
      <c r="C2227" s="43" t="s">
        <v>4122</v>
      </c>
      <c r="D2227" s="44" t="s">
        <v>4123</v>
      </c>
      <c r="E2227" s="44"/>
      <c r="F2227" s="45">
        <v>41290.435173611113</v>
      </c>
      <c r="G2227" s="46">
        <v>68</v>
      </c>
      <c r="H2227" s="47">
        <v>43376</v>
      </c>
      <c r="I2227" s="47">
        <v>43439</v>
      </c>
      <c r="J2227" s="46">
        <v>1192092</v>
      </c>
      <c r="K2227" s="46">
        <v>0</v>
      </c>
      <c r="L2227" s="46">
        <v>0</v>
      </c>
      <c r="M2227" s="46">
        <f t="shared" ref="M2227:M2290" si="630">IFERROR(J2227-K2227-L2227,0)</f>
        <v>1192092</v>
      </c>
      <c r="N2227" s="46">
        <v>1192092</v>
      </c>
      <c r="O2227" s="48">
        <f t="shared" ref="O2227:O2290" si="631">IFERROR(IF(1 - M2227/N2227&lt;0,0,1-M2227/N2227),0)</f>
        <v>0</v>
      </c>
      <c r="P2227" s="46">
        <v>0</v>
      </c>
      <c r="Q2227" s="46">
        <v>1192092</v>
      </c>
      <c r="R2227" s="49">
        <f t="shared" ref="R2227:R2290" si="632">IF(F2227&lt;DATEVALUE("2018-07-01"),1,0)</f>
        <v>1</v>
      </c>
      <c r="S2227" s="50">
        <f t="shared" ref="S2227:S2290" si="633">IF(R2227=1,1%,0)</f>
        <v>0.01</v>
      </c>
      <c r="T2227" s="49">
        <f t="shared" ref="T2227:T2290" si="634">IFERROR(S2227*M2227,0)</f>
        <v>11920.92</v>
      </c>
      <c r="U2227" s="51">
        <f t="shared" ref="U2227:U2290" si="635">IF(O2227&lt;=0.12,1,0)*(1-R2227)*M2227</f>
        <v>0</v>
      </c>
      <c r="V2227" s="52">
        <f>IF(0&lt;0.8,0,IF(0&lt;1,Sheet3!L561,1))*IF(G2227&lt;3,0.12 - O2227,0.01) *U2227</f>
        <v>0</v>
      </c>
      <c r="W2227" s="52">
        <f t="shared" ref="W2227:W2290" si="636">IF(0&gt;1,IF(0&lt;=1.1,1,IF(0&lt;=1.2,2,IF(0&lt;=1.5,3,5))),0) * 1000000</f>
        <v>0</v>
      </c>
      <c r="X2227" s="53">
        <f t="shared" ref="X2227:X2290" si="637">IF(AND(P2227&gt;=150000000,P2227&lt;300000000),5000000,IF(AND(P2227&gt;=300000000,P2227&lt;500000000),10000000,IF(AND(P2227&gt;=300000000,P2227&lt;500000000),15000000,IF(AND(P2227&gt;=500000000,P2227&lt;3000000000),20000000,IF(P2227&gt;=30000000000,35000000,0))))) * (1-R2227)</f>
        <v>0</v>
      </c>
      <c r="Y2227" s="53">
        <f t="shared" ref="Y2227:Y2290" si="638">IFERROR(Q2227 * (1-R2227),0)</f>
        <v>0</v>
      </c>
      <c r="Z2227" s="54">
        <f t="shared" si="628"/>
        <v>0</v>
      </c>
      <c r="AA2227" s="54">
        <f t="shared" ref="AA2227:AA2290" si="639">IFERROR((1-R2227) * Z2227 * 2%,0)</f>
        <v>0</v>
      </c>
      <c r="AB2227" s="55">
        <f t="shared" si="629"/>
        <v>0</v>
      </c>
      <c r="AC2227" s="55">
        <f t="shared" ref="AC2227:AC2290" si="640">IFERROR(AB2227 * (1-R2227) * 2%,0)</f>
        <v>0</v>
      </c>
      <c r="AD2227" s="56">
        <f t="shared" ref="AD2227:AD2290" si="641">T2227+V2227+W2227+X2227+AA2227+AC2227</f>
        <v>11920.92</v>
      </c>
    </row>
    <row r="2228" spans="3:30">
      <c r="C2228" s="43" t="s">
        <v>4124</v>
      </c>
      <c r="D2228" s="44" t="s">
        <v>4125</v>
      </c>
      <c r="E2228" s="44"/>
      <c r="F2228" s="45">
        <v>41401.379062499997</v>
      </c>
      <c r="G2228" s="46">
        <v>64</v>
      </c>
      <c r="H2228" s="47">
        <v>43391</v>
      </c>
      <c r="I2228" s="47">
        <v>43416</v>
      </c>
      <c r="J2228" s="46">
        <v>2401027</v>
      </c>
      <c r="K2228" s="46">
        <v>0</v>
      </c>
      <c r="L2228" s="46">
        <v>0</v>
      </c>
      <c r="M2228" s="46">
        <f t="shared" si="630"/>
        <v>2401027</v>
      </c>
      <c r="N2228" s="46">
        <v>2401027</v>
      </c>
      <c r="O2228" s="48">
        <f t="shared" si="631"/>
        <v>0</v>
      </c>
      <c r="P2228" s="46">
        <v>0</v>
      </c>
      <c r="Q2228" s="46">
        <v>2401027</v>
      </c>
      <c r="R2228" s="49">
        <f t="shared" si="632"/>
        <v>1</v>
      </c>
      <c r="S2228" s="50">
        <f t="shared" si="633"/>
        <v>0.01</v>
      </c>
      <c r="T2228" s="49">
        <f t="shared" si="634"/>
        <v>24010.27</v>
      </c>
      <c r="U2228" s="51">
        <f t="shared" si="635"/>
        <v>0</v>
      </c>
      <c r="V2228" s="52">
        <f>IF(0&lt;0.8,0,IF(0&lt;1,Sheet3!L561,1))*IF(G2228&lt;3,0.12 - O2228,0.01) *U2228</f>
        <v>0</v>
      </c>
      <c r="W2228" s="52">
        <f t="shared" si="636"/>
        <v>0</v>
      </c>
      <c r="X2228" s="53">
        <f t="shared" si="637"/>
        <v>0</v>
      </c>
      <c r="Y2228" s="53">
        <f t="shared" si="638"/>
        <v>0</v>
      </c>
      <c r="Z2228" s="54">
        <f t="shared" si="628"/>
        <v>0</v>
      </c>
      <c r="AA2228" s="54">
        <f t="shared" si="639"/>
        <v>0</v>
      </c>
      <c r="AB2228" s="55">
        <f t="shared" si="629"/>
        <v>0</v>
      </c>
      <c r="AC2228" s="55">
        <f t="shared" si="640"/>
        <v>0</v>
      </c>
      <c r="AD2228" s="56">
        <f t="shared" si="641"/>
        <v>24010.27</v>
      </c>
    </row>
    <row r="2229" spans="3:30">
      <c r="C2229" s="43" t="s">
        <v>4126</v>
      </c>
      <c r="D2229" s="44" t="s">
        <v>4127</v>
      </c>
      <c r="E2229" s="44"/>
      <c r="F2229" s="45">
        <v>41510.403622685182</v>
      </c>
      <c r="G2229" s="46">
        <v>61</v>
      </c>
      <c r="H2229" s="47">
        <v>43376</v>
      </c>
      <c r="I2229" s="47">
        <v>43419</v>
      </c>
      <c r="J2229" s="46">
        <v>7482134</v>
      </c>
      <c r="K2229" s="46">
        <v>0</v>
      </c>
      <c r="L2229" s="46">
        <v>0</v>
      </c>
      <c r="M2229" s="46">
        <f t="shared" si="630"/>
        <v>7482134</v>
      </c>
      <c r="N2229" s="46">
        <v>8474906</v>
      </c>
      <c r="O2229" s="48">
        <f t="shared" si="631"/>
        <v>0.11714253821812304</v>
      </c>
      <c r="P2229" s="46">
        <v>0</v>
      </c>
      <c r="Q2229" s="46">
        <v>7482134</v>
      </c>
      <c r="R2229" s="49">
        <f t="shared" si="632"/>
        <v>1</v>
      </c>
      <c r="S2229" s="50">
        <f t="shared" si="633"/>
        <v>0.01</v>
      </c>
      <c r="T2229" s="49">
        <f t="shared" si="634"/>
        <v>74821.34</v>
      </c>
      <c r="U2229" s="51">
        <f t="shared" si="635"/>
        <v>0</v>
      </c>
      <c r="V2229" s="52">
        <f>IF(0&lt;0.8,0,IF(0&lt;1,Sheet3!L561,1))*IF(G2229&lt;3,0.12 - O2229,0.01) *U2229</f>
        <v>0</v>
      </c>
      <c r="W2229" s="52">
        <f t="shared" si="636"/>
        <v>0</v>
      </c>
      <c r="X2229" s="53">
        <f t="shared" si="637"/>
        <v>0</v>
      </c>
      <c r="Y2229" s="53">
        <f t="shared" si="638"/>
        <v>0</v>
      </c>
      <c r="Z2229" s="54">
        <f t="shared" si="628"/>
        <v>0</v>
      </c>
      <c r="AA2229" s="54">
        <f t="shared" si="639"/>
        <v>0</v>
      </c>
      <c r="AB2229" s="55">
        <f t="shared" si="629"/>
        <v>0</v>
      </c>
      <c r="AC2229" s="55">
        <f t="shared" si="640"/>
        <v>0</v>
      </c>
      <c r="AD2229" s="56">
        <f t="shared" si="641"/>
        <v>74821.34</v>
      </c>
    </row>
    <row r="2230" spans="3:30">
      <c r="C2230" s="43" t="s">
        <v>4128</v>
      </c>
      <c r="D2230" s="44" t="s">
        <v>4129</v>
      </c>
      <c r="E2230" s="44"/>
      <c r="F2230" s="45">
        <v>41885.590104166666</v>
      </c>
      <c r="G2230" s="46">
        <v>48</v>
      </c>
      <c r="H2230" s="47">
        <v>43396</v>
      </c>
      <c r="I2230" s="47">
        <v>43413</v>
      </c>
      <c r="J2230" s="46">
        <v>445740</v>
      </c>
      <c r="K2230" s="46">
        <v>0</v>
      </c>
      <c r="L2230" s="46">
        <v>0</v>
      </c>
      <c r="M2230" s="46">
        <f t="shared" si="630"/>
        <v>445740</v>
      </c>
      <c r="N2230" s="46">
        <v>445740</v>
      </c>
      <c r="O2230" s="48">
        <f t="shared" si="631"/>
        <v>0</v>
      </c>
      <c r="P2230" s="46">
        <v>0</v>
      </c>
      <c r="Q2230" s="46">
        <v>445740</v>
      </c>
      <c r="R2230" s="49">
        <f t="shared" si="632"/>
        <v>1</v>
      </c>
      <c r="S2230" s="50">
        <f t="shared" si="633"/>
        <v>0.01</v>
      </c>
      <c r="T2230" s="49">
        <f t="shared" si="634"/>
        <v>4457.4000000000005</v>
      </c>
      <c r="U2230" s="51">
        <f t="shared" si="635"/>
        <v>0</v>
      </c>
      <c r="V2230" s="52">
        <f>IF(0&lt;0.8,0,IF(0&lt;1,Sheet3!L561,1))*IF(G2230&lt;3,0.12 - O2230,0.01) *U2230</f>
        <v>0</v>
      </c>
      <c r="W2230" s="52">
        <f t="shared" si="636"/>
        <v>0</v>
      </c>
      <c r="X2230" s="53">
        <f t="shared" si="637"/>
        <v>0</v>
      </c>
      <c r="Y2230" s="53">
        <f t="shared" si="638"/>
        <v>0</v>
      </c>
      <c r="Z2230" s="54">
        <f t="shared" si="628"/>
        <v>0</v>
      </c>
      <c r="AA2230" s="54">
        <f t="shared" si="639"/>
        <v>0</v>
      </c>
      <c r="AB2230" s="55">
        <f t="shared" si="629"/>
        <v>0</v>
      </c>
      <c r="AC2230" s="55">
        <f t="shared" si="640"/>
        <v>0</v>
      </c>
      <c r="AD2230" s="56">
        <f t="shared" si="641"/>
        <v>4457.4000000000005</v>
      </c>
    </row>
    <row r="2231" spans="3:30">
      <c r="C2231" s="43" t="s">
        <v>4130</v>
      </c>
      <c r="D2231" s="44" t="s">
        <v>4131</v>
      </c>
      <c r="E2231" s="44"/>
      <c r="F2231" s="45">
        <v>41885.589224537034</v>
      </c>
      <c r="G2231" s="46">
        <v>48</v>
      </c>
      <c r="H2231" s="47">
        <v>43395</v>
      </c>
      <c r="I2231" s="47">
        <v>43427</v>
      </c>
      <c r="J2231" s="46">
        <v>2979988</v>
      </c>
      <c r="K2231" s="46">
        <v>0</v>
      </c>
      <c r="L2231" s="46">
        <v>0</v>
      </c>
      <c r="M2231" s="46">
        <f t="shared" si="630"/>
        <v>2979988</v>
      </c>
      <c r="N2231" s="46">
        <v>2979988</v>
      </c>
      <c r="O2231" s="48">
        <f t="shared" si="631"/>
        <v>0</v>
      </c>
      <c r="P2231" s="46">
        <v>0</v>
      </c>
      <c r="Q2231" s="46">
        <v>2979988</v>
      </c>
      <c r="R2231" s="49">
        <f t="shared" si="632"/>
        <v>1</v>
      </c>
      <c r="S2231" s="50">
        <f t="shared" si="633"/>
        <v>0.01</v>
      </c>
      <c r="T2231" s="49">
        <f t="shared" si="634"/>
        <v>29799.88</v>
      </c>
      <c r="U2231" s="51">
        <f t="shared" si="635"/>
        <v>0</v>
      </c>
      <c r="V2231" s="52">
        <f>IF(0&lt;0.8,0,IF(0&lt;1,Sheet3!L561,1))*IF(G2231&lt;3,0.12 - O2231,0.01) *U2231</f>
        <v>0</v>
      </c>
      <c r="W2231" s="52">
        <f t="shared" si="636"/>
        <v>0</v>
      </c>
      <c r="X2231" s="53">
        <f t="shared" si="637"/>
        <v>0</v>
      </c>
      <c r="Y2231" s="53">
        <f t="shared" si="638"/>
        <v>0</v>
      </c>
      <c r="Z2231" s="54">
        <f t="shared" si="628"/>
        <v>0</v>
      </c>
      <c r="AA2231" s="54">
        <f t="shared" si="639"/>
        <v>0</v>
      </c>
      <c r="AB2231" s="55">
        <f t="shared" si="629"/>
        <v>0</v>
      </c>
      <c r="AC2231" s="55">
        <f t="shared" si="640"/>
        <v>0</v>
      </c>
      <c r="AD2231" s="56">
        <f t="shared" si="641"/>
        <v>29799.88</v>
      </c>
    </row>
    <row r="2232" spans="3:30">
      <c r="C2232" s="43" t="s">
        <v>4132</v>
      </c>
      <c r="D2232" s="44" t="s">
        <v>4133</v>
      </c>
      <c r="E2232" s="44"/>
      <c r="F2232" s="45">
        <v>41890.450115740736</v>
      </c>
      <c r="G2232" s="46">
        <v>48</v>
      </c>
      <c r="H2232" s="47">
        <v>43396</v>
      </c>
      <c r="I2232" s="47">
        <v>43417</v>
      </c>
      <c r="J2232" s="46">
        <v>3443870</v>
      </c>
      <c r="K2232" s="46">
        <v>0</v>
      </c>
      <c r="L2232" s="46">
        <v>0</v>
      </c>
      <c r="M2232" s="46">
        <f t="shared" si="630"/>
        <v>3443870</v>
      </c>
      <c r="N2232" s="46">
        <v>3443127</v>
      </c>
      <c r="O2232" s="48">
        <f t="shared" si="631"/>
        <v>0</v>
      </c>
      <c r="P2232" s="46">
        <v>0</v>
      </c>
      <c r="Q2232" s="46">
        <v>3443870</v>
      </c>
      <c r="R2232" s="49">
        <f t="shared" si="632"/>
        <v>1</v>
      </c>
      <c r="S2232" s="50">
        <f t="shared" si="633"/>
        <v>0.01</v>
      </c>
      <c r="T2232" s="49">
        <f t="shared" si="634"/>
        <v>34438.699999999997</v>
      </c>
      <c r="U2232" s="51">
        <f t="shared" si="635"/>
        <v>0</v>
      </c>
      <c r="V2232" s="52">
        <f>IF(0&lt;0.8,0,IF(0&lt;1,Sheet3!L561,1))*IF(G2232&lt;3,0.12 - O2232,0.01) *U2232</f>
        <v>0</v>
      </c>
      <c r="W2232" s="52">
        <f t="shared" si="636"/>
        <v>0</v>
      </c>
      <c r="X2232" s="53">
        <f t="shared" si="637"/>
        <v>0</v>
      </c>
      <c r="Y2232" s="53">
        <f t="shared" si="638"/>
        <v>0</v>
      </c>
      <c r="Z2232" s="54">
        <f t="shared" si="628"/>
        <v>0</v>
      </c>
      <c r="AA2232" s="54">
        <f t="shared" si="639"/>
        <v>0</v>
      </c>
      <c r="AB2232" s="55">
        <f t="shared" si="629"/>
        <v>0</v>
      </c>
      <c r="AC2232" s="55">
        <f t="shared" si="640"/>
        <v>0</v>
      </c>
      <c r="AD2232" s="56">
        <f t="shared" si="641"/>
        <v>34438.699999999997</v>
      </c>
    </row>
    <row r="2233" spans="3:30">
      <c r="C2233" s="43" t="s">
        <v>4134</v>
      </c>
      <c r="D2233" s="44" t="s">
        <v>4135</v>
      </c>
      <c r="E2233" s="44"/>
      <c r="F2233" s="45">
        <v>41890.451898148145</v>
      </c>
      <c r="G2233" s="46">
        <v>48</v>
      </c>
      <c r="H2233" s="47">
        <v>43396</v>
      </c>
      <c r="I2233" s="47">
        <v>43416</v>
      </c>
      <c r="J2233" s="46">
        <v>3065184</v>
      </c>
      <c r="K2233" s="46">
        <v>0</v>
      </c>
      <c r="L2233" s="46">
        <v>0</v>
      </c>
      <c r="M2233" s="46">
        <f t="shared" si="630"/>
        <v>3065184</v>
      </c>
      <c r="N2233" s="46">
        <v>3064494</v>
      </c>
      <c r="O2233" s="48">
        <f t="shared" si="631"/>
        <v>0</v>
      </c>
      <c r="P2233" s="46">
        <v>0</v>
      </c>
      <c r="Q2233" s="46">
        <v>3065184</v>
      </c>
      <c r="R2233" s="49">
        <f t="shared" si="632"/>
        <v>1</v>
      </c>
      <c r="S2233" s="50">
        <f t="shared" si="633"/>
        <v>0.01</v>
      </c>
      <c r="T2233" s="49">
        <f t="shared" si="634"/>
        <v>30651.84</v>
      </c>
      <c r="U2233" s="51">
        <f t="shared" si="635"/>
        <v>0</v>
      </c>
      <c r="V2233" s="52">
        <f>IF(0&lt;0.8,0,IF(0&lt;1,Sheet3!L561,1))*IF(G2233&lt;3,0.12 - O2233,0.01) *U2233</f>
        <v>0</v>
      </c>
      <c r="W2233" s="52">
        <f t="shared" si="636"/>
        <v>0</v>
      </c>
      <c r="X2233" s="53">
        <f t="shared" si="637"/>
        <v>0</v>
      </c>
      <c r="Y2233" s="53">
        <f t="shared" si="638"/>
        <v>0</v>
      </c>
      <c r="Z2233" s="54">
        <f t="shared" si="628"/>
        <v>0</v>
      </c>
      <c r="AA2233" s="54">
        <f t="shared" si="639"/>
        <v>0</v>
      </c>
      <c r="AB2233" s="55">
        <f t="shared" si="629"/>
        <v>0</v>
      </c>
      <c r="AC2233" s="55">
        <f t="shared" si="640"/>
        <v>0</v>
      </c>
      <c r="AD2233" s="56">
        <f t="shared" si="641"/>
        <v>30651.84</v>
      </c>
    </row>
    <row r="2234" spans="3:30">
      <c r="C2234" s="43" t="s">
        <v>4136</v>
      </c>
      <c r="D2234" s="44" t="s">
        <v>4137</v>
      </c>
      <c r="E2234" s="44"/>
      <c r="F2234" s="45">
        <v>41890.452939814815</v>
      </c>
      <c r="G2234" s="46">
        <v>48</v>
      </c>
      <c r="H2234" s="47">
        <v>43404</v>
      </c>
      <c r="I2234" s="47">
        <v>43434</v>
      </c>
      <c r="J2234" s="46">
        <v>371954</v>
      </c>
      <c r="K2234" s="46">
        <v>0</v>
      </c>
      <c r="L2234" s="46">
        <v>0</v>
      </c>
      <c r="M2234" s="46">
        <f t="shared" si="630"/>
        <v>371954</v>
      </c>
      <c r="N2234" s="46">
        <v>371954</v>
      </c>
      <c r="O2234" s="48">
        <f t="shared" si="631"/>
        <v>0</v>
      </c>
      <c r="P2234" s="46">
        <v>0</v>
      </c>
      <c r="Q2234" s="46">
        <v>371954</v>
      </c>
      <c r="R2234" s="49">
        <f t="shared" si="632"/>
        <v>1</v>
      </c>
      <c r="S2234" s="50">
        <f t="shared" si="633"/>
        <v>0.01</v>
      </c>
      <c r="T2234" s="49">
        <f t="shared" si="634"/>
        <v>3719.54</v>
      </c>
      <c r="U2234" s="51">
        <f t="shared" si="635"/>
        <v>0</v>
      </c>
      <c r="V2234" s="52">
        <f>IF(0&lt;0.8,0,IF(0&lt;1,Sheet3!L561,1))*IF(G2234&lt;3,0.12 - O2234,0.01) *U2234</f>
        <v>0</v>
      </c>
      <c r="W2234" s="52">
        <f t="shared" si="636"/>
        <v>0</v>
      </c>
      <c r="X2234" s="53">
        <f t="shared" si="637"/>
        <v>0</v>
      </c>
      <c r="Y2234" s="53">
        <f t="shared" si="638"/>
        <v>0</v>
      </c>
      <c r="Z2234" s="54">
        <f t="shared" si="628"/>
        <v>0</v>
      </c>
      <c r="AA2234" s="54">
        <f t="shared" si="639"/>
        <v>0</v>
      </c>
      <c r="AB2234" s="55">
        <f t="shared" si="629"/>
        <v>0</v>
      </c>
      <c r="AC2234" s="55">
        <f t="shared" si="640"/>
        <v>0</v>
      </c>
      <c r="AD2234" s="56">
        <f t="shared" si="641"/>
        <v>3719.54</v>
      </c>
    </row>
    <row r="2235" spans="3:30">
      <c r="C2235" s="43" t="s">
        <v>4138</v>
      </c>
      <c r="D2235" s="44" t="s">
        <v>4139</v>
      </c>
      <c r="E2235" s="44"/>
      <c r="F2235" s="45">
        <v>41890.453842592593</v>
      </c>
      <c r="G2235" s="46">
        <v>48</v>
      </c>
      <c r="H2235" s="47">
        <v>43395</v>
      </c>
      <c r="I2235" s="47">
        <v>43391</v>
      </c>
      <c r="J2235" s="46">
        <v>960256</v>
      </c>
      <c r="K2235" s="46">
        <v>0</v>
      </c>
      <c r="L2235" s="46">
        <v>0</v>
      </c>
      <c r="M2235" s="46">
        <f t="shared" si="630"/>
        <v>960256</v>
      </c>
      <c r="N2235" s="46">
        <v>960256</v>
      </c>
      <c r="O2235" s="48">
        <f t="shared" si="631"/>
        <v>0</v>
      </c>
      <c r="P2235" s="46">
        <v>0</v>
      </c>
      <c r="Q2235" s="46">
        <v>960256</v>
      </c>
      <c r="R2235" s="49">
        <f t="shared" si="632"/>
        <v>1</v>
      </c>
      <c r="S2235" s="50">
        <f t="shared" si="633"/>
        <v>0.01</v>
      </c>
      <c r="T2235" s="49">
        <f t="shared" si="634"/>
        <v>9602.56</v>
      </c>
      <c r="U2235" s="51">
        <f t="shared" si="635"/>
        <v>0</v>
      </c>
      <c r="V2235" s="52">
        <f>IF(0&lt;0.8,0,IF(0&lt;1,Sheet3!L561,1))*IF(G2235&lt;3,0.12 - O2235,0.01) *U2235</f>
        <v>0</v>
      </c>
      <c r="W2235" s="52">
        <f t="shared" si="636"/>
        <v>0</v>
      </c>
      <c r="X2235" s="53">
        <f t="shared" si="637"/>
        <v>0</v>
      </c>
      <c r="Y2235" s="53">
        <f t="shared" si="638"/>
        <v>0</v>
      </c>
      <c r="Z2235" s="54">
        <f t="shared" si="628"/>
        <v>0</v>
      </c>
      <c r="AA2235" s="54">
        <f t="shared" si="639"/>
        <v>0</v>
      </c>
      <c r="AB2235" s="55">
        <f t="shared" si="629"/>
        <v>0</v>
      </c>
      <c r="AC2235" s="55">
        <f t="shared" si="640"/>
        <v>0</v>
      </c>
      <c r="AD2235" s="56">
        <f t="shared" si="641"/>
        <v>9602.56</v>
      </c>
    </row>
    <row r="2236" spans="3:30">
      <c r="C2236" s="43" t="s">
        <v>4140</v>
      </c>
      <c r="D2236" s="44" t="s">
        <v>4141</v>
      </c>
      <c r="E2236" s="44"/>
      <c r="F2236" s="45">
        <v>41892.403101851851</v>
      </c>
      <c r="G2236" s="46">
        <v>48</v>
      </c>
      <c r="H2236" s="47">
        <v>43395</v>
      </c>
      <c r="I2236" s="47">
        <v>43406</v>
      </c>
      <c r="J2236" s="46">
        <v>411642</v>
      </c>
      <c r="K2236" s="46">
        <v>0</v>
      </c>
      <c r="L2236" s="46">
        <v>0</v>
      </c>
      <c r="M2236" s="46">
        <f t="shared" si="630"/>
        <v>411642</v>
      </c>
      <c r="N2236" s="46">
        <v>411642</v>
      </c>
      <c r="O2236" s="48">
        <f t="shared" si="631"/>
        <v>0</v>
      </c>
      <c r="P2236" s="46">
        <v>0</v>
      </c>
      <c r="Q2236" s="46">
        <v>411642</v>
      </c>
      <c r="R2236" s="49">
        <f t="shared" si="632"/>
        <v>1</v>
      </c>
      <c r="S2236" s="50">
        <f t="shared" si="633"/>
        <v>0.01</v>
      </c>
      <c r="T2236" s="49">
        <f t="shared" si="634"/>
        <v>4116.42</v>
      </c>
      <c r="U2236" s="51">
        <f t="shared" si="635"/>
        <v>0</v>
      </c>
      <c r="V2236" s="52">
        <f>IF(0&lt;0.8,0,IF(0&lt;1,Sheet3!L561,1))*IF(G2236&lt;3,0.12 - O2236,0.01) *U2236</f>
        <v>0</v>
      </c>
      <c r="W2236" s="52">
        <f t="shared" si="636"/>
        <v>0</v>
      </c>
      <c r="X2236" s="53">
        <f t="shared" si="637"/>
        <v>0</v>
      </c>
      <c r="Y2236" s="53">
        <f t="shared" si="638"/>
        <v>0</v>
      </c>
      <c r="Z2236" s="54">
        <f t="shared" si="628"/>
        <v>0</v>
      </c>
      <c r="AA2236" s="54">
        <f t="shared" si="639"/>
        <v>0</v>
      </c>
      <c r="AB2236" s="55">
        <f t="shared" si="629"/>
        <v>0</v>
      </c>
      <c r="AC2236" s="55">
        <f t="shared" si="640"/>
        <v>0</v>
      </c>
      <c r="AD2236" s="56">
        <f t="shared" si="641"/>
        <v>4116.42</v>
      </c>
    </row>
    <row r="2237" spans="3:30">
      <c r="C2237" s="43" t="s">
        <v>4142</v>
      </c>
      <c r="D2237" s="44" t="s">
        <v>4143</v>
      </c>
      <c r="E2237" s="44"/>
      <c r="F2237" s="45">
        <v>42040.633148148147</v>
      </c>
      <c r="G2237" s="46">
        <v>43</v>
      </c>
      <c r="H2237" s="47" t="s">
        <v>24</v>
      </c>
      <c r="I2237" s="47" t="s">
        <v>24</v>
      </c>
      <c r="J2237" s="46">
        <v>18696830</v>
      </c>
      <c r="K2237" s="46">
        <v>0</v>
      </c>
      <c r="L2237" s="46">
        <v>0</v>
      </c>
      <c r="M2237" s="46">
        <f t="shared" si="630"/>
        <v>18696830</v>
      </c>
      <c r="N2237" s="46" t="s">
        <v>24</v>
      </c>
      <c r="O2237" s="48">
        <f t="shared" si="631"/>
        <v>0</v>
      </c>
      <c r="P2237" s="46">
        <v>0</v>
      </c>
      <c r="Q2237" s="46">
        <v>0</v>
      </c>
      <c r="R2237" s="49">
        <f t="shared" si="632"/>
        <v>1</v>
      </c>
      <c r="S2237" s="50">
        <f t="shared" si="633"/>
        <v>0.01</v>
      </c>
      <c r="T2237" s="49">
        <f t="shared" si="634"/>
        <v>186968.30000000002</v>
      </c>
      <c r="U2237" s="51">
        <f t="shared" si="635"/>
        <v>0</v>
      </c>
      <c r="V2237" s="52">
        <f>IF(0&lt;0.8,0,IF(0&lt;1,Sheet3!L561,1))*IF(G2237&lt;3,0.12 - O2237,0.01) *U2237</f>
        <v>0</v>
      </c>
      <c r="W2237" s="52">
        <f t="shared" si="636"/>
        <v>0</v>
      </c>
      <c r="X2237" s="53">
        <f t="shared" si="637"/>
        <v>0</v>
      </c>
      <c r="Y2237" s="53">
        <f t="shared" si="638"/>
        <v>0</v>
      </c>
      <c r="Z2237" s="54">
        <f>IF(R2237=1,0,"")</f>
        <v>0</v>
      </c>
      <c r="AA2237" s="54">
        <f t="shared" si="639"/>
        <v>0</v>
      </c>
      <c r="AB2237" s="55">
        <f>IF(R2237=0,"",0)</f>
        <v>0</v>
      </c>
      <c r="AC2237" s="55">
        <f t="shared" si="640"/>
        <v>0</v>
      </c>
      <c r="AD2237" s="56">
        <f t="shared" si="641"/>
        <v>186968.30000000002</v>
      </c>
    </row>
    <row r="2238" spans="3:30">
      <c r="C2238" s="43" t="s">
        <v>4144</v>
      </c>
      <c r="D2238" s="44" t="s">
        <v>4145</v>
      </c>
      <c r="E2238" s="44"/>
      <c r="F2238" s="45">
        <v>42324.593321759261</v>
      </c>
      <c r="G2238" s="46">
        <v>34</v>
      </c>
      <c r="H2238" s="47">
        <v>43382</v>
      </c>
      <c r="I2238" s="47">
        <v>43413</v>
      </c>
      <c r="J2238" s="46">
        <v>3796740</v>
      </c>
      <c r="K2238" s="46">
        <v>172579</v>
      </c>
      <c r="L2238" s="46">
        <v>0</v>
      </c>
      <c r="M2238" s="46">
        <f t="shared" si="630"/>
        <v>3624161</v>
      </c>
      <c r="N2238" s="46">
        <v>3796740</v>
      </c>
      <c r="O2238" s="48">
        <f t="shared" si="631"/>
        <v>4.5454521510559065E-2</v>
      </c>
      <c r="P2238" s="46">
        <v>0</v>
      </c>
      <c r="Q2238" s="46">
        <v>3796740</v>
      </c>
      <c r="R2238" s="49">
        <f t="shared" si="632"/>
        <v>1</v>
      </c>
      <c r="S2238" s="50">
        <f t="shared" si="633"/>
        <v>0.01</v>
      </c>
      <c r="T2238" s="49">
        <f t="shared" si="634"/>
        <v>36241.61</v>
      </c>
      <c r="U2238" s="51">
        <f t="shared" si="635"/>
        <v>0</v>
      </c>
      <c r="V2238" s="52">
        <f>IF(0&lt;0.8,0,IF(0&lt;1,Sheet3!L561,1))*IF(G2238&lt;3,0.12 - O2238,0.01) *U2238</f>
        <v>0</v>
      </c>
      <c r="W2238" s="52">
        <f t="shared" si="636"/>
        <v>0</v>
      </c>
      <c r="X2238" s="53">
        <f t="shared" si="637"/>
        <v>0</v>
      </c>
      <c r="Y2238" s="53">
        <f t="shared" si="638"/>
        <v>0</v>
      </c>
      <c r="Z2238" s="54">
        <f t="shared" ref="Z2238:Z2274" si="642">IF(R2238=1,0,0)</f>
        <v>0</v>
      </c>
      <c r="AA2238" s="54">
        <f t="shared" si="639"/>
        <v>0</v>
      </c>
      <c r="AB2238" s="55">
        <f t="shared" ref="AB2238:AB2274" si="643">IF(R2238=0,0,0)</f>
        <v>0</v>
      </c>
      <c r="AC2238" s="55">
        <f t="shared" si="640"/>
        <v>0</v>
      </c>
      <c r="AD2238" s="56">
        <f t="shared" si="641"/>
        <v>36241.61</v>
      </c>
    </row>
    <row r="2239" spans="3:30">
      <c r="C2239" s="43" t="s">
        <v>4146</v>
      </c>
      <c r="D2239" s="44" t="s">
        <v>4147</v>
      </c>
      <c r="E2239" s="44"/>
      <c r="F2239" s="45">
        <v>42388.634942129625</v>
      </c>
      <c r="G2239" s="46">
        <v>32</v>
      </c>
      <c r="H2239" s="47">
        <v>43396</v>
      </c>
      <c r="I2239" s="47">
        <v>43412</v>
      </c>
      <c r="J2239" s="46">
        <v>358740</v>
      </c>
      <c r="K2239" s="46">
        <v>0</v>
      </c>
      <c r="L2239" s="46">
        <v>0</v>
      </c>
      <c r="M2239" s="46">
        <f t="shared" si="630"/>
        <v>358740</v>
      </c>
      <c r="N2239" s="46">
        <v>358740</v>
      </c>
      <c r="O2239" s="48">
        <f t="shared" si="631"/>
        <v>0</v>
      </c>
      <c r="P2239" s="46">
        <v>0</v>
      </c>
      <c r="Q2239" s="46">
        <v>358740</v>
      </c>
      <c r="R2239" s="49">
        <f t="shared" si="632"/>
        <v>1</v>
      </c>
      <c r="S2239" s="50">
        <f t="shared" si="633"/>
        <v>0.01</v>
      </c>
      <c r="T2239" s="49">
        <f t="shared" si="634"/>
        <v>3587.4</v>
      </c>
      <c r="U2239" s="51">
        <f t="shared" si="635"/>
        <v>0</v>
      </c>
      <c r="V2239" s="52">
        <f>IF(0&lt;0.8,0,IF(0&lt;1,Sheet3!L561,1))*IF(G2239&lt;3,0.12 - O2239,0.01) *U2239</f>
        <v>0</v>
      </c>
      <c r="W2239" s="52">
        <f t="shared" si="636"/>
        <v>0</v>
      </c>
      <c r="X2239" s="53">
        <f t="shared" si="637"/>
        <v>0</v>
      </c>
      <c r="Y2239" s="53">
        <f t="shared" si="638"/>
        <v>0</v>
      </c>
      <c r="Z2239" s="54">
        <f t="shared" si="642"/>
        <v>0</v>
      </c>
      <c r="AA2239" s="54">
        <f t="shared" si="639"/>
        <v>0</v>
      </c>
      <c r="AB2239" s="55">
        <f t="shared" si="643"/>
        <v>0</v>
      </c>
      <c r="AC2239" s="55">
        <f t="shared" si="640"/>
        <v>0</v>
      </c>
      <c r="AD2239" s="56">
        <f t="shared" si="641"/>
        <v>3587.4</v>
      </c>
    </row>
    <row r="2240" spans="3:30">
      <c r="C2240" s="43" t="s">
        <v>4148</v>
      </c>
      <c r="D2240" s="44" t="s">
        <v>4149</v>
      </c>
      <c r="E2240" s="44"/>
      <c r="F2240" s="45">
        <v>42985.353379629625</v>
      </c>
      <c r="G2240" s="46">
        <v>12</v>
      </c>
      <c r="H2240" s="47">
        <v>43376</v>
      </c>
      <c r="I2240" s="47">
        <v>43404</v>
      </c>
      <c r="J2240" s="46">
        <v>185341036</v>
      </c>
      <c r="K2240" s="46">
        <v>126804</v>
      </c>
      <c r="L2240" s="46">
        <v>0</v>
      </c>
      <c r="M2240" s="46">
        <f t="shared" si="630"/>
        <v>185214232</v>
      </c>
      <c r="N2240" s="46">
        <v>235110319</v>
      </c>
      <c r="O2240" s="48">
        <f t="shared" si="631"/>
        <v>0.2122241474224702</v>
      </c>
      <c r="P2240" s="46">
        <v>0</v>
      </c>
      <c r="Q2240" s="46">
        <v>185357371</v>
      </c>
      <c r="R2240" s="49">
        <f t="shared" si="632"/>
        <v>1</v>
      </c>
      <c r="S2240" s="50">
        <f t="shared" si="633"/>
        <v>0.01</v>
      </c>
      <c r="T2240" s="49">
        <f t="shared" si="634"/>
        <v>1852142.32</v>
      </c>
      <c r="U2240" s="51">
        <f t="shared" si="635"/>
        <v>0</v>
      </c>
      <c r="V2240" s="52">
        <f>IF(0&lt;0.8,0,IF(0&lt;1,Sheet3!L561,1))*IF(G2240&lt;3,0.12 - O2240,0.01) *U2240</f>
        <v>0</v>
      </c>
      <c r="W2240" s="52">
        <f t="shared" si="636"/>
        <v>0</v>
      </c>
      <c r="X2240" s="53">
        <f t="shared" si="637"/>
        <v>0</v>
      </c>
      <c r="Y2240" s="53">
        <f t="shared" si="638"/>
        <v>0</v>
      </c>
      <c r="Z2240" s="54">
        <f t="shared" si="642"/>
        <v>0</v>
      </c>
      <c r="AA2240" s="54">
        <f t="shared" si="639"/>
        <v>0</v>
      </c>
      <c r="AB2240" s="55">
        <f t="shared" si="643"/>
        <v>0</v>
      </c>
      <c r="AC2240" s="55">
        <f t="shared" si="640"/>
        <v>0</v>
      </c>
      <c r="AD2240" s="56">
        <f t="shared" si="641"/>
        <v>1852142.32</v>
      </c>
    </row>
    <row r="2241" spans="3:30">
      <c r="C2241" s="43" t="s">
        <v>4150</v>
      </c>
      <c r="D2241" s="44" t="s">
        <v>4151</v>
      </c>
      <c r="E2241" s="44"/>
      <c r="F2241" s="45">
        <v>43013.120520833334</v>
      </c>
      <c r="G2241" s="46">
        <v>11</v>
      </c>
      <c r="H2241" s="47">
        <v>43376</v>
      </c>
      <c r="I2241" s="47">
        <v>43404</v>
      </c>
      <c r="J2241" s="46">
        <v>6802507</v>
      </c>
      <c r="K2241" s="46">
        <v>0</v>
      </c>
      <c r="L2241" s="46">
        <v>0</v>
      </c>
      <c r="M2241" s="46">
        <f t="shared" si="630"/>
        <v>6802507</v>
      </c>
      <c r="N2241" s="46">
        <v>8095190</v>
      </c>
      <c r="O2241" s="48">
        <f t="shared" si="631"/>
        <v>0.15968531930689711</v>
      </c>
      <c r="P2241" s="46">
        <v>0</v>
      </c>
      <c r="Q2241" s="46">
        <v>6802507</v>
      </c>
      <c r="R2241" s="49">
        <f t="shared" si="632"/>
        <v>1</v>
      </c>
      <c r="S2241" s="50">
        <f t="shared" si="633"/>
        <v>0.01</v>
      </c>
      <c r="T2241" s="49">
        <f t="shared" si="634"/>
        <v>68025.070000000007</v>
      </c>
      <c r="U2241" s="51">
        <f t="shared" si="635"/>
        <v>0</v>
      </c>
      <c r="V2241" s="52">
        <f>IF(0&lt;0.8,0,IF(0&lt;1,Sheet3!L561,1))*IF(G2241&lt;3,0.12 - O2241,0.01) *U2241</f>
        <v>0</v>
      </c>
      <c r="W2241" s="52">
        <f t="shared" si="636"/>
        <v>0</v>
      </c>
      <c r="X2241" s="53">
        <f t="shared" si="637"/>
        <v>0</v>
      </c>
      <c r="Y2241" s="53">
        <f t="shared" si="638"/>
        <v>0</v>
      </c>
      <c r="Z2241" s="54">
        <f t="shared" si="642"/>
        <v>0</v>
      </c>
      <c r="AA2241" s="54">
        <f t="shared" si="639"/>
        <v>0</v>
      </c>
      <c r="AB2241" s="55">
        <f t="shared" si="643"/>
        <v>0</v>
      </c>
      <c r="AC2241" s="55">
        <f t="shared" si="640"/>
        <v>0</v>
      </c>
      <c r="AD2241" s="56">
        <f t="shared" si="641"/>
        <v>68025.070000000007</v>
      </c>
    </row>
    <row r="2242" spans="3:30">
      <c r="C2242" s="43" t="s">
        <v>4152</v>
      </c>
      <c r="D2242" s="44" t="s">
        <v>4153</v>
      </c>
      <c r="E2242" s="44"/>
      <c r="F2242" s="45">
        <v>43196.248206018514</v>
      </c>
      <c r="G2242" s="46">
        <v>5</v>
      </c>
      <c r="H2242" s="47">
        <v>43391</v>
      </c>
      <c r="I2242" s="47">
        <v>43402</v>
      </c>
      <c r="J2242" s="46">
        <v>191840</v>
      </c>
      <c r="K2242" s="46">
        <v>0</v>
      </c>
      <c r="L2242" s="46">
        <v>0</v>
      </c>
      <c r="M2242" s="46">
        <f t="shared" si="630"/>
        <v>191840</v>
      </c>
      <c r="N2242" s="46">
        <v>244519</v>
      </c>
      <c r="O2242" s="48">
        <f t="shared" si="631"/>
        <v>0.21543929101624004</v>
      </c>
      <c r="P2242" s="46">
        <v>0</v>
      </c>
      <c r="Q2242" s="46">
        <v>191840</v>
      </c>
      <c r="R2242" s="49">
        <f t="shared" si="632"/>
        <v>1</v>
      </c>
      <c r="S2242" s="50">
        <f t="shared" si="633"/>
        <v>0.01</v>
      </c>
      <c r="T2242" s="49">
        <f t="shared" si="634"/>
        <v>1918.4</v>
      </c>
      <c r="U2242" s="51">
        <f t="shared" si="635"/>
        <v>0</v>
      </c>
      <c r="V2242" s="52">
        <f>IF(0&lt;0.8,0,IF(0&lt;1,Sheet3!L561,1))*IF(G2242&lt;3,0.12 - O2242,0.01) *U2242</f>
        <v>0</v>
      </c>
      <c r="W2242" s="52">
        <f t="shared" si="636"/>
        <v>0</v>
      </c>
      <c r="X2242" s="53">
        <f t="shared" si="637"/>
        <v>0</v>
      </c>
      <c r="Y2242" s="53">
        <f t="shared" si="638"/>
        <v>0</v>
      </c>
      <c r="Z2242" s="54">
        <f t="shared" si="642"/>
        <v>0</v>
      </c>
      <c r="AA2242" s="54">
        <f t="shared" si="639"/>
        <v>0</v>
      </c>
      <c r="AB2242" s="55">
        <f t="shared" si="643"/>
        <v>0</v>
      </c>
      <c r="AC2242" s="55">
        <f t="shared" si="640"/>
        <v>0</v>
      </c>
      <c r="AD2242" s="56">
        <f t="shared" si="641"/>
        <v>1918.4</v>
      </c>
    </row>
    <row r="2243" spans="3:30">
      <c r="C2243" s="43" t="s">
        <v>4154</v>
      </c>
      <c r="D2243" s="44" t="s">
        <v>4155</v>
      </c>
      <c r="E2243" s="44"/>
      <c r="F2243" s="45">
        <v>43358.089201388888</v>
      </c>
      <c r="G2243" s="46">
        <v>0</v>
      </c>
      <c r="H2243" s="47">
        <v>43391</v>
      </c>
      <c r="I2243" s="47">
        <v>43459</v>
      </c>
      <c r="J2243" s="46">
        <v>184162</v>
      </c>
      <c r="K2243" s="46">
        <v>0</v>
      </c>
      <c r="L2243" s="46">
        <v>0</v>
      </c>
      <c r="M2243" s="46">
        <f t="shared" si="630"/>
        <v>184162</v>
      </c>
      <c r="N2243" s="46">
        <v>184162</v>
      </c>
      <c r="O2243" s="48">
        <f t="shared" si="631"/>
        <v>0</v>
      </c>
      <c r="P2243" s="46">
        <v>0</v>
      </c>
      <c r="Q2243" s="46">
        <v>0</v>
      </c>
      <c r="R2243" s="49">
        <f t="shared" si="632"/>
        <v>0</v>
      </c>
      <c r="S2243" s="50">
        <f t="shared" si="633"/>
        <v>0</v>
      </c>
      <c r="T2243" s="49">
        <f t="shared" si="634"/>
        <v>0</v>
      </c>
      <c r="U2243" s="51">
        <f t="shared" si="635"/>
        <v>184162</v>
      </c>
      <c r="V2243" s="52">
        <f>IF(0&lt;0.8,0,IF(0&lt;1,Sheet3!L561,1))*IF(G2243&lt;3,0.12 - O2243,0.01) *U2243</f>
        <v>0</v>
      </c>
      <c r="W2243" s="52">
        <f t="shared" si="636"/>
        <v>0</v>
      </c>
      <c r="X2243" s="53">
        <f t="shared" si="637"/>
        <v>0</v>
      </c>
      <c r="Y2243" s="53">
        <f t="shared" si="638"/>
        <v>0</v>
      </c>
      <c r="Z2243" s="54">
        <f t="shared" si="642"/>
        <v>0</v>
      </c>
      <c r="AA2243" s="54">
        <f t="shared" si="639"/>
        <v>0</v>
      </c>
      <c r="AB2243" s="55">
        <f t="shared" si="643"/>
        <v>0</v>
      </c>
      <c r="AC2243" s="55">
        <f t="shared" si="640"/>
        <v>0</v>
      </c>
      <c r="AD2243" s="56">
        <f t="shared" si="641"/>
        <v>0</v>
      </c>
    </row>
    <row r="2244" spans="3:30">
      <c r="C2244" s="43" t="s">
        <v>4156</v>
      </c>
      <c r="D2244" s="44" t="s">
        <v>4157</v>
      </c>
      <c r="E2244" s="44"/>
      <c r="F2244" s="45">
        <v>38960.638402777775</v>
      </c>
      <c r="G2244" s="46">
        <v>145</v>
      </c>
      <c r="H2244" s="47">
        <v>43390</v>
      </c>
      <c r="I2244" s="47">
        <v>43400</v>
      </c>
      <c r="J2244" s="46">
        <v>229658</v>
      </c>
      <c r="K2244" s="46">
        <v>0</v>
      </c>
      <c r="L2244" s="46">
        <v>0</v>
      </c>
      <c r="M2244" s="46">
        <f t="shared" si="630"/>
        <v>229658</v>
      </c>
      <c r="N2244" s="46">
        <v>229658</v>
      </c>
      <c r="O2244" s="48">
        <f t="shared" si="631"/>
        <v>0</v>
      </c>
      <c r="P2244" s="46">
        <v>0</v>
      </c>
      <c r="Q2244" s="46">
        <v>229658</v>
      </c>
      <c r="R2244" s="49">
        <f t="shared" si="632"/>
        <v>1</v>
      </c>
      <c r="S2244" s="50">
        <f t="shared" si="633"/>
        <v>0.01</v>
      </c>
      <c r="T2244" s="49">
        <f t="shared" si="634"/>
        <v>2296.58</v>
      </c>
      <c r="U2244" s="51">
        <f t="shared" si="635"/>
        <v>0</v>
      </c>
      <c r="V2244" s="52">
        <f>IF(0&lt;0.8,0,IF(0&lt;1,Sheet3!L561,1))*IF(G2244&lt;3,0.12 - O2244,0.01) *U2244</f>
        <v>0</v>
      </c>
      <c r="W2244" s="52">
        <f t="shared" si="636"/>
        <v>0</v>
      </c>
      <c r="X2244" s="53">
        <f t="shared" si="637"/>
        <v>0</v>
      </c>
      <c r="Y2244" s="53">
        <f t="shared" si="638"/>
        <v>0</v>
      </c>
      <c r="Z2244" s="54">
        <f t="shared" si="642"/>
        <v>0</v>
      </c>
      <c r="AA2244" s="54">
        <f t="shared" si="639"/>
        <v>0</v>
      </c>
      <c r="AB2244" s="55">
        <f t="shared" si="643"/>
        <v>0</v>
      </c>
      <c r="AC2244" s="55">
        <f t="shared" si="640"/>
        <v>0</v>
      </c>
      <c r="AD2244" s="56">
        <f t="shared" si="641"/>
        <v>2296.58</v>
      </c>
    </row>
    <row r="2245" spans="3:30">
      <c r="C2245" s="43" t="s">
        <v>4158</v>
      </c>
      <c r="D2245" s="44" t="s">
        <v>4159</v>
      </c>
      <c r="E2245" s="44"/>
      <c r="F2245" s="45">
        <v>39069.37049768518</v>
      </c>
      <c r="G2245" s="46">
        <v>141</v>
      </c>
      <c r="H2245" s="47">
        <v>43383</v>
      </c>
      <c r="I2245" s="47">
        <v>43390</v>
      </c>
      <c r="J2245" s="46">
        <v>35841296</v>
      </c>
      <c r="K2245" s="46">
        <v>0</v>
      </c>
      <c r="L2245" s="46">
        <v>0</v>
      </c>
      <c r="M2245" s="46">
        <f t="shared" si="630"/>
        <v>35841296</v>
      </c>
      <c r="N2245" s="46">
        <v>41641577</v>
      </c>
      <c r="O2245" s="48">
        <f t="shared" si="631"/>
        <v>0.13929061812428478</v>
      </c>
      <c r="P2245" s="46">
        <v>0</v>
      </c>
      <c r="Q2245" s="46">
        <v>35841296</v>
      </c>
      <c r="R2245" s="49">
        <f t="shared" si="632"/>
        <v>1</v>
      </c>
      <c r="S2245" s="50">
        <f t="shared" si="633"/>
        <v>0.01</v>
      </c>
      <c r="T2245" s="49">
        <f t="shared" si="634"/>
        <v>358412.96</v>
      </c>
      <c r="U2245" s="51">
        <f t="shared" si="635"/>
        <v>0</v>
      </c>
      <c r="V2245" s="52">
        <f>IF(0&lt;0.8,0,IF(0&lt;1,Sheet3!L561,1))*IF(G2245&lt;3,0.12 - O2245,0.01) *U2245</f>
        <v>0</v>
      </c>
      <c r="W2245" s="52">
        <f t="shared" si="636"/>
        <v>0</v>
      </c>
      <c r="X2245" s="53">
        <f t="shared" si="637"/>
        <v>0</v>
      </c>
      <c r="Y2245" s="53">
        <f t="shared" si="638"/>
        <v>0</v>
      </c>
      <c r="Z2245" s="54">
        <f t="shared" si="642"/>
        <v>0</v>
      </c>
      <c r="AA2245" s="54">
        <f t="shared" si="639"/>
        <v>0</v>
      </c>
      <c r="AB2245" s="55">
        <f t="shared" si="643"/>
        <v>0</v>
      </c>
      <c r="AC2245" s="55">
        <f t="shared" si="640"/>
        <v>0</v>
      </c>
      <c r="AD2245" s="56">
        <f t="shared" si="641"/>
        <v>358412.96</v>
      </c>
    </row>
    <row r="2246" spans="3:30">
      <c r="C2246" s="43" t="s">
        <v>4160</v>
      </c>
      <c r="D2246" s="44" t="s">
        <v>4161</v>
      </c>
      <c r="E2246" s="44"/>
      <c r="F2246" s="45">
        <v>39469.561666666668</v>
      </c>
      <c r="G2246" s="46">
        <v>128</v>
      </c>
      <c r="H2246" s="47">
        <v>43386</v>
      </c>
      <c r="I2246" s="47">
        <v>43397</v>
      </c>
      <c r="J2246" s="46">
        <v>11349812</v>
      </c>
      <c r="K2246" s="46">
        <v>0</v>
      </c>
      <c r="L2246" s="46">
        <v>0</v>
      </c>
      <c r="M2246" s="46">
        <f t="shared" si="630"/>
        <v>11349812</v>
      </c>
      <c r="N2246" s="46">
        <v>11349324</v>
      </c>
      <c r="O2246" s="48">
        <f t="shared" si="631"/>
        <v>0</v>
      </c>
      <c r="P2246" s="46">
        <v>0</v>
      </c>
      <c r="Q2246" s="46">
        <v>11349812</v>
      </c>
      <c r="R2246" s="49">
        <f t="shared" si="632"/>
        <v>1</v>
      </c>
      <c r="S2246" s="50">
        <f t="shared" si="633"/>
        <v>0.01</v>
      </c>
      <c r="T2246" s="49">
        <f t="shared" si="634"/>
        <v>113498.12</v>
      </c>
      <c r="U2246" s="51">
        <f t="shared" si="635"/>
        <v>0</v>
      </c>
      <c r="V2246" s="52">
        <f>IF(0&lt;0.8,0,IF(0&lt;1,Sheet3!L561,1))*IF(G2246&lt;3,0.12 - O2246,0.01) *U2246</f>
        <v>0</v>
      </c>
      <c r="W2246" s="52">
        <f t="shared" si="636"/>
        <v>0</v>
      </c>
      <c r="X2246" s="53">
        <f t="shared" si="637"/>
        <v>0</v>
      </c>
      <c r="Y2246" s="53">
        <f t="shared" si="638"/>
        <v>0</v>
      </c>
      <c r="Z2246" s="54">
        <f t="shared" si="642"/>
        <v>0</v>
      </c>
      <c r="AA2246" s="54">
        <f t="shared" si="639"/>
        <v>0</v>
      </c>
      <c r="AB2246" s="55">
        <f t="shared" si="643"/>
        <v>0</v>
      </c>
      <c r="AC2246" s="55">
        <f t="shared" si="640"/>
        <v>0</v>
      </c>
      <c r="AD2246" s="56">
        <f t="shared" si="641"/>
        <v>113498.12</v>
      </c>
    </row>
    <row r="2247" spans="3:30">
      <c r="C2247" s="43" t="s">
        <v>4162</v>
      </c>
      <c r="D2247" s="44" t="s">
        <v>4163</v>
      </c>
      <c r="E2247" s="44"/>
      <c r="F2247" s="45">
        <v>39625.497395833328</v>
      </c>
      <c r="G2247" s="46">
        <v>123</v>
      </c>
      <c r="H2247" s="47">
        <v>43388</v>
      </c>
      <c r="I2247" s="47">
        <v>43402</v>
      </c>
      <c r="J2247" s="46">
        <v>11723086</v>
      </c>
      <c r="K2247" s="46">
        <v>0</v>
      </c>
      <c r="L2247" s="46">
        <v>0</v>
      </c>
      <c r="M2247" s="46">
        <f t="shared" si="630"/>
        <v>11723086</v>
      </c>
      <c r="N2247" s="46">
        <v>11700365</v>
      </c>
      <c r="O2247" s="48">
        <f t="shared" si="631"/>
        <v>0</v>
      </c>
      <c r="P2247" s="46">
        <v>0</v>
      </c>
      <c r="Q2247" s="46">
        <v>11723086</v>
      </c>
      <c r="R2247" s="49">
        <f t="shared" si="632"/>
        <v>1</v>
      </c>
      <c r="S2247" s="50">
        <f t="shared" si="633"/>
        <v>0.01</v>
      </c>
      <c r="T2247" s="49">
        <f t="shared" si="634"/>
        <v>117230.86</v>
      </c>
      <c r="U2247" s="51">
        <f t="shared" si="635"/>
        <v>0</v>
      </c>
      <c r="V2247" s="52">
        <f>IF(0&lt;0.8,0,IF(0&lt;1,Sheet3!L561,1))*IF(G2247&lt;3,0.12 - O2247,0.01) *U2247</f>
        <v>0</v>
      </c>
      <c r="W2247" s="52">
        <f t="shared" si="636"/>
        <v>0</v>
      </c>
      <c r="X2247" s="53">
        <f t="shared" si="637"/>
        <v>0</v>
      </c>
      <c r="Y2247" s="53">
        <f t="shared" si="638"/>
        <v>0</v>
      </c>
      <c r="Z2247" s="54">
        <f t="shared" si="642"/>
        <v>0</v>
      </c>
      <c r="AA2247" s="54">
        <f t="shared" si="639"/>
        <v>0</v>
      </c>
      <c r="AB2247" s="55">
        <f t="shared" si="643"/>
        <v>0</v>
      </c>
      <c r="AC2247" s="55">
        <f t="shared" si="640"/>
        <v>0</v>
      </c>
      <c r="AD2247" s="56">
        <f t="shared" si="641"/>
        <v>117230.86</v>
      </c>
    </row>
    <row r="2248" spans="3:30">
      <c r="C2248" s="43" t="s">
        <v>4164</v>
      </c>
      <c r="D2248" s="44" t="s">
        <v>4165</v>
      </c>
      <c r="E2248" s="44"/>
      <c r="F2248" s="45">
        <v>39976.648495370369</v>
      </c>
      <c r="G2248" s="46">
        <v>111</v>
      </c>
      <c r="H2248" s="47">
        <v>43388</v>
      </c>
      <c r="I2248" s="47">
        <v>43444</v>
      </c>
      <c r="J2248" s="46">
        <v>505949</v>
      </c>
      <c r="K2248" s="46">
        <v>0</v>
      </c>
      <c r="L2248" s="46">
        <v>0</v>
      </c>
      <c r="M2248" s="46">
        <f t="shared" si="630"/>
        <v>505949</v>
      </c>
      <c r="N2248" s="46">
        <v>509579</v>
      </c>
      <c r="O2248" s="48">
        <f t="shared" si="631"/>
        <v>7.1235274609040555E-3</v>
      </c>
      <c r="P2248" s="46">
        <v>0</v>
      </c>
      <c r="Q2248" s="46">
        <v>505949</v>
      </c>
      <c r="R2248" s="49">
        <f t="shared" si="632"/>
        <v>1</v>
      </c>
      <c r="S2248" s="50">
        <f t="shared" si="633"/>
        <v>0.01</v>
      </c>
      <c r="T2248" s="49">
        <f t="shared" si="634"/>
        <v>5059.49</v>
      </c>
      <c r="U2248" s="51">
        <f t="shared" si="635"/>
        <v>0</v>
      </c>
      <c r="V2248" s="52">
        <f>IF(0&lt;0.8,0,IF(0&lt;1,Sheet3!L561,1))*IF(G2248&lt;3,0.12 - O2248,0.01) *U2248</f>
        <v>0</v>
      </c>
      <c r="W2248" s="52">
        <f t="shared" si="636"/>
        <v>0</v>
      </c>
      <c r="X2248" s="53">
        <f t="shared" si="637"/>
        <v>0</v>
      </c>
      <c r="Y2248" s="53">
        <f t="shared" si="638"/>
        <v>0</v>
      </c>
      <c r="Z2248" s="54">
        <f t="shared" si="642"/>
        <v>0</v>
      </c>
      <c r="AA2248" s="54">
        <f t="shared" si="639"/>
        <v>0</v>
      </c>
      <c r="AB2248" s="55">
        <f t="shared" si="643"/>
        <v>0</v>
      </c>
      <c r="AC2248" s="55">
        <f t="shared" si="640"/>
        <v>0</v>
      </c>
      <c r="AD2248" s="56">
        <f t="shared" si="641"/>
        <v>5059.49</v>
      </c>
    </row>
    <row r="2249" spans="3:30">
      <c r="C2249" s="43" t="s">
        <v>4166</v>
      </c>
      <c r="D2249" s="44" t="s">
        <v>4167</v>
      </c>
      <c r="E2249" s="44"/>
      <c r="F2249" s="45">
        <v>40059.362962962958</v>
      </c>
      <c r="G2249" s="46">
        <v>108</v>
      </c>
      <c r="H2249" s="47">
        <v>43424</v>
      </c>
      <c r="I2249" s="47">
        <v>43439</v>
      </c>
      <c r="J2249" s="46">
        <v>360759</v>
      </c>
      <c r="K2249" s="46">
        <v>0</v>
      </c>
      <c r="L2249" s="46">
        <v>0</v>
      </c>
      <c r="M2249" s="46">
        <f t="shared" si="630"/>
        <v>360759</v>
      </c>
      <c r="N2249" s="46">
        <v>360843</v>
      </c>
      <c r="O2249" s="48">
        <f t="shared" si="631"/>
        <v>2.327882209159915E-4</v>
      </c>
      <c r="P2249" s="46">
        <v>0</v>
      </c>
      <c r="Q2249" s="46">
        <v>360759</v>
      </c>
      <c r="R2249" s="49">
        <f t="shared" si="632"/>
        <v>1</v>
      </c>
      <c r="S2249" s="50">
        <f t="shared" si="633"/>
        <v>0.01</v>
      </c>
      <c r="T2249" s="49">
        <f t="shared" si="634"/>
        <v>3607.59</v>
      </c>
      <c r="U2249" s="51">
        <f t="shared" si="635"/>
        <v>0</v>
      </c>
      <c r="V2249" s="52">
        <f>IF(0&lt;0.8,0,IF(0&lt;1,Sheet3!L561,1))*IF(G2249&lt;3,0.12 - O2249,0.01) *U2249</f>
        <v>0</v>
      </c>
      <c r="W2249" s="52">
        <f t="shared" si="636"/>
        <v>0</v>
      </c>
      <c r="X2249" s="53">
        <f t="shared" si="637"/>
        <v>0</v>
      </c>
      <c r="Y2249" s="53">
        <f t="shared" si="638"/>
        <v>0</v>
      </c>
      <c r="Z2249" s="54">
        <f t="shared" si="642"/>
        <v>0</v>
      </c>
      <c r="AA2249" s="54">
        <f t="shared" si="639"/>
        <v>0</v>
      </c>
      <c r="AB2249" s="55">
        <f t="shared" si="643"/>
        <v>0</v>
      </c>
      <c r="AC2249" s="55">
        <f t="shared" si="640"/>
        <v>0</v>
      </c>
      <c r="AD2249" s="56">
        <f t="shared" si="641"/>
        <v>3607.59</v>
      </c>
    </row>
    <row r="2250" spans="3:30">
      <c r="C2250" s="43" t="s">
        <v>4168</v>
      </c>
      <c r="D2250" s="44" t="s">
        <v>4169</v>
      </c>
      <c r="E2250" s="44"/>
      <c r="F2250" s="45">
        <v>40180.471342592587</v>
      </c>
      <c r="G2250" s="46">
        <v>104</v>
      </c>
      <c r="H2250" s="47">
        <v>43388</v>
      </c>
      <c r="I2250" s="47">
        <v>43398</v>
      </c>
      <c r="J2250" s="46">
        <v>1067462</v>
      </c>
      <c r="K2250" s="46">
        <v>0</v>
      </c>
      <c r="L2250" s="46">
        <v>0</v>
      </c>
      <c r="M2250" s="46">
        <f t="shared" si="630"/>
        <v>1067462</v>
      </c>
      <c r="N2250" s="46">
        <v>1067462</v>
      </c>
      <c r="O2250" s="48">
        <f t="shared" si="631"/>
        <v>0</v>
      </c>
      <c r="P2250" s="46">
        <v>0</v>
      </c>
      <c r="Q2250" s="46">
        <v>1067462</v>
      </c>
      <c r="R2250" s="49">
        <f t="shared" si="632"/>
        <v>1</v>
      </c>
      <c r="S2250" s="50">
        <f t="shared" si="633"/>
        <v>0.01</v>
      </c>
      <c r="T2250" s="49">
        <f t="shared" si="634"/>
        <v>10674.62</v>
      </c>
      <c r="U2250" s="51">
        <f t="shared" si="635"/>
        <v>0</v>
      </c>
      <c r="V2250" s="52">
        <f>IF(0&lt;0.8,0,IF(0&lt;1,Sheet3!L561,1))*IF(G2250&lt;3,0.12 - O2250,0.01) *U2250</f>
        <v>0</v>
      </c>
      <c r="W2250" s="52">
        <f t="shared" si="636"/>
        <v>0</v>
      </c>
      <c r="X2250" s="53">
        <f t="shared" si="637"/>
        <v>0</v>
      </c>
      <c r="Y2250" s="53">
        <f t="shared" si="638"/>
        <v>0</v>
      </c>
      <c r="Z2250" s="54">
        <f t="shared" si="642"/>
        <v>0</v>
      </c>
      <c r="AA2250" s="54">
        <f t="shared" si="639"/>
        <v>0</v>
      </c>
      <c r="AB2250" s="55">
        <f t="shared" si="643"/>
        <v>0</v>
      </c>
      <c r="AC2250" s="55">
        <f t="shared" si="640"/>
        <v>0</v>
      </c>
      <c r="AD2250" s="56">
        <f t="shared" si="641"/>
        <v>10674.62</v>
      </c>
    </row>
    <row r="2251" spans="3:30">
      <c r="C2251" s="43" t="s">
        <v>4170</v>
      </c>
      <c r="D2251" s="44" t="s">
        <v>4171</v>
      </c>
      <c r="E2251" s="44"/>
      <c r="F2251" s="45">
        <v>40183.707071759258</v>
      </c>
      <c r="G2251" s="46">
        <v>104</v>
      </c>
      <c r="H2251" s="47">
        <v>43383</v>
      </c>
      <c r="I2251" s="47">
        <v>43390</v>
      </c>
      <c r="J2251" s="46">
        <v>112118</v>
      </c>
      <c r="K2251" s="46">
        <v>0</v>
      </c>
      <c r="L2251" s="46">
        <v>0</v>
      </c>
      <c r="M2251" s="46">
        <f t="shared" si="630"/>
        <v>112118</v>
      </c>
      <c r="N2251" s="46">
        <v>135586</v>
      </c>
      <c r="O2251" s="48">
        <f t="shared" si="631"/>
        <v>0.17308571681442042</v>
      </c>
      <c r="P2251" s="46">
        <v>0</v>
      </c>
      <c r="Q2251" s="46">
        <v>112118</v>
      </c>
      <c r="R2251" s="49">
        <f t="shared" si="632"/>
        <v>1</v>
      </c>
      <c r="S2251" s="50">
        <f t="shared" si="633"/>
        <v>0.01</v>
      </c>
      <c r="T2251" s="49">
        <f t="shared" si="634"/>
        <v>1121.18</v>
      </c>
      <c r="U2251" s="51">
        <f t="shared" si="635"/>
        <v>0</v>
      </c>
      <c r="V2251" s="52">
        <f>IF(0&lt;0.8,0,IF(0&lt;1,Sheet3!L561,1))*IF(G2251&lt;3,0.12 - O2251,0.01) *U2251</f>
        <v>0</v>
      </c>
      <c r="W2251" s="52">
        <f t="shared" si="636"/>
        <v>0</v>
      </c>
      <c r="X2251" s="53">
        <f t="shared" si="637"/>
        <v>0</v>
      </c>
      <c r="Y2251" s="53">
        <f t="shared" si="638"/>
        <v>0</v>
      </c>
      <c r="Z2251" s="54">
        <f t="shared" si="642"/>
        <v>0</v>
      </c>
      <c r="AA2251" s="54">
        <f t="shared" si="639"/>
        <v>0</v>
      </c>
      <c r="AB2251" s="55">
        <f t="shared" si="643"/>
        <v>0</v>
      </c>
      <c r="AC2251" s="55">
        <f t="shared" si="640"/>
        <v>0</v>
      </c>
      <c r="AD2251" s="56">
        <f t="shared" si="641"/>
        <v>1121.18</v>
      </c>
    </row>
    <row r="2252" spans="3:30">
      <c r="C2252" s="43" t="s">
        <v>4172</v>
      </c>
      <c r="D2252" s="44" t="s">
        <v>4173</v>
      </c>
      <c r="E2252" s="44"/>
      <c r="F2252" s="45">
        <v>40337.398877314816</v>
      </c>
      <c r="G2252" s="46">
        <v>99</v>
      </c>
      <c r="H2252" s="47">
        <v>43390</v>
      </c>
      <c r="I2252" s="47">
        <v>43416</v>
      </c>
      <c r="J2252" s="46">
        <v>564707</v>
      </c>
      <c r="K2252" s="46">
        <v>0</v>
      </c>
      <c r="L2252" s="46">
        <v>0</v>
      </c>
      <c r="M2252" s="46">
        <f t="shared" si="630"/>
        <v>564707</v>
      </c>
      <c r="N2252" s="46">
        <v>564707</v>
      </c>
      <c r="O2252" s="48">
        <f t="shared" si="631"/>
        <v>0</v>
      </c>
      <c r="P2252" s="46">
        <v>0</v>
      </c>
      <c r="Q2252" s="46">
        <v>564707</v>
      </c>
      <c r="R2252" s="49">
        <f t="shared" si="632"/>
        <v>1</v>
      </c>
      <c r="S2252" s="50">
        <f t="shared" si="633"/>
        <v>0.01</v>
      </c>
      <c r="T2252" s="49">
        <f t="shared" si="634"/>
        <v>5647.07</v>
      </c>
      <c r="U2252" s="51">
        <f t="shared" si="635"/>
        <v>0</v>
      </c>
      <c r="V2252" s="52">
        <f>IF(0&lt;0.8,0,IF(0&lt;1,Sheet3!L561,1))*IF(G2252&lt;3,0.12 - O2252,0.01) *U2252</f>
        <v>0</v>
      </c>
      <c r="W2252" s="52">
        <f t="shared" si="636"/>
        <v>0</v>
      </c>
      <c r="X2252" s="53">
        <f t="shared" si="637"/>
        <v>0</v>
      </c>
      <c r="Y2252" s="53">
        <f t="shared" si="638"/>
        <v>0</v>
      </c>
      <c r="Z2252" s="54">
        <f t="shared" si="642"/>
        <v>0</v>
      </c>
      <c r="AA2252" s="54">
        <f t="shared" si="639"/>
        <v>0</v>
      </c>
      <c r="AB2252" s="55">
        <f t="shared" si="643"/>
        <v>0</v>
      </c>
      <c r="AC2252" s="55">
        <f t="shared" si="640"/>
        <v>0</v>
      </c>
      <c r="AD2252" s="56">
        <f t="shared" si="641"/>
        <v>5647.07</v>
      </c>
    </row>
    <row r="2253" spans="3:30">
      <c r="C2253" s="43" t="s">
        <v>4174</v>
      </c>
      <c r="D2253" s="44" t="s">
        <v>4175</v>
      </c>
      <c r="E2253" s="44"/>
      <c r="F2253" s="45">
        <v>40451.458356481482</v>
      </c>
      <c r="G2253" s="46">
        <v>96</v>
      </c>
      <c r="H2253" s="47">
        <v>43383</v>
      </c>
      <c r="I2253" s="47">
        <v>43423</v>
      </c>
      <c r="J2253" s="46">
        <v>2137828</v>
      </c>
      <c r="K2253" s="46">
        <v>0</v>
      </c>
      <c r="L2253" s="46">
        <v>0</v>
      </c>
      <c r="M2253" s="46">
        <f t="shared" si="630"/>
        <v>2137828</v>
      </c>
      <c r="N2253" s="46">
        <v>2137828</v>
      </c>
      <c r="O2253" s="48">
        <f t="shared" si="631"/>
        <v>0</v>
      </c>
      <c r="P2253" s="46">
        <v>0</v>
      </c>
      <c r="Q2253" s="46">
        <v>2137828</v>
      </c>
      <c r="R2253" s="49">
        <f t="shared" si="632"/>
        <v>1</v>
      </c>
      <c r="S2253" s="50">
        <f t="shared" si="633"/>
        <v>0.01</v>
      </c>
      <c r="T2253" s="49">
        <f t="shared" si="634"/>
        <v>21378.28</v>
      </c>
      <c r="U2253" s="51">
        <f t="shared" si="635"/>
        <v>0</v>
      </c>
      <c r="V2253" s="52">
        <f>IF(0&lt;0.8,0,IF(0&lt;1,Sheet3!L561,1))*IF(G2253&lt;3,0.12 - O2253,0.01) *U2253</f>
        <v>0</v>
      </c>
      <c r="W2253" s="52">
        <f t="shared" si="636"/>
        <v>0</v>
      </c>
      <c r="X2253" s="53">
        <f t="shared" si="637"/>
        <v>0</v>
      </c>
      <c r="Y2253" s="53">
        <f t="shared" si="638"/>
        <v>0</v>
      </c>
      <c r="Z2253" s="54">
        <f t="shared" si="642"/>
        <v>0</v>
      </c>
      <c r="AA2253" s="54">
        <f t="shared" si="639"/>
        <v>0</v>
      </c>
      <c r="AB2253" s="55">
        <f t="shared" si="643"/>
        <v>0</v>
      </c>
      <c r="AC2253" s="55">
        <f t="shared" si="640"/>
        <v>0</v>
      </c>
      <c r="AD2253" s="56">
        <f t="shared" si="641"/>
        <v>21378.28</v>
      </c>
    </row>
    <row r="2254" spans="3:30">
      <c r="C2254" s="43" t="s">
        <v>4176</v>
      </c>
      <c r="D2254" s="44" t="s">
        <v>4177</v>
      </c>
      <c r="E2254" s="44"/>
      <c r="F2254" s="45">
        <v>40981.437291666662</v>
      </c>
      <c r="G2254" s="46">
        <v>78</v>
      </c>
      <c r="H2254" s="47">
        <v>43383</v>
      </c>
      <c r="I2254" s="47">
        <v>43392</v>
      </c>
      <c r="J2254" s="46">
        <v>1427720</v>
      </c>
      <c r="K2254" s="46">
        <v>0</v>
      </c>
      <c r="L2254" s="46">
        <v>0</v>
      </c>
      <c r="M2254" s="46">
        <f t="shared" si="630"/>
        <v>1427720</v>
      </c>
      <c r="N2254" s="46">
        <v>1428042</v>
      </c>
      <c r="O2254" s="48">
        <f t="shared" si="631"/>
        <v>2.2548356420892812E-4</v>
      </c>
      <c r="P2254" s="46">
        <v>0</v>
      </c>
      <c r="Q2254" s="46">
        <v>1427720</v>
      </c>
      <c r="R2254" s="49">
        <f t="shared" si="632"/>
        <v>1</v>
      </c>
      <c r="S2254" s="50">
        <f t="shared" si="633"/>
        <v>0.01</v>
      </c>
      <c r="T2254" s="49">
        <f t="shared" si="634"/>
        <v>14277.2</v>
      </c>
      <c r="U2254" s="51">
        <f t="shared" si="635"/>
        <v>0</v>
      </c>
      <c r="V2254" s="52">
        <f>IF(0&lt;0.8,0,IF(0&lt;1,Sheet3!L561,1))*IF(G2254&lt;3,0.12 - O2254,0.01) *U2254</f>
        <v>0</v>
      </c>
      <c r="W2254" s="52">
        <f t="shared" si="636"/>
        <v>0</v>
      </c>
      <c r="X2254" s="53">
        <f t="shared" si="637"/>
        <v>0</v>
      </c>
      <c r="Y2254" s="53">
        <f t="shared" si="638"/>
        <v>0</v>
      </c>
      <c r="Z2254" s="54">
        <f t="shared" si="642"/>
        <v>0</v>
      </c>
      <c r="AA2254" s="54">
        <f t="shared" si="639"/>
        <v>0</v>
      </c>
      <c r="AB2254" s="55">
        <f t="shared" si="643"/>
        <v>0</v>
      </c>
      <c r="AC2254" s="55">
        <f t="shared" si="640"/>
        <v>0</v>
      </c>
      <c r="AD2254" s="56">
        <f t="shared" si="641"/>
        <v>14277.2</v>
      </c>
    </row>
    <row r="2255" spans="3:30">
      <c r="C2255" s="43" t="s">
        <v>4178</v>
      </c>
      <c r="D2255" s="44" t="s">
        <v>4179</v>
      </c>
      <c r="E2255" s="44"/>
      <c r="F2255" s="45">
        <v>41035.444282407407</v>
      </c>
      <c r="G2255" s="46">
        <v>76</v>
      </c>
      <c r="H2255" s="47">
        <v>43383</v>
      </c>
      <c r="I2255" s="47">
        <v>43409</v>
      </c>
      <c r="J2255" s="46">
        <v>6417622</v>
      </c>
      <c r="K2255" s="46">
        <v>0</v>
      </c>
      <c r="L2255" s="46">
        <v>0</v>
      </c>
      <c r="M2255" s="46">
        <f t="shared" si="630"/>
        <v>6417622</v>
      </c>
      <c r="N2255" s="46">
        <v>6417622</v>
      </c>
      <c r="O2255" s="48">
        <f t="shared" si="631"/>
        <v>0</v>
      </c>
      <c r="P2255" s="46">
        <v>0</v>
      </c>
      <c r="Q2255" s="46">
        <v>6417622</v>
      </c>
      <c r="R2255" s="49">
        <f t="shared" si="632"/>
        <v>1</v>
      </c>
      <c r="S2255" s="50">
        <f t="shared" si="633"/>
        <v>0.01</v>
      </c>
      <c r="T2255" s="49">
        <f t="shared" si="634"/>
        <v>64176.22</v>
      </c>
      <c r="U2255" s="51">
        <f t="shared" si="635"/>
        <v>0</v>
      </c>
      <c r="V2255" s="52">
        <f>IF(0&lt;0.8,0,IF(0&lt;1,Sheet3!L561,1))*IF(G2255&lt;3,0.12 - O2255,0.01) *U2255</f>
        <v>0</v>
      </c>
      <c r="W2255" s="52">
        <f t="shared" si="636"/>
        <v>0</v>
      </c>
      <c r="X2255" s="53">
        <f t="shared" si="637"/>
        <v>0</v>
      </c>
      <c r="Y2255" s="53">
        <f t="shared" si="638"/>
        <v>0</v>
      </c>
      <c r="Z2255" s="54">
        <f t="shared" si="642"/>
        <v>0</v>
      </c>
      <c r="AA2255" s="54">
        <f t="shared" si="639"/>
        <v>0</v>
      </c>
      <c r="AB2255" s="55">
        <f t="shared" si="643"/>
        <v>0</v>
      </c>
      <c r="AC2255" s="55">
        <f t="shared" si="640"/>
        <v>0</v>
      </c>
      <c r="AD2255" s="56">
        <f t="shared" si="641"/>
        <v>64176.22</v>
      </c>
    </row>
    <row r="2256" spans="3:30">
      <c r="C2256" s="43" t="s">
        <v>4180</v>
      </c>
      <c r="D2256" s="44" t="s">
        <v>4181</v>
      </c>
      <c r="E2256" s="44"/>
      <c r="F2256" s="45">
        <v>41170.583912037036</v>
      </c>
      <c r="G2256" s="46">
        <v>72</v>
      </c>
      <c r="H2256" s="47">
        <v>43431</v>
      </c>
      <c r="I2256" s="47">
        <v>43462</v>
      </c>
      <c r="J2256" s="46">
        <v>72600</v>
      </c>
      <c r="K2256" s="46">
        <v>0</v>
      </c>
      <c r="L2256" s="46">
        <v>0</v>
      </c>
      <c r="M2256" s="46">
        <f t="shared" si="630"/>
        <v>72600</v>
      </c>
      <c r="N2256" s="46">
        <v>72600</v>
      </c>
      <c r="O2256" s="48">
        <f t="shared" si="631"/>
        <v>0</v>
      </c>
      <c r="P2256" s="46">
        <v>0</v>
      </c>
      <c r="Q2256" s="46">
        <v>72600</v>
      </c>
      <c r="R2256" s="49">
        <f t="shared" si="632"/>
        <v>1</v>
      </c>
      <c r="S2256" s="50">
        <f t="shared" si="633"/>
        <v>0.01</v>
      </c>
      <c r="T2256" s="49">
        <f t="shared" si="634"/>
        <v>726</v>
      </c>
      <c r="U2256" s="51">
        <f t="shared" si="635"/>
        <v>0</v>
      </c>
      <c r="V2256" s="52">
        <f>IF(0&lt;0.8,0,IF(0&lt;1,Sheet3!L561,1))*IF(G2256&lt;3,0.12 - O2256,0.01) *U2256</f>
        <v>0</v>
      </c>
      <c r="W2256" s="52">
        <f t="shared" si="636"/>
        <v>0</v>
      </c>
      <c r="X2256" s="53">
        <f t="shared" si="637"/>
        <v>0</v>
      </c>
      <c r="Y2256" s="53">
        <f t="shared" si="638"/>
        <v>0</v>
      </c>
      <c r="Z2256" s="54">
        <f t="shared" si="642"/>
        <v>0</v>
      </c>
      <c r="AA2256" s="54">
        <f t="shared" si="639"/>
        <v>0</v>
      </c>
      <c r="AB2256" s="55">
        <f t="shared" si="643"/>
        <v>0</v>
      </c>
      <c r="AC2256" s="55">
        <f t="shared" si="640"/>
        <v>0</v>
      </c>
      <c r="AD2256" s="56">
        <f t="shared" si="641"/>
        <v>726</v>
      </c>
    </row>
    <row r="2257" spans="3:30">
      <c r="C2257" s="43" t="s">
        <v>4182</v>
      </c>
      <c r="D2257" s="44" t="s">
        <v>4183</v>
      </c>
      <c r="E2257" s="44"/>
      <c r="F2257" s="45">
        <v>41460.464675925927</v>
      </c>
      <c r="G2257" s="46">
        <v>62</v>
      </c>
      <c r="H2257" s="47">
        <v>43376</v>
      </c>
      <c r="I2257" s="47">
        <v>43406</v>
      </c>
      <c r="J2257" s="46">
        <v>288464</v>
      </c>
      <c r="K2257" s="46">
        <v>0</v>
      </c>
      <c r="L2257" s="46">
        <v>0</v>
      </c>
      <c r="M2257" s="46">
        <f t="shared" si="630"/>
        <v>288464</v>
      </c>
      <c r="N2257" s="46">
        <v>288464</v>
      </c>
      <c r="O2257" s="48">
        <f t="shared" si="631"/>
        <v>0</v>
      </c>
      <c r="P2257" s="46">
        <v>0</v>
      </c>
      <c r="Q2257" s="46">
        <v>288464</v>
      </c>
      <c r="R2257" s="49">
        <f t="shared" si="632"/>
        <v>1</v>
      </c>
      <c r="S2257" s="50">
        <f t="shared" si="633"/>
        <v>0.01</v>
      </c>
      <c r="T2257" s="49">
        <f t="shared" si="634"/>
        <v>2884.64</v>
      </c>
      <c r="U2257" s="51">
        <f t="shared" si="635"/>
        <v>0</v>
      </c>
      <c r="V2257" s="52">
        <f>IF(0&lt;0.8,0,IF(0&lt;1,Sheet3!L561,1))*IF(G2257&lt;3,0.12 - O2257,0.01) *U2257</f>
        <v>0</v>
      </c>
      <c r="W2257" s="52">
        <f t="shared" si="636"/>
        <v>0</v>
      </c>
      <c r="X2257" s="53">
        <f t="shared" si="637"/>
        <v>0</v>
      </c>
      <c r="Y2257" s="53">
        <f t="shared" si="638"/>
        <v>0</v>
      </c>
      <c r="Z2257" s="54">
        <f t="shared" si="642"/>
        <v>0</v>
      </c>
      <c r="AA2257" s="54">
        <f t="shared" si="639"/>
        <v>0</v>
      </c>
      <c r="AB2257" s="55">
        <f t="shared" si="643"/>
        <v>0</v>
      </c>
      <c r="AC2257" s="55">
        <f t="shared" si="640"/>
        <v>0</v>
      </c>
      <c r="AD2257" s="56">
        <f t="shared" si="641"/>
        <v>2884.64</v>
      </c>
    </row>
    <row r="2258" spans="3:30">
      <c r="C2258" s="43" t="s">
        <v>4184</v>
      </c>
      <c r="D2258" s="44" t="s">
        <v>4185</v>
      </c>
      <c r="E2258" s="44"/>
      <c r="F2258" s="45">
        <v>41583.418171296296</v>
      </c>
      <c r="G2258" s="46">
        <v>58</v>
      </c>
      <c r="H2258" s="47">
        <v>43388</v>
      </c>
      <c r="I2258" s="47">
        <v>43397</v>
      </c>
      <c r="J2258" s="46">
        <v>104060</v>
      </c>
      <c r="K2258" s="46">
        <v>0</v>
      </c>
      <c r="L2258" s="46">
        <v>0</v>
      </c>
      <c r="M2258" s="46">
        <f t="shared" si="630"/>
        <v>104060</v>
      </c>
      <c r="N2258" s="46">
        <v>104060</v>
      </c>
      <c r="O2258" s="48">
        <f t="shared" si="631"/>
        <v>0</v>
      </c>
      <c r="P2258" s="46">
        <v>0</v>
      </c>
      <c r="Q2258" s="46">
        <v>104060</v>
      </c>
      <c r="R2258" s="49">
        <f t="shared" si="632"/>
        <v>1</v>
      </c>
      <c r="S2258" s="50">
        <f t="shared" si="633"/>
        <v>0.01</v>
      </c>
      <c r="T2258" s="49">
        <f t="shared" si="634"/>
        <v>1040.5999999999999</v>
      </c>
      <c r="U2258" s="51">
        <f t="shared" si="635"/>
        <v>0</v>
      </c>
      <c r="V2258" s="52">
        <f>IF(0&lt;0.8,0,IF(0&lt;1,Sheet3!L561,1))*IF(G2258&lt;3,0.12 - O2258,0.01) *U2258</f>
        <v>0</v>
      </c>
      <c r="W2258" s="52">
        <f t="shared" si="636"/>
        <v>0</v>
      </c>
      <c r="X2258" s="53">
        <f t="shared" si="637"/>
        <v>0</v>
      </c>
      <c r="Y2258" s="53">
        <f t="shared" si="638"/>
        <v>0</v>
      </c>
      <c r="Z2258" s="54">
        <f t="shared" si="642"/>
        <v>0</v>
      </c>
      <c r="AA2258" s="54">
        <f t="shared" si="639"/>
        <v>0</v>
      </c>
      <c r="AB2258" s="55">
        <f t="shared" si="643"/>
        <v>0</v>
      </c>
      <c r="AC2258" s="55">
        <f t="shared" si="640"/>
        <v>0</v>
      </c>
      <c r="AD2258" s="56">
        <f t="shared" si="641"/>
        <v>1040.5999999999999</v>
      </c>
    </row>
    <row r="2259" spans="3:30">
      <c r="C2259" s="43" t="s">
        <v>4186</v>
      </c>
      <c r="D2259" s="44" t="s">
        <v>4187</v>
      </c>
      <c r="E2259" s="44"/>
      <c r="F2259" s="45">
        <v>41782.396041666667</v>
      </c>
      <c r="G2259" s="46">
        <v>52</v>
      </c>
      <c r="H2259" s="47">
        <v>43388</v>
      </c>
      <c r="I2259" s="47">
        <v>43397</v>
      </c>
      <c r="J2259" s="46">
        <v>526834</v>
      </c>
      <c r="K2259" s="46">
        <v>0</v>
      </c>
      <c r="L2259" s="46">
        <v>0</v>
      </c>
      <c r="M2259" s="46">
        <f t="shared" si="630"/>
        <v>526834</v>
      </c>
      <c r="N2259" s="46">
        <v>526834</v>
      </c>
      <c r="O2259" s="48">
        <f t="shared" si="631"/>
        <v>0</v>
      </c>
      <c r="P2259" s="46">
        <v>0</v>
      </c>
      <c r="Q2259" s="46">
        <v>526834</v>
      </c>
      <c r="R2259" s="49">
        <f t="shared" si="632"/>
        <v>1</v>
      </c>
      <c r="S2259" s="50">
        <f t="shared" si="633"/>
        <v>0.01</v>
      </c>
      <c r="T2259" s="49">
        <f t="shared" si="634"/>
        <v>5268.34</v>
      </c>
      <c r="U2259" s="51">
        <f t="shared" si="635"/>
        <v>0</v>
      </c>
      <c r="V2259" s="52">
        <f>IF(0&lt;0.8,0,IF(0&lt;1,Sheet3!L561,1))*IF(G2259&lt;3,0.12 - O2259,0.01) *U2259</f>
        <v>0</v>
      </c>
      <c r="W2259" s="52">
        <f t="shared" si="636"/>
        <v>0</v>
      </c>
      <c r="X2259" s="53">
        <f t="shared" si="637"/>
        <v>0</v>
      </c>
      <c r="Y2259" s="53">
        <f t="shared" si="638"/>
        <v>0</v>
      </c>
      <c r="Z2259" s="54">
        <f t="shared" si="642"/>
        <v>0</v>
      </c>
      <c r="AA2259" s="54">
        <f t="shared" si="639"/>
        <v>0</v>
      </c>
      <c r="AB2259" s="55">
        <f t="shared" si="643"/>
        <v>0</v>
      </c>
      <c r="AC2259" s="55">
        <f t="shared" si="640"/>
        <v>0</v>
      </c>
      <c r="AD2259" s="56">
        <f t="shared" si="641"/>
        <v>5268.34</v>
      </c>
    </row>
    <row r="2260" spans="3:30">
      <c r="C2260" s="43" t="s">
        <v>4188</v>
      </c>
      <c r="D2260" s="44" t="s">
        <v>4189</v>
      </c>
      <c r="E2260" s="44"/>
      <c r="F2260" s="45">
        <v>41857.48469907407</v>
      </c>
      <c r="G2260" s="46">
        <v>49</v>
      </c>
      <c r="H2260" s="47">
        <v>43382</v>
      </c>
      <c r="I2260" s="47">
        <v>43448</v>
      </c>
      <c r="J2260" s="46">
        <v>3027785</v>
      </c>
      <c r="K2260" s="46">
        <v>0</v>
      </c>
      <c r="L2260" s="46">
        <v>0</v>
      </c>
      <c r="M2260" s="46">
        <f t="shared" si="630"/>
        <v>3027785</v>
      </c>
      <c r="N2260" s="46">
        <v>3024153</v>
      </c>
      <c r="O2260" s="48">
        <f t="shared" si="631"/>
        <v>0</v>
      </c>
      <c r="P2260" s="46">
        <v>0</v>
      </c>
      <c r="Q2260" s="46">
        <v>3027785</v>
      </c>
      <c r="R2260" s="49">
        <f t="shared" si="632"/>
        <v>1</v>
      </c>
      <c r="S2260" s="50">
        <f t="shared" si="633"/>
        <v>0.01</v>
      </c>
      <c r="T2260" s="49">
        <f t="shared" si="634"/>
        <v>30277.850000000002</v>
      </c>
      <c r="U2260" s="51">
        <f t="shared" si="635"/>
        <v>0</v>
      </c>
      <c r="V2260" s="52">
        <f>IF(0&lt;0.8,0,IF(0&lt;1,Sheet3!L561,1))*IF(G2260&lt;3,0.12 - O2260,0.01) *U2260</f>
        <v>0</v>
      </c>
      <c r="W2260" s="52">
        <f t="shared" si="636"/>
        <v>0</v>
      </c>
      <c r="X2260" s="53">
        <f t="shared" si="637"/>
        <v>0</v>
      </c>
      <c r="Y2260" s="53">
        <f t="shared" si="638"/>
        <v>0</v>
      </c>
      <c r="Z2260" s="54">
        <f t="shared" si="642"/>
        <v>0</v>
      </c>
      <c r="AA2260" s="54">
        <f t="shared" si="639"/>
        <v>0</v>
      </c>
      <c r="AB2260" s="55">
        <f t="shared" si="643"/>
        <v>0</v>
      </c>
      <c r="AC2260" s="55">
        <f t="shared" si="640"/>
        <v>0</v>
      </c>
      <c r="AD2260" s="56">
        <f t="shared" si="641"/>
        <v>30277.850000000002</v>
      </c>
    </row>
    <row r="2261" spans="3:30">
      <c r="C2261" s="43" t="s">
        <v>4190</v>
      </c>
      <c r="D2261" s="44" t="s">
        <v>4191</v>
      </c>
      <c r="E2261" s="44"/>
      <c r="F2261" s="45">
        <v>41876.602743055555</v>
      </c>
      <c r="G2261" s="46">
        <v>49</v>
      </c>
      <c r="H2261" s="47">
        <v>43388</v>
      </c>
      <c r="I2261" s="47">
        <v>43397</v>
      </c>
      <c r="J2261" s="46">
        <v>484702</v>
      </c>
      <c r="K2261" s="46">
        <v>0</v>
      </c>
      <c r="L2261" s="46">
        <v>0</v>
      </c>
      <c r="M2261" s="46">
        <f t="shared" si="630"/>
        <v>484702</v>
      </c>
      <c r="N2261" s="46">
        <v>484702</v>
      </c>
      <c r="O2261" s="48">
        <f t="shared" si="631"/>
        <v>0</v>
      </c>
      <c r="P2261" s="46">
        <v>0</v>
      </c>
      <c r="Q2261" s="46">
        <v>484702</v>
      </c>
      <c r="R2261" s="49">
        <f t="shared" si="632"/>
        <v>1</v>
      </c>
      <c r="S2261" s="50">
        <f t="shared" si="633"/>
        <v>0.01</v>
      </c>
      <c r="T2261" s="49">
        <f t="shared" si="634"/>
        <v>4847.0200000000004</v>
      </c>
      <c r="U2261" s="51">
        <f t="shared" si="635"/>
        <v>0</v>
      </c>
      <c r="V2261" s="52">
        <f>IF(0&lt;0.8,0,IF(0&lt;1,Sheet3!L561,1))*IF(G2261&lt;3,0.12 - O2261,0.01) *U2261</f>
        <v>0</v>
      </c>
      <c r="W2261" s="52">
        <f t="shared" si="636"/>
        <v>0</v>
      </c>
      <c r="X2261" s="53">
        <f t="shared" si="637"/>
        <v>0</v>
      </c>
      <c r="Y2261" s="53">
        <f t="shared" si="638"/>
        <v>0</v>
      </c>
      <c r="Z2261" s="54">
        <f t="shared" si="642"/>
        <v>0</v>
      </c>
      <c r="AA2261" s="54">
        <f t="shared" si="639"/>
        <v>0</v>
      </c>
      <c r="AB2261" s="55">
        <f t="shared" si="643"/>
        <v>0</v>
      </c>
      <c r="AC2261" s="55">
        <f t="shared" si="640"/>
        <v>0</v>
      </c>
      <c r="AD2261" s="56">
        <f t="shared" si="641"/>
        <v>4847.0200000000004</v>
      </c>
    </row>
    <row r="2262" spans="3:30">
      <c r="C2262" s="43" t="s">
        <v>4192</v>
      </c>
      <c r="D2262" s="44" t="s">
        <v>4193</v>
      </c>
      <c r="E2262" s="44"/>
      <c r="F2262" s="45">
        <v>41886.641840277778</v>
      </c>
      <c r="G2262" s="46">
        <v>48</v>
      </c>
      <c r="H2262" s="47">
        <v>43390</v>
      </c>
      <c r="I2262" s="47">
        <v>43424</v>
      </c>
      <c r="J2262" s="46">
        <v>1868475</v>
      </c>
      <c r="K2262" s="46">
        <v>0</v>
      </c>
      <c r="L2262" s="46">
        <v>0</v>
      </c>
      <c r="M2262" s="46">
        <f t="shared" si="630"/>
        <v>1868475</v>
      </c>
      <c r="N2262" s="46">
        <v>1800891</v>
      </c>
      <c r="O2262" s="48">
        <f t="shared" si="631"/>
        <v>0</v>
      </c>
      <c r="P2262" s="46">
        <v>0</v>
      </c>
      <c r="Q2262" s="46">
        <v>1868475</v>
      </c>
      <c r="R2262" s="49">
        <f t="shared" si="632"/>
        <v>1</v>
      </c>
      <c r="S2262" s="50">
        <f t="shared" si="633"/>
        <v>0.01</v>
      </c>
      <c r="T2262" s="49">
        <f t="shared" si="634"/>
        <v>18684.75</v>
      </c>
      <c r="U2262" s="51">
        <f t="shared" si="635"/>
        <v>0</v>
      </c>
      <c r="V2262" s="52">
        <f>IF(0&lt;0.8,0,IF(0&lt;1,Sheet3!L561,1))*IF(G2262&lt;3,0.12 - O2262,0.01) *U2262</f>
        <v>0</v>
      </c>
      <c r="W2262" s="52">
        <f t="shared" si="636"/>
        <v>0</v>
      </c>
      <c r="X2262" s="53">
        <f t="shared" si="637"/>
        <v>0</v>
      </c>
      <c r="Y2262" s="53">
        <f t="shared" si="638"/>
        <v>0</v>
      </c>
      <c r="Z2262" s="54">
        <f t="shared" si="642"/>
        <v>0</v>
      </c>
      <c r="AA2262" s="54">
        <f t="shared" si="639"/>
        <v>0</v>
      </c>
      <c r="AB2262" s="55">
        <f t="shared" si="643"/>
        <v>0</v>
      </c>
      <c r="AC2262" s="55">
        <f t="shared" si="640"/>
        <v>0</v>
      </c>
      <c r="AD2262" s="56">
        <f t="shared" si="641"/>
        <v>18684.75</v>
      </c>
    </row>
    <row r="2263" spans="3:30">
      <c r="C2263" s="43" t="s">
        <v>4194</v>
      </c>
      <c r="D2263" s="44" t="s">
        <v>4195</v>
      </c>
      <c r="E2263" s="44"/>
      <c r="F2263" s="45">
        <v>41933.401192129626</v>
      </c>
      <c r="G2263" s="46">
        <v>47</v>
      </c>
      <c r="H2263" s="47">
        <v>43383</v>
      </c>
      <c r="I2263" s="47">
        <v>43412</v>
      </c>
      <c r="J2263" s="46">
        <v>145200</v>
      </c>
      <c r="K2263" s="46">
        <v>0</v>
      </c>
      <c r="L2263" s="46">
        <v>0</v>
      </c>
      <c r="M2263" s="46">
        <f t="shared" si="630"/>
        <v>145200</v>
      </c>
      <c r="N2263" s="46">
        <v>145200</v>
      </c>
      <c r="O2263" s="48">
        <f t="shared" si="631"/>
        <v>0</v>
      </c>
      <c r="P2263" s="46">
        <v>0</v>
      </c>
      <c r="Q2263" s="46">
        <v>145200</v>
      </c>
      <c r="R2263" s="49">
        <f t="shared" si="632"/>
        <v>1</v>
      </c>
      <c r="S2263" s="50">
        <f t="shared" si="633"/>
        <v>0.01</v>
      </c>
      <c r="T2263" s="49">
        <f t="shared" si="634"/>
        <v>1452</v>
      </c>
      <c r="U2263" s="51">
        <f t="shared" si="635"/>
        <v>0</v>
      </c>
      <c r="V2263" s="52">
        <f>IF(0&lt;0.8,0,IF(0&lt;1,Sheet3!L561,1))*IF(G2263&lt;3,0.12 - O2263,0.01) *U2263</f>
        <v>0</v>
      </c>
      <c r="W2263" s="52">
        <f t="shared" si="636"/>
        <v>0</v>
      </c>
      <c r="X2263" s="53">
        <f t="shared" si="637"/>
        <v>0</v>
      </c>
      <c r="Y2263" s="53">
        <f t="shared" si="638"/>
        <v>0</v>
      </c>
      <c r="Z2263" s="54">
        <f t="shared" si="642"/>
        <v>0</v>
      </c>
      <c r="AA2263" s="54">
        <f t="shared" si="639"/>
        <v>0</v>
      </c>
      <c r="AB2263" s="55">
        <f t="shared" si="643"/>
        <v>0</v>
      </c>
      <c r="AC2263" s="55">
        <f t="shared" si="640"/>
        <v>0</v>
      </c>
      <c r="AD2263" s="56">
        <f t="shared" si="641"/>
        <v>1452</v>
      </c>
    </row>
    <row r="2264" spans="3:30">
      <c r="C2264" s="43" t="s">
        <v>4196</v>
      </c>
      <c r="D2264" s="44" t="s">
        <v>4197</v>
      </c>
      <c r="E2264" s="44"/>
      <c r="F2264" s="45">
        <v>42143.595682870371</v>
      </c>
      <c r="G2264" s="46">
        <v>40</v>
      </c>
      <c r="H2264" s="47">
        <v>43390</v>
      </c>
      <c r="I2264" s="47">
        <v>43409</v>
      </c>
      <c r="J2264" s="46">
        <v>763994</v>
      </c>
      <c r="K2264" s="46">
        <v>0</v>
      </c>
      <c r="L2264" s="46">
        <v>0</v>
      </c>
      <c r="M2264" s="46">
        <f t="shared" si="630"/>
        <v>763994</v>
      </c>
      <c r="N2264" s="46">
        <v>763994</v>
      </c>
      <c r="O2264" s="48">
        <f t="shared" si="631"/>
        <v>0</v>
      </c>
      <c r="P2264" s="46">
        <v>0</v>
      </c>
      <c r="Q2264" s="46">
        <v>763994</v>
      </c>
      <c r="R2264" s="49">
        <f t="shared" si="632"/>
        <v>1</v>
      </c>
      <c r="S2264" s="50">
        <f t="shared" si="633"/>
        <v>0.01</v>
      </c>
      <c r="T2264" s="49">
        <f t="shared" si="634"/>
        <v>7639.9400000000005</v>
      </c>
      <c r="U2264" s="51">
        <f t="shared" si="635"/>
        <v>0</v>
      </c>
      <c r="V2264" s="52">
        <f>IF(0&lt;0.8,0,IF(0&lt;1,Sheet3!L561,1))*IF(G2264&lt;3,0.12 - O2264,0.01) *U2264</f>
        <v>0</v>
      </c>
      <c r="W2264" s="52">
        <f t="shared" si="636"/>
        <v>0</v>
      </c>
      <c r="X2264" s="53">
        <f t="shared" si="637"/>
        <v>0</v>
      </c>
      <c r="Y2264" s="53">
        <f t="shared" si="638"/>
        <v>0</v>
      </c>
      <c r="Z2264" s="54">
        <f t="shared" si="642"/>
        <v>0</v>
      </c>
      <c r="AA2264" s="54">
        <f t="shared" si="639"/>
        <v>0</v>
      </c>
      <c r="AB2264" s="55">
        <f t="shared" si="643"/>
        <v>0</v>
      </c>
      <c r="AC2264" s="55">
        <f t="shared" si="640"/>
        <v>0</v>
      </c>
      <c r="AD2264" s="56">
        <f t="shared" si="641"/>
        <v>7639.9400000000005</v>
      </c>
    </row>
    <row r="2265" spans="3:30">
      <c r="C2265" s="43" t="s">
        <v>4198</v>
      </c>
      <c r="D2265" s="44" t="s">
        <v>4199</v>
      </c>
      <c r="E2265" s="44"/>
      <c r="F2265" s="45">
        <v>42208.5702662037</v>
      </c>
      <c r="G2265" s="46">
        <v>38</v>
      </c>
      <c r="H2265" s="47">
        <v>43376</v>
      </c>
      <c r="I2265" s="47">
        <v>43427</v>
      </c>
      <c r="J2265" s="46">
        <v>1254935</v>
      </c>
      <c r="K2265" s="46">
        <v>0</v>
      </c>
      <c r="L2265" s="46">
        <v>0</v>
      </c>
      <c r="M2265" s="46">
        <f t="shared" si="630"/>
        <v>1254935</v>
      </c>
      <c r="N2265" s="46">
        <v>1254935</v>
      </c>
      <c r="O2265" s="48">
        <f t="shared" si="631"/>
        <v>0</v>
      </c>
      <c r="P2265" s="46">
        <v>0</v>
      </c>
      <c r="Q2265" s="46">
        <v>1254935</v>
      </c>
      <c r="R2265" s="49">
        <f t="shared" si="632"/>
        <v>1</v>
      </c>
      <c r="S2265" s="50">
        <f t="shared" si="633"/>
        <v>0.01</v>
      </c>
      <c r="T2265" s="49">
        <f t="shared" si="634"/>
        <v>12549.35</v>
      </c>
      <c r="U2265" s="51">
        <f t="shared" si="635"/>
        <v>0</v>
      </c>
      <c r="V2265" s="52">
        <f>IF(0&lt;0.8,0,IF(0&lt;1,Sheet3!L561,1))*IF(G2265&lt;3,0.12 - O2265,0.01) *U2265</f>
        <v>0</v>
      </c>
      <c r="W2265" s="52">
        <f t="shared" si="636"/>
        <v>0</v>
      </c>
      <c r="X2265" s="53">
        <f t="shared" si="637"/>
        <v>0</v>
      </c>
      <c r="Y2265" s="53">
        <f t="shared" si="638"/>
        <v>0</v>
      </c>
      <c r="Z2265" s="54">
        <f t="shared" si="642"/>
        <v>0</v>
      </c>
      <c r="AA2265" s="54">
        <f t="shared" si="639"/>
        <v>0</v>
      </c>
      <c r="AB2265" s="55">
        <f t="shared" si="643"/>
        <v>0</v>
      </c>
      <c r="AC2265" s="55">
        <f t="shared" si="640"/>
        <v>0</v>
      </c>
      <c r="AD2265" s="56">
        <f t="shared" si="641"/>
        <v>12549.35</v>
      </c>
    </row>
    <row r="2266" spans="3:30">
      <c r="C2266" s="43" t="s">
        <v>4200</v>
      </c>
      <c r="D2266" s="44" t="s">
        <v>4201</v>
      </c>
      <c r="E2266" s="44"/>
      <c r="F2266" s="45">
        <v>42333.400046296294</v>
      </c>
      <c r="G2266" s="46">
        <v>34</v>
      </c>
      <c r="H2266" s="47">
        <v>43388</v>
      </c>
      <c r="I2266" s="47">
        <v>43397</v>
      </c>
      <c r="J2266" s="46">
        <v>596530</v>
      </c>
      <c r="K2266" s="46">
        <v>0</v>
      </c>
      <c r="L2266" s="46">
        <v>0</v>
      </c>
      <c r="M2266" s="46">
        <f t="shared" si="630"/>
        <v>596530</v>
      </c>
      <c r="N2266" s="46">
        <v>583220</v>
      </c>
      <c r="O2266" s="48">
        <f t="shared" si="631"/>
        <v>0</v>
      </c>
      <c r="P2266" s="46">
        <v>0</v>
      </c>
      <c r="Q2266" s="46">
        <v>596530</v>
      </c>
      <c r="R2266" s="49">
        <f t="shared" si="632"/>
        <v>1</v>
      </c>
      <c r="S2266" s="50">
        <f t="shared" si="633"/>
        <v>0.01</v>
      </c>
      <c r="T2266" s="49">
        <f t="shared" si="634"/>
        <v>5965.3</v>
      </c>
      <c r="U2266" s="51">
        <f t="shared" si="635"/>
        <v>0</v>
      </c>
      <c r="V2266" s="52">
        <f>IF(0&lt;0.8,0,IF(0&lt;1,Sheet3!L561,1))*IF(G2266&lt;3,0.12 - O2266,0.01) *U2266</f>
        <v>0</v>
      </c>
      <c r="W2266" s="52">
        <f t="shared" si="636"/>
        <v>0</v>
      </c>
      <c r="X2266" s="53">
        <f t="shared" si="637"/>
        <v>0</v>
      </c>
      <c r="Y2266" s="53">
        <f t="shared" si="638"/>
        <v>0</v>
      </c>
      <c r="Z2266" s="54">
        <f t="shared" si="642"/>
        <v>0</v>
      </c>
      <c r="AA2266" s="54">
        <f t="shared" si="639"/>
        <v>0</v>
      </c>
      <c r="AB2266" s="55">
        <f t="shared" si="643"/>
        <v>0</v>
      </c>
      <c r="AC2266" s="55">
        <f t="shared" si="640"/>
        <v>0</v>
      </c>
      <c r="AD2266" s="56">
        <f t="shared" si="641"/>
        <v>5965.3</v>
      </c>
    </row>
    <row r="2267" spans="3:30">
      <c r="C2267" s="43" t="s">
        <v>4202</v>
      </c>
      <c r="D2267" s="44" t="s">
        <v>4203</v>
      </c>
      <c r="E2267" s="44"/>
      <c r="F2267" s="45">
        <v>42472.629513888889</v>
      </c>
      <c r="G2267" s="46">
        <v>29</v>
      </c>
      <c r="H2267" s="47">
        <v>43388</v>
      </c>
      <c r="I2267" s="47">
        <v>43397</v>
      </c>
      <c r="J2267" s="46">
        <v>227964</v>
      </c>
      <c r="K2267" s="46">
        <v>0</v>
      </c>
      <c r="L2267" s="46">
        <v>0</v>
      </c>
      <c r="M2267" s="46">
        <f t="shared" si="630"/>
        <v>227964</v>
      </c>
      <c r="N2267" s="46">
        <v>227964</v>
      </c>
      <c r="O2267" s="48">
        <f t="shared" si="631"/>
        <v>0</v>
      </c>
      <c r="P2267" s="46">
        <v>0</v>
      </c>
      <c r="Q2267" s="46">
        <v>227964</v>
      </c>
      <c r="R2267" s="49">
        <f t="shared" si="632"/>
        <v>1</v>
      </c>
      <c r="S2267" s="50">
        <f t="shared" si="633"/>
        <v>0.01</v>
      </c>
      <c r="T2267" s="49">
        <f t="shared" si="634"/>
        <v>2279.64</v>
      </c>
      <c r="U2267" s="51">
        <f t="shared" si="635"/>
        <v>0</v>
      </c>
      <c r="V2267" s="52">
        <f>IF(0&lt;0.8,0,IF(0&lt;1,Sheet3!L561,1))*IF(G2267&lt;3,0.12 - O2267,0.01) *U2267</f>
        <v>0</v>
      </c>
      <c r="W2267" s="52">
        <f t="shared" si="636"/>
        <v>0</v>
      </c>
      <c r="X2267" s="53">
        <f t="shared" si="637"/>
        <v>0</v>
      </c>
      <c r="Y2267" s="53">
        <f t="shared" si="638"/>
        <v>0</v>
      </c>
      <c r="Z2267" s="54">
        <f t="shared" si="642"/>
        <v>0</v>
      </c>
      <c r="AA2267" s="54">
        <f t="shared" si="639"/>
        <v>0</v>
      </c>
      <c r="AB2267" s="55">
        <f t="shared" si="643"/>
        <v>0</v>
      </c>
      <c r="AC2267" s="55">
        <f t="shared" si="640"/>
        <v>0</v>
      </c>
      <c r="AD2267" s="56">
        <f t="shared" si="641"/>
        <v>2279.64</v>
      </c>
    </row>
    <row r="2268" spans="3:30">
      <c r="C2268" s="43" t="s">
        <v>4204</v>
      </c>
      <c r="D2268" s="44" t="s">
        <v>4205</v>
      </c>
      <c r="E2268" s="44"/>
      <c r="F2268" s="45">
        <v>42556.166122685187</v>
      </c>
      <c r="G2268" s="46">
        <v>26</v>
      </c>
      <c r="H2268" s="47">
        <v>43391</v>
      </c>
      <c r="I2268" s="47">
        <v>43399</v>
      </c>
      <c r="J2268" s="46">
        <v>494505</v>
      </c>
      <c r="K2268" s="46">
        <v>0</v>
      </c>
      <c r="L2268" s="46">
        <v>0</v>
      </c>
      <c r="M2268" s="46">
        <f t="shared" si="630"/>
        <v>494505</v>
      </c>
      <c r="N2268" s="46">
        <v>578199</v>
      </c>
      <c r="O2268" s="48">
        <f t="shared" si="631"/>
        <v>0.14474947206757538</v>
      </c>
      <c r="P2268" s="46">
        <v>0</v>
      </c>
      <c r="Q2268" s="46">
        <v>494505</v>
      </c>
      <c r="R2268" s="49">
        <f t="shared" si="632"/>
        <v>1</v>
      </c>
      <c r="S2268" s="50">
        <f t="shared" si="633"/>
        <v>0.01</v>
      </c>
      <c r="T2268" s="49">
        <f t="shared" si="634"/>
        <v>4945.05</v>
      </c>
      <c r="U2268" s="51">
        <f t="shared" si="635"/>
        <v>0</v>
      </c>
      <c r="V2268" s="52">
        <f>IF(0&lt;0.8,0,IF(0&lt;1,Sheet3!L561,1))*IF(G2268&lt;3,0.12 - O2268,0.01) *U2268</f>
        <v>0</v>
      </c>
      <c r="W2268" s="52">
        <f t="shared" si="636"/>
        <v>0</v>
      </c>
      <c r="X2268" s="53">
        <f t="shared" si="637"/>
        <v>0</v>
      </c>
      <c r="Y2268" s="53">
        <f t="shared" si="638"/>
        <v>0</v>
      </c>
      <c r="Z2268" s="54">
        <f t="shared" si="642"/>
        <v>0</v>
      </c>
      <c r="AA2268" s="54">
        <f t="shared" si="639"/>
        <v>0</v>
      </c>
      <c r="AB2268" s="55">
        <f t="shared" si="643"/>
        <v>0</v>
      </c>
      <c r="AC2268" s="55">
        <f t="shared" si="640"/>
        <v>0</v>
      </c>
      <c r="AD2268" s="56">
        <f t="shared" si="641"/>
        <v>4945.05</v>
      </c>
    </row>
    <row r="2269" spans="3:30">
      <c r="C2269" s="43" t="s">
        <v>4206</v>
      </c>
      <c r="D2269" s="44" t="s">
        <v>4207</v>
      </c>
      <c r="E2269" s="44"/>
      <c r="F2269" s="45">
        <v>42601.122488425921</v>
      </c>
      <c r="G2269" s="46">
        <v>25</v>
      </c>
      <c r="H2269" s="47">
        <v>43383</v>
      </c>
      <c r="I2269" s="47">
        <v>43391</v>
      </c>
      <c r="J2269" s="46">
        <v>785290</v>
      </c>
      <c r="K2269" s="46">
        <v>0</v>
      </c>
      <c r="L2269" s="46">
        <v>0</v>
      </c>
      <c r="M2269" s="46">
        <f t="shared" si="630"/>
        <v>785290</v>
      </c>
      <c r="N2269" s="46">
        <v>785290</v>
      </c>
      <c r="O2269" s="48">
        <f t="shared" si="631"/>
        <v>0</v>
      </c>
      <c r="P2269" s="46">
        <v>0</v>
      </c>
      <c r="Q2269" s="46">
        <v>785290</v>
      </c>
      <c r="R2269" s="49">
        <f t="shared" si="632"/>
        <v>1</v>
      </c>
      <c r="S2269" s="50">
        <f t="shared" si="633"/>
        <v>0.01</v>
      </c>
      <c r="T2269" s="49">
        <f t="shared" si="634"/>
        <v>7852.9000000000005</v>
      </c>
      <c r="U2269" s="51">
        <f t="shared" si="635"/>
        <v>0</v>
      </c>
      <c r="V2269" s="52">
        <f>IF(0&lt;0.8,0,IF(0&lt;1,Sheet3!L561,1))*IF(G2269&lt;3,0.12 - O2269,0.01) *U2269</f>
        <v>0</v>
      </c>
      <c r="W2269" s="52">
        <f t="shared" si="636"/>
        <v>0</v>
      </c>
      <c r="X2269" s="53">
        <f t="shared" si="637"/>
        <v>0</v>
      </c>
      <c r="Y2269" s="53">
        <f t="shared" si="638"/>
        <v>0</v>
      </c>
      <c r="Z2269" s="54">
        <f t="shared" si="642"/>
        <v>0</v>
      </c>
      <c r="AA2269" s="54">
        <f t="shared" si="639"/>
        <v>0</v>
      </c>
      <c r="AB2269" s="55">
        <f t="shared" si="643"/>
        <v>0</v>
      </c>
      <c r="AC2269" s="55">
        <f t="shared" si="640"/>
        <v>0</v>
      </c>
      <c r="AD2269" s="56">
        <f t="shared" si="641"/>
        <v>7852.9000000000005</v>
      </c>
    </row>
    <row r="2270" spans="3:30">
      <c r="C2270" s="43" t="s">
        <v>4208</v>
      </c>
      <c r="D2270" s="44" t="s">
        <v>4209</v>
      </c>
      <c r="E2270" s="44"/>
      <c r="F2270" s="45">
        <v>42643.292025462964</v>
      </c>
      <c r="G2270" s="46">
        <v>24</v>
      </c>
      <c r="H2270" s="47">
        <v>43388</v>
      </c>
      <c r="I2270" s="47">
        <v>43397</v>
      </c>
      <c r="J2270" s="46">
        <v>404310</v>
      </c>
      <c r="K2270" s="46">
        <v>0</v>
      </c>
      <c r="L2270" s="46">
        <v>0</v>
      </c>
      <c r="M2270" s="46">
        <f t="shared" si="630"/>
        <v>404310</v>
      </c>
      <c r="N2270" s="46">
        <v>404310</v>
      </c>
      <c r="O2270" s="48">
        <f t="shared" si="631"/>
        <v>0</v>
      </c>
      <c r="P2270" s="46">
        <v>0</v>
      </c>
      <c r="Q2270" s="46">
        <v>404310</v>
      </c>
      <c r="R2270" s="49">
        <f t="shared" si="632"/>
        <v>1</v>
      </c>
      <c r="S2270" s="50">
        <f t="shared" si="633"/>
        <v>0.01</v>
      </c>
      <c r="T2270" s="49">
        <f t="shared" si="634"/>
        <v>4043.1</v>
      </c>
      <c r="U2270" s="51">
        <f t="shared" si="635"/>
        <v>0</v>
      </c>
      <c r="V2270" s="52">
        <f>IF(0&lt;0.8,0,IF(0&lt;1,Sheet3!L561,1))*IF(G2270&lt;3,0.12 - O2270,0.01) *U2270</f>
        <v>0</v>
      </c>
      <c r="W2270" s="52">
        <f t="shared" si="636"/>
        <v>0</v>
      </c>
      <c r="X2270" s="53">
        <f t="shared" si="637"/>
        <v>0</v>
      </c>
      <c r="Y2270" s="53">
        <f t="shared" si="638"/>
        <v>0</v>
      </c>
      <c r="Z2270" s="54">
        <f t="shared" si="642"/>
        <v>0</v>
      </c>
      <c r="AA2270" s="54">
        <f t="shared" si="639"/>
        <v>0</v>
      </c>
      <c r="AB2270" s="55">
        <f t="shared" si="643"/>
        <v>0</v>
      </c>
      <c r="AC2270" s="55">
        <f t="shared" si="640"/>
        <v>0</v>
      </c>
      <c r="AD2270" s="56">
        <f t="shared" si="641"/>
        <v>4043.1</v>
      </c>
    </row>
    <row r="2271" spans="3:30">
      <c r="C2271" s="43" t="s">
        <v>4210</v>
      </c>
      <c r="D2271" s="44" t="s">
        <v>4211</v>
      </c>
      <c r="E2271" s="44"/>
      <c r="F2271" s="45">
        <v>42915.132546296292</v>
      </c>
      <c r="G2271" s="46">
        <v>15</v>
      </c>
      <c r="H2271" s="47">
        <v>43388</v>
      </c>
      <c r="I2271" s="47">
        <v>43397</v>
      </c>
      <c r="J2271" s="46">
        <v>360217</v>
      </c>
      <c r="K2271" s="46">
        <v>0</v>
      </c>
      <c r="L2271" s="46">
        <v>0</v>
      </c>
      <c r="M2271" s="46">
        <f t="shared" si="630"/>
        <v>360217</v>
      </c>
      <c r="N2271" s="46">
        <v>360217</v>
      </c>
      <c r="O2271" s="48">
        <f t="shared" si="631"/>
        <v>0</v>
      </c>
      <c r="P2271" s="46">
        <v>0</v>
      </c>
      <c r="Q2271" s="46">
        <v>360217</v>
      </c>
      <c r="R2271" s="49">
        <f t="shared" si="632"/>
        <v>1</v>
      </c>
      <c r="S2271" s="50">
        <f t="shared" si="633"/>
        <v>0.01</v>
      </c>
      <c r="T2271" s="49">
        <f t="shared" si="634"/>
        <v>3602.17</v>
      </c>
      <c r="U2271" s="51">
        <f t="shared" si="635"/>
        <v>0</v>
      </c>
      <c r="V2271" s="52">
        <f>IF(0&lt;0.8,0,IF(0&lt;1,Sheet3!L561,1))*IF(G2271&lt;3,0.12 - O2271,0.01) *U2271</f>
        <v>0</v>
      </c>
      <c r="W2271" s="52">
        <f t="shared" si="636"/>
        <v>0</v>
      </c>
      <c r="X2271" s="53">
        <f t="shared" si="637"/>
        <v>0</v>
      </c>
      <c r="Y2271" s="53">
        <f t="shared" si="638"/>
        <v>0</v>
      </c>
      <c r="Z2271" s="54">
        <f t="shared" si="642"/>
        <v>0</v>
      </c>
      <c r="AA2271" s="54">
        <f t="shared" si="639"/>
        <v>0</v>
      </c>
      <c r="AB2271" s="55">
        <f t="shared" si="643"/>
        <v>0</v>
      </c>
      <c r="AC2271" s="55">
        <f t="shared" si="640"/>
        <v>0</v>
      </c>
      <c r="AD2271" s="56">
        <f t="shared" si="641"/>
        <v>3602.17</v>
      </c>
    </row>
    <row r="2272" spans="3:30">
      <c r="C2272" s="43" t="s">
        <v>4212</v>
      </c>
      <c r="D2272" s="44" t="s">
        <v>4213</v>
      </c>
      <c r="E2272" s="44"/>
      <c r="F2272" s="45">
        <v>42916.153379629628</v>
      </c>
      <c r="G2272" s="46">
        <v>15</v>
      </c>
      <c r="H2272" s="47">
        <v>43388</v>
      </c>
      <c r="I2272" s="47">
        <v>43398</v>
      </c>
      <c r="J2272" s="46">
        <v>300806</v>
      </c>
      <c r="K2272" s="46">
        <v>0</v>
      </c>
      <c r="L2272" s="46">
        <v>0</v>
      </c>
      <c r="M2272" s="46">
        <f t="shared" si="630"/>
        <v>300806</v>
      </c>
      <c r="N2272" s="46">
        <v>300806</v>
      </c>
      <c r="O2272" s="48">
        <f t="shared" si="631"/>
        <v>0</v>
      </c>
      <c r="P2272" s="46">
        <v>0</v>
      </c>
      <c r="Q2272" s="46">
        <v>300806</v>
      </c>
      <c r="R2272" s="49">
        <f t="shared" si="632"/>
        <v>1</v>
      </c>
      <c r="S2272" s="50">
        <f t="shared" si="633"/>
        <v>0.01</v>
      </c>
      <c r="T2272" s="49">
        <f t="shared" si="634"/>
        <v>3008.06</v>
      </c>
      <c r="U2272" s="51">
        <f t="shared" si="635"/>
        <v>0</v>
      </c>
      <c r="V2272" s="52">
        <f>IF(0&lt;0.8,0,IF(0&lt;1,Sheet3!L561,1))*IF(G2272&lt;3,0.12 - O2272,0.01) *U2272</f>
        <v>0</v>
      </c>
      <c r="W2272" s="52">
        <f t="shared" si="636"/>
        <v>0</v>
      </c>
      <c r="X2272" s="53">
        <f t="shared" si="637"/>
        <v>0</v>
      </c>
      <c r="Y2272" s="53">
        <f t="shared" si="638"/>
        <v>0</v>
      </c>
      <c r="Z2272" s="54">
        <f t="shared" si="642"/>
        <v>0</v>
      </c>
      <c r="AA2272" s="54">
        <f t="shared" si="639"/>
        <v>0</v>
      </c>
      <c r="AB2272" s="55">
        <f t="shared" si="643"/>
        <v>0</v>
      </c>
      <c r="AC2272" s="55">
        <f t="shared" si="640"/>
        <v>0</v>
      </c>
      <c r="AD2272" s="56">
        <f t="shared" si="641"/>
        <v>3008.06</v>
      </c>
    </row>
    <row r="2273" spans="3:30">
      <c r="C2273" s="43" t="s">
        <v>4214</v>
      </c>
      <c r="D2273" s="44" t="s">
        <v>4215</v>
      </c>
      <c r="E2273" s="44"/>
      <c r="F2273" s="45">
        <v>42956.32309027778</v>
      </c>
      <c r="G2273" s="46">
        <v>13</v>
      </c>
      <c r="H2273" s="47">
        <v>43383</v>
      </c>
      <c r="I2273" s="47">
        <v>43405</v>
      </c>
      <c r="J2273" s="46">
        <v>494223</v>
      </c>
      <c r="K2273" s="46">
        <v>0</v>
      </c>
      <c r="L2273" s="46">
        <v>0</v>
      </c>
      <c r="M2273" s="46">
        <f t="shared" si="630"/>
        <v>494223</v>
      </c>
      <c r="N2273" s="46">
        <v>492349</v>
      </c>
      <c r="O2273" s="48">
        <f t="shared" si="631"/>
        <v>0</v>
      </c>
      <c r="P2273" s="46">
        <v>0</v>
      </c>
      <c r="Q2273" s="46">
        <v>494223</v>
      </c>
      <c r="R2273" s="49">
        <f t="shared" si="632"/>
        <v>1</v>
      </c>
      <c r="S2273" s="50">
        <f t="shared" si="633"/>
        <v>0.01</v>
      </c>
      <c r="T2273" s="49">
        <f t="shared" si="634"/>
        <v>4942.2300000000005</v>
      </c>
      <c r="U2273" s="51">
        <f t="shared" si="635"/>
        <v>0</v>
      </c>
      <c r="V2273" s="52">
        <f>IF(0&lt;0.8,0,IF(0&lt;1,Sheet3!L561,1))*IF(G2273&lt;3,0.12 - O2273,0.01) *U2273</f>
        <v>0</v>
      </c>
      <c r="W2273" s="52">
        <f t="shared" si="636"/>
        <v>0</v>
      </c>
      <c r="X2273" s="53">
        <f t="shared" si="637"/>
        <v>0</v>
      </c>
      <c r="Y2273" s="53">
        <f t="shared" si="638"/>
        <v>0</v>
      </c>
      <c r="Z2273" s="54">
        <f t="shared" si="642"/>
        <v>0</v>
      </c>
      <c r="AA2273" s="54">
        <f t="shared" si="639"/>
        <v>0</v>
      </c>
      <c r="AB2273" s="55">
        <f t="shared" si="643"/>
        <v>0</v>
      </c>
      <c r="AC2273" s="55">
        <f t="shared" si="640"/>
        <v>0</v>
      </c>
      <c r="AD2273" s="56">
        <f t="shared" si="641"/>
        <v>4942.2300000000005</v>
      </c>
    </row>
    <row r="2274" spans="3:30">
      <c r="C2274" s="43" t="s">
        <v>4216</v>
      </c>
      <c r="D2274" s="44" t="s">
        <v>4217</v>
      </c>
      <c r="E2274" s="44"/>
      <c r="F2274" s="45">
        <v>43106.118854166663</v>
      </c>
      <c r="G2274" s="46">
        <v>8</v>
      </c>
      <c r="H2274" s="47">
        <v>43388</v>
      </c>
      <c r="I2274" s="47">
        <v>43403</v>
      </c>
      <c r="J2274" s="46">
        <v>1787412</v>
      </c>
      <c r="K2274" s="46">
        <v>0</v>
      </c>
      <c r="L2274" s="46">
        <v>0</v>
      </c>
      <c r="M2274" s="46">
        <f t="shared" si="630"/>
        <v>1787412</v>
      </c>
      <c r="N2274" s="46">
        <v>1787412</v>
      </c>
      <c r="O2274" s="48">
        <f t="shared" si="631"/>
        <v>0</v>
      </c>
      <c r="P2274" s="46">
        <v>0</v>
      </c>
      <c r="Q2274" s="46">
        <v>1787412</v>
      </c>
      <c r="R2274" s="49">
        <f t="shared" si="632"/>
        <v>1</v>
      </c>
      <c r="S2274" s="50">
        <f t="shared" si="633"/>
        <v>0.01</v>
      </c>
      <c r="T2274" s="49">
        <f t="shared" si="634"/>
        <v>17874.12</v>
      </c>
      <c r="U2274" s="51">
        <f t="shared" si="635"/>
        <v>0</v>
      </c>
      <c r="V2274" s="52">
        <f>IF(0&lt;0.8,0,IF(0&lt;1,Sheet3!L561,1))*IF(G2274&lt;3,0.12 - O2274,0.01) *U2274</f>
        <v>0</v>
      </c>
      <c r="W2274" s="52">
        <f t="shared" si="636"/>
        <v>0</v>
      </c>
      <c r="X2274" s="53">
        <f t="shared" si="637"/>
        <v>0</v>
      </c>
      <c r="Y2274" s="53">
        <f t="shared" si="638"/>
        <v>0</v>
      </c>
      <c r="Z2274" s="54">
        <f t="shared" si="642"/>
        <v>0</v>
      </c>
      <c r="AA2274" s="54">
        <f t="shared" si="639"/>
        <v>0</v>
      </c>
      <c r="AB2274" s="55">
        <f t="shared" si="643"/>
        <v>0</v>
      </c>
      <c r="AC2274" s="55">
        <f t="shared" si="640"/>
        <v>0</v>
      </c>
      <c r="AD2274" s="56">
        <f t="shared" si="641"/>
        <v>17874.12</v>
      </c>
    </row>
    <row r="2275" spans="3:30">
      <c r="C2275" s="43" t="s">
        <v>4218</v>
      </c>
      <c r="D2275" s="44" t="s">
        <v>4219</v>
      </c>
      <c r="E2275" s="44"/>
      <c r="F2275" s="45">
        <v>43243.301099537035</v>
      </c>
      <c r="G2275" s="46">
        <v>4</v>
      </c>
      <c r="H2275" s="47" t="s">
        <v>24</v>
      </c>
      <c r="I2275" s="47" t="s">
        <v>24</v>
      </c>
      <c r="J2275" s="46">
        <v>11840620</v>
      </c>
      <c r="K2275" s="46">
        <v>0</v>
      </c>
      <c r="L2275" s="46">
        <v>0</v>
      </c>
      <c r="M2275" s="46">
        <f t="shared" si="630"/>
        <v>11840620</v>
      </c>
      <c r="N2275" s="46">
        <v>11840620</v>
      </c>
      <c r="O2275" s="48">
        <f t="shared" si="631"/>
        <v>0</v>
      </c>
      <c r="P2275" s="46">
        <v>0</v>
      </c>
      <c r="Q2275" s="46">
        <v>0</v>
      </c>
      <c r="R2275" s="49">
        <f t="shared" si="632"/>
        <v>1</v>
      </c>
      <c r="S2275" s="50">
        <f t="shared" si="633"/>
        <v>0.01</v>
      </c>
      <c r="T2275" s="49">
        <f t="shared" si="634"/>
        <v>118406.2</v>
      </c>
      <c r="U2275" s="51">
        <f t="shared" si="635"/>
        <v>0</v>
      </c>
      <c r="V2275" s="52">
        <f>IF(0&lt;0.8,0,IF(0&lt;1,Sheet3!L561,1))*IF(G2275&lt;3,0.12 - O2275,0.01) *U2275</f>
        <v>0</v>
      </c>
      <c r="W2275" s="52">
        <f t="shared" si="636"/>
        <v>0</v>
      </c>
      <c r="X2275" s="53">
        <f t="shared" si="637"/>
        <v>0</v>
      </c>
      <c r="Y2275" s="53">
        <f t="shared" si="638"/>
        <v>0</v>
      </c>
      <c r="Z2275" s="54">
        <f>IF(R2275=1,0,"")</f>
        <v>0</v>
      </c>
      <c r="AA2275" s="54">
        <f t="shared" si="639"/>
        <v>0</v>
      </c>
      <c r="AB2275" s="55">
        <f>IF(R2275=0,"",0)</f>
        <v>0</v>
      </c>
      <c r="AC2275" s="55">
        <f t="shared" si="640"/>
        <v>0</v>
      </c>
      <c r="AD2275" s="56">
        <f t="shared" si="641"/>
        <v>118406.2</v>
      </c>
    </row>
    <row r="2276" spans="3:30">
      <c r="C2276" s="43" t="s">
        <v>4220</v>
      </c>
      <c r="D2276" s="44" t="s">
        <v>4221</v>
      </c>
      <c r="E2276" s="44"/>
      <c r="F2276" s="45">
        <v>43313.299849537034</v>
      </c>
      <c r="G2276" s="46">
        <v>1</v>
      </c>
      <c r="H2276" s="47">
        <v>43404</v>
      </c>
      <c r="I2276" s="47">
        <v>43406</v>
      </c>
      <c r="J2276" s="46">
        <v>569668</v>
      </c>
      <c r="K2276" s="46">
        <v>0</v>
      </c>
      <c r="L2276" s="46">
        <v>0</v>
      </c>
      <c r="M2276" s="46">
        <f t="shared" si="630"/>
        <v>569668</v>
      </c>
      <c r="N2276" s="46">
        <v>569668</v>
      </c>
      <c r="O2276" s="48">
        <f t="shared" si="631"/>
        <v>0</v>
      </c>
      <c r="P2276" s="46">
        <v>0</v>
      </c>
      <c r="Q2276" s="46">
        <v>0</v>
      </c>
      <c r="R2276" s="49">
        <f t="shared" si="632"/>
        <v>0</v>
      </c>
      <c r="S2276" s="50">
        <f t="shared" si="633"/>
        <v>0</v>
      </c>
      <c r="T2276" s="49">
        <f t="shared" si="634"/>
        <v>0</v>
      </c>
      <c r="U2276" s="51">
        <f t="shared" si="635"/>
        <v>569668</v>
      </c>
      <c r="V2276" s="52">
        <f>IF(0&lt;0.8,0,IF(0&lt;1,Sheet3!L561,1))*IF(G2276&lt;3,0.12 - O2276,0.01) *U2276</f>
        <v>0</v>
      </c>
      <c r="W2276" s="52">
        <f t="shared" si="636"/>
        <v>0</v>
      </c>
      <c r="X2276" s="53">
        <f t="shared" si="637"/>
        <v>0</v>
      </c>
      <c r="Y2276" s="53">
        <f t="shared" si="638"/>
        <v>0</v>
      </c>
      <c r="Z2276" s="54">
        <f t="shared" ref="Z2276:Z2298" si="644">IF(R2276=1,0,0)</f>
        <v>0</v>
      </c>
      <c r="AA2276" s="54">
        <f t="shared" si="639"/>
        <v>0</v>
      </c>
      <c r="AB2276" s="55">
        <f t="shared" ref="AB2276:AB2287" si="645">IF(R2276=0,0,0)</f>
        <v>0</v>
      </c>
      <c r="AC2276" s="55">
        <f t="shared" si="640"/>
        <v>0</v>
      </c>
      <c r="AD2276" s="56">
        <f t="shared" si="641"/>
        <v>0</v>
      </c>
    </row>
    <row r="2277" spans="3:30">
      <c r="C2277" s="43" t="s">
        <v>4222</v>
      </c>
      <c r="D2277" s="44" t="s">
        <v>4223</v>
      </c>
      <c r="E2277" s="44"/>
      <c r="F2277" s="45">
        <v>43328.265439814815</v>
      </c>
      <c r="G2277" s="46">
        <v>1</v>
      </c>
      <c r="H2277" s="47" t="s">
        <v>24</v>
      </c>
      <c r="I2277" s="47" t="s">
        <v>24</v>
      </c>
      <c r="J2277" s="46">
        <v>476668</v>
      </c>
      <c r="K2277" s="46">
        <v>0</v>
      </c>
      <c r="L2277" s="46">
        <v>0</v>
      </c>
      <c r="M2277" s="46">
        <f t="shared" si="630"/>
        <v>476668</v>
      </c>
      <c r="N2277" s="46">
        <v>476668</v>
      </c>
      <c r="O2277" s="48">
        <f t="shared" si="631"/>
        <v>0</v>
      </c>
      <c r="P2277" s="46">
        <v>0</v>
      </c>
      <c r="Q2277" s="46">
        <v>0</v>
      </c>
      <c r="R2277" s="49">
        <f t="shared" si="632"/>
        <v>0</v>
      </c>
      <c r="S2277" s="50">
        <f t="shared" si="633"/>
        <v>0</v>
      </c>
      <c r="T2277" s="49">
        <f t="shared" si="634"/>
        <v>0</v>
      </c>
      <c r="U2277" s="51">
        <f t="shared" si="635"/>
        <v>476668</v>
      </c>
      <c r="V2277" s="52">
        <f>IF(0&lt;0.8,0,IF(0&lt;1,Sheet3!L561,1))*IF(G2277&lt;3,0.12 - O2277,0.01) *U2277</f>
        <v>0</v>
      </c>
      <c r="W2277" s="52">
        <f t="shared" si="636"/>
        <v>0</v>
      </c>
      <c r="X2277" s="53">
        <f t="shared" si="637"/>
        <v>0</v>
      </c>
      <c r="Y2277" s="53">
        <f t="shared" si="638"/>
        <v>0</v>
      </c>
      <c r="Z2277" s="54">
        <f t="shared" si="644"/>
        <v>0</v>
      </c>
      <c r="AA2277" s="54">
        <f t="shared" si="639"/>
        <v>0</v>
      </c>
      <c r="AB2277" s="55">
        <f t="shared" si="645"/>
        <v>0</v>
      </c>
      <c r="AC2277" s="55">
        <f t="shared" si="640"/>
        <v>0</v>
      </c>
      <c r="AD2277" s="56">
        <f t="shared" si="641"/>
        <v>0</v>
      </c>
    </row>
    <row r="2278" spans="3:30">
      <c r="C2278" s="43" t="s">
        <v>4224</v>
      </c>
      <c r="D2278" s="44" t="s">
        <v>4225</v>
      </c>
      <c r="E2278" s="44"/>
      <c r="F2278" s="45">
        <v>43349.34269675926</v>
      </c>
      <c r="G2278" s="46">
        <v>0</v>
      </c>
      <c r="H2278" s="47">
        <v>43388</v>
      </c>
      <c r="I2278" s="47">
        <v>43411</v>
      </c>
      <c r="J2278" s="46">
        <v>269588</v>
      </c>
      <c r="K2278" s="46">
        <v>0</v>
      </c>
      <c r="L2278" s="46">
        <v>0</v>
      </c>
      <c r="M2278" s="46">
        <f t="shared" si="630"/>
        <v>269588</v>
      </c>
      <c r="N2278" s="46">
        <v>269588</v>
      </c>
      <c r="O2278" s="48">
        <f t="shared" si="631"/>
        <v>0</v>
      </c>
      <c r="P2278" s="46">
        <v>0</v>
      </c>
      <c r="Q2278" s="46">
        <v>0</v>
      </c>
      <c r="R2278" s="49">
        <f t="shared" si="632"/>
        <v>0</v>
      </c>
      <c r="S2278" s="50">
        <f t="shared" si="633"/>
        <v>0</v>
      </c>
      <c r="T2278" s="49">
        <f t="shared" si="634"/>
        <v>0</v>
      </c>
      <c r="U2278" s="51">
        <f t="shared" si="635"/>
        <v>269588</v>
      </c>
      <c r="V2278" s="52">
        <f>IF(0&lt;0.8,0,IF(0&lt;1,Sheet3!L561,1))*IF(G2278&lt;3,0.12 - O2278,0.01) *U2278</f>
        <v>0</v>
      </c>
      <c r="W2278" s="52">
        <f t="shared" si="636"/>
        <v>0</v>
      </c>
      <c r="X2278" s="53">
        <f t="shared" si="637"/>
        <v>0</v>
      </c>
      <c r="Y2278" s="53">
        <f t="shared" si="638"/>
        <v>0</v>
      </c>
      <c r="Z2278" s="54">
        <f t="shared" si="644"/>
        <v>0</v>
      </c>
      <c r="AA2278" s="54">
        <f t="shared" si="639"/>
        <v>0</v>
      </c>
      <c r="AB2278" s="55">
        <f t="shared" si="645"/>
        <v>0</v>
      </c>
      <c r="AC2278" s="55">
        <f t="shared" si="640"/>
        <v>0</v>
      </c>
      <c r="AD2278" s="56">
        <f t="shared" si="641"/>
        <v>0</v>
      </c>
    </row>
    <row r="2279" spans="3:30">
      <c r="C2279" s="43" t="s">
        <v>4226</v>
      </c>
      <c r="D2279" s="44" t="s">
        <v>4227</v>
      </c>
      <c r="E2279" s="44"/>
      <c r="F2279" s="45">
        <v>38960.638425925921</v>
      </c>
      <c r="G2279" s="46">
        <v>145</v>
      </c>
      <c r="H2279" s="47">
        <v>43420</v>
      </c>
      <c r="I2279" s="47">
        <v>43431</v>
      </c>
      <c r="J2279" s="46">
        <v>13310</v>
      </c>
      <c r="K2279" s="46">
        <v>0</v>
      </c>
      <c r="L2279" s="46">
        <v>0</v>
      </c>
      <c r="M2279" s="46">
        <f t="shared" si="630"/>
        <v>13310</v>
      </c>
      <c r="N2279" s="46">
        <v>13310</v>
      </c>
      <c r="O2279" s="48">
        <f t="shared" si="631"/>
        <v>0</v>
      </c>
      <c r="P2279" s="46">
        <v>0</v>
      </c>
      <c r="Q2279" s="46">
        <v>13310</v>
      </c>
      <c r="R2279" s="49">
        <f t="shared" si="632"/>
        <v>1</v>
      </c>
      <c r="S2279" s="50">
        <f t="shared" si="633"/>
        <v>0.01</v>
      </c>
      <c r="T2279" s="49">
        <f t="shared" si="634"/>
        <v>133.1</v>
      </c>
      <c r="U2279" s="51">
        <f t="shared" si="635"/>
        <v>0</v>
      </c>
      <c r="V2279" s="52">
        <f>IF(0&lt;0.8,0,IF(0&lt;1,Sheet3!L561,1))*IF(G2279&lt;3,0.12 - O2279,0.01) *U2279</f>
        <v>0</v>
      </c>
      <c r="W2279" s="52">
        <f t="shared" si="636"/>
        <v>0</v>
      </c>
      <c r="X2279" s="53">
        <f t="shared" si="637"/>
        <v>0</v>
      </c>
      <c r="Y2279" s="53">
        <f t="shared" si="638"/>
        <v>0</v>
      </c>
      <c r="Z2279" s="54">
        <f t="shared" si="644"/>
        <v>0</v>
      </c>
      <c r="AA2279" s="54">
        <f t="shared" si="639"/>
        <v>0</v>
      </c>
      <c r="AB2279" s="55">
        <f t="shared" si="645"/>
        <v>0</v>
      </c>
      <c r="AC2279" s="55">
        <f t="shared" si="640"/>
        <v>0</v>
      </c>
      <c r="AD2279" s="56">
        <f t="shared" si="641"/>
        <v>133.1</v>
      </c>
    </row>
    <row r="2280" spans="3:30">
      <c r="C2280" s="43" t="s">
        <v>4228</v>
      </c>
      <c r="D2280" s="44" t="s">
        <v>4229</v>
      </c>
      <c r="E2280" s="44"/>
      <c r="F2280" s="45">
        <v>38996.382662037038</v>
      </c>
      <c r="G2280" s="46">
        <v>143</v>
      </c>
      <c r="H2280" s="47">
        <v>43376</v>
      </c>
      <c r="I2280" s="47">
        <v>43455</v>
      </c>
      <c r="J2280" s="46">
        <v>2192865</v>
      </c>
      <c r="K2280" s="46">
        <v>0</v>
      </c>
      <c r="L2280" s="46">
        <v>0</v>
      </c>
      <c r="M2280" s="46">
        <f t="shared" si="630"/>
        <v>2192865</v>
      </c>
      <c r="N2280" s="46">
        <v>2192707</v>
      </c>
      <c r="O2280" s="48">
        <f t="shared" si="631"/>
        <v>0</v>
      </c>
      <c r="P2280" s="46">
        <v>0</v>
      </c>
      <c r="Q2280" s="46">
        <v>2192865</v>
      </c>
      <c r="R2280" s="49">
        <f t="shared" si="632"/>
        <v>1</v>
      </c>
      <c r="S2280" s="50">
        <f t="shared" si="633"/>
        <v>0.01</v>
      </c>
      <c r="T2280" s="49">
        <f t="shared" si="634"/>
        <v>21928.65</v>
      </c>
      <c r="U2280" s="51">
        <f t="shared" si="635"/>
        <v>0</v>
      </c>
      <c r="V2280" s="52">
        <f>IF(0&lt;0.8,0,IF(0&lt;1,Sheet3!L561,1))*IF(G2280&lt;3,0.12 - O2280,0.01) *U2280</f>
        <v>0</v>
      </c>
      <c r="W2280" s="52">
        <f t="shared" si="636"/>
        <v>0</v>
      </c>
      <c r="X2280" s="53">
        <f t="shared" si="637"/>
        <v>0</v>
      </c>
      <c r="Y2280" s="53">
        <f t="shared" si="638"/>
        <v>0</v>
      </c>
      <c r="Z2280" s="54">
        <f t="shared" si="644"/>
        <v>0</v>
      </c>
      <c r="AA2280" s="54">
        <f t="shared" si="639"/>
        <v>0</v>
      </c>
      <c r="AB2280" s="55">
        <f t="shared" si="645"/>
        <v>0</v>
      </c>
      <c r="AC2280" s="55">
        <f t="shared" si="640"/>
        <v>0</v>
      </c>
      <c r="AD2280" s="56">
        <f t="shared" si="641"/>
        <v>21928.65</v>
      </c>
    </row>
    <row r="2281" spans="3:30">
      <c r="C2281" s="43" t="s">
        <v>4230</v>
      </c>
      <c r="D2281" s="44" t="s">
        <v>4231</v>
      </c>
      <c r="E2281" s="44"/>
      <c r="F2281" s="45">
        <v>40882.474826388891</v>
      </c>
      <c r="G2281" s="46">
        <v>81</v>
      </c>
      <c r="H2281" s="47">
        <v>43390</v>
      </c>
      <c r="I2281" s="47">
        <v>43397</v>
      </c>
      <c r="J2281" s="46">
        <v>115434</v>
      </c>
      <c r="K2281" s="46">
        <v>0</v>
      </c>
      <c r="L2281" s="46">
        <v>0</v>
      </c>
      <c r="M2281" s="46">
        <f t="shared" si="630"/>
        <v>115434</v>
      </c>
      <c r="N2281" s="46">
        <v>115434</v>
      </c>
      <c r="O2281" s="48">
        <f t="shared" si="631"/>
        <v>0</v>
      </c>
      <c r="P2281" s="46">
        <v>0</v>
      </c>
      <c r="Q2281" s="46">
        <v>115434</v>
      </c>
      <c r="R2281" s="49">
        <f t="shared" si="632"/>
        <v>1</v>
      </c>
      <c r="S2281" s="50">
        <f t="shared" si="633"/>
        <v>0.01</v>
      </c>
      <c r="T2281" s="49">
        <f t="shared" si="634"/>
        <v>1154.3399999999999</v>
      </c>
      <c r="U2281" s="51">
        <f t="shared" si="635"/>
        <v>0</v>
      </c>
      <c r="V2281" s="52">
        <f>IF(0&lt;0.8,0,IF(0&lt;1,Sheet3!L561,1))*IF(G2281&lt;3,0.12 - O2281,0.01) *U2281</f>
        <v>0</v>
      </c>
      <c r="W2281" s="52">
        <f t="shared" si="636"/>
        <v>0</v>
      </c>
      <c r="X2281" s="53">
        <f t="shared" si="637"/>
        <v>0</v>
      </c>
      <c r="Y2281" s="53">
        <f t="shared" si="638"/>
        <v>0</v>
      </c>
      <c r="Z2281" s="54">
        <f t="shared" si="644"/>
        <v>0</v>
      </c>
      <c r="AA2281" s="54">
        <f t="shared" si="639"/>
        <v>0</v>
      </c>
      <c r="AB2281" s="55">
        <f t="shared" si="645"/>
        <v>0</v>
      </c>
      <c r="AC2281" s="55">
        <f t="shared" si="640"/>
        <v>0</v>
      </c>
      <c r="AD2281" s="56">
        <f t="shared" si="641"/>
        <v>1154.3399999999999</v>
      </c>
    </row>
    <row r="2282" spans="3:30">
      <c r="C2282" s="43" t="s">
        <v>4232</v>
      </c>
      <c r="D2282" s="44" t="s">
        <v>4233</v>
      </c>
      <c r="E2282" s="44"/>
      <c r="F2282" s="45">
        <v>41279.403217592589</v>
      </c>
      <c r="G2282" s="46">
        <v>68</v>
      </c>
      <c r="H2282" s="47">
        <v>43376</v>
      </c>
      <c r="I2282" s="47">
        <v>43407</v>
      </c>
      <c r="J2282" s="46">
        <v>1162398</v>
      </c>
      <c r="K2282" s="46">
        <v>0</v>
      </c>
      <c r="L2282" s="46">
        <v>0</v>
      </c>
      <c r="M2282" s="46">
        <f t="shared" si="630"/>
        <v>1162398</v>
      </c>
      <c r="N2282" s="46">
        <v>1052288</v>
      </c>
      <c r="O2282" s="48">
        <f t="shared" si="631"/>
        <v>0</v>
      </c>
      <c r="P2282" s="46">
        <v>0</v>
      </c>
      <c r="Q2282" s="46">
        <v>1162398</v>
      </c>
      <c r="R2282" s="49">
        <f t="shared" si="632"/>
        <v>1</v>
      </c>
      <c r="S2282" s="50">
        <f t="shared" si="633"/>
        <v>0.01</v>
      </c>
      <c r="T2282" s="49">
        <f t="shared" si="634"/>
        <v>11623.98</v>
      </c>
      <c r="U2282" s="51">
        <f t="shared" si="635"/>
        <v>0</v>
      </c>
      <c r="V2282" s="52">
        <f>IF(0&lt;0.8,0,IF(0&lt;1,Sheet3!L561,1))*IF(G2282&lt;3,0.12 - O2282,0.01) *U2282</f>
        <v>0</v>
      </c>
      <c r="W2282" s="52">
        <f t="shared" si="636"/>
        <v>0</v>
      </c>
      <c r="X2282" s="53">
        <f t="shared" si="637"/>
        <v>0</v>
      </c>
      <c r="Y2282" s="53">
        <f t="shared" si="638"/>
        <v>0</v>
      </c>
      <c r="Z2282" s="54">
        <f t="shared" si="644"/>
        <v>0</v>
      </c>
      <c r="AA2282" s="54">
        <f t="shared" si="639"/>
        <v>0</v>
      </c>
      <c r="AB2282" s="55">
        <f t="shared" si="645"/>
        <v>0</v>
      </c>
      <c r="AC2282" s="55">
        <f t="shared" si="640"/>
        <v>0</v>
      </c>
      <c r="AD2282" s="56">
        <f t="shared" si="641"/>
        <v>11623.98</v>
      </c>
    </row>
    <row r="2283" spans="3:30">
      <c r="C2283" s="43" t="s">
        <v>4234</v>
      </c>
      <c r="D2283" s="44" t="s">
        <v>4235</v>
      </c>
      <c r="E2283" s="44"/>
      <c r="F2283" s="45">
        <v>41820.383368055554</v>
      </c>
      <c r="G2283" s="46">
        <v>51</v>
      </c>
      <c r="H2283" s="47">
        <v>43376</v>
      </c>
      <c r="I2283" s="47">
        <v>43411</v>
      </c>
      <c r="J2283" s="46">
        <v>208758796</v>
      </c>
      <c r="K2283" s="46">
        <v>10814154</v>
      </c>
      <c r="L2283" s="46">
        <v>0</v>
      </c>
      <c r="M2283" s="46">
        <f t="shared" si="630"/>
        <v>197944642</v>
      </c>
      <c r="N2283" s="46">
        <v>216884708</v>
      </c>
      <c r="O2283" s="48">
        <f t="shared" si="631"/>
        <v>8.7327807362057031E-2</v>
      </c>
      <c r="P2283" s="46">
        <v>0</v>
      </c>
      <c r="Q2283" s="46">
        <v>219259101</v>
      </c>
      <c r="R2283" s="49">
        <f t="shared" si="632"/>
        <v>1</v>
      </c>
      <c r="S2283" s="50">
        <f t="shared" si="633"/>
        <v>0.01</v>
      </c>
      <c r="T2283" s="49">
        <f t="shared" si="634"/>
        <v>1979446.42</v>
      </c>
      <c r="U2283" s="51">
        <f t="shared" si="635"/>
        <v>0</v>
      </c>
      <c r="V2283" s="52">
        <f>IF(0&lt;0.8,0,IF(0&lt;1,Sheet3!L561,1))*IF(G2283&lt;3,0.12 - O2283,0.01) *U2283</f>
        <v>0</v>
      </c>
      <c r="W2283" s="52">
        <f t="shared" si="636"/>
        <v>0</v>
      </c>
      <c r="X2283" s="53">
        <f t="shared" si="637"/>
        <v>0</v>
      </c>
      <c r="Y2283" s="53">
        <f t="shared" si="638"/>
        <v>0</v>
      </c>
      <c r="Z2283" s="54">
        <f t="shared" si="644"/>
        <v>0</v>
      </c>
      <c r="AA2283" s="54">
        <f t="shared" si="639"/>
        <v>0</v>
      </c>
      <c r="AB2283" s="55">
        <f t="shared" si="645"/>
        <v>0</v>
      </c>
      <c r="AC2283" s="55">
        <f t="shared" si="640"/>
        <v>0</v>
      </c>
      <c r="AD2283" s="56">
        <f t="shared" si="641"/>
        <v>1979446.42</v>
      </c>
    </row>
    <row r="2284" spans="3:30">
      <c r="C2284" s="43" t="s">
        <v>4236</v>
      </c>
      <c r="D2284" s="44" t="s">
        <v>4237</v>
      </c>
      <c r="E2284" s="44"/>
      <c r="F2284" s="45">
        <v>41965.409224537034</v>
      </c>
      <c r="G2284" s="46">
        <v>46</v>
      </c>
      <c r="H2284" s="47">
        <v>43390</v>
      </c>
      <c r="I2284" s="47">
        <v>43407</v>
      </c>
      <c r="J2284" s="46">
        <v>620004</v>
      </c>
      <c r="K2284" s="46">
        <v>0</v>
      </c>
      <c r="L2284" s="46">
        <v>0</v>
      </c>
      <c r="M2284" s="46">
        <f t="shared" si="630"/>
        <v>620004</v>
      </c>
      <c r="N2284" s="46">
        <v>620004</v>
      </c>
      <c r="O2284" s="48">
        <f t="shared" si="631"/>
        <v>0</v>
      </c>
      <c r="P2284" s="46">
        <v>0</v>
      </c>
      <c r="Q2284" s="46">
        <v>620004</v>
      </c>
      <c r="R2284" s="49">
        <f t="shared" si="632"/>
        <v>1</v>
      </c>
      <c r="S2284" s="50">
        <f t="shared" si="633"/>
        <v>0.01</v>
      </c>
      <c r="T2284" s="49">
        <f t="shared" si="634"/>
        <v>6200.04</v>
      </c>
      <c r="U2284" s="51">
        <f t="shared" si="635"/>
        <v>0</v>
      </c>
      <c r="V2284" s="52">
        <f>IF(0&lt;0.8,0,IF(0&lt;1,Sheet3!L561,1))*IF(G2284&lt;3,0.12 - O2284,0.01) *U2284</f>
        <v>0</v>
      </c>
      <c r="W2284" s="52">
        <f t="shared" si="636"/>
        <v>0</v>
      </c>
      <c r="X2284" s="53">
        <f t="shared" si="637"/>
        <v>0</v>
      </c>
      <c r="Y2284" s="53">
        <f t="shared" si="638"/>
        <v>0</v>
      </c>
      <c r="Z2284" s="54">
        <f t="shared" si="644"/>
        <v>0</v>
      </c>
      <c r="AA2284" s="54">
        <f t="shared" si="639"/>
        <v>0</v>
      </c>
      <c r="AB2284" s="55">
        <f t="shared" si="645"/>
        <v>0</v>
      </c>
      <c r="AC2284" s="55">
        <f t="shared" si="640"/>
        <v>0</v>
      </c>
      <c r="AD2284" s="56">
        <f t="shared" si="641"/>
        <v>6200.04</v>
      </c>
    </row>
    <row r="2285" spans="3:30">
      <c r="C2285" s="43" t="s">
        <v>4238</v>
      </c>
      <c r="D2285" s="44" t="s">
        <v>4239</v>
      </c>
      <c r="E2285" s="44"/>
      <c r="F2285" s="45">
        <v>42479.685324074075</v>
      </c>
      <c r="G2285" s="46">
        <v>29</v>
      </c>
      <c r="H2285" s="47">
        <v>43376</v>
      </c>
      <c r="I2285" s="47">
        <v>43403</v>
      </c>
      <c r="J2285" s="46">
        <v>1688434</v>
      </c>
      <c r="K2285" s="46">
        <v>0</v>
      </c>
      <c r="L2285" s="46">
        <v>0</v>
      </c>
      <c r="M2285" s="46">
        <f t="shared" si="630"/>
        <v>1688434</v>
      </c>
      <c r="N2285" s="46">
        <v>1688434</v>
      </c>
      <c r="O2285" s="48">
        <f t="shared" si="631"/>
        <v>0</v>
      </c>
      <c r="P2285" s="46">
        <v>0</v>
      </c>
      <c r="Q2285" s="46">
        <v>1688434</v>
      </c>
      <c r="R2285" s="49">
        <f t="shared" si="632"/>
        <v>1</v>
      </c>
      <c r="S2285" s="50">
        <f t="shared" si="633"/>
        <v>0.01</v>
      </c>
      <c r="T2285" s="49">
        <f t="shared" si="634"/>
        <v>16884.34</v>
      </c>
      <c r="U2285" s="51">
        <f t="shared" si="635"/>
        <v>0</v>
      </c>
      <c r="V2285" s="52">
        <f>IF(0&lt;0.8,0,IF(0&lt;1,Sheet3!L561,1))*IF(G2285&lt;3,0.12 - O2285,0.01) *U2285</f>
        <v>0</v>
      </c>
      <c r="W2285" s="52">
        <f t="shared" si="636"/>
        <v>0</v>
      </c>
      <c r="X2285" s="53">
        <f t="shared" si="637"/>
        <v>0</v>
      </c>
      <c r="Y2285" s="53">
        <f t="shared" si="638"/>
        <v>0</v>
      </c>
      <c r="Z2285" s="54">
        <f t="shared" si="644"/>
        <v>0</v>
      </c>
      <c r="AA2285" s="54">
        <f t="shared" si="639"/>
        <v>0</v>
      </c>
      <c r="AB2285" s="55">
        <f t="shared" si="645"/>
        <v>0</v>
      </c>
      <c r="AC2285" s="55">
        <f t="shared" si="640"/>
        <v>0</v>
      </c>
      <c r="AD2285" s="56">
        <f t="shared" si="641"/>
        <v>16884.34</v>
      </c>
    </row>
    <row r="2286" spans="3:30">
      <c r="C2286" s="43" t="s">
        <v>4240</v>
      </c>
      <c r="D2286" s="44" t="s">
        <v>4241</v>
      </c>
      <c r="E2286" s="44"/>
      <c r="F2286" s="45">
        <v>42479.687256944446</v>
      </c>
      <c r="G2286" s="46">
        <v>29</v>
      </c>
      <c r="H2286" s="47">
        <v>43396</v>
      </c>
      <c r="I2286" s="47">
        <v>43417</v>
      </c>
      <c r="J2286" s="46">
        <v>3803344</v>
      </c>
      <c r="K2286" s="46">
        <v>0</v>
      </c>
      <c r="L2286" s="46">
        <v>0</v>
      </c>
      <c r="M2286" s="46">
        <f t="shared" si="630"/>
        <v>3803344</v>
      </c>
      <c r="N2286" s="46">
        <v>3799861</v>
      </c>
      <c r="O2286" s="48">
        <f t="shared" si="631"/>
        <v>0</v>
      </c>
      <c r="P2286" s="46">
        <v>0</v>
      </c>
      <c r="Q2286" s="46">
        <v>3803344</v>
      </c>
      <c r="R2286" s="49">
        <f t="shared" si="632"/>
        <v>1</v>
      </c>
      <c r="S2286" s="50">
        <f t="shared" si="633"/>
        <v>0.01</v>
      </c>
      <c r="T2286" s="49">
        <f t="shared" si="634"/>
        <v>38033.440000000002</v>
      </c>
      <c r="U2286" s="51">
        <f t="shared" si="635"/>
        <v>0</v>
      </c>
      <c r="V2286" s="52">
        <f>IF(0&lt;0.8,0,IF(0&lt;1,Sheet3!L561,1))*IF(G2286&lt;3,0.12 - O2286,0.01) *U2286</f>
        <v>0</v>
      </c>
      <c r="W2286" s="52">
        <f t="shared" si="636"/>
        <v>0</v>
      </c>
      <c r="X2286" s="53">
        <f t="shared" si="637"/>
        <v>0</v>
      </c>
      <c r="Y2286" s="53">
        <f t="shared" si="638"/>
        <v>0</v>
      </c>
      <c r="Z2286" s="54">
        <f t="shared" si="644"/>
        <v>0</v>
      </c>
      <c r="AA2286" s="54">
        <f t="shared" si="639"/>
        <v>0</v>
      </c>
      <c r="AB2286" s="55">
        <f t="shared" si="645"/>
        <v>0</v>
      </c>
      <c r="AC2286" s="55">
        <f t="shared" si="640"/>
        <v>0</v>
      </c>
      <c r="AD2286" s="56">
        <f t="shared" si="641"/>
        <v>38033.440000000002</v>
      </c>
    </row>
    <row r="2287" spans="3:30">
      <c r="C2287" s="43" t="s">
        <v>4242</v>
      </c>
      <c r="D2287" s="44" t="s">
        <v>4243</v>
      </c>
      <c r="E2287" s="44"/>
      <c r="F2287" s="45">
        <v>42625.161828703705</v>
      </c>
      <c r="G2287" s="46">
        <v>24</v>
      </c>
      <c r="H2287" s="47">
        <v>43390</v>
      </c>
      <c r="I2287" s="47">
        <v>43397</v>
      </c>
      <c r="J2287" s="46">
        <v>409948</v>
      </c>
      <c r="K2287" s="46">
        <v>0</v>
      </c>
      <c r="L2287" s="46">
        <v>0</v>
      </c>
      <c r="M2287" s="46">
        <f t="shared" si="630"/>
        <v>409948</v>
      </c>
      <c r="N2287" s="46">
        <v>409948</v>
      </c>
      <c r="O2287" s="48">
        <f t="shared" si="631"/>
        <v>0</v>
      </c>
      <c r="P2287" s="46">
        <v>0</v>
      </c>
      <c r="Q2287" s="46">
        <v>409948</v>
      </c>
      <c r="R2287" s="49">
        <f t="shared" si="632"/>
        <v>1</v>
      </c>
      <c r="S2287" s="50">
        <f t="shared" si="633"/>
        <v>0.01</v>
      </c>
      <c r="T2287" s="49">
        <f t="shared" si="634"/>
        <v>4099.4800000000005</v>
      </c>
      <c r="U2287" s="51">
        <f t="shared" si="635"/>
        <v>0</v>
      </c>
      <c r="V2287" s="52">
        <f>IF(0&lt;0.8,0,IF(0&lt;1,Sheet3!L561,1))*IF(G2287&lt;3,0.12 - O2287,0.01) *U2287</f>
        <v>0</v>
      </c>
      <c r="W2287" s="52">
        <f t="shared" si="636"/>
        <v>0</v>
      </c>
      <c r="X2287" s="53">
        <f t="shared" si="637"/>
        <v>0</v>
      </c>
      <c r="Y2287" s="53">
        <f t="shared" si="638"/>
        <v>0</v>
      </c>
      <c r="Z2287" s="54">
        <f t="shared" si="644"/>
        <v>0</v>
      </c>
      <c r="AA2287" s="54">
        <f t="shared" si="639"/>
        <v>0</v>
      </c>
      <c r="AB2287" s="55">
        <f t="shared" si="645"/>
        <v>0</v>
      </c>
      <c r="AC2287" s="55">
        <f t="shared" si="640"/>
        <v>0</v>
      </c>
      <c r="AD2287" s="56">
        <f t="shared" si="641"/>
        <v>4099.4800000000005</v>
      </c>
    </row>
    <row r="2288" spans="3:30">
      <c r="C2288" s="43" t="s">
        <v>4244</v>
      </c>
      <c r="D2288" s="44" t="s">
        <v>4245</v>
      </c>
      <c r="E2288" s="44"/>
      <c r="F2288" s="45">
        <v>42640.296030092592</v>
      </c>
      <c r="G2288" s="46">
        <v>24</v>
      </c>
      <c r="H2288" s="47">
        <v>43396</v>
      </c>
      <c r="I2288" s="47">
        <v>43410</v>
      </c>
      <c r="J2288" s="46">
        <v>21449491</v>
      </c>
      <c r="K2288" s="46">
        <v>0</v>
      </c>
      <c r="L2288" s="46">
        <v>0</v>
      </c>
      <c r="M2288" s="46">
        <f t="shared" si="630"/>
        <v>21449491</v>
      </c>
      <c r="N2288" s="46">
        <v>-9</v>
      </c>
      <c r="O2288" s="48">
        <f t="shared" si="631"/>
        <v>2383277.777777778</v>
      </c>
      <c r="P2288" s="46">
        <v>0</v>
      </c>
      <c r="Q2288" s="46">
        <v>21449491</v>
      </c>
      <c r="R2288" s="49">
        <f t="shared" si="632"/>
        <v>1</v>
      </c>
      <c r="S2288" s="50">
        <f t="shared" si="633"/>
        <v>0.01</v>
      </c>
      <c r="T2288" s="49">
        <f t="shared" si="634"/>
        <v>214494.91</v>
      </c>
      <c r="U2288" s="51">
        <f t="shared" si="635"/>
        <v>0</v>
      </c>
      <c r="V2288" s="52">
        <f>IF(0&lt;0.8,0,IF(0&lt;1,Sheet3!L561,1))*IF(G2288&lt;3,0.12 - O2288,0.01) *U2288</f>
        <v>0</v>
      </c>
      <c r="W2288" s="52">
        <f t="shared" si="636"/>
        <v>0</v>
      </c>
      <c r="X2288" s="53">
        <f t="shared" si="637"/>
        <v>0</v>
      </c>
      <c r="Y2288" s="53">
        <f t="shared" si="638"/>
        <v>0</v>
      </c>
      <c r="Z2288" s="54">
        <f t="shared" si="644"/>
        <v>0</v>
      </c>
      <c r="AA2288" s="54">
        <f t="shared" si="639"/>
        <v>0</v>
      </c>
      <c r="AB2288" s="55">
        <f>IF(R2288=0,21449491,0)</f>
        <v>0</v>
      </c>
      <c r="AC2288" s="55">
        <f t="shared" si="640"/>
        <v>0</v>
      </c>
      <c r="AD2288" s="56">
        <f t="shared" si="641"/>
        <v>214494.91</v>
      </c>
    </row>
    <row r="2289" spans="3:30">
      <c r="C2289" s="43" t="s">
        <v>4246</v>
      </c>
      <c r="D2289" s="44" t="s">
        <v>4247</v>
      </c>
      <c r="E2289" s="44"/>
      <c r="F2289" s="45">
        <v>42754.088865740741</v>
      </c>
      <c r="G2289" s="46">
        <v>20</v>
      </c>
      <c r="H2289" s="47">
        <v>43376</v>
      </c>
      <c r="I2289" s="47">
        <v>43411</v>
      </c>
      <c r="J2289" s="46">
        <v>3691353</v>
      </c>
      <c r="K2289" s="46">
        <v>0</v>
      </c>
      <c r="L2289" s="46">
        <v>0</v>
      </c>
      <c r="M2289" s="46">
        <f t="shared" si="630"/>
        <v>3691353</v>
      </c>
      <c r="N2289" s="46">
        <v>3688563</v>
      </c>
      <c r="O2289" s="48">
        <f t="shared" si="631"/>
        <v>0</v>
      </c>
      <c r="P2289" s="46">
        <v>0</v>
      </c>
      <c r="Q2289" s="46">
        <v>3691353</v>
      </c>
      <c r="R2289" s="49">
        <f t="shared" si="632"/>
        <v>1</v>
      </c>
      <c r="S2289" s="50">
        <f t="shared" si="633"/>
        <v>0.01</v>
      </c>
      <c r="T2289" s="49">
        <f t="shared" si="634"/>
        <v>36913.53</v>
      </c>
      <c r="U2289" s="51">
        <f t="shared" si="635"/>
        <v>0</v>
      </c>
      <c r="V2289" s="52">
        <f>IF(0&lt;0.8,0,IF(0&lt;1,Sheet3!L561,1))*IF(G2289&lt;3,0.12 - O2289,0.01) *U2289</f>
        <v>0</v>
      </c>
      <c r="W2289" s="52">
        <f t="shared" si="636"/>
        <v>0</v>
      </c>
      <c r="X2289" s="53">
        <f t="shared" si="637"/>
        <v>0</v>
      </c>
      <c r="Y2289" s="53">
        <f t="shared" si="638"/>
        <v>0</v>
      </c>
      <c r="Z2289" s="54">
        <f t="shared" si="644"/>
        <v>0</v>
      </c>
      <c r="AA2289" s="54">
        <f t="shared" si="639"/>
        <v>0</v>
      </c>
      <c r="AB2289" s="55">
        <f t="shared" ref="AB2289:AB2298" si="646">IF(R2289=0,0,0)</f>
        <v>0</v>
      </c>
      <c r="AC2289" s="55">
        <f t="shared" si="640"/>
        <v>0</v>
      </c>
      <c r="AD2289" s="56">
        <f t="shared" si="641"/>
        <v>36913.53</v>
      </c>
    </row>
    <row r="2290" spans="3:30">
      <c r="C2290" s="43" t="s">
        <v>4248</v>
      </c>
      <c r="D2290" s="44" t="s">
        <v>4249</v>
      </c>
      <c r="E2290" s="44"/>
      <c r="F2290" s="45">
        <v>43123.160694444443</v>
      </c>
      <c r="G2290" s="46">
        <v>8</v>
      </c>
      <c r="H2290" s="47">
        <v>43390</v>
      </c>
      <c r="I2290" s="47">
        <v>43407</v>
      </c>
      <c r="J2290" s="46">
        <v>289080</v>
      </c>
      <c r="K2290" s="46">
        <v>0</v>
      </c>
      <c r="L2290" s="46">
        <v>0</v>
      </c>
      <c r="M2290" s="46">
        <f t="shared" si="630"/>
        <v>289080</v>
      </c>
      <c r="N2290" s="46">
        <v>306911</v>
      </c>
      <c r="O2290" s="48">
        <f t="shared" si="631"/>
        <v>5.8098276047453545E-2</v>
      </c>
      <c r="P2290" s="46">
        <v>0</v>
      </c>
      <c r="Q2290" s="46">
        <v>289080</v>
      </c>
      <c r="R2290" s="49">
        <f t="shared" si="632"/>
        <v>1</v>
      </c>
      <c r="S2290" s="50">
        <f t="shared" si="633"/>
        <v>0.01</v>
      </c>
      <c r="T2290" s="49">
        <f t="shared" si="634"/>
        <v>2890.8</v>
      </c>
      <c r="U2290" s="51">
        <f t="shared" si="635"/>
        <v>0</v>
      </c>
      <c r="V2290" s="52">
        <f>IF(0&lt;0.8,0,IF(0&lt;1,Sheet3!L561,1))*IF(G2290&lt;3,0.12 - O2290,0.01) *U2290</f>
        <v>0</v>
      </c>
      <c r="W2290" s="52">
        <f t="shared" si="636"/>
        <v>0</v>
      </c>
      <c r="X2290" s="53">
        <f t="shared" si="637"/>
        <v>0</v>
      </c>
      <c r="Y2290" s="53">
        <f t="shared" si="638"/>
        <v>0</v>
      </c>
      <c r="Z2290" s="54">
        <f t="shared" si="644"/>
        <v>0</v>
      </c>
      <c r="AA2290" s="54">
        <f t="shared" si="639"/>
        <v>0</v>
      </c>
      <c r="AB2290" s="55">
        <f t="shared" si="646"/>
        <v>0</v>
      </c>
      <c r="AC2290" s="55">
        <f t="shared" si="640"/>
        <v>0</v>
      </c>
      <c r="AD2290" s="56">
        <f t="shared" si="641"/>
        <v>2890.8</v>
      </c>
    </row>
    <row r="2291" spans="3:30">
      <c r="C2291" s="43" t="s">
        <v>4250</v>
      </c>
      <c r="D2291" s="44" t="s">
        <v>4251</v>
      </c>
      <c r="E2291" s="44"/>
      <c r="F2291" s="45">
        <v>43125.281504629631</v>
      </c>
      <c r="G2291" s="46">
        <v>8</v>
      </c>
      <c r="H2291" s="47">
        <v>43390</v>
      </c>
      <c r="I2291" s="47">
        <v>43407</v>
      </c>
      <c r="J2291" s="46">
        <v>375100</v>
      </c>
      <c r="K2291" s="46">
        <v>0</v>
      </c>
      <c r="L2291" s="46">
        <v>0</v>
      </c>
      <c r="M2291" s="46">
        <f t="shared" ref="M2291:M2354" si="647">IFERROR(J2291-K2291-L2291,0)</f>
        <v>375100</v>
      </c>
      <c r="N2291" s="46">
        <v>375100</v>
      </c>
      <c r="O2291" s="48">
        <f t="shared" ref="O2291:O2354" si="648">IFERROR(IF(1 - M2291/N2291&lt;0,0,1-M2291/N2291),0)</f>
        <v>0</v>
      </c>
      <c r="P2291" s="46">
        <v>0</v>
      </c>
      <c r="Q2291" s="46">
        <v>375100</v>
      </c>
      <c r="R2291" s="49">
        <f t="shared" ref="R2291:R2354" si="649">IF(F2291&lt;DATEVALUE("2018-07-01"),1,0)</f>
        <v>1</v>
      </c>
      <c r="S2291" s="50">
        <f t="shared" ref="S2291:S2354" si="650">IF(R2291=1,1%,0)</f>
        <v>0.01</v>
      </c>
      <c r="T2291" s="49">
        <f t="shared" ref="T2291:T2354" si="651">IFERROR(S2291*M2291,0)</f>
        <v>3751</v>
      </c>
      <c r="U2291" s="51">
        <f t="shared" ref="U2291:U2354" si="652">IF(O2291&lt;=0.12,1,0)*(1-R2291)*M2291</f>
        <v>0</v>
      </c>
      <c r="V2291" s="52">
        <f>IF(0&lt;0.8,0,IF(0&lt;1,Sheet3!L561,1))*IF(G2291&lt;3,0.12 - O2291,0.01) *U2291</f>
        <v>0</v>
      </c>
      <c r="W2291" s="52">
        <f t="shared" ref="W2291:W2354" si="653">IF(0&gt;1,IF(0&lt;=1.1,1,IF(0&lt;=1.2,2,IF(0&lt;=1.5,3,5))),0) * 1000000</f>
        <v>0</v>
      </c>
      <c r="X2291" s="53">
        <f t="shared" ref="X2291:X2354" si="654">IF(AND(P2291&gt;=150000000,P2291&lt;300000000),5000000,IF(AND(P2291&gt;=300000000,P2291&lt;500000000),10000000,IF(AND(P2291&gt;=300000000,P2291&lt;500000000),15000000,IF(AND(P2291&gt;=500000000,P2291&lt;3000000000),20000000,IF(P2291&gt;=30000000000,35000000,0))))) * (1-R2291)</f>
        <v>0</v>
      </c>
      <c r="Y2291" s="53">
        <f t="shared" ref="Y2291:Y2354" si="655">IFERROR(Q2291 * (1-R2291),0)</f>
        <v>0</v>
      </c>
      <c r="Z2291" s="54">
        <f t="shared" si="644"/>
        <v>0</v>
      </c>
      <c r="AA2291" s="54">
        <f t="shared" ref="AA2291:AA2354" si="656">IFERROR((1-R2291) * Z2291 * 2%,0)</f>
        <v>0</v>
      </c>
      <c r="AB2291" s="55">
        <f t="shared" si="646"/>
        <v>0</v>
      </c>
      <c r="AC2291" s="55">
        <f t="shared" ref="AC2291:AC2354" si="657">IFERROR(AB2291 * (1-R2291) * 2%,0)</f>
        <v>0</v>
      </c>
      <c r="AD2291" s="56">
        <f t="shared" ref="AD2291:AD2354" si="658">T2291+V2291+W2291+X2291+AA2291+AC2291</f>
        <v>3751</v>
      </c>
    </row>
    <row r="2292" spans="3:30">
      <c r="C2292" s="43" t="s">
        <v>4252</v>
      </c>
      <c r="D2292" s="44" t="s">
        <v>4253</v>
      </c>
      <c r="E2292" s="44"/>
      <c r="F2292" s="45">
        <v>43203.348865740736</v>
      </c>
      <c r="G2292" s="46">
        <v>5</v>
      </c>
      <c r="H2292" s="47">
        <v>43390</v>
      </c>
      <c r="I2292" s="47">
        <v>43397</v>
      </c>
      <c r="J2292" s="46">
        <v>479644</v>
      </c>
      <c r="K2292" s="46">
        <v>0</v>
      </c>
      <c r="L2292" s="46">
        <v>0</v>
      </c>
      <c r="M2292" s="46">
        <f t="shared" si="647"/>
        <v>479644</v>
      </c>
      <c r="N2292" s="46">
        <v>479644</v>
      </c>
      <c r="O2292" s="48">
        <f t="shared" si="648"/>
        <v>0</v>
      </c>
      <c r="P2292" s="46">
        <v>0</v>
      </c>
      <c r="Q2292" s="46">
        <v>479644</v>
      </c>
      <c r="R2292" s="49">
        <f t="shared" si="649"/>
        <v>1</v>
      </c>
      <c r="S2292" s="50">
        <f t="shared" si="650"/>
        <v>0.01</v>
      </c>
      <c r="T2292" s="49">
        <f t="shared" si="651"/>
        <v>4796.4400000000005</v>
      </c>
      <c r="U2292" s="51">
        <f t="shared" si="652"/>
        <v>0</v>
      </c>
      <c r="V2292" s="52">
        <f>IF(0&lt;0.8,0,IF(0&lt;1,Sheet3!L561,1))*IF(G2292&lt;3,0.12 - O2292,0.01) *U2292</f>
        <v>0</v>
      </c>
      <c r="W2292" s="52">
        <f t="shared" si="653"/>
        <v>0</v>
      </c>
      <c r="X2292" s="53">
        <f t="shared" si="654"/>
        <v>0</v>
      </c>
      <c r="Y2292" s="53">
        <f t="shared" si="655"/>
        <v>0</v>
      </c>
      <c r="Z2292" s="54">
        <f t="shared" si="644"/>
        <v>0</v>
      </c>
      <c r="AA2292" s="54">
        <f t="shared" si="656"/>
        <v>0</v>
      </c>
      <c r="AB2292" s="55">
        <f t="shared" si="646"/>
        <v>0</v>
      </c>
      <c r="AC2292" s="55">
        <f t="shared" si="657"/>
        <v>0</v>
      </c>
      <c r="AD2292" s="56">
        <f t="shared" si="658"/>
        <v>4796.4400000000005</v>
      </c>
    </row>
    <row r="2293" spans="3:30">
      <c r="C2293" s="43" t="s">
        <v>4254</v>
      </c>
      <c r="D2293" s="44" t="s">
        <v>4255</v>
      </c>
      <c r="E2293" s="44"/>
      <c r="F2293" s="45">
        <v>43246.206377314811</v>
      </c>
      <c r="G2293" s="46">
        <v>4</v>
      </c>
      <c r="H2293" s="47">
        <v>43390</v>
      </c>
      <c r="I2293" s="47">
        <v>43455</v>
      </c>
      <c r="J2293" s="46">
        <v>2195750</v>
      </c>
      <c r="K2293" s="46">
        <v>0</v>
      </c>
      <c r="L2293" s="46">
        <v>0</v>
      </c>
      <c r="M2293" s="46">
        <f t="shared" si="647"/>
        <v>2195750</v>
      </c>
      <c r="N2293" s="46">
        <v>2611484</v>
      </c>
      <c r="O2293" s="48">
        <f t="shared" si="648"/>
        <v>0.15919454226026275</v>
      </c>
      <c r="P2293" s="46">
        <v>0</v>
      </c>
      <c r="Q2293" s="46">
        <v>2195750</v>
      </c>
      <c r="R2293" s="49">
        <f t="shared" si="649"/>
        <v>1</v>
      </c>
      <c r="S2293" s="50">
        <f t="shared" si="650"/>
        <v>0.01</v>
      </c>
      <c r="T2293" s="49">
        <f t="shared" si="651"/>
        <v>21957.5</v>
      </c>
      <c r="U2293" s="51">
        <f t="shared" si="652"/>
        <v>0</v>
      </c>
      <c r="V2293" s="52">
        <f>IF(0&lt;0.8,0,IF(0&lt;1,Sheet3!L561,1))*IF(G2293&lt;3,0.12 - O2293,0.01) *U2293</f>
        <v>0</v>
      </c>
      <c r="W2293" s="52">
        <f t="shared" si="653"/>
        <v>0</v>
      </c>
      <c r="X2293" s="53">
        <f t="shared" si="654"/>
        <v>0</v>
      </c>
      <c r="Y2293" s="53">
        <f t="shared" si="655"/>
        <v>0</v>
      </c>
      <c r="Z2293" s="54">
        <f t="shared" si="644"/>
        <v>0</v>
      </c>
      <c r="AA2293" s="54">
        <f t="shared" si="656"/>
        <v>0</v>
      </c>
      <c r="AB2293" s="55">
        <f t="shared" si="646"/>
        <v>0</v>
      </c>
      <c r="AC2293" s="55">
        <f t="shared" si="657"/>
        <v>0</v>
      </c>
      <c r="AD2293" s="56">
        <f t="shared" si="658"/>
        <v>21957.5</v>
      </c>
    </row>
    <row r="2294" spans="3:30">
      <c r="C2294" s="43" t="s">
        <v>4256</v>
      </c>
      <c r="D2294" s="44" t="s">
        <v>4257</v>
      </c>
      <c r="E2294" s="44"/>
      <c r="F2294" s="45">
        <v>43313.364074074074</v>
      </c>
      <c r="G2294" s="46">
        <v>1</v>
      </c>
      <c r="H2294" s="47">
        <v>43396</v>
      </c>
      <c r="I2294" s="47">
        <v>43407</v>
      </c>
      <c r="J2294" s="46">
        <v>545600</v>
      </c>
      <c r="K2294" s="46">
        <v>0</v>
      </c>
      <c r="L2294" s="46">
        <v>0</v>
      </c>
      <c r="M2294" s="46">
        <f t="shared" si="647"/>
        <v>545600</v>
      </c>
      <c r="N2294" s="46">
        <v>664169</v>
      </c>
      <c r="O2294" s="48">
        <f t="shared" si="648"/>
        <v>0.17852233392404648</v>
      </c>
      <c r="P2294" s="46">
        <v>0</v>
      </c>
      <c r="Q2294" s="46">
        <v>0</v>
      </c>
      <c r="R2294" s="49">
        <f t="shared" si="649"/>
        <v>0</v>
      </c>
      <c r="S2294" s="50">
        <f t="shared" si="650"/>
        <v>0</v>
      </c>
      <c r="T2294" s="49">
        <f t="shared" si="651"/>
        <v>0</v>
      </c>
      <c r="U2294" s="51">
        <f t="shared" si="652"/>
        <v>0</v>
      </c>
      <c r="V2294" s="52">
        <f>IF(0&lt;0.8,0,IF(0&lt;1,Sheet3!L561,1))*IF(G2294&lt;3,0.12 - O2294,0.01) *U2294</f>
        <v>0</v>
      </c>
      <c r="W2294" s="52">
        <f t="shared" si="653"/>
        <v>0</v>
      </c>
      <c r="X2294" s="53">
        <f t="shared" si="654"/>
        <v>0</v>
      </c>
      <c r="Y2294" s="53">
        <f t="shared" si="655"/>
        <v>0</v>
      </c>
      <c r="Z2294" s="54">
        <f t="shared" si="644"/>
        <v>0</v>
      </c>
      <c r="AA2294" s="54">
        <f t="shared" si="656"/>
        <v>0</v>
      </c>
      <c r="AB2294" s="55">
        <f t="shared" si="646"/>
        <v>0</v>
      </c>
      <c r="AC2294" s="55">
        <f t="shared" si="657"/>
        <v>0</v>
      </c>
      <c r="AD2294" s="56">
        <f t="shared" si="658"/>
        <v>0</v>
      </c>
    </row>
    <row r="2295" spans="3:30">
      <c r="C2295" s="43" t="s">
        <v>4258</v>
      </c>
      <c r="D2295" s="44" t="s">
        <v>4259</v>
      </c>
      <c r="E2295" s="44"/>
      <c r="F2295" s="45">
        <v>43351.124293981477</v>
      </c>
      <c r="G2295" s="46">
        <v>0</v>
      </c>
      <c r="H2295" s="47">
        <v>43396</v>
      </c>
      <c r="I2295" s="47">
        <v>43455</v>
      </c>
      <c r="J2295" s="46">
        <v>3067350</v>
      </c>
      <c r="K2295" s="46">
        <v>0</v>
      </c>
      <c r="L2295" s="46">
        <v>0</v>
      </c>
      <c r="M2295" s="46">
        <f t="shared" si="647"/>
        <v>3067350</v>
      </c>
      <c r="N2295" s="46">
        <v>3067350</v>
      </c>
      <c r="O2295" s="48">
        <f t="shared" si="648"/>
        <v>0</v>
      </c>
      <c r="P2295" s="46">
        <v>0</v>
      </c>
      <c r="Q2295" s="46">
        <v>0</v>
      </c>
      <c r="R2295" s="49">
        <f t="shared" si="649"/>
        <v>0</v>
      </c>
      <c r="S2295" s="50">
        <f t="shared" si="650"/>
        <v>0</v>
      </c>
      <c r="T2295" s="49">
        <f t="shared" si="651"/>
        <v>0</v>
      </c>
      <c r="U2295" s="51">
        <f t="shared" si="652"/>
        <v>3067350</v>
      </c>
      <c r="V2295" s="52">
        <f>IF(0&lt;0.8,0,IF(0&lt;1,Sheet3!L561,1))*IF(G2295&lt;3,0.12 - O2295,0.01) *U2295</f>
        <v>0</v>
      </c>
      <c r="W2295" s="52">
        <f t="shared" si="653"/>
        <v>0</v>
      </c>
      <c r="X2295" s="53">
        <f t="shared" si="654"/>
        <v>0</v>
      </c>
      <c r="Y2295" s="53">
        <f t="shared" si="655"/>
        <v>0</v>
      </c>
      <c r="Z2295" s="54">
        <f t="shared" si="644"/>
        <v>0</v>
      </c>
      <c r="AA2295" s="54">
        <f t="shared" si="656"/>
        <v>0</v>
      </c>
      <c r="AB2295" s="55">
        <f t="shared" si="646"/>
        <v>0</v>
      </c>
      <c r="AC2295" s="55">
        <f t="shared" si="657"/>
        <v>0</v>
      </c>
      <c r="AD2295" s="56">
        <f t="shared" si="658"/>
        <v>0</v>
      </c>
    </row>
    <row r="2296" spans="3:30">
      <c r="C2296" s="43" t="s">
        <v>4260</v>
      </c>
      <c r="D2296" s="44" t="s">
        <v>4261</v>
      </c>
      <c r="E2296" s="44"/>
      <c r="F2296" s="45">
        <v>39279.431342592594</v>
      </c>
      <c r="G2296" s="46">
        <v>134</v>
      </c>
      <c r="H2296" s="47">
        <v>43376</v>
      </c>
      <c r="I2296" s="47">
        <v>43388</v>
      </c>
      <c r="J2296" s="46">
        <v>2563291</v>
      </c>
      <c r="K2296" s="46">
        <v>0</v>
      </c>
      <c r="L2296" s="46">
        <v>0</v>
      </c>
      <c r="M2296" s="46">
        <f t="shared" si="647"/>
        <v>2563291</v>
      </c>
      <c r="N2296" s="46">
        <v>2437950</v>
      </c>
      <c r="O2296" s="48">
        <f t="shared" si="648"/>
        <v>0</v>
      </c>
      <c r="P2296" s="46">
        <v>0</v>
      </c>
      <c r="Q2296" s="46">
        <v>2563291</v>
      </c>
      <c r="R2296" s="49">
        <f t="shared" si="649"/>
        <v>1</v>
      </c>
      <c r="S2296" s="50">
        <f t="shared" si="650"/>
        <v>0.01</v>
      </c>
      <c r="T2296" s="49">
        <f t="shared" si="651"/>
        <v>25632.91</v>
      </c>
      <c r="U2296" s="51">
        <f t="shared" si="652"/>
        <v>0</v>
      </c>
      <c r="V2296" s="52">
        <f>IF(0&lt;0.8,0,IF(0&lt;1,Sheet3!L561,1))*IF(G2296&lt;3,0.12 - O2296,0.01) *U2296</f>
        <v>0</v>
      </c>
      <c r="W2296" s="52">
        <f t="shared" si="653"/>
        <v>0</v>
      </c>
      <c r="X2296" s="53">
        <f t="shared" si="654"/>
        <v>0</v>
      </c>
      <c r="Y2296" s="53">
        <f t="shared" si="655"/>
        <v>0</v>
      </c>
      <c r="Z2296" s="54">
        <f t="shared" si="644"/>
        <v>0</v>
      </c>
      <c r="AA2296" s="54">
        <f t="shared" si="656"/>
        <v>0</v>
      </c>
      <c r="AB2296" s="55">
        <f t="shared" si="646"/>
        <v>0</v>
      </c>
      <c r="AC2296" s="55">
        <f t="shared" si="657"/>
        <v>0</v>
      </c>
      <c r="AD2296" s="56">
        <f t="shared" si="658"/>
        <v>25632.91</v>
      </c>
    </row>
    <row r="2297" spans="3:30">
      <c r="C2297" s="43" t="s">
        <v>4262</v>
      </c>
      <c r="D2297" s="44" t="s">
        <v>4263</v>
      </c>
      <c r="E2297" s="44"/>
      <c r="F2297" s="45">
        <v>39928.414340277777</v>
      </c>
      <c r="G2297" s="46">
        <v>113</v>
      </c>
      <c r="H2297" s="47">
        <v>43376</v>
      </c>
      <c r="I2297" s="47">
        <v>43378</v>
      </c>
      <c r="J2297" s="46">
        <v>739430</v>
      </c>
      <c r="K2297" s="46">
        <v>0</v>
      </c>
      <c r="L2297" s="46">
        <v>0</v>
      </c>
      <c r="M2297" s="46">
        <f t="shared" si="647"/>
        <v>739430</v>
      </c>
      <c r="N2297" s="46">
        <v>734470</v>
      </c>
      <c r="O2297" s="48">
        <f t="shared" si="648"/>
        <v>0</v>
      </c>
      <c r="P2297" s="46">
        <v>0</v>
      </c>
      <c r="Q2297" s="46">
        <v>739430</v>
      </c>
      <c r="R2297" s="49">
        <f t="shared" si="649"/>
        <v>1</v>
      </c>
      <c r="S2297" s="50">
        <f t="shared" si="650"/>
        <v>0.01</v>
      </c>
      <c r="T2297" s="49">
        <f t="shared" si="651"/>
        <v>7394.3</v>
      </c>
      <c r="U2297" s="51">
        <f t="shared" si="652"/>
        <v>0</v>
      </c>
      <c r="V2297" s="52">
        <f>IF(0&lt;0.8,0,IF(0&lt;1,Sheet3!L561,1))*IF(G2297&lt;3,0.12 - O2297,0.01) *U2297</f>
        <v>0</v>
      </c>
      <c r="W2297" s="52">
        <f t="shared" si="653"/>
        <v>0</v>
      </c>
      <c r="X2297" s="53">
        <f t="shared" si="654"/>
        <v>0</v>
      </c>
      <c r="Y2297" s="53">
        <f t="shared" si="655"/>
        <v>0</v>
      </c>
      <c r="Z2297" s="54">
        <f t="shared" si="644"/>
        <v>0</v>
      </c>
      <c r="AA2297" s="54">
        <f t="shared" si="656"/>
        <v>0</v>
      </c>
      <c r="AB2297" s="55">
        <f t="shared" si="646"/>
        <v>0</v>
      </c>
      <c r="AC2297" s="55">
        <f t="shared" si="657"/>
        <v>0</v>
      </c>
      <c r="AD2297" s="56">
        <f t="shared" si="658"/>
        <v>7394.3</v>
      </c>
    </row>
    <row r="2298" spans="3:30">
      <c r="C2298" s="43" t="s">
        <v>4264</v>
      </c>
      <c r="D2298" s="44" t="s">
        <v>4265</v>
      </c>
      <c r="E2298" s="44"/>
      <c r="F2298" s="45">
        <v>40970.382349537038</v>
      </c>
      <c r="G2298" s="46">
        <v>78</v>
      </c>
      <c r="H2298" s="47">
        <v>43390</v>
      </c>
      <c r="I2298" s="47">
        <v>43392</v>
      </c>
      <c r="J2298" s="46">
        <v>6313054</v>
      </c>
      <c r="K2298" s="46">
        <v>0</v>
      </c>
      <c r="L2298" s="46">
        <v>0</v>
      </c>
      <c r="M2298" s="46">
        <f t="shared" si="647"/>
        <v>6313054</v>
      </c>
      <c r="N2298" s="46">
        <v>6313054</v>
      </c>
      <c r="O2298" s="48">
        <f t="shared" si="648"/>
        <v>0</v>
      </c>
      <c r="P2298" s="46">
        <v>0</v>
      </c>
      <c r="Q2298" s="46">
        <v>6313054</v>
      </c>
      <c r="R2298" s="49">
        <f t="shared" si="649"/>
        <v>1</v>
      </c>
      <c r="S2298" s="50">
        <f t="shared" si="650"/>
        <v>0.01</v>
      </c>
      <c r="T2298" s="49">
        <f t="shared" si="651"/>
        <v>63130.54</v>
      </c>
      <c r="U2298" s="51">
        <f t="shared" si="652"/>
        <v>0</v>
      </c>
      <c r="V2298" s="52">
        <f>IF(0&lt;0.8,0,IF(0&lt;1,Sheet3!L561,1))*IF(G2298&lt;3,0.12 - O2298,0.01) *U2298</f>
        <v>0</v>
      </c>
      <c r="W2298" s="52">
        <f t="shared" si="653"/>
        <v>0</v>
      </c>
      <c r="X2298" s="53">
        <f t="shared" si="654"/>
        <v>0</v>
      </c>
      <c r="Y2298" s="53">
        <f t="shared" si="655"/>
        <v>0</v>
      </c>
      <c r="Z2298" s="54">
        <f t="shared" si="644"/>
        <v>0</v>
      </c>
      <c r="AA2298" s="54">
        <f t="shared" si="656"/>
        <v>0</v>
      </c>
      <c r="AB2298" s="55">
        <f t="shared" si="646"/>
        <v>0</v>
      </c>
      <c r="AC2298" s="55">
        <f t="shared" si="657"/>
        <v>0</v>
      </c>
      <c r="AD2298" s="56">
        <f t="shared" si="658"/>
        <v>63130.54</v>
      </c>
    </row>
    <row r="2299" spans="3:30">
      <c r="C2299" s="43" t="s">
        <v>4266</v>
      </c>
      <c r="D2299" s="44" t="s">
        <v>24</v>
      </c>
      <c r="E2299" s="44"/>
      <c r="F2299" s="45" t="s">
        <v>24</v>
      </c>
      <c r="G2299" s="46" t="s">
        <v>24</v>
      </c>
      <c r="H2299" s="47" t="s">
        <v>24</v>
      </c>
      <c r="I2299" s="47" t="s">
        <v>24</v>
      </c>
      <c r="J2299" s="46">
        <v>3668519</v>
      </c>
      <c r="K2299" s="46">
        <v>0</v>
      </c>
      <c r="L2299" s="46">
        <v>0</v>
      </c>
      <c r="M2299" s="46">
        <f t="shared" si="647"/>
        <v>3668519</v>
      </c>
      <c r="N2299" s="46" t="s">
        <v>24</v>
      </c>
      <c r="O2299" s="48">
        <f t="shared" si="648"/>
        <v>0</v>
      </c>
      <c r="P2299" s="46">
        <v>0</v>
      </c>
      <c r="Q2299" s="46">
        <v>0</v>
      </c>
      <c r="R2299" s="49">
        <f t="shared" si="649"/>
        <v>0</v>
      </c>
      <c r="S2299" s="50">
        <f t="shared" si="650"/>
        <v>0</v>
      </c>
      <c r="T2299" s="49">
        <f t="shared" si="651"/>
        <v>0</v>
      </c>
      <c r="U2299" s="51">
        <f t="shared" si="652"/>
        <v>3668519</v>
      </c>
      <c r="V2299" s="52">
        <f>IF(0&lt;0.8,0,IF(0&lt;1,Sheet3!L561,1))*IF(G2299&lt;3,0.12 - O2299,0.01) *U2299</f>
        <v>0</v>
      </c>
      <c r="W2299" s="52">
        <f t="shared" si="653"/>
        <v>0</v>
      </c>
      <c r="X2299" s="53">
        <f t="shared" si="654"/>
        <v>0</v>
      </c>
      <c r="Y2299" s="53">
        <f t="shared" si="655"/>
        <v>0</v>
      </c>
      <c r="Z2299" s="54" t="str">
        <f>IF(R2299=1,0,"")</f>
        <v/>
      </c>
      <c r="AA2299" s="54">
        <f t="shared" si="656"/>
        <v>0</v>
      </c>
      <c r="AB2299" s="55" t="str">
        <f>IF(R2299=0,"",0)</f>
        <v/>
      </c>
      <c r="AC2299" s="55">
        <f t="shared" si="657"/>
        <v>0</v>
      </c>
      <c r="AD2299" s="56">
        <f t="shared" si="658"/>
        <v>0</v>
      </c>
    </row>
    <row r="2300" spans="3:30">
      <c r="C2300" s="43" t="s">
        <v>4267</v>
      </c>
      <c r="D2300" s="44" t="s">
        <v>4268</v>
      </c>
      <c r="E2300" s="44"/>
      <c r="F2300" s="45">
        <v>41041.595185185186</v>
      </c>
      <c r="G2300" s="46">
        <v>76</v>
      </c>
      <c r="H2300" s="47">
        <v>43390</v>
      </c>
      <c r="I2300" s="47">
        <v>43468</v>
      </c>
      <c r="J2300" s="46">
        <v>2953465</v>
      </c>
      <c r="K2300" s="46">
        <v>0</v>
      </c>
      <c r="L2300" s="46">
        <v>0</v>
      </c>
      <c r="M2300" s="46">
        <f t="shared" si="647"/>
        <v>2953465</v>
      </c>
      <c r="N2300" s="46">
        <v>2953465</v>
      </c>
      <c r="O2300" s="48">
        <f t="shared" si="648"/>
        <v>0</v>
      </c>
      <c r="P2300" s="46">
        <v>0</v>
      </c>
      <c r="Q2300" s="46">
        <v>2953465</v>
      </c>
      <c r="R2300" s="49">
        <f t="shared" si="649"/>
        <v>1</v>
      </c>
      <c r="S2300" s="50">
        <f t="shared" si="650"/>
        <v>0.01</v>
      </c>
      <c r="T2300" s="49">
        <f t="shared" si="651"/>
        <v>29534.65</v>
      </c>
      <c r="U2300" s="51">
        <f t="shared" si="652"/>
        <v>0</v>
      </c>
      <c r="V2300" s="52">
        <f>IF(0&lt;0.8,0,IF(0&lt;1,Sheet3!L561,1))*IF(G2300&lt;3,0.12 - O2300,0.01) *U2300</f>
        <v>0</v>
      </c>
      <c r="W2300" s="52">
        <f t="shared" si="653"/>
        <v>0</v>
      </c>
      <c r="X2300" s="53">
        <f t="shared" si="654"/>
        <v>0</v>
      </c>
      <c r="Y2300" s="53">
        <f t="shared" si="655"/>
        <v>0</v>
      </c>
      <c r="Z2300" s="54">
        <f t="shared" ref="Z2300:Z2363" si="659">IF(R2300=1,0,0)</f>
        <v>0</v>
      </c>
      <c r="AA2300" s="54">
        <f t="shared" si="656"/>
        <v>0</v>
      </c>
      <c r="AB2300" s="55">
        <f t="shared" ref="AB2300:AB2316" si="660">IF(R2300=0,0,0)</f>
        <v>0</v>
      </c>
      <c r="AC2300" s="55">
        <f t="shared" si="657"/>
        <v>0</v>
      </c>
      <c r="AD2300" s="56">
        <f t="shared" si="658"/>
        <v>29534.65</v>
      </c>
    </row>
    <row r="2301" spans="3:30">
      <c r="C2301" s="43" t="s">
        <v>4269</v>
      </c>
      <c r="D2301" s="44" t="s">
        <v>4270</v>
      </c>
      <c r="E2301" s="44"/>
      <c r="F2301" s="45">
        <v>41075.422638888886</v>
      </c>
      <c r="G2301" s="46">
        <v>75</v>
      </c>
      <c r="H2301" s="47">
        <v>43385</v>
      </c>
      <c r="I2301" s="47">
        <v>43403</v>
      </c>
      <c r="J2301" s="46">
        <v>13310</v>
      </c>
      <c r="K2301" s="46">
        <v>0</v>
      </c>
      <c r="L2301" s="46">
        <v>0</v>
      </c>
      <c r="M2301" s="46">
        <f t="shared" si="647"/>
        <v>13310</v>
      </c>
      <c r="N2301" s="46">
        <v>13310</v>
      </c>
      <c r="O2301" s="48">
        <f t="shared" si="648"/>
        <v>0</v>
      </c>
      <c r="P2301" s="46">
        <v>0</v>
      </c>
      <c r="Q2301" s="46">
        <v>13310</v>
      </c>
      <c r="R2301" s="49">
        <f t="shared" si="649"/>
        <v>1</v>
      </c>
      <c r="S2301" s="50">
        <f t="shared" si="650"/>
        <v>0.01</v>
      </c>
      <c r="T2301" s="49">
        <f t="shared" si="651"/>
        <v>133.1</v>
      </c>
      <c r="U2301" s="51">
        <f t="shared" si="652"/>
        <v>0</v>
      </c>
      <c r="V2301" s="52">
        <f>IF(0&lt;0.8,0,IF(0&lt;1,Sheet3!L561,1))*IF(G2301&lt;3,0.12 - O2301,0.01) *U2301</f>
        <v>0</v>
      </c>
      <c r="W2301" s="52">
        <f t="shared" si="653"/>
        <v>0</v>
      </c>
      <c r="X2301" s="53">
        <f t="shared" si="654"/>
        <v>0</v>
      </c>
      <c r="Y2301" s="53">
        <f t="shared" si="655"/>
        <v>0</v>
      </c>
      <c r="Z2301" s="54">
        <f t="shared" si="659"/>
        <v>0</v>
      </c>
      <c r="AA2301" s="54">
        <f t="shared" si="656"/>
        <v>0</v>
      </c>
      <c r="AB2301" s="55">
        <f t="shared" si="660"/>
        <v>0</v>
      </c>
      <c r="AC2301" s="55">
        <f t="shared" si="657"/>
        <v>0</v>
      </c>
      <c r="AD2301" s="56">
        <f t="shared" si="658"/>
        <v>133.1</v>
      </c>
    </row>
    <row r="2302" spans="3:30">
      <c r="C2302" s="43" t="s">
        <v>4271</v>
      </c>
      <c r="D2302" s="44" t="s">
        <v>4272</v>
      </c>
      <c r="E2302" s="44"/>
      <c r="F2302" s="45">
        <v>41117.432199074072</v>
      </c>
      <c r="G2302" s="46">
        <v>74</v>
      </c>
      <c r="H2302" s="47">
        <v>43390</v>
      </c>
      <c r="I2302" s="47">
        <v>43442</v>
      </c>
      <c r="J2302" s="46">
        <v>1712513</v>
      </c>
      <c r="K2302" s="46">
        <v>0</v>
      </c>
      <c r="L2302" s="46">
        <v>0</v>
      </c>
      <c r="M2302" s="46">
        <f t="shared" si="647"/>
        <v>1712513</v>
      </c>
      <c r="N2302" s="46">
        <v>1712513</v>
      </c>
      <c r="O2302" s="48">
        <f t="shared" si="648"/>
        <v>0</v>
      </c>
      <c r="P2302" s="46">
        <v>0</v>
      </c>
      <c r="Q2302" s="46">
        <v>1712513</v>
      </c>
      <c r="R2302" s="49">
        <f t="shared" si="649"/>
        <v>1</v>
      </c>
      <c r="S2302" s="50">
        <f t="shared" si="650"/>
        <v>0.01</v>
      </c>
      <c r="T2302" s="49">
        <f t="shared" si="651"/>
        <v>17125.13</v>
      </c>
      <c r="U2302" s="51">
        <f t="shared" si="652"/>
        <v>0</v>
      </c>
      <c r="V2302" s="52">
        <f>IF(0&lt;0.8,0,IF(0&lt;1,Sheet3!L561,1))*IF(G2302&lt;3,0.12 - O2302,0.01) *U2302</f>
        <v>0</v>
      </c>
      <c r="W2302" s="52">
        <f t="shared" si="653"/>
        <v>0</v>
      </c>
      <c r="X2302" s="53">
        <f t="shared" si="654"/>
        <v>0</v>
      </c>
      <c r="Y2302" s="53">
        <f t="shared" si="655"/>
        <v>0</v>
      </c>
      <c r="Z2302" s="54">
        <f t="shared" si="659"/>
        <v>0</v>
      </c>
      <c r="AA2302" s="54">
        <f t="shared" si="656"/>
        <v>0</v>
      </c>
      <c r="AB2302" s="55">
        <f t="shared" si="660"/>
        <v>0</v>
      </c>
      <c r="AC2302" s="55">
        <f t="shared" si="657"/>
        <v>0</v>
      </c>
      <c r="AD2302" s="56">
        <f t="shared" si="658"/>
        <v>17125.13</v>
      </c>
    </row>
    <row r="2303" spans="3:30">
      <c r="C2303" s="43" t="s">
        <v>4273</v>
      </c>
      <c r="D2303" s="44" t="s">
        <v>4274</v>
      </c>
      <c r="E2303" s="44"/>
      <c r="F2303" s="45">
        <v>41131.460196759261</v>
      </c>
      <c r="G2303" s="46">
        <v>73</v>
      </c>
      <c r="H2303" s="47">
        <v>43390</v>
      </c>
      <c r="I2303" s="47">
        <v>43439</v>
      </c>
      <c r="J2303" s="46">
        <v>1069204</v>
      </c>
      <c r="K2303" s="46">
        <v>0</v>
      </c>
      <c r="L2303" s="46">
        <v>0</v>
      </c>
      <c r="M2303" s="46">
        <f t="shared" si="647"/>
        <v>1069204</v>
      </c>
      <c r="N2303" s="46">
        <v>1069204</v>
      </c>
      <c r="O2303" s="48">
        <f t="shared" si="648"/>
        <v>0</v>
      </c>
      <c r="P2303" s="46">
        <v>0</v>
      </c>
      <c r="Q2303" s="46">
        <v>1069204</v>
      </c>
      <c r="R2303" s="49">
        <f t="shared" si="649"/>
        <v>1</v>
      </c>
      <c r="S2303" s="50">
        <f t="shared" si="650"/>
        <v>0.01</v>
      </c>
      <c r="T2303" s="49">
        <f t="shared" si="651"/>
        <v>10692.04</v>
      </c>
      <c r="U2303" s="51">
        <f t="shared" si="652"/>
        <v>0</v>
      </c>
      <c r="V2303" s="52">
        <f>IF(0&lt;0.8,0,IF(0&lt;1,Sheet3!L561,1))*IF(G2303&lt;3,0.12 - O2303,0.01) *U2303</f>
        <v>0</v>
      </c>
      <c r="W2303" s="52">
        <f t="shared" si="653"/>
        <v>0</v>
      </c>
      <c r="X2303" s="53">
        <f t="shared" si="654"/>
        <v>0</v>
      </c>
      <c r="Y2303" s="53">
        <f t="shared" si="655"/>
        <v>0</v>
      </c>
      <c r="Z2303" s="54">
        <f t="shared" si="659"/>
        <v>0</v>
      </c>
      <c r="AA2303" s="54">
        <f t="shared" si="656"/>
        <v>0</v>
      </c>
      <c r="AB2303" s="55">
        <f t="shared" si="660"/>
        <v>0</v>
      </c>
      <c r="AC2303" s="55">
        <f t="shared" si="657"/>
        <v>0</v>
      </c>
      <c r="AD2303" s="56">
        <f t="shared" si="658"/>
        <v>10692.04</v>
      </c>
    </row>
    <row r="2304" spans="3:30">
      <c r="C2304" s="43" t="s">
        <v>4275</v>
      </c>
      <c r="D2304" s="44" t="s">
        <v>4276</v>
      </c>
      <c r="E2304" s="44"/>
      <c r="F2304" s="45">
        <v>41200.59002314815</v>
      </c>
      <c r="G2304" s="46">
        <v>71</v>
      </c>
      <c r="H2304" s="47">
        <v>43376</v>
      </c>
      <c r="I2304" s="47">
        <v>43383</v>
      </c>
      <c r="J2304" s="46">
        <v>65582</v>
      </c>
      <c r="K2304" s="46">
        <v>0</v>
      </c>
      <c r="L2304" s="46">
        <v>0</v>
      </c>
      <c r="M2304" s="46">
        <f t="shared" si="647"/>
        <v>65582</v>
      </c>
      <c r="N2304" s="46">
        <v>65582</v>
      </c>
      <c r="O2304" s="48">
        <f t="shared" si="648"/>
        <v>0</v>
      </c>
      <c r="P2304" s="46">
        <v>0</v>
      </c>
      <c r="Q2304" s="46">
        <v>65582</v>
      </c>
      <c r="R2304" s="49">
        <f t="shared" si="649"/>
        <v>1</v>
      </c>
      <c r="S2304" s="50">
        <f t="shared" si="650"/>
        <v>0.01</v>
      </c>
      <c r="T2304" s="49">
        <f t="shared" si="651"/>
        <v>655.82</v>
      </c>
      <c r="U2304" s="51">
        <f t="shared" si="652"/>
        <v>0</v>
      </c>
      <c r="V2304" s="52">
        <f>IF(0&lt;0.8,0,IF(0&lt;1,Sheet3!L561,1))*IF(G2304&lt;3,0.12 - O2304,0.01) *U2304</f>
        <v>0</v>
      </c>
      <c r="W2304" s="52">
        <f t="shared" si="653"/>
        <v>0</v>
      </c>
      <c r="X2304" s="53">
        <f t="shared" si="654"/>
        <v>0</v>
      </c>
      <c r="Y2304" s="53">
        <f t="shared" si="655"/>
        <v>0</v>
      </c>
      <c r="Z2304" s="54">
        <f t="shared" si="659"/>
        <v>0</v>
      </c>
      <c r="AA2304" s="54">
        <f t="shared" si="656"/>
        <v>0</v>
      </c>
      <c r="AB2304" s="55">
        <f t="shared" si="660"/>
        <v>0</v>
      </c>
      <c r="AC2304" s="55">
        <f t="shared" si="657"/>
        <v>0</v>
      </c>
      <c r="AD2304" s="56">
        <f t="shared" si="658"/>
        <v>655.82</v>
      </c>
    </row>
    <row r="2305" spans="3:30">
      <c r="C2305" s="43" t="s">
        <v>4277</v>
      </c>
      <c r="D2305" s="44" t="s">
        <v>4278</v>
      </c>
      <c r="E2305" s="44"/>
      <c r="F2305" s="45">
        <v>41200.591886574075</v>
      </c>
      <c r="G2305" s="46">
        <v>71</v>
      </c>
      <c r="H2305" s="47">
        <v>43390</v>
      </c>
      <c r="I2305" s="47">
        <v>43439</v>
      </c>
      <c r="J2305" s="46">
        <v>1352635</v>
      </c>
      <c r="K2305" s="46">
        <v>0</v>
      </c>
      <c r="L2305" s="46">
        <v>0</v>
      </c>
      <c r="M2305" s="46">
        <f t="shared" si="647"/>
        <v>1352635</v>
      </c>
      <c r="N2305" s="46">
        <v>1352635</v>
      </c>
      <c r="O2305" s="48">
        <f t="shared" si="648"/>
        <v>0</v>
      </c>
      <c r="P2305" s="46">
        <v>0</v>
      </c>
      <c r="Q2305" s="46">
        <v>1352635</v>
      </c>
      <c r="R2305" s="49">
        <f t="shared" si="649"/>
        <v>1</v>
      </c>
      <c r="S2305" s="50">
        <f t="shared" si="650"/>
        <v>0.01</v>
      </c>
      <c r="T2305" s="49">
        <f t="shared" si="651"/>
        <v>13526.35</v>
      </c>
      <c r="U2305" s="51">
        <f t="shared" si="652"/>
        <v>0</v>
      </c>
      <c r="V2305" s="52">
        <f>IF(0&lt;0.8,0,IF(0&lt;1,Sheet3!L561,1))*IF(G2305&lt;3,0.12 - O2305,0.01) *U2305</f>
        <v>0</v>
      </c>
      <c r="W2305" s="52">
        <f t="shared" si="653"/>
        <v>0</v>
      </c>
      <c r="X2305" s="53">
        <f t="shared" si="654"/>
        <v>0</v>
      </c>
      <c r="Y2305" s="53">
        <f t="shared" si="655"/>
        <v>0</v>
      </c>
      <c r="Z2305" s="54">
        <f t="shared" si="659"/>
        <v>0</v>
      </c>
      <c r="AA2305" s="54">
        <f t="shared" si="656"/>
        <v>0</v>
      </c>
      <c r="AB2305" s="55">
        <f t="shared" si="660"/>
        <v>0</v>
      </c>
      <c r="AC2305" s="55">
        <f t="shared" si="657"/>
        <v>0</v>
      </c>
      <c r="AD2305" s="56">
        <f t="shared" si="658"/>
        <v>13526.35</v>
      </c>
    </row>
    <row r="2306" spans="3:30">
      <c r="C2306" s="43" t="s">
        <v>4279</v>
      </c>
      <c r="D2306" s="44" t="s">
        <v>4280</v>
      </c>
      <c r="E2306" s="44"/>
      <c r="F2306" s="45">
        <v>41215.598344907405</v>
      </c>
      <c r="G2306" s="46">
        <v>70</v>
      </c>
      <c r="H2306" s="47">
        <v>43390</v>
      </c>
      <c r="I2306" s="47">
        <v>43434</v>
      </c>
      <c r="J2306" s="46">
        <v>399179</v>
      </c>
      <c r="K2306" s="46">
        <v>0</v>
      </c>
      <c r="L2306" s="46">
        <v>0</v>
      </c>
      <c r="M2306" s="46">
        <f t="shared" si="647"/>
        <v>399179</v>
      </c>
      <c r="N2306" s="46">
        <v>399179</v>
      </c>
      <c r="O2306" s="48">
        <f t="shared" si="648"/>
        <v>0</v>
      </c>
      <c r="P2306" s="46">
        <v>0</v>
      </c>
      <c r="Q2306" s="46">
        <v>399179</v>
      </c>
      <c r="R2306" s="49">
        <f t="shared" si="649"/>
        <v>1</v>
      </c>
      <c r="S2306" s="50">
        <f t="shared" si="650"/>
        <v>0.01</v>
      </c>
      <c r="T2306" s="49">
        <f t="shared" si="651"/>
        <v>3991.79</v>
      </c>
      <c r="U2306" s="51">
        <f t="shared" si="652"/>
        <v>0</v>
      </c>
      <c r="V2306" s="52">
        <f>IF(0&lt;0.8,0,IF(0&lt;1,Sheet3!L561,1))*IF(G2306&lt;3,0.12 - O2306,0.01) *U2306</f>
        <v>0</v>
      </c>
      <c r="W2306" s="52">
        <f t="shared" si="653"/>
        <v>0</v>
      </c>
      <c r="X2306" s="53">
        <f t="shared" si="654"/>
        <v>0</v>
      </c>
      <c r="Y2306" s="53">
        <f t="shared" si="655"/>
        <v>0</v>
      </c>
      <c r="Z2306" s="54">
        <f t="shared" si="659"/>
        <v>0</v>
      </c>
      <c r="AA2306" s="54">
        <f t="shared" si="656"/>
        <v>0</v>
      </c>
      <c r="AB2306" s="55">
        <f t="shared" si="660"/>
        <v>0</v>
      </c>
      <c r="AC2306" s="55">
        <f t="shared" si="657"/>
        <v>0</v>
      </c>
      <c r="AD2306" s="56">
        <f t="shared" si="658"/>
        <v>3991.79</v>
      </c>
    </row>
    <row r="2307" spans="3:30">
      <c r="C2307" s="43" t="s">
        <v>4281</v>
      </c>
      <c r="D2307" s="44" t="s">
        <v>4282</v>
      </c>
      <c r="E2307" s="44"/>
      <c r="F2307" s="45">
        <v>41354.404722222222</v>
      </c>
      <c r="G2307" s="46">
        <v>66</v>
      </c>
      <c r="H2307" s="47">
        <v>43390</v>
      </c>
      <c r="I2307" s="47">
        <v>43441</v>
      </c>
      <c r="J2307" s="46">
        <v>1844161</v>
      </c>
      <c r="K2307" s="46">
        <v>0</v>
      </c>
      <c r="L2307" s="46">
        <v>0</v>
      </c>
      <c r="M2307" s="46">
        <f t="shared" si="647"/>
        <v>1844161</v>
      </c>
      <c r="N2307" s="46">
        <v>1844161</v>
      </c>
      <c r="O2307" s="48">
        <f t="shared" si="648"/>
        <v>0</v>
      </c>
      <c r="P2307" s="46">
        <v>0</v>
      </c>
      <c r="Q2307" s="46">
        <v>1844161</v>
      </c>
      <c r="R2307" s="49">
        <f t="shared" si="649"/>
        <v>1</v>
      </c>
      <c r="S2307" s="50">
        <f t="shared" si="650"/>
        <v>0.01</v>
      </c>
      <c r="T2307" s="49">
        <f t="shared" si="651"/>
        <v>18441.61</v>
      </c>
      <c r="U2307" s="51">
        <f t="shared" si="652"/>
        <v>0</v>
      </c>
      <c r="V2307" s="52">
        <f>IF(0&lt;0.8,0,IF(0&lt;1,Sheet3!L561,1))*IF(G2307&lt;3,0.12 - O2307,0.01) *U2307</f>
        <v>0</v>
      </c>
      <c r="W2307" s="52">
        <f t="shared" si="653"/>
        <v>0</v>
      </c>
      <c r="X2307" s="53">
        <f t="shared" si="654"/>
        <v>0</v>
      </c>
      <c r="Y2307" s="53">
        <f t="shared" si="655"/>
        <v>0</v>
      </c>
      <c r="Z2307" s="54">
        <f t="shared" si="659"/>
        <v>0</v>
      </c>
      <c r="AA2307" s="54">
        <f t="shared" si="656"/>
        <v>0</v>
      </c>
      <c r="AB2307" s="55">
        <f t="shared" si="660"/>
        <v>0</v>
      </c>
      <c r="AC2307" s="55">
        <f t="shared" si="657"/>
        <v>0</v>
      </c>
      <c r="AD2307" s="56">
        <f t="shared" si="658"/>
        <v>18441.61</v>
      </c>
    </row>
    <row r="2308" spans="3:30">
      <c r="C2308" s="43" t="s">
        <v>4283</v>
      </c>
      <c r="D2308" s="44" t="s">
        <v>4284</v>
      </c>
      <c r="E2308" s="44"/>
      <c r="F2308" s="45">
        <v>41442.393055555556</v>
      </c>
      <c r="G2308" s="46">
        <v>63</v>
      </c>
      <c r="H2308" s="47">
        <v>43376</v>
      </c>
      <c r="I2308" s="47">
        <v>43442</v>
      </c>
      <c r="J2308" s="46">
        <v>1326898</v>
      </c>
      <c r="K2308" s="46">
        <v>0</v>
      </c>
      <c r="L2308" s="46">
        <v>0</v>
      </c>
      <c r="M2308" s="46">
        <f t="shared" si="647"/>
        <v>1326898</v>
      </c>
      <c r="N2308" s="46">
        <v>1326208</v>
      </c>
      <c r="O2308" s="48">
        <f t="shared" si="648"/>
        <v>0</v>
      </c>
      <c r="P2308" s="46">
        <v>0</v>
      </c>
      <c r="Q2308" s="46">
        <v>1326898</v>
      </c>
      <c r="R2308" s="49">
        <f t="shared" si="649"/>
        <v>1</v>
      </c>
      <c r="S2308" s="50">
        <f t="shared" si="650"/>
        <v>0.01</v>
      </c>
      <c r="T2308" s="49">
        <f t="shared" si="651"/>
        <v>13268.98</v>
      </c>
      <c r="U2308" s="51">
        <f t="shared" si="652"/>
        <v>0</v>
      </c>
      <c r="V2308" s="52">
        <f>IF(0&lt;0.8,0,IF(0&lt;1,Sheet3!L561,1))*IF(G2308&lt;3,0.12 - O2308,0.01) *U2308</f>
        <v>0</v>
      </c>
      <c r="W2308" s="52">
        <f t="shared" si="653"/>
        <v>0</v>
      </c>
      <c r="X2308" s="53">
        <f t="shared" si="654"/>
        <v>0</v>
      </c>
      <c r="Y2308" s="53">
        <f t="shared" si="655"/>
        <v>0</v>
      </c>
      <c r="Z2308" s="54">
        <f t="shared" si="659"/>
        <v>0</v>
      </c>
      <c r="AA2308" s="54">
        <f t="shared" si="656"/>
        <v>0</v>
      </c>
      <c r="AB2308" s="55">
        <f t="shared" si="660"/>
        <v>0</v>
      </c>
      <c r="AC2308" s="55">
        <f t="shared" si="657"/>
        <v>0</v>
      </c>
      <c r="AD2308" s="56">
        <f t="shared" si="658"/>
        <v>13268.98</v>
      </c>
    </row>
    <row r="2309" spans="3:30">
      <c r="C2309" s="43" t="s">
        <v>4285</v>
      </c>
      <c r="D2309" s="44" t="s">
        <v>4286</v>
      </c>
      <c r="E2309" s="44"/>
      <c r="F2309" s="45">
        <v>41636.453888888886</v>
      </c>
      <c r="G2309" s="46">
        <v>57</v>
      </c>
      <c r="H2309" s="47">
        <v>43390</v>
      </c>
      <c r="I2309" s="47">
        <v>43405</v>
      </c>
      <c r="J2309" s="46">
        <v>370986</v>
      </c>
      <c r="K2309" s="46">
        <v>0</v>
      </c>
      <c r="L2309" s="46">
        <v>0</v>
      </c>
      <c r="M2309" s="46">
        <f t="shared" si="647"/>
        <v>370986</v>
      </c>
      <c r="N2309" s="46">
        <v>370986</v>
      </c>
      <c r="O2309" s="48">
        <f t="shared" si="648"/>
        <v>0</v>
      </c>
      <c r="P2309" s="46">
        <v>0</v>
      </c>
      <c r="Q2309" s="46">
        <v>370986</v>
      </c>
      <c r="R2309" s="49">
        <f t="shared" si="649"/>
        <v>1</v>
      </c>
      <c r="S2309" s="50">
        <f t="shared" si="650"/>
        <v>0.01</v>
      </c>
      <c r="T2309" s="49">
        <f t="shared" si="651"/>
        <v>3709.86</v>
      </c>
      <c r="U2309" s="51">
        <f t="shared" si="652"/>
        <v>0</v>
      </c>
      <c r="V2309" s="52">
        <f>IF(0&lt;0.8,0,IF(0&lt;1,Sheet3!L561,1))*IF(G2309&lt;3,0.12 - O2309,0.01) *U2309</f>
        <v>0</v>
      </c>
      <c r="W2309" s="52">
        <f t="shared" si="653"/>
        <v>0</v>
      </c>
      <c r="X2309" s="53">
        <f t="shared" si="654"/>
        <v>0</v>
      </c>
      <c r="Y2309" s="53">
        <f t="shared" si="655"/>
        <v>0</v>
      </c>
      <c r="Z2309" s="54">
        <f t="shared" si="659"/>
        <v>0</v>
      </c>
      <c r="AA2309" s="54">
        <f t="shared" si="656"/>
        <v>0</v>
      </c>
      <c r="AB2309" s="55">
        <f t="shared" si="660"/>
        <v>0</v>
      </c>
      <c r="AC2309" s="55">
        <f t="shared" si="657"/>
        <v>0</v>
      </c>
      <c r="AD2309" s="56">
        <f t="shared" si="658"/>
        <v>3709.86</v>
      </c>
    </row>
    <row r="2310" spans="3:30">
      <c r="C2310" s="43" t="s">
        <v>4287</v>
      </c>
      <c r="D2310" s="44" t="s">
        <v>4288</v>
      </c>
      <c r="E2310" s="44"/>
      <c r="F2310" s="45">
        <v>41783.414641203701</v>
      </c>
      <c r="G2310" s="46">
        <v>52</v>
      </c>
      <c r="H2310" s="47">
        <v>43390</v>
      </c>
      <c r="I2310" s="47">
        <v>43395</v>
      </c>
      <c r="J2310" s="46">
        <v>1909453</v>
      </c>
      <c r="K2310" s="46">
        <v>0</v>
      </c>
      <c r="L2310" s="46">
        <v>0</v>
      </c>
      <c r="M2310" s="46">
        <f t="shared" si="647"/>
        <v>1909453</v>
      </c>
      <c r="N2310" s="46">
        <v>1909453</v>
      </c>
      <c r="O2310" s="48">
        <f t="shared" si="648"/>
        <v>0</v>
      </c>
      <c r="P2310" s="46">
        <v>0</v>
      </c>
      <c r="Q2310" s="46">
        <v>1909453</v>
      </c>
      <c r="R2310" s="49">
        <f t="shared" si="649"/>
        <v>1</v>
      </c>
      <c r="S2310" s="50">
        <f t="shared" si="650"/>
        <v>0.01</v>
      </c>
      <c r="T2310" s="49">
        <f t="shared" si="651"/>
        <v>19094.53</v>
      </c>
      <c r="U2310" s="51">
        <f t="shared" si="652"/>
        <v>0</v>
      </c>
      <c r="V2310" s="52">
        <f>IF(0&lt;0.8,0,IF(0&lt;1,Sheet3!L561,1))*IF(G2310&lt;3,0.12 - O2310,0.01) *U2310</f>
        <v>0</v>
      </c>
      <c r="W2310" s="52">
        <f t="shared" si="653"/>
        <v>0</v>
      </c>
      <c r="X2310" s="53">
        <f t="shared" si="654"/>
        <v>0</v>
      </c>
      <c r="Y2310" s="53">
        <f t="shared" si="655"/>
        <v>0</v>
      </c>
      <c r="Z2310" s="54">
        <f t="shared" si="659"/>
        <v>0</v>
      </c>
      <c r="AA2310" s="54">
        <f t="shared" si="656"/>
        <v>0</v>
      </c>
      <c r="AB2310" s="55">
        <f t="shared" si="660"/>
        <v>0</v>
      </c>
      <c r="AC2310" s="55">
        <f t="shared" si="657"/>
        <v>0</v>
      </c>
      <c r="AD2310" s="56">
        <f t="shared" si="658"/>
        <v>19094.53</v>
      </c>
    </row>
    <row r="2311" spans="3:30">
      <c r="C2311" s="43" t="s">
        <v>4289</v>
      </c>
      <c r="D2311" s="44" t="s">
        <v>4290</v>
      </c>
      <c r="E2311" s="44"/>
      <c r="F2311" s="45">
        <v>41796.417141203703</v>
      </c>
      <c r="G2311" s="46">
        <v>51</v>
      </c>
      <c r="H2311" s="47">
        <v>43390</v>
      </c>
      <c r="I2311" s="47">
        <v>43405</v>
      </c>
      <c r="J2311" s="46">
        <v>274017</v>
      </c>
      <c r="K2311" s="46">
        <v>0</v>
      </c>
      <c r="L2311" s="46">
        <v>0</v>
      </c>
      <c r="M2311" s="46">
        <f t="shared" si="647"/>
        <v>274017</v>
      </c>
      <c r="N2311" s="46">
        <v>274017</v>
      </c>
      <c r="O2311" s="48">
        <f t="shared" si="648"/>
        <v>0</v>
      </c>
      <c r="P2311" s="46">
        <v>0</v>
      </c>
      <c r="Q2311" s="46">
        <v>274017</v>
      </c>
      <c r="R2311" s="49">
        <f t="shared" si="649"/>
        <v>1</v>
      </c>
      <c r="S2311" s="50">
        <f t="shared" si="650"/>
        <v>0.01</v>
      </c>
      <c r="T2311" s="49">
        <f t="shared" si="651"/>
        <v>2740.17</v>
      </c>
      <c r="U2311" s="51">
        <f t="shared" si="652"/>
        <v>0</v>
      </c>
      <c r="V2311" s="52">
        <f>IF(0&lt;0.8,0,IF(0&lt;1,Sheet3!L561,1))*IF(G2311&lt;3,0.12 - O2311,0.01) *U2311</f>
        <v>0</v>
      </c>
      <c r="W2311" s="52">
        <f t="shared" si="653"/>
        <v>0</v>
      </c>
      <c r="X2311" s="53">
        <f t="shared" si="654"/>
        <v>0</v>
      </c>
      <c r="Y2311" s="53">
        <f t="shared" si="655"/>
        <v>0</v>
      </c>
      <c r="Z2311" s="54">
        <f t="shared" si="659"/>
        <v>0</v>
      </c>
      <c r="AA2311" s="54">
        <f t="shared" si="656"/>
        <v>0</v>
      </c>
      <c r="AB2311" s="55">
        <f t="shared" si="660"/>
        <v>0</v>
      </c>
      <c r="AC2311" s="55">
        <f t="shared" si="657"/>
        <v>0</v>
      </c>
      <c r="AD2311" s="56">
        <f t="shared" si="658"/>
        <v>2740.17</v>
      </c>
    </row>
    <row r="2312" spans="3:30">
      <c r="C2312" s="43" t="s">
        <v>4291</v>
      </c>
      <c r="D2312" s="44" t="s">
        <v>4292</v>
      </c>
      <c r="E2312" s="44"/>
      <c r="F2312" s="45">
        <v>41885.585706018515</v>
      </c>
      <c r="G2312" s="46">
        <v>48</v>
      </c>
      <c r="H2312" s="47">
        <v>43390</v>
      </c>
      <c r="I2312" s="47">
        <v>43442</v>
      </c>
      <c r="J2312" s="46">
        <v>755585</v>
      </c>
      <c r="K2312" s="46">
        <v>0</v>
      </c>
      <c r="L2312" s="46">
        <v>0</v>
      </c>
      <c r="M2312" s="46">
        <f t="shared" si="647"/>
        <v>755585</v>
      </c>
      <c r="N2312" s="46">
        <v>754895</v>
      </c>
      <c r="O2312" s="48">
        <f t="shared" si="648"/>
        <v>0</v>
      </c>
      <c r="P2312" s="46">
        <v>0</v>
      </c>
      <c r="Q2312" s="46">
        <v>755585</v>
      </c>
      <c r="R2312" s="49">
        <f t="shared" si="649"/>
        <v>1</v>
      </c>
      <c r="S2312" s="50">
        <f t="shared" si="650"/>
        <v>0.01</v>
      </c>
      <c r="T2312" s="49">
        <f t="shared" si="651"/>
        <v>7555.85</v>
      </c>
      <c r="U2312" s="51">
        <f t="shared" si="652"/>
        <v>0</v>
      </c>
      <c r="V2312" s="52">
        <f>IF(0&lt;0.8,0,IF(0&lt;1,Sheet3!L561,1))*IF(G2312&lt;3,0.12 - O2312,0.01) *U2312</f>
        <v>0</v>
      </c>
      <c r="W2312" s="52">
        <f t="shared" si="653"/>
        <v>0</v>
      </c>
      <c r="X2312" s="53">
        <f t="shared" si="654"/>
        <v>0</v>
      </c>
      <c r="Y2312" s="53">
        <f t="shared" si="655"/>
        <v>0</v>
      </c>
      <c r="Z2312" s="54">
        <f t="shared" si="659"/>
        <v>0</v>
      </c>
      <c r="AA2312" s="54">
        <f t="shared" si="656"/>
        <v>0</v>
      </c>
      <c r="AB2312" s="55">
        <f t="shared" si="660"/>
        <v>0</v>
      </c>
      <c r="AC2312" s="55">
        <f t="shared" si="657"/>
        <v>0</v>
      </c>
      <c r="AD2312" s="56">
        <f t="shared" si="658"/>
        <v>7555.85</v>
      </c>
    </row>
    <row r="2313" spans="3:30">
      <c r="C2313" s="43" t="s">
        <v>4293</v>
      </c>
      <c r="D2313" s="44" t="s">
        <v>4294</v>
      </c>
      <c r="E2313" s="44"/>
      <c r="F2313" s="45">
        <v>41893.40761574074</v>
      </c>
      <c r="G2313" s="46">
        <v>48</v>
      </c>
      <c r="H2313" s="47">
        <v>43390</v>
      </c>
      <c r="I2313" s="47">
        <v>43426</v>
      </c>
      <c r="J2313" s="46">
        <v>478555</v>
      </c>
      <c r="K2313" s="46">
        <v>0</v>
      </c>
      <c r="L2313" s="46">
        <v>0</v>
      </c>
      <c r="M2313" s="46">
        <f t="shared" si="647"/>
        <v>478555</v>
      </c>
      <c r="N2313" s="46">
        <v>478555</v>
      </c>
      <c r="O2313" s="48">
        <f t="shared" si="648"/>
        <v>0</v>
      </c>
      <c r="P2313" s="46">
        <v>0</v>
      </c>
      <c r="Q2313" s="46">
        <v>478555</v>
      </c>
      <c r="R2313" s="49">
        <f t="shared" si="649"/>
        <v>1</v>
      </c>
      <c r="S2313" s="50">
        <f t="shared" si="650"/>
        <v>0.01</v>
      </c>
      <c r="T2313" s="49">
        <f t="shared" si="651"/>
        <v>4785.55</v>
      </c>
      <c r="U2313" s="51">
        <f t="shared" si="652"/>
        <v>0</v>
      </c>
      <c r="V2313" s="52">
        <f>IF(0&lt;0.8,0,IF(0&lt;1,Sheet3!L561,1))*IF(G2313&lt;3,0.12 - O2313,0.01) *U2313</f>
        <v>0</v>
      </c>
      <c r="W2313" s="52">
        <f t="shared" si="653"/>
        <v>0</v>
      </c>
      <c r="X2313" s="53">
        <f t="shared" si="654"/>
        <v>0</v>
      </c>
      <c r="Y2313" s="53">
        <f t="shared" si="655"/>
        <v>0</v>
      </c>
      <c r="Z2313" s="54">
        <f t="shared" si="659"/>
        <v>0</v>
      </c>
      <c r="AA2313" s="54">
        <f t="shared" si="656"/>
        <v>0</v>
      </c>
      <c r="AB2313" s="55">
        <f t="shared" si="660"/>
        <v>0</v>
      </c>
      <c r="AC2313" s="55">
        <f t="shared" si="657"/>
        <v>0</v>
      </c>
      <c r="AD2313" s="56">
        <f t="shared" si="658"/>
        <v>4785.55</v>
      </c>
    </row>
    <row r="2314" spans="3:30">
      <c r="C2314" s="43" t="s">
        <v>4295</v>
      </c>
      <c r="D2314" s="44" t="s">
        <v>4296</v>
      </c>
      <c r="E2314" s="44"/>
      <c r="F2314" s="45">
        <v>41914.395914351851</v>
      </c>
      <c r="G2314" s="46">
        <v>47</v>
      </c>
      <c r="H2314" s="47">
        <v>43406</v>
      </c>
      <c r="I2314" s="47">
        <v>43449</v>
      </c>
      <c r="J2314" s="46">
        <v>4588839</v>
      </c>
      <c r="K2314" s="46">
        <v>399476</v>
      </c>
      <c r="L2314" s="46">
        <v>0</v>
      </c>
      <c r="M2314" s="46">
        <f t="shared" si="647"/>
        <v>4189363</v>
      </c>
      <c r="N2314" s="46">
        <v>4587837</v>
      </c>
      <c r="O2314" s="48">
        <f t="shared" si="648"/>
        <v>8.6854437069146084E-2</v>
      </c>
      <c r="P2314" s="46">
        <v>0</v>
      </c>
      <c r="Q2314" s="46">
        <v>4773243</v>
      </c>
      <c r="R2314" s="49">
        <f t="shared" si="649"/>
        <v>1</v>
      </c>
      <c r="S2314" s="50">
        <f t="shared" si="650"/>
        <v>0.01</v>
      </c>
      <c r="T2314" s="49">
        <f t="shared" si="651"/>
        <v>41893.629999999997</v>
      </c>
      <c r="U2314" s="51">
        <f t="shared" si="652"/>
        <v>0</v>
      </c>
      <c r="V2314" s="52">
        <f>IF(0&lt;0.8,0,IF(0&lt;1,Sheet3!L561,1))*IF(G2314&lt;3,0.12 - O2314,0.01) *U2314</f>
        <v>0</v>
      </c>
      <c r="W2314" s="52">
        <f t="shared" si="653"/>
        <v>0</v>
      </c>
      <c r="X2314" s="53">
        <f t="shared" si="654"/>
        <v>0</v>
      </c>
      <c r="Y2314" s="53">
        <f t="shared" si="655"/>
        <v>0</v>
      </c>
      <c r="Z2314" s="54">
        <f t="shared" si="659"/>
        <v>0</v>
      </c>
      <c r="AA2314" s="54">
        <f t="shared" si="656"/>
        <v>0</v>
      </c>
      <c r="AB2314" s="55">
        <f t="shared" si="660"/>
        <v>0</v>
      </c>
      <c r="AC2314" s="55">
        <f t="shared" si="657"/>
        <v>0</v>
      </c>
      <c r="AD2314" s="56">
        <f t="shared" si="658"/>
        <v>41893.629999999997</v>
      </c>
    </row>
    <row r="2315" spans="3:30">
      <c r="C2315" s="43" t="s">
        <v>4297</v>
      </c>
      <c r="D2315" s="44" t="s">
        <v>4298</v>
      </c>
      <c r="E2315" s="44"/>
      <c r="F2315" s="45">
        <v>42279.61582175926</v>
      </c>
      <c r="G2315" s="46">
        <v>35</v>
      </c>
      <c r="H2315" s="47">
        <v>43395</v>
      </c>
      <c r="I2315" s="47">
        <v>43427</v>
      </c>
      <c r="J2315" s="46">
        <v>7907730</v>
      </c>
      <c r="K2315" s="46">
        <v>0</v>
      </c>
      <c r="L2315" s="46">
        <v>0</v>
      </c>
      <c r="M2315" s="46">
        <f t="shared" si="647"/>
        <v>7907730</v>
      </c>
      <c r="N2315" s="46">
        <v>7905342</v>
      </c>
      <c r="O2315" s="48">
        <f t="shared" si="648"/>
        <v>0</v>
      </c>
      <c r="P2315" s="46">
        <v>0</v>
      </c>
      <c r="Q2315" s="46">
        <v>7907730</v>
      </c>
      <c r="R2315" s="49">
        <f t="shared" si="649"/>
        <v>1</v>
      </c>
      <c r="S2315" s="50">
        <f t="shared" si="650"/>
        <v>0.01</v>
      </c>
      <c r="T2315" s="49">
        <f t="shared" si="651"/>
        <v>79077.3</v>
      </c>
      <c r="U2315" s="51">
        <f t="shared" si="652"/>
        <v>0</v>
      </c>
      <c r="V2315" s="52">
        <f>IF(0&lt;0.8,0,IF(0&lt;1,Sheet3!L561,1))*IF(G2315&lt;3,0.12 - O2315,0.01) *U2315</f>
        <v>0</v>
      </c>
      <c r="W2315" s="52">
        <f t="shared" si="653"/>
        <v>0</v>
      </c>
      <c r="X2315" s="53">
        <f t="shared" si="654"/>
        <v>0</v>
      </c>
      <c r="Y2315" s="53">
        <f t="shared" si="655"/>
        <v>0</v>
      </c>
      <c r="Z2315" s="54">
        <f t="shared" si="659"/>
        <v>0</v>
      </c>
      <c r="AA2315" s="54">
        <f t="shared" si="656"/>
        <v>0</v>
      </c>
      <c r="AB2315" s="55">
        <f t="shared" si="660"/>
        <v>0</v>
      </c>
      <c r="AC2315" s="55">
        <f t="shared" si="657"/>
        <v>0</v>
      </c>
      <c r="AD2315" s="56">
        <f t="shared" si="658"/>
        <v>79077.3</v>
      </c>
    </row>
    <row r="2316" spans="3:30">
      <c r="C2316" s="43" t="s">
        <v>4299</v>
      </c>
      <c r="D2316" s="44" t="s">
        <v>4300</v>
      </c>
      <c r="E2316" s="44"/>
      <c r="F2316" s="45">
        <v>42292.588587962964</v>
      </c>
      <c r="G2316" s="46">
        <v>35</v>
      </c>
      <c r="H2316" s="47">
        <v>43385</v>
      </c>
      <c r="I2316" s="47">
        <v>43382</v>
      </c>
      <c r="J2316" s="46">
        <v>146410</v>
      </c>
      <c r="K2316" s="46">
        <v>0</v>
      </c>
      <c r="L2316" s="46">
        <v>0</v>
      </c>
      <c r="M2316" s="46">
        <f t="shared" si="647"/>
        <v>146410</v>
      </c>
      <c r="N2316" s="46">
        <v>146410</v>
      </c>
      <c r="O2316" s="48">
        <f t="shared" si="648"/>
        <v>0</v>
      </c>
      <c r="P2316" s="46">
        <v>0</v>
      </c>
      <c r="Q2316" s="46">
        <v>146410</v>
      </c>
      <c r="R2316" s="49">
        <f t="shared" si="649"/>
        <v>1</v>
      </c>
      <c r="S2316" s="50">
        <f t="shared" si="650"/>
        <v>0.01</v>
      </c>
      <c r="T2316" s="49">
        <f t="shared" si="651"/>
        <v>1464.1000000000001</v>
      </c>
      <c r="U2316" s="51">
        <f t="shared" si="652"/>
        <v>0</v>
      </c>
      <c r="V2316" s="52">
        <f>IF(0&lt;0.8,0,IF(0&lt;1,Sheet3!L561,1))*IF(G2316&lt;3,0.12 - O2316,0.01) *U2316</f>
        <v>0</v>
      </c>
      <c r="W2316" s="52">
        <f t="shared" si="653"/>
        <v>0</v>
      </c>
      <c r="X2316" s="53">
        <f t="shared" si="654"/>
        <v>0</v>
      </c>
      <c r="Y2316" s="53">
        <f t="shared" si="655"/>
        <v>0</v>
      </c>
      <c r="Z2316" s="54">
        <f t="shared" si="659"/>
        <v>0</v>
      </c>
      <c r="AA2316" s="54">
        <f t="shared" si="656"/>
        <v>0</v>
      </c>
      <c r="AB2316" s="55">
        <f t="shared" si="660"/>
        <v>0</v>
      </c>
      <c r="AC2316" s="55">
        <f t="shared" si="657"/>
        <v>0</v>
      </c>
      <c r="AD2316" s="56">
        <f t="shared" si="658"/>
        <v>1464.1000000000001</v>
      </c>
    </row>
    <row r="2317" spans="3:30">
      <c r="C2317" s="43" t="s">
        <v>4301</v>
      </c>
      <c r="D2317" s="44" t="s">
        <v>4302</v>
      </c>
      <c r="E2317" s="44"/>
      <c r="F2317" s="45">
        <v>42396.410462962958</v>
      </c>
      <c r="G2317" s="46">
        <v>32</v>
      </c>
      <c r="H2317" s="47">
        <v>43376</v>
      </c>
      <c r="I2317" s="47">
        <v>43399</v>
      </c>
      <c r="J2317" s="46">
        <v>58014664</v>
      </c>
      <c r="K2317" s="46">
        <v>0</v>
      </c>
      <c r="L2317" s="46">
        <v>0</v>
      </c>
      <c r="M2317" s="46">
        <f t="shared" si="647"/>
        <v>58014664</v>
      </c>
      <c r="N2317" s="46">
        <v>57564663</v>
      </c>
      <c r="O2317" s="48">
        <f t="shared" si="648"/>
        <v>0</v>
      </c>
      <c r="P2317" s="46">
        <v>0</v>
      </c>
      <c r="Q2317" s="46">
        <v>58014664</v>
      </c>
      <c r="R2317" s="49">
        <f t="shared" si="649"/>
        <v>1</v>
      </c>
      <c r="S2317" s="50">
        <f t="shared" si="650"/>
        <v>0.01</v>
      </c>
      <c r="T2317" s="49">
        <f t="shared" si="651"/>
        <v>580146.64</v>
      </c>
      <c r="U2317" s="51">
        <f t="shared" si="652"/>
        <v>0</v>
      </c>
      <c r="V2317" s="52">
        <f>IF(0&lt;0.8,0,IF(0&lt;1,Sheet3!L561,1))*IF(G2317&lt;3,0.12 - O2317,0.01) *U2317</f>
        <v>0</v>
      </c>
      <c r="W2317" s="52">
        <f t="shared" si="653"/>
        <v>0</v>
      </c>
      <c r="X2317" s="53">
        <f t="shared" si="654"/>
        <v>0</v>
      </c>
      <c r="Y2317" s="53">
        <f t="shared" si="655"/>
        <v>0</v>
      </c>
      <c r="Z2317" s="54">
        <f t="shared" si="659"/>
        <v>0</v>
      </c>
      <c r="AA2317" s="54">
        <f t="shared" si="656"/>
        <v>0</v>
      </c>
      <c r="AB2317" s="55">
        <f>IF(R2317=0,450000,0)</f>
        <v>0</v>
      </c>
      <c r="AC2317" s="55">
        <f t="shared" si="657"/>
        <v>0</v>
      </c>
      <c r="AD2317" s="56">
        <f t="shared" si="658"/>
        <v>580146.64</v>
      </c>
    </row>
    <row r="2318" spans="3:30">
      <c r="C2318" s="43" t="s">
        <v>4303</v>
      </c>
      <c r="D2318" s="44" t="s">
        <v>4304</v>
      </c>
      <c r="E2318" s="44"/>
      <c r="F2318" s="45">
        <v>42438.424907407403</v>
      </c>
      <c r="G2318" s="46">
        <v>30</v>
      </c>
      <c r="H2318" s="47">
        <v>43385</v>
      </c>
      <c r="I2318" s="47">
        <v>43402</v>
      </c>
      <c r="J2318" s="46">
        <v>1820178</v>
      </c>
      <c r="K2318" s="46">
        <v>0</v>
      </c>
      <c r="L2318" s="46">
        <v>0</v>
      </c>
      <c r="M2318" s="46">
        <f t="shared" si="647"/>
        <v>1820178</v>
      </c>
      <c r="N2318" s="46">
        <v>1820178</v>
      </c>
      <c r="O2318" s="48">
        <f t="shared" si="648"/>
        <v>0</v>
      </c>
      <c r="P2318" s="46">
        <v>0</v>
      </c>
      <c r="Q2318" s="46">
        <v>1820178</v>
      </c>
      <c r="R2318" s="49">
        <f t="shared" si="649"/>
        <v>1</v>
      </c>
      <c r="S2318" s="50">
        <f t="shared" si="650"/>
        <v>0.01</v>
      </c>
      <c r="T2318" s="49">
        <f t="shared" si="651"/>
        <v>18201.78</v>
      </c>
      <c r="U2318" s="51">
        <f t="shared" si="652"/>
        <v>0</v>
      </c>
      <c r="V2318" s="52">
        <f>IF(0&lt;0.8,0,IF(0&lt;1,Sheet3!L561,1))*IF(G2318&lt;3,0.12 - O2318,0.01) *U2318</f>
        <v>0</v>
      </c>
      <c r="W2318" s="52">
        <f t="shared" si="653"/>
        <v>0</v>
      </c>
      <c r="X2318" s="53">
        <f t="shared" si="654"/>
        <v>0</v>
      </c>
      <c r="Y2318" s="53">
        <f t="shared" si="655"/>
        <v>0</v>
      </c>
      <c r="Z2318" s="54">
        <f t="shared" si="659"/>
        <v>0</v>
      </c>
      <c r="AA2318" s="54">
        <f t="shared" si="656"/>
        <v>0</v>
      </c>
      <c r="AB2318" s="55">
        <f t="shared" ref="AB2318:AB2362" si="661">IF(R2318=0,0,0)</f>
        <v>0</v>
      </c>
      <c r="AC2318" s="55">
        <f t="shared" si="657"/>
        <v>0</v>
      </c>
      <c r="AD2318" s="56">
        <f t="shared" si="658"/>
        <v>18201.78</v>
      </c>
    </row>
    <row r="2319" spans="3:30">
      <c r="C2319" s="43" t="s">
        <v>4305</v>
      </c>
      <c r="D2319" s="44" t="s">
        <v>4306</v>
      </c>
      <c r="E2319" s="44"/>
      <c r="F2319" s="45">
        <v>42445.439791666664</v>
      </c>
      <c r="G2319" s="46">
        <v>30</v>
      </c>
      <c r="H2319" s="47">
        <v>43376</v>
      </c>
      <c r="I2319" s="47">
        <v>43432</v>
      </c>
      <c r="J2319" s="46">
        <v>11108090</v>
      </c>
      <c r="K2319" s="46">
        <v>0</v>
      </c>
      <c r="L2319" s="46">
        <v>0</v>
      </c>
      <c r="M2319" s="46">
        <f t="shared" si="647"/>
        <v>11108090</v>
      </c>
      <c r="N2319" s="46">
        <v>11001610</v>
      </c>
      <c r="O2319" s="48">
        <f t="shared" si="648"/>
        <v>0</v>
      </c>
      <c r="P2319" s="46">
        <v>0</v>
      </c>
      <c r="Q2319" s="46">
        <v>11108090</v>
      </c>
      <c r="R2319" s="49">
        <f t="shared" si="649"/>
        <v>1</v>
      </c>
      <c r="S2319" s="50">
        <f t="shared" si="650"/>
        <v>0.01</v>
      </c>
      <c r="T2319" s="49">
        <f t="shared" si="651"/>
        <v>111080.90000000001</v>
      </c>
      <c r="U2319" s="51">
        <f t="shared" si="652"/>
        <v>0</v>
      </c>
      <c r="V2319" s="52">
        <f>IF(0&lt;0.8,0,IF(0&lt;1,Sheet3!L561,1))*IF(G2319&lt;3,0.12 - O2319,0.01) *U2319</f>
        <v>0</v>
      </c>
      <c r="W2319" s="52">
        <f t="shared" si="653"/>
        <v>0</v>
      </c>
      <c r="X2319" s="53">
        <f t="shared" si="654"/>
        <v>0</v>
      </c>
      <c r="Y2319" s="53">
        <f t="shared" si="655"/>
        <v>0</v>
      </c>
      <c r="Z2319" s="54">
        <f t="shared" si="659"/>
        <v>0</v>
      </c>
      <c r="AA2319" s="54">
        <f t="shared" si="656"/>
        <v>0</v>
      </c>
      <c r="AB2319" s="55">
        <f t="shared" si="661"/>
        <v>0</v>
      </c>
      <c r="AC2319" s="55">
        <f t="shared" si="657"/>
        <v>0</v>
      </c>
      <c r="AD2319" s="56">
        <f t="shared" si="658"/>
        <v>111080.90000000001</v>
      </c>
    </row>
    <row r="2320" spans="3:30">
      <c r="C2320" s="43" t="s">
        <v>4307</v>
      </c>
      <c r="D2320" s="44" t="s">
        <v>4308</v>
      </c>
      <c r="E2320" s="44"/>
      <c r="F2320" s="45">
        <v>42480.58321759259</v>
      </c>
      <c r="G2320" s="46">
        <v>29</v>
      </c>
      <c r="H2320" s="47">
        <v>43395</v>
      </c>
      <c r="I2320" s="47">
        <v>43398</v>
      </c>
      <c r="J2320" s="46">
        <v>1217502</v>
      </c>
      <c r="K2320" s="46">
        <v>0</v>
      </c>
      <c r="L2320" s="46">
        <v>0</v>
      </c>
      <c r="M2320" s="46">
        <f t="shared" si="647"/>
        <v>1217502</v>
      </c>
      <c r="N2320" s="46">
        <v>1217502</v>
      </c>
      <c r="O2320" s="48">
        <f t="shared" si="648"/>
        <v>0</v>
      </c>
      <c r="P2320" s="46">
        <v>0</v>
      </c>
      <c r="Q2320" s="46">
        <v>1217502</v>
      </c>
      <c r="R2320" s="49">
        <f t="shared" si="649"/>
        <v>1</v>
      </c>
      <c r="S2320" s="50">
        <f t="shared" si="650"/>
        <v>0.01</v>
      </c>
      <c r="T2320" s="49">
        <f t="shared" si="651"/>
        <v>12175.02</v>
      </c>
      <c r="U2320" s="51">
        <f t="shared" si="652"/>
        <v>0</v>
      </c>
      <c r="V2320" s="52">
        <f>IF(0&lt;0.8,0,IF(0&lt;1,Sheet3!L561,1))*IF(G2320&lt;3,0.12 - O2320,0.01) *U2320</f>
        <v>0</v>
      </c>
      <c r="W2320" s="52">
        <f t="shared" si="653"/>
        <v>0</v>
      </c>
      <c r="X2320" s="53">
        <f t="shared" si="654"/>
        <v>0</v>
      </c>
      <c r="Y2320" s="53">
        <f t="shared" si="655"/>
        <v>0</v>
      </c>
      <c r="Z2320" s="54">
        <f t="shared" si="659"/>
        <v>0</v>
      </c>
      <c r="AA2320" s="54">
        <f t="shared" si="656"/>
        <v>0</v>
      </c>
      <c r="AB2320" s="55">
        <f t="shared" si="661"/>
        <v>0</v>
      </c>
      <c r="AC2320" s="55">
        <f t="shared" si="657"/>
        <v>0</v>
      </c>
      <c r="AD2320" s="56">
        <f t="shared" si="658"/>
        <v>12175.02</v>
      </c>
    </row>
    <row r="2321" spans="3:30">
      <c r="C2321" s="43" t="s">
        <v>4309</v>
      </c>
      <c r="D2321" s="44" t="s">
        <v>4310</v>
      </c>
      <c r="E2321" s="44"/>
      <c r="F2321" s="45">
        <v>42489.278819444444</v>
      </c>
      <c r="G2321" s="46">
        <v>29</v>
      </c>
      <c r="H2321" s="47">
        <v>43390</v>
      </c>
      <c r="I2321" s="47">
        <v>43427</v>
      </c>
      <c r="J2321" s="46">
        <v>1689644</v>
      </c>
      <c r="K2321" s="46">
        <v>0</v>
      </c>
      <c r="L2321" s="46">
        <v>0</v>
      </c>
      <c r="M2321" s="46">
        <f t="shared" si="647"/>
        <v>1689644</v>
      </c>
      <c r="N2321" s="46">
        <v>1689644</v>
      </c>
      <c r="O2321" s="48">
        <f t="shared" si="648"/>
        <v>0</v>
      </c>
      <c r="P2321" s="46">
        <v>0</v>
      </c>
      <c r="Q2321" s="46">
        <v>1689644</v>
      </c>
      <c r="R2321" s="49">
        <f t="shared" si="649"/>
        <v>1</v>
      </c>
      <c r="S2321" s="50">
        <f t="shared" si="650"/>
        <v>0.01</v>
      </c>
      <c r="T2321" s="49">
        <f t="shared" si="651"/>
        <v>16896.439999999999</v>
      </c>
      <c r="U2321" s="51">
        <f t="shared" si="652"/>
        <v>0</v>
      </c>
      <c r="V2321" s="52">
        <f>IF(0&lt;0.8,0,IF(0&lt;1,Sheet3!L561,1))*IF(G2321&lt;3,0.12 - O2321,0.01) *U2321</f>
        <v>0</v>
      </c>
      <c r="W2321" s="52">
        <f t="shared" si="653"/>
        <v>0</v>
      </c>
      <c r="X2321" s="53">
        <f t="shared" si="654"/>
        <v>0</v>
      </c>
      <c r="Y2321" s="53">
        <f t="shared" si="655"/>
        <v>0</v>
      </c>
      <c r="Z2321" s="54">
        <f t="shared" si="659"/>
        <v>0</v>
      </c>
      <c r="AA2321" s="54">
        <f t="shared" si="656"/>
        <v>0</v>
      </c>
      <c r="AB2321" s="55">
        <f t="shared" si="661"/>
        <v>0</v>
      </c>
      <c r="AC2321" s="55">
        <f t="shared" si="657"/>
        <v>0</v>
      </c>
      <c r="AD2321" s="56">
        <f t="shared" si="658"/>
        <v>16896.439999999999</v>
      </c>
    </row>
    <row r="2322" spans="3:30">
      <c r="C2322" s="43" t="s">
        <v>4311</v>
      </c>
      <c r="D2322" s="44" t="s">
        <v>4312</v>
      </c>
      <c r="E2322" s="44"/>
      <c r="F2322" s="45">
        <v>42501.120937499996</v>
      </c>
      <c r="G2322" s="46">
        <v>28</v>
      </c>
      <c r="H2322" s="47">
        <v>43390</v>
      </c>
      <c r="I2322" s="47">
        <v>43432</v>
      </c>
      <c r="J2322" s="46">
        <v>257198</v>
      </c>
      <c r="K2322" s="46">
        <v>0</v>
      </c>
      <c r="L2322" s="46">
        <v>0</v>
      </c>
      <c r="M2322" s="46">
        <f t="shared" si="647"/>
        <v>257198</v>
      </c>
      <c r="N2322" s="46">
        <v>257198</v>
      </c>
      <c r="O2322" s="48">
        <f t="shared" si="648"/>
        <v>0</v>
      </c>
      <c r="P2322" s="46">
        <v>0</v>
      </c>
      <c r="Q2322" s="46">
        <v>257198</v>
      </c>
      <c r="R2322" s="49">
        <f t="shared" si="649"/>
        <v>1</v>
      </c>
      <c r="S2322" s="50">
        <f t="shared" si="650"/>
        <v>0.01</v>
      </c>
      <c r="T2322" s="49">
        <f t="shared" si="651"/>
        <v>2571.98</v>
      </c>
      <c r="U2322" s="51">
        <f t="shared" si="652"/>
        <v>0</v>
      </c>
      <c r="V2322" s="52">
        <f>IF(0&lt;0.8,0,IF(0&lt;1,Sheet3!L561,1))*IF(G2322&lt;3,0.12 - O2322,0.01) *U2322</f>
        <v>0</v>
      </c>
      <c r="W2322" s="52">
        <f t="shared" si="653"/>
        <v>0</v>
      </c>
      <c r="X2322" s="53">
        <f t="shared" si="654"/>
        <v>0</v>
      </c>
      <c r="Y2322" s="53">
        <f t="shared" si="655"/>
        <v>0</v>
      </c>
      <c r="Z2322" s="54">
        <f t="shared" si="659"/>
        <v>0</v>
      </c>
      <c r="AA2322" s="54">
        <f t="shared" si="656"/>
        <v>0</v>
      </c>
      <c r="AB2322" s="55">
        <f t="shared" si="661"/>
        <v>0</v>
      </c>
      <c r="AC2322" s="55">
        <f t="shared" si="657"/>
        <v>0</v>
      </c>
      <c r="AD2322" s="56">
        <f t="shared" si="658"/>
        <v>2571.98</v>
      </c>
    </row>
    <row r="2323" spans="3:30">
      <c r="C2323" s="43" t="s">
        <v>4313</v>
      </c>
      <c r="D2323" s="44" t="s">
        <v>4314</v>
      </c>
      <c r="E2323" s="44"/>
      <c r="F2323" s="45">
        <v>42503.264293981483</v>
      </c>
      <c r="G2323" s="46">
        <v>28</v>
      </c>
      <c r="H2323" s="47">
        <v>43390</v>
      </c>
      <c r="I2323" s="47">
        <v>43397</v>
      </c>
      <c r="J2323" s="46">
        <v>1272700</v>
      </c>
      <c r="K2323" s="46">
        <v>0</v>
      </c>
      <c r="L2323" s="46">
        <v>0</v>
      </c>
      <c r="M2323" s="46">
        <f t="shared" si="647"/>
        <v>1272700</v>
      </c>
      <c r="N2323" s="46">
        <v>1271630</v>
      </c>
      <c r="O2323" s="48">
        <f t="shared" si="648"/>
        <v>0</v>
      </c>
      <c r="P2323" s="46">
        <v>0</v>
      </c>
      <c r="Q2323" s="46">
        <v>1272700</v>
      </c>
      <c r="R2323" s="49">
        <f t="shared" si="649"/>
        <v>1</v>
      </c>
      <c r="S2323" s="50">
        <f t="shared" si="650"/>
        <v>0.01</v>
      </c>
      <c r="T2323" s="49">
        <f t="shared" si="651"/>
        <v>12727</v>
      </c>
      <c r="U2323" s="51">
        <f t="shared" si="652"/>
        <v>0</v>
      </c>
      <c r="V2323" s="52">
        <f>IF(0&lt;0.8,0,IF(0&lt;1,Sheet3!L561,1))*IF(G2323&lt;3,0.12 - O2323,0.01) *U2323</f>
        <v>0</v>
      </c>
      <c r="W2323" s="52">
        <f t="shared" si="653"/>
        <v>0</v>
      </c>
      <c r="X2323" s="53">
        <f t="shared" si="654"/>
        <v>0</v>
      </c>
      <c r="Y2323" s="53">
        <f t="shared" si="655"/>
        <v>0</v>
      </c>
      <c r="Z2323" s="54">
        <f t="shared" si="659"/>
        <v>0</v>
      </c>
      <c r="AA2323" s="54">
        <f t="shared" si="656"/>
        <v>0</v>
      </c>
      <c r="AB2323" s="55">
        <f t="shared" si="661"/>
        <v>0</v>
      </c>
      <c r="AC2323" s="55">
        <f t="shared" si="657"/>
        <v>0</v>
      </c>
      <c r="AD2323" s="56">
        <f t="shared" si="658"/>
        <v>12727</v>
      </c>
    </row>
    <row r="2324" spans="3:30">
      <c r="C2324" s="43" t="s">
        <v>4315</v>
      </c>
      <c r="D2324" s="44" t="s">
        <v>4316</v>
      </c>
      <c r="E2324" s="44"/>
      <c r="F2324" s="45">
        <v>42531.13581018518</v>
      </c>
      <c r="G2324" s="46">
        <v>27</v>
      </c>
      <c r="H2324" s="47">
        <v>43376</v>
      </c>
      <c r="I2324" s="47">
        <v>43453</v>
      </c>
      <c r="J2324" s="46">
        <v>1805973</v>
      </c>
      <c r="K2324" s="46">
        <v>0</v>
      </c>
      <c r="L2324" s="46">
        <v>0</v>
      </c>
      <c r="M2324" s="46">
        <f t="shared" si="647"/>
        <v>1805973</v>
      </c>
      <c r="N2324" s="46">
        <v>1805973</v>
      </c>
      <c r="O2324" s="48">
        <f t="shared" si="648"/>
        <v>0</v>
      </c>
      <c r="P2324" s="46">
        <v>0</v>
      </c>
      <c r="Q2324" s="46">
        <v>1805973</v>
      </c>
      <c r="R2324" s="49">
        <f t="shared" si="649"/>
        <v>1</v>
      </c>
      <c r="S2324" s="50">
        <f t="shared" si="650"/>
        <v>0.01</v>
      </c>
      <c r="T2324" s="49">
        <f t="shared" si="651"/>
        <v>18059.73</v>
      </c>
      <c r="U2324" s="51">
        <f t="shared" si="652"/>
        <v>0</v>
      </c>
      <c r="V2324" s="52">
        <f>IF(0&lt;0.8,0,IF(0&lt;1,Sheet3!L561,1))*IF(G2324&lt;3,0.12 - O2324,0.01) *U2324</f>
        <v>0</v>
      </c>
      <c r="W2324" s="52">
        <f t="shared" si="653"/>
        <v>0</v>
      </c>
      <c r="X2324" s="53">
        <f t="shared" si="654"/>
        <v>0</v>
      </c>
      <c r="Y2324" s="53">
        <f t="shared" si="655"/>
        <v>0</v>
      </c>
      <c r="Z2324" s="54">
        <f t="shared" si="659"/>
        <v>0</v>
      </c>
      <c r="AA2324" s="54">
        <f t="shared" si="656"/>
        <v>0</v>
      </c>
      <c r="AB2324" s="55">
        <f t="shared" si="661"/>
        <v>0</v>
      </c>
      <c r="AC2324" s="55">
        <f t="shared" si="657"/>
        <v>0</v>
      </c>
      <c r="AD2324" s="56">
        <f t="shared" si="658"/>
        <v>18059.73</v>
      </c>
    </row>
    <row r="2325" spans="3:30">
      <c r="C2325" s="43" t="s">
        <v>4317</v>
      </c>
      <c r="D2325" s="44" t="s">
        <v>4318</v>
      </c>
      <c r="E2325" s="44"/>
      <c r="F2325" s="45">
        <v>42655.29105324074</v>
      </c>
      <c r="G2325" s="46">
        <v>23</v>
      </c>
      <c r="H2325" s="47">
        <v>43382</v>
      </c>
      <c r="I2325" s="47">
        <v>43388</v>
      </c>
      <c r="J2325" s="46">
        <v>2833699</v>
      </c>
      <c r="K2325" s="46">
        <v>0</v>
      </c>
      <c r="L2325" s="46">
        <v>0</v>
      </c>
      <c r="M2325" s="46">
        <f t="shared" si="647"/>
        <v>2833699</v>
      </c>
      <c r="N2325" s="46">
        <v>2833699</v>
      </c>
      <c r="O2325" s="48">
        <f t="shared" si="648"/>
        <v>0</v>
      </c>
      <c r="P2325" s="46">
        <v>0</v>
      </c>
      <c r="Q2325" s="46">
        <v>2833699</v>
      </c>
      <c r="R2325" s="49">
        <f t="shared" si="649"/>
        <v>1</v>
      </c>
      <c r="S2325" s="50">
        <f t="shared" si="650"/>
        <v>0.01</v>
      </c>
      <c r="T2325" s="49">
        <f t="shared" si="651"/>
        <v>28336.99</v>
      </c>
      <c r="U2325" s="51">
        <f t="shared" si="652"/>
        <v>0</v>
      </c>
      <c r="V2325" s="52">
        <f>IF(0&lt;0.8,0,IF(0&lt;1,Sheet3!L561,1))*IF(G2325&lt;3,0.12 - O2325,0.01) *U2325</f>
        <v>0</v>
      </c>
      <c r="W2325" s="52">
        <f t="shared" si="653"/>
        <v>0</v>
      </c>
      <c r="X2325" s="53">
        <f t="shared" si="654"/>
        <v>0</v>
      </c>
      <c r="Y2325" s="53">
        <f t="shared" si="655"/>
        <v>0</v>
      </c>
      <c r="Z2325" s="54">
        <f t="shared" si="659"/>
        <v>0</v>
      </c>
      <c r="AA2325" s="54">
        <f t="shared" si="656"/>
        <v>0</v>
      </c>
      <c r="AB2325" s="55">
        <f t="shared" si="661"/>
        <v>0</v>
      </c>
      <c r="AC2325" s="55">
        <f t="shared" si="657"/>
        <v>0</v>
      </c>
      <c r="AD2325" s="56">
        <f t="shared" si="658"/>
        <v>28336.99</v>
      </c>
    </row>
    <row r="2326" spans="3:30">
      <c r="C2326" s="43" t="s">
        <v>4319</v>
      </c>
      <c r="D2326" s="44" t="s">
        <v>4320</v>
      </c>
      <c r="E2326" s="44"/>
      <c r="F2326" s="45">
        <v>42671.289513888885</v>
      </c>
      <c r="G2326" s="46">
        <v>23</v>
      </c>
      <c r="H2326" s="47">
        <v>43395</v>
      </c>
      <c r="I2326" s="47">
        <v>43427</v>
      </c>
      <c r="J2326" s="46">
        <v>679415</v>
      </c>
      <c r="K2326" s="46">
        <v>0</v>
      </c>
      <c r="L2326" s="46">
        <v>0</v>
      </c>
      <c r="M2326" s="46">
        <f t="shared" si="647"/>
        <v>679415</v>
      </c>
      <c r="N2326" s="46">
        <v>679415</v>
      </c>
      <c r="O2326" s="48">
        <f t="shared" si="648"/>
        <v>0</v>
      </c>
      <c r="P2326" s="46">
        <v>0</v>
      </c>
      <c r="Q2326" s="46">
        <v>679415</v>
      </c>
      <c r="R2326" s="49">
        <f t="shared" si="649"/>
        <v>1</v>
      </c>
      <c r="S2326" s="50">
        <f t="shared" si="650"/>
        <v>0.01</v>
      </c>
      <c r="T2326" s="49">
        <f t="shared" si="651"/>
        <v>6794.1500000000005</v>
      </c>
      <c r="U2326" s="51">
        <f t="shared" si="652"/>
        <v>0</v>
      </c>
      <c r="V2326" s="52">
        <f>IF(0&lt;0.8,0,IF(0&lt;1,Sheet3!L561,1))*IF(G2326&lt;3,0.12 - O2326,0.01) *U2326</f>
        <v>0</v>
      </c>
      <c r="W2326" s="52">
        <f t="shared" si="653"/>
        <v>0</v>
      </c>
      <c r="X2326" s="53">
        <f t="shared" si="654"/>
        <v>0</v>
      </c>
      <c r="Y2326" s="53">
        <f t="shared" si="655"/>
        <v>0</v>
      </c>
      <c r="Z2326" s="54">
        <f t="shared" si="659"/>
        <v>0</v>
      </c>
      <c r="AA2326" s="54">
        <f t="shared" si="656"/>
        <v>0</v>
      </c>
      <c r="AB2326" s="55">
        <f t="shared" si="661"/>
        <v>0</v>
      </c>
      <c r="AC2326" s="55">
        <f t="shared" si="657"/>
        <v>0</v>
      </c>
      <c r="AD2326" s="56">
        <f t="shared" si="658"/>
        <v>6794.1500000000005</v>
      </c>
    </row>
    <row r="2327" spans="3:30">
      <c r="C2327" s="43" t="s">
        <v>4321</v>
      </c>
      <c r="D2327" s="44" t="s">
        <v>4322</v>
      </c>
      <c r="E2327" s="44"/>
      <c r="F2327" s="45">
        <v>42672.296574074069</v>
      </c>
      <c r="G2327" s="46">
        <v>23</v>
      </c>
      <c r="H2327" s="47">
        <v>43390</v>
      </c>
      <c r="I2327" s="47">
        <v>43442</v>
      </c>
      <c r="J2327" s="46">
        <v>1385812</v>
      </c>
      <c r="K2327" s="46">
        <v>0</v>
      </c>
      <c r="L2327" s="46">
        <v>0</v>
      </c>
      <c r="M2327" s="46">
        <f t="shared" si="647"/>
        <v>1385812</v>
      </c>
      <c r="N2327" s="46">
        <v>1385812</v>
      </c>
      <c r="O2327" s="48">
        <f t="shared" si="648"/>
        <v>0</v>
      </c>
      <c r="P2327" s="46">
        <v>0</v>
      </c>
      <c r="Q2327" s="46">
        <v>1385812</v>
      </c>
      <c r="R2327" s="49">
        <f t="shared" si="649"/>
        <v>1</v>
      </c>
      <c r="S2327" s="50">
        <f t="shared" si="650"/>
        <v>0.01</v>
      </c>
      <c r="T2327" s="49">
        <f t="shared" si="651"/>
        <v>13858.12</v>
      </c>
      <c r="U2327" s="51">
        <f t="shared" si="652"/>
        <v>0</v>
      </c>
      <c r="V2327" s="52">
        <f>IF(0&lt;0.8,0,IF(0&lt;1,Sheet3!L561,1))*IF(G2327&lt;3,0.12 - O2327,0.01) *U2327</f>
        <v>0</v>
      </c>
      <c r="W2327" s="52">
        <f t="shared" si="653"/>
        <v>0</v>
      </c>
      <c r="X2327" s="53">
        <f t="shared" si="654"/>
        <v>0</v>
      </c>
      <c r="Y2327" s="53">
        <f t="shared" si="655"/>
        <v>0</v>
      </c>
      <c r="Z2327" s="54">
        <f t="shared" si="659"/>
        <v>0</v>
      </c>
      <c r="AA2327" s="54">
        <f t="shared" si="656"/>
        <v>0</v>
      </c>
      <c r="AB2327" s="55">
        <f t="shared" si="661"/>
        <v>0</v>
      </c>
      <c r="AC2327" s="55">
        <f t="shared" si="657"/>
        <v>0</v>
      </c>
      <c r="AD2327" s="56">
        <f t="shared" si="658"/>
        <v>13858.12</v>
      </c>
    </row>
    <row r="2328" spans="3:30">
      <c r="C2328" s="43" t="s">
        <v>4323</v>
      </c>
      <c r="D2328" s="44" t="s">
        <v>4324</v>
      </c>
      <c r="E2328" s="44"/>
      <c r="F2328" s="45">
        <v>43011.38349537037</v>
      </c>
      <c r="G2328" s="46">
        <v>11</v>
      </c>
      <c r="H2328" s="47">
        <v>43397</v>
      </c>
      <c r="I2328" s="47">
        <v>43440</v>
      </c>
      <c r="J2328" s="46">
        <v>6647982</v>
      </c>
      <c r="K2328" s="46">
        <v>0</v>
      </c>
      <c r="L2328" s="46">
        <v>0</v>
      </c>
      <c r="M2328" s="46">
        <f t="shared" si="647"/>
        <v>6647982</v>
      </c>
      <c r="N2328" s="46">
        <v>6647982</v>
      </c>
      <c r="O2328" s="48">
        <f t="shared" si="648"/>
        <v>0</v>
      </c>
      <c r="P2328" s="46">
        <v>0</v>
      </c>
      <c r="Q2328" s="46">
        <v>6647982</v>
      </c>
      <c r="R2328" s="49">
        <f t="shared" si="649"/>
        <v>1</v>
      </c>
      <c r="S2328" s="50">
        <f t="shared" si="650"/>
        <v>0.01</v>
      </c>
      <c r="T2328" s="49">
        <f t="shared" si="651"/>
        <v>66479.820000000007</v>
      </c>
      <c r="U2328" s="51">
        <f t="shared" si="652"/>
        <v>0</v>
      </c>
      <c r="V2328" s="52">
        <f>IF(0&lt;0.8,0,IF(0&lt;1,Sheet3!L561,1))*IF(G2328&lt;3,0.12 - O2328,0.01) *U2328</f>
        <v>0</v>
      </c>
      <c r="W2328" s="52">
        <f t="shared" si="653"/>
        <v>0</v>
      </c>
      <c r="X2328" s="53">
        <f t="shared" si="654"/>
        <v>0</v>
      </c>
      <c r="Y2328" s="53">
        <f t="shared" si="655"/>
        <v>0</v>
      </c>
      <c r="Z2328" s="54">
        <f t="shared" si="659"/>
        <v>0</v>
      </c>
      <c r="AA2328" s="54">
        <f t="shared" si="656"/>
        <v>0</v>
      </c>
      <c r="AB2328" s="55">
        <f t="shared" si="661"/>
        <v>0</v>
      </c>
      <c r="AC2328" s="55">
        <f t="shared" si="657"/>
        <v>0</v>
      </c>
      <c r="AD2328" s="56">
        <f t="shared" si="658"/>
        <v>66479.820000000007</v>
      </c>
    </row>
    <row r="2329" spans="3:30">
      <c r="C2329" s="43" t="s">
        <v>4325</v>
      </c>
      <c r="D2329" s="44" t="s">
        <v>4326</v>
      </c>
      <c r="E2329" s="44"/>
      <c r="F2329" s="45">
        <v>43104.170439814814</v>
      </c>
      <c r="G2329" s="46">
        <v>8</v>
      </c>
      <c r="H2329" s="47">
        <v>43382</v>
      </c>
      <c r="I2329" s="47">
        <v>43423</v>
      </c>
      <c r="J2329" s="46">
        <v>1007204</v>
      </c>
      <c r="K2329" s="46">
        <v>0</v>
      </c>
      <c r="L2329" s="46">
        <v>0</v>
      </c>
      <c r="M2329" s="46">
        <f t="shared" si="647"/>
        <v>1007204</v>
      </c>
      <c r="N2329" s="46">
        <v>979737</v>
      </c>
      <c r="O2329" s="48">
        <f t="shared" si="648"/>
        <v>0</v>
      </c>
      <c r="P2329" s="46">
        <v>0</v>
      </c>
      <c r="Q2329" s="46">
        <v>1007204</v>
      </c>
      <c r="R2329" s="49">
        <f t="shared" si="649"/>
        <v>1</v>
      </c>
      <c r="S2329" s="50">
        <f t="shared" si="650"/>
        <v>0.01</v>
      </c>
      <c r="T2329" s="49">
        <f t="shared" si="651"/>
        <v>10072.040000000001</v>
      </c>
      <c r="U2329" s="51">
        <f t="shared" si="652"/>
        <v>0</v>
      </c>
      <c r="V2329" s="52">
        <f>IF(0&lt;0.8,0,IF(0&lt;1,Sheet3!L561,1))*IF(G2329&lt;3,0.12 - O2329,0.01) *U2329</f>
        <v>0</v>
      </c>
      <c r="W2329" s="52">
        <f t="shared" si="653"/>
        <v>0</v>
      </c>
      <c r="X2329" s="53">
        <f t="shared" si="654"/>
        <v>0</v>
      </c>
      <c r="Y2329" s="53">
        <f t="shared" si="655"/>
        <v>0</v>
      </c>
      <c r="Z2329" s="54">
        <f t="shared" si="659"/>
        <v>0</v>
      </c>
      <c r="AA2329" s="54">
        <f t="shared" si="656"/>
        <v>0</v>
      </c>
      <c r="AB2329" s="55">
        <f t="shared" si="661"/>
        <v>0</v>
      </c>
      <c r="AC2329" s="55">
        <f t="shared" si="657"/>
        <v>0</v>
      </c>
      <c r="AD2329" s="56">
        <f t="shared" si="658"/>
        <v>10072.040000000001</v>
      </c>
    </row>
    <row r="2330" spans="3:30">
      <c r="C2330" s="43" t="s">
        <v>4327</v>
      </c>
      <c r="D2330" s="44" t="s">
        <v>4328</v>
      </c>
      <c r="E2330" s="44"/>
      <c r="F2330" s="45">
        <v>43178.109571759254</v>
      </c>
      <c r="G2330" s="46">
        <v>6</v>
      </c>
      <c r="H2330" s="47">
        <v>43390</v>
      </c>
      <c r="I2330" s="47">
        <v>43449</v>
      </c>
      <c r="J2330" s="46">
        <v>435600</v>
      </c>
      <c r="K2330" s="46">
        <v>0</v>
      </c>
      <c r="L2330" s="46">
        <v>0</v>
      </c>
      <c r="M2330" s="46">
        <f t="shared" si="647"/>
        <v>435600</v>
      </c>
      <c r="N2330" s="46">
        <v>435600</v>
      </c>
      <c r="O2330" s="48">
        <f t="shared" si="648"/>
        <v>0</v>
      </c>
      <c r="P2330" s="46">
        <v>0</v>
      </c>
      <c r="Q2330" s="46">
        <v>435600</v>
      </c>
      <c r="R2330" s="49">
        <f t="shared" si="649"/>
        <v>1</v>
      </c>
      <c r="S2330" s="50">
        <f t="shared" si="650"/>
        <v>0.01</v>
      </c>
      <c r="T2330" s="49">
        <f t="shared" si="651"/>
        <v>4356</v>
      </c>
      <c r="U2330" s="51">
        <f t="shared" si="652"/>
        <v>0</v>
      </c>
      <c r="V2330" s="52">
        <f>IF(0&lt;0.8,0,IF(0&lt;1,Sheet3!L561,1))*IF(G2330&lt;3,0.12 - O2330,0.01) *U2330</f>
        <v>0</v>
      </c>
      <c r="W2330" s="52">
        <f t="shared" si="653"/>
        <v>0</v>
      </c>
      <c r="X2330" s="53">
        <f t="shared" si="654"/>
        <v>0</v>
      </c>
      <c r="Y2330" s="53">
        <f t="shared" si="655"/>
        <v>0</v>
      </c>
      <c r="Z2330" s="54">
        <f t="shared" si="659"/>
        <v>0</v>
      </c>
      <c r="AA2330" s="54">
        <f t="shared" si="656"/>
        <v>0</v>
      </c>
      <c r="AB2330" s="55">
        <f t="shared" si="661"/>
        <v>0</v>
      </c>
      <c r="AC2330" s="55">
        <f t="shared" si="657"/>
        <v>0</v>
      </c>
      <c r="AD2330" s="56">
        <f t="shared" si="658"/>
        <v>4356</v>
      </c>
    </row>
    <row r="2331" spans="3:30">
      <c r="C2331" s="43" t="s">
        <v>4329</v>
      </c>
      <c r="D2331" s="44" t="s">
        <v>4330</v>
      </c>
      <c r="E2331" s="44"/>
      <c r="F2331" s="45">
        <v>43208.153923611106</v>
      </c>
      <c r="G2331" s="46">
        <v>5</v>
      </c>
      <c r="H2331" s="47">
        <v>43390</v>
      </c>
      <c r="I2331" s="47">
        <v>43454</v>
      </c>
      <c r="J2331" s="46">
        <v>1170620</v>
      </c>
      <c r="K2331" s="46">
        <v>0</v>
      </c>
      <c r="L2331" s="46">
        <v>0</v>
      </c>
      <c r="M2331" s="46">
        <f t="shared" si="647"/>
        <v>1170620</v>
      </c>
      <c r="N2331" s="46">
        <v>1723282</v>
      </c>
      <c r="O2331" s="48">
        <f t="shared" si="648"/>
        <v>0.32070316988165604</v>
      </c>
      <c r="P2331" s="46">
        <v>0</v>
      </c>
      <c r="Q2331" s="46">
        <v>1170620</v>
      </c>
      <c r="R2331" s="49">
        <f t="shared" si="649"/>
        <v>1</v>
      </c>
      <c r="S2331" s="50">
        <f t="shared" si="650"/>
        <v>0.01</v>
      </c>
      <c r="T2331" s="49">
        <f t="shared" si="651"/>
        <v>11706.2</v>
      </c>
      <c r="U2331" s="51">
        <f t="shared" si="652"/>
        <v>0</v>
      </c>
      <c r="V2331" s="52">
        <f>IF(0&lt;0.8,0,IF(0&lt;1,Sheet3!L561,1))*IF(G2331&lt;3,0.12 - O2331,0.01) *U2331</f>
        <v>0</v>
      </c>
      <c r="W2331" s="52">
        <f t="shared" si="653"/>
        <v>0</v>
      </c>
      <c r="X2331" s="53">
        <f t="shared" si="654"/>
        <v>0</v>
      </c>
      <c r="Y2331" s="53">
        <f t="shared" si="655"/>
        <v>0</v>
      </c>
      <c r="Z2331" s="54">
        <f t="shared" si="659"/>
        <v>0</v>
      </c>
      <c r="AA2331" s="54">
        <f t="shared" si="656"/>
        <v>0</v>
      </c>
      <c r="AB2331" s="55">
        <f t="shared" si="661"/>
        <v>0</v>
      </c>
      <c r="AC2331" s="55">
        <f t="shared" si="657"/>
        <v>0</v>
      </c>
      <c r="AD2331" s="56">
        <f t="shared" si="658"/>
        <v>11706.2</v>
      </c>
    </row>
    <row r="2332" spans="3:30">
      <c r="C2332" s="43" t="s">
        <v>4331</v>
      </c>
      <c r="D2332" s="44" t="s">
        <v>4332</v>
      </c>
      <c r="E2332" s="44"/>
      <c r="F2332" s="45">
        <v>43223.326886574076</v>
      </c>
      <c r="G2332" s="46">
        <v>4</v>
      </c>
      <c r="H2332" s="47">
        <v>43390</v>
      </c>
      <c r="I2332" s="47">
        <v>43388</v>
      </c>
      <c r="J2332" s="46">
        <v>259666</v>
      </c>
      <c r="K2332" s="46">
        <v>0</v>
      </c>
      <c r="L2332" s="46">
        <v>0</v>
      </c>
      <c r="M2332" s="46">
        <f t="shared" si="647"/>
        <v>259666</v>
      </c>
      <c r="N2332" s="46">
        <v>259666</v>
      </c>
      <c r="O2332" s="48">
        <f t="shared" si="648"/>
        <v>0</v>
      </c>
      <c r="P2332" s="46">
        <v>0</v>
      </c>
      <c r="Q2332" s="46">
        <v>259666</v>
      </c>
      <c r="R2332" s="49">
        <f t="shared" si="649"/>
        <v>1</v>
      </c>
      <c r="S2332" s="50">
        <f t="shared" si="650"/>
        <v>0.01</v>
      </c>
      <c r="T2332" s="49">
        <f t="shared" si="651"/>
        <v>2596.66</v>
      </c>
      <c r="U2332" s="51">
        <f t="shared" si="652"/>
        <v>0</v>
      </c>
      <c r="V2332" s="52">
        <f>IF(0&lt;0.8,0,IF(0&lt;1,Sheet3!L561,1))*IF(G2332&lt;3,0.12 - O2332,0.01) *U2332</f>
        <v>0</v>
      </c>
      <c r="W2332" s="52">
        <f t="shared" si="653"/>
        <v>0</v>
      </c>
      <c r="X2332" s="53">
        <f t="shared" si="654"/>
        <v>0</v>
      </c>
      <c r="Y2332" s="53">
        <f t="shared" si="655"/>
        <v>0</v>
      </c>
      <c r="Z2332" s="54">
        <f t="shared" si="659"/>
        <v>0</v>
      </c>
      <c r="AA2332" s="54">
        <f t="shared" si="656"/>
        <v>0</v>
      </c>
      <c r="AB2332" s="55">
        <f t="shared" si="661"/>
        <v>0</v>
      </c>
      <c r="AC2332" s="55">
        <f t="shared" si="657"/>
        <v>0</v>
      </c>
      <c r="AD2332" s="56">
        <f t="shared" si="658"/>
        <v>2596.66</v>
      </c>
    </row>
    <row r="2333" spans="3:30">
      <c r="C2333" s="43" t="s">
        <v>4333</v>
      </c>
      <c r="D2333" s="44" t="s">
        <v>4334</v>
      </c>
      <c r="E2333" s="44"/>
      <c r="F2333" s="45">
        <v>43264.148726851847</v>
      </c>
      <c r="G2333" s="46">
        <v>3</v>
      </c>
      <c r="H2333" s="47">
        <v>43385</v>
      </c>
      <c r="I2333" s="47">
        <v>43403</v>
      </c>
      <c r="J2333" s="46">
        <v>37268</v>
      </c>
      <c r="K2333" s="46">
        <v>0</v>
      </c>
      <c r="L2333" s="46">
        <v>0</v>
      </c>
      <c r="M2333" s="46">
        <f t="shared" si="647"/>
        <v>37268</v>
      </c>
      <c r="N2333" s="46">
        <v>37268</v>
      </c>
      <c r="O2333" s="48">
        <f t="shared" si="648"/>
        <v>0</v>
      </c>
      <c r="P2333" s="46">
        <v>0</v>
      </c>
      <c r="Q2333" s="46">
        <v>0</v>
      </c>
      <c r="R2333" s="49">
        <f t="shared" si="649"/>
        <v>1</v>
      </c>
      <c r="S2333" s="50">
        <f t="shared" si="650"/>
        <v>0.01</v>
      </c>
      <c r="T2333" s="49">
        <f t="shared" si="651"/>
        <v>372.68</v>
      </c>
      <c r="U2333" s="51">
        <f t="shared" si="652"/>
        <v>0</v>
      </c>
      <c r="V2333" s="52">
        <f>IF(0&lt;0.8,0,IF(0&lt;1,Sheet3!L561,1))*IF(G2333&lt;3,0.12 - O2333,0.01) *U2333</f>
        <v>0</v>
      </c>
      <c r="W2333" s="52">
        <f t="shared" si="653"/>
        <v>0</v>
      </c>
      <c r="X2333" s="53">
        <f t="shared" si="654"/>
        <v>0</v>
      </c>
      <c r="Y2333" s="53">
        <f t="shared" si="655"/>
        <v>0</v>
      </c>
      <c r="Z2333" s="54">
        <f t="shared" si="659"/>
        <v>0</v>
      </c>
      <c r="AA2333" s="54">
        <f t="shared" si="656"/>
        <v>0</v>
      </c>
      <c r="AB2333" s="55">
        <f t="shared" si="661"/>
        <v>0</v>
      </c>
      <c r="AC2333" s="55">
        <f t="shared" si="657"/>
        <v>0</v>
      </c>
      <c r="AD2333" s="56">
        <f t="shared" si="658"/>
        <v>372.68</v>
      </c>
    </row>
    <row r="2334" spans="3:30">
      <c r="C2334" s="43" t="s">
        <v>4335</v>
      </c>
      <c r="D2334" s="44" t="s">
        <v>4336</v>
      </c>
      <c r="E2334" s="44"/>
      <c r="F2334" s="45">
        <v>43368.183472222219</v>
      </c>
      <c r="G2334" s="46">
        <v>0</v>
      </c>
      <c r="H2334" s="47">
        <v>43385</v>
      </c>
      <c r="I2334" s="47">
        <v>43403</v>
      </c>
      <c r="J2334" s="46">
        <v>61831</v>
      </c>
      <c r="K2334" s="46">
        <v>0</v>
      </c>
      <c r="L2334" s="46">
        <v>0</v>
      </c>
      <c r="M2334" s="46">
        <f t="shared" si="647"/>
        <v>61831</v>
      </c>
      <c r="N2334" s="46">
        <v>61831</v>
      </c>
      <c r="O2334" s="48">
        <f t="shared" si="648"/>
        <v>0</v>
      </c>
      <c r="P2334" s="46">
        <v>0</v>
      </c>
      <c r="Q2334" s="46">
        <v>0</v>
      </c>
      <c r="R2334" s="49">
        <f t="shared" si="649"/>
        <v>0</v>
      </c>
      <c r="S2334" s="50">
        <f t="shared" si="650"/>
        <v>0</v>
      </c>
      <c r="T2334" s="49">
        <f t="shared" si="651"/>
        <v>0</v>
      </c>
      <c r="U2334" s="51">
        <f t="shared" si="652"/>
        <v>61831</v>
      </c>
      <c r="V2334" s="52">
        <f>IF(0&lt;0.8,0,IF(0&lt;1,Sheet3!L561,1))*IF(G2334&lt;3,0.12 - O2334,0.01) *U2334</f>
        <v>0</v>
      </c>
      <c r="W2334" s="52">
        <f t="shared" si="653"/>
        <v>0</v>
      </c>
      <c r="X2334" s="53">
        <f t="shared" si="654"/>
        <v>0</v>
      </c>
      <c r="Y2334" s="53">
        <f t="shared" si="655"/>
        <v>0</v>
      </c>
      <c r="Z2334" s="54">
        <f t="shared" si="659"/>
        <v>0</v>
      </c>
      <c r="AA2334" s="54">
        <f t="shared" si="656"/>
        <v>0</v>
      </c>
      <c r="AB2334" s="55">
        <f t="shared" si="661"/>
        <v>0</v>
      </c>
      <c r="AC2334" s="55">
        <f t="shared" si="657"/>
        <v>0</v>
      </c>
      <c r="AD2334" s="56">
        <f t="shared" si="658"/>
        <v>0</v>
      </c>
    </row>
    <row r="2335" spans="3:30">
      <c r="C2335" s="43" t="s">
        <v>4337</v>
      </c>
      <c r="D2335" s="44" t="s">
        <v>4338</v>
      </c>
      <c r="E2335" s="44"/>
      <c r="F2335" s="45">
        <v>43369.363761574074</v>
      </c>
      <c r="G2335" s="46">
        <v>0</v>
      </c>
      <c r="H2335" s="47">
        <v>43393</v>
      </c>
      <c r="I2335" s="47">
        <v>43439</v>
      </c>
      <c r="J2335" s="46">
        <v>1081526</v>
      </c>
      <c r="K2335" s="46">
        <v>0</v>
      </c>
      <c r="L2335" s="46">
        <v>0</v>
      </c>
      <c r="M2335" s="46">
        <f t="shared" si="647"/>
        <v>1081526</v>
      </c>
      <c r="N2335" s="46">
        <v>1081526</v>
      </c>
      <c r="O2335" s="48">
        <f t="shared" si="648"/>
        <v>0</v>
      </c>
      <c r="P2335" s="46">
        <v>0</v>
      </c>
      <c r="Q2335" s="46">
        <v>0</v>
      </c>
      <c r="R2335" s="49">
        <f t="shared" si="649"/>
        <v>0</v>
      </c>
      <c r="S2335" s="50">
        <f t="shared" si="650"/>
        <v>0</v>
      </c>
      <c r="T2335" s="49">
        <f t="shared" si="651"/>
        <v>0</v>
      </c>
      <c r="U2335" s="51">
        <f t="shared" si="652"/>
        <v>1081526</v>
      </c>
      <c r="V2335" s="52">
        <f>IF(0&lt;0.8,0,IF(0&lt;1,Sheet3!L561,1))*IF(G2335&lt;3,0.12 - O2335,0.01) *U2335</f>
        <v>0</v>
      </c>
      <c r="W2335" s="52">
        <f t="shared" si="653"/>
        <v>0</v>
      </c>
      <c r="X2335" s="53">
        <f t="shared" si="654"/>
        <v>0</v>
      </c>
      <c r="Y2335" s="53">
        <f t="shared" si="655"/>
        <v>0</v>
      </c>
      <c r="Z2335" s="54">
        <f t="shared" si="659"/>
        <v>0</v>
      </c>
      <c r="AA2335" s="54">
        <f t="shared" si="656"/>
        <v>0</v>
      </c>
      <c r="AB2335" s="55">
        <f t="shared" si="661"/>
        <v>0</v>
      </c>
      <c r="AC2335" s="55">
        <f t="shared" si="657"/>
        <v>0</v>
      </c>
      <c r="AD2335" s="56">
        <f t="shared" si="658"/>
        <v>0</v>
      </c>
    </row>
    <row r="2336" spans="3:30">
      <c r="C2336" s="43" t="s">
        <v>4339</v>
      </c>
      <c r="D2336" s="44" t="s">
        <v>4340</v>
      </c>
      <c r="E2336" s="44"/>
      <c r="F2336" s="45">
        <v>38960.63853009259</v>
      </c>
      <c r="G2336" s="46">
        <v>145</v>
      </c>
      <c r="H2336" s="47">
        <v>43393</v>
      </c>
      <c r="I2336" s="47">
        <v>43431</v>
      </c>
      <c r="J2336" s="46">
        <v>3872000</v>
      </c>
      <c r="K2336" s="46">
        <v>0</v>
      </c>
      <c r="L2336" s="46">
        <v>0</v>
      </c>
      <c r="M2336" s="46">
        <f t="shared" si="647"/>
        <v>3872000</v>
      </c>
      <c r="N2336" s="46">
        <v>3799497</v>
      </c>
      <c r="O2336" s="48">
        <f t="shared" si="648"/>
        <v>0</v>
      </c>
      <c r="P2336" s="46">
        <v>0</v>
      </c>
      <c r="Q2336" s="46">
        <v>3872000</v>
      </c>
      <c r="R2336" s="49">
        <f t="shared" si="649"/>
        <v>1</v>
      </c>
      <c r="S2336" s="50">
        <f t="shared" si="650"/>
        <v>0.01</v>
      </c>
      <c r="T2336" s="49">
        <f t="shared" si="651"/>
        <v>38720</v>
      </c>
      <c r="U2336" s="51">
        <f t="shared" si="652"/>
        <v>0</v>
      </c>
      <c r="V2336" s="52">
        <f>IF(0&lt;0.8,0,IF(0&lt;1,Sheet3!L561,1))*IF(G2336&lt;3,0.12 - O2336,0.01) *U2336</f>
        <v>0</v>
      </c>
      <c r="W2336" s="52">
        <f t="shared" si="653"/>
        <v>0</v>
      </c>
      <c r="X2336" s="53">
        <f t="shared" si="654"/>
        <v>0</v>
      </c>
      <c r="Y2336" s="53">
        <f t="shared" si="655"/>
        <v>0</v>
      </c>
      <c r="Z2336" s="54">
        <f t="shared" si="659"/>
        <v>0</v>
      </c>
      <c r="AA2336" s="54">
        <f t="shared" si="656"/>
        <v>0</v>
      </c>
      <c r="AB2336" s="55">
        <f t="shared" si="661"/>
        <v>0</v>
      </c>
      <c r="AC2336" s="55">
        <f t="shared" si="657"/>
        <v>0</v>
      </c>
      <c r="AD2336" s="56">
        <f t="shared" si="658"/>
        <v>38720</v>
      </c>
    </row>
    <row r="2337" spans="3:30">
      <c r="C2337" s="43" t="s">
        <v>4341</v>
      </c>
      <c r="D2337" s="44" t="s">
        <v>4342</v>
      </c>
      <c r="E2337" s="44"/>
      <c r="F2337" s="45">
        <v>39630.766250000001</v>
      </c>
      <c r="G2337" s="46">
        <v>122</v>
      </c>
      <c r="H2337" s="47">
        <v>43388</v>
      </c>
      <c r="I2337" s="47">
        <v>43432</v>
      </c>
      <c r="J2337" s="46">
        <v>48451967</v>
      </c>
      <c r="K2337" s="46">
        <v>0</v>
      </c>
      <c r="L2337" s="46">
        <v>0</v>
      </c>
      <c r="M2337" s="46">
        <f t="shared" si="647"/>
        <v>48451967</v>
      </c>
      <c r="N2337" s="46">
        <v>87977333</v>
      </c>
      <c r="O2337" s="48">
        <f t="shared" si="648"/>
        <v>0.44926760851002379</v>
      </c>
      <c r="P2337" s="46">
        <v>0</v>
      </c>
      <c r="Q2337" s="46">
        <v>48451967</v>
      </c>
      <c r="R2337" s="49">
        <f t="shared" si="649"/>
        <v>1</v>
      </c>
      <c r="S2337" s="50">
        <f t="shared" si="650"/>
        <v>0.01</v>
      </c>
      <c r="T2337" s="49">
        <f t="shared" si="651"/>
        <v>484519.67</v>
      </c>
      <c r="U2337" s="51">
        <f t="shared" si="652"/>
        <v>0</v>
      </c>
      <c r="V2337" s="52">
        <f>IF(0&lt;0.8,0,IF(0&lt;1,Sheet3!L561,1))*IF(G2337&lt;3,0.12 - O2337,0.01) *U2337</f>
        <v>0</v>
      </c>
      <c r="W2337" s="52">
        <f t="shared" si="653"/>
        <v>0</v>
      </c>
      <c r="X2337" s="53">
        <f t="shared" si="654"/>
        <v>0</v>
      </c>
      <c r="Y2337" s="53">
        <f t="shared" si="655"/>
        <v>0</v>
      </c>
      <c r="Z2337" s="54">
        <f t="shared" si="659"/>
        <v>0</v>
      </c>
      <c r="AA2337" s="54">
        <f t="shared" si="656"/>
        <v>0</v>
      </c>
      <c r="AB2337" s="55">
        <f t="shared" si="661"/>
        <v>0</v>
      </c>
      <c r="AC2337" s="55">
        <f t="shared" si="657"/>
        <v>0</v>
      </c>
      <c r="AD2337" s="56">
        <f t="shared" si="658"/>
        <v>484519.67</v>
      </c>
    </row>
    <row r="2338" spans="3:30">
      <c r="C2338" s="43" t="s">
        <v>4343</v>
      </c>
      <c r="D2338" s="44" t="s">
        <v>4344</v>
      </c>
      <c r="E2338" s="44"/>
      <c r="F2338" s="45">
        <v>39720.487488425926</v>
      </c>
      <c r="G2338" s="46">
        <v>120</v>
      </c>
      <c r="H2338" s="47">
        <v>43383</v>
      </c>
      <c r="I2338" s="47">
        <v>43390</v>
      </c>
      <c r="J2338" s="46">
        <v>3063629</v>
      </c>
      <c r="K2338" s="46">
        <v>0</v>
      </c>
      <c r="L2338" s="46">
        <v>0</v>
      </c>
      <c r="M2338" s="46">
        <f t="shared" si="647"/>
        <v>3063629</v>
      </c>
      <c r="N2338" s="46">
        <v>3063629</v>
      </c>
      <c r="O2338" s="48">
        <f t="shared" si="648"/>
        <v>0</v>
      </c>
      <c r="P2338" s="46">
        <v>0</v>
      </c>
      <c r="Q2338" s="46">
        <v>3063629</v>
      </c>
      <c r="R2338" s="49">
        <f t="shared" si="649"/>
        <v>1</v>
      </c>
      <c r="S2338" s="50">
        <f t="shared" si="650"/>
        <v>0.01</v>
      </c>
      <c r="T2338" s="49">
        <f t="shared" si="651"/>
        <v>30636.29</v>
      </c>
      <c r="U2338" s="51">
        <f t="shared" si="652"/>
        <v>0</v>
      </c>
      <c r="V2338" s="52">
        <f>IF(0&lt;0.8,0,IF(0&lt;1,Sheet3!L561,1))*IF(G2338&lt;3,0.12 - O2338,0.01) *U2338</f>
        <v>0</v>
      </c>
      <c r="W2338" s="52">
        <f t="shared" si="653"/>
        <v>0</v>
      </c>
      <c r="X2338" s="53">
        <f t="shared" si="654"/>
        <v>0</v>
      </c>
      <c r="Y2338" s="53">
        <f t="shared" si="655"/>
        <v>0</v>
      </c>
      <c r="Z2338" s="54">
        <f t="shared" si="659"/>
        <v>0</v>
      </c>
      <c r="AA2338" s="54">
        <f t="shared" si="656"/>
        <v>0</v>
      </c>
      <c r="AB2338" s="55">
        <f t="shared" si="661"/>
        <v>0</v>
      </c>
      <c r="AC2338" s="55">
        <f t="shared" si="657"/>
        <v>0</v>
      </c>
      <c r="AD2338" s="56">
        <f t="shared" si="658"/>
        <v>30636.29</v>
      </c>
    </row>
    <row r="2339" spans="3:30">
      <c r="C2339" s="43" t="s">
        <v>4345</v>
      </c>
      <c r="D2339" s="44" t="s">
        <v>4346</v>
      </c>
      <c r="E2339" s="44"/>
      <c r="F2339" s="45">
        <v>39917.392118055555</v>
      </c>
      <c r="G2339" s="46">
        <v>113</v>
      </c>
      <c r="H2339" s="47">
        <v>43383</v>
      </c>
      <c r="I2339" s="47">
        <v>43400</v>
      </c>
      <c r="J2339" s="46">
        <v>520905</v>
      </c>
      <c r="K2339" s="46">
        <v>0</v>
      </c>
      <c r="L2339" s="46">
        <v>0</v>
      </c>
      <c r="M2339" s="46">
        <f t="shared" si="647"/>
        <v>520905</v>
      </c>
      <c r="N2339" s="46">
        <v>434269</v>
      </c>
      <c r="O2339" s="48">
        <f t="shared" si="648"/>
        <v>0</v>
      </c>
      <c r="P2339" s="46">
        <v>0</v>
      </c>
      <c r="Q2339" s="46">
        <v>520905</v>
      </c>
      <c r="R2339" s="49">
        <f t="shared" si="649"/>
        <v>1</v>
      </c>
      <c r="S2339" s="50">
        <f t="shared" si="650"/>
        <v>0.01</v>
      </c>
      <c r="T2339" s="49">
        <f t="shared" si="651"/>
        <v>5209.05</v>
      </c>
      <c r="U2339" s="51">
        <f t="shared" si="652"/>
        <v>0</v>
      </c>
      <c r="V2339" s="52">
        <f>IF(0&lt;0.8,0,IF(0&lt;1,Sheet3!L561,1))*IF(G2339&lt;3,0.12 - O2339,0.01) *U2339</f>
        <v>0</v>
      </c>
      <c r="W2339" s="52">
        <f t="shared" si="653"/>
        <v>0</v>
      </c>
      <c r="X2339" s="53">
        <f t="shared" si="654"/>
        <v>0</v>
      </c>
      <c r="Y2339" s="53">
        <f t="shared" si="655"/>
        <v>0</v>
      </c>
      <c r="Z2339" s="54">
        <f t="shared" si="659"/>
        <v>0</v>
      </c>
      <c r="AA2339" s="54">
        <f t="shared" si="656"/>
        <v>0</v>
      </c>
      <c r="AB2339" s="55">
        <f t="shared" si="661"/>
        <v>0</v>
      </c>
      <c r="AC2339" s="55">
        <f t="shared" si="657"/>
        <v>0</v>
      </c>
      <c r="AD2339" s="56">
        <f t="shared" si="658"/>
        <v>5209.05</v>
      </c>
    </row>
    <row r="2340" spans="3:30">
      <c r="C2340" s="43" t="s">
        <v>4347</v>
      </c>
      <c r="D2340" s="44" t="s">
        <v>4348</v>
      </c>
      <c r="E2340" s="44"/>
      <c r="F2340" s="45">
        <v>39920.597025462965</v>
      </c>
      <c r="G2340" s="46">
        <v>113</v>
      </c>
      <c r="H2340" s="47">
        <v>43390</v>
      </c>
      <c r="I2340" s="47">
        <v>43402</v>
      </c>
      <c r="J2340" s="46">
        <v>195657</v>
      </c>
      <c r="K2340" s="46">
        <v>0</v>
      </c>
      <c r="L2340" s="46">
        <v>0</v>
      </c>
      <c r="M2340" s="46">
        <f t="shared" si="647"/>
        <v>195657</v>
      </c>
      <c r="N2340" s="46">
        <v>195657</v>
      </c>
      <c r="O2340" s="48">
        <f t="shared" si="648"/>
        <v>0</v>
      </c>
      <c r="P2340" s="46">
        <v>0</v>
      </c>
      <c r="Q2340" s="46">
        <v>195657</v>
      </c>
      <c r="R2340" s="49">
        <f t="shared" si="649"/>
        <v>1</v>
      </c>
      <c r="S2340" s="50">
        <f t="shared" si="650"/>
        <v>0.01</v>
      </c>
      <c r="T2340" s="49">
        <f t="shared" si="651"/>
        <v>1956.57</v>
      </c>
      <c r="U2340" s="51">
        <f t="shared" si="652"/>
        <v>0</v>
      </c>
      <c r="V2340" s="52">
        <f>IF(0&lt;0.8,0,IF(0&lt;1,Sheet3!L561,1))*IF(G2340&lt;3,0.12 - O2340,0.01) *U2340</f>
        <v>0</v>
      </c>
      <c r="W2340" s="52">
        <f t="shared" si="653"/>
        <v>0</v>
      </c>
      <c r="X2340" s="53">
        <f t="shared" si="654"/>
        <v>0</v>
      </c>
      <c r="Y2340" s="53">
        <f t="shared" si="655"/>
        <v>0</v>
      </c>
      <c r="Z2340" s="54">
        <f t="shared" si="659"/>
        <v>0</v>
      </c>
      <c r="AA2340" s="54">
        <f t="shared" si="656"/>
        <v>0</v>
      </c>
      <c r="AB2340" s="55">
        <f t="shared" si="661"/>
        <v>0</v>
      </c>
      <c r="AC2340" s="55">
        <f t="shared" si="657"/>
        <v>0</v>
      </c>
      <c r="AD2340" s="56">
        <f t="shared" si="658"/>
        <v>1956.57</v>
      </c>
    </row>
    <row r="2341" spans="3:30">
      <c r="C2341" s="43" t="s">
        <v>4349</v>
      </c>
      <c r="D2341" s="44" t="s">
        <v>4350</v>
      </c>
      <c r="E2341" s="44"/>
      <c r="F2341" s="45">
        <v>40015.620057870372</v>
      </c>
      <c r="G2341" s="46">
        <v>110</v>
      </c>
      <c r="H2341" s="47">
        <v>43390</v>
      </c>
      <c r="I2341" s="47">
        <v>43439</v>
      </c>
      <c r="J2341" s="46">
        <v>777122</v>
      </c>
      <c r="K2341" s="46">
        <v>0</v>
      </c>
      <c r="L2341" s="46">
        <v>0</v>
      </c>
      <c r="M2341" s="46">
        <f t="shared" si="647"/>
        <v>777122</v>
      </c>
      <c r="N2341" s="46">
        <v>776336</v>
      </c>
      <c r="O2341" s="48">
        <f t="shared" si="648"/>
        <v>0</v>
      </c>
      <c r="P2341" s="46">
        <v>0</v>
      </c>
      <c r="Q2341" s="46">
        <v>777122</v>
      </c>
      <c r="R2341" s="49">
        <f t="shared" si="649"/>
        <v>1</v>
      </c>
      <c r="S2341" s="50">
        <f t="shared" si="650"/>
        <v>0.01</v>
      </c>
      <c r="T2341" s="49">
        <f t="shared" si="651"/>
        <v>7771.22</v>
      </c>
      <c r="U2341" s="51">
        <f t="shared" si="652"/>
        <v>0</v>
      </c>
      <c r="V2341" s="52">
        <f>IF(0&lt;0.8,0,IF(0&lt;1,Sheet3!L561,1))*IF(G2341&lt;3,0.12 - O2341,0.01) *U2341</f>
        <v>0</v>
      </c>
      <c r="W2341" s="52">
        <f t="shared" si="653"/>
        <v>0</v>
      </c>
      <c r="X2341" s="53">
        <f t="shared" si="654"/>
        <v>0</v>
      </c>
      <c r="Y2341" s="53">
        <f t="shared" si="655"/>
        <v>0</v>
      </c>
      <c r="Z2341" s="54">
        <f t="shared" si="659"/>
        <v>0</v>
      </c>
      <c r="AA2341" s="54">
        <f t="shared" si="656"/>
        <v>0</v>
      </c>
      <c r="AB2341" s="55">
        <f t="shared" si="661"/>
        <v>0</v>
      </c>
      <c r="AC2341" s="55">
        <f t="shared" si="657"/>
        <v>0</v>
      </c>
      <c r="AD2341" s="56">
        <f t="shared" si="658"/>
        <v>7771.22</v>
      </c>
    </row>
    <row r="2342" spans="3:30">
      <c r="C2342" s="43" t="s">
        <v>4351</v>
      </c>
      <c r="D2342" s="44" t="s">
        <v>4352</v>
      </c>
      <c r="E2342" s="44"/>
      <c r="F2342" s="45">
        <v>40210.676863425928</v>
      </c>
      <c r="G2342" s="46">
        <v>103</v>
      </c>
      <c r="H2342" s="47">
        <v>43376</v>
      </c>
      <c r="I2342" s="47">
        <v>43420</v>
      </c>
      <c r="J2342" s="46">
        <v>4196885</v>
      </c>
      <c r="K2342" s="46">
        <v>0</v>
      </c>
      <c r="L2342" s="46">
        <v>0</v>
      </c>
      <c r="M2342" s="46">
        <f t="shared" si="647"/>
        <v>4196885</v>
      </c>
      <c r="N2342" s="46">
        <v>4196885</v>
      </c>
      <c r="O2342" s="48">
        <f t="shared" si="648"/>
        <v>0</v>
      </c>
      <c r="P2342" s="46">
        <v>0</v>
      </c>
      <c r="Q2342" s="46">
        <v>4196885</v>
      </c>
      <c r="R2342" s="49">
        <f t="shared" si="649"/>
        <v>1</v>
      </c>
      <c r="S2342" s="50">
        <f t="shared" si="650"/>
        <v>0.01</v>
      </c>
      <c r="T2342" s="49">
        <f t="shared" si="651"/>
        <v>41968.85</v>
      </c>
      <c r="U2342" s="51">
        <f t="shared" si="652"/>
        <v>0</v>
      </c>
      <c r="V2342" s="52">
        <f>IF(0&lt;0.8,0,IF(0&lt;1,Sheet3!L561,1))*IF(G2342&lt;3,0.12 - O2342,0.01) *U2342</f>
        <v>0</v>
      </c>
      <c r="W2342" s="52">
        <f t="shared" si="653"/>
        <v>0</v>
      </c>
      <c r="X2342" s="53">
        <f t="shared" si="654"/>
        <v>0</v>
      </c>
      <c r="Y2342" s="53">
        <f t="shared" si="655"/>
        <v>0</v>
      </c>
      <c r="Z2342" s="54">
        <f t="shared" si="659"/>
        <v>0</v>
      </c>
      <c r="AA2342" s="54">
        <f t="shared" si="656"/>
        <v>0</v>
      </c>
      <c r="AB2342" s="55">
        <f t="shared" si="661"/>
        <v>0</v>
      </c>
      <c r="AC2342" s="55">
        <f t="shared" si="657"/>
        <v>0</v>
      </c>
      <c r="AD2342" s="56">
        <f t="shared" si="658"/>
        <v>41968.85</v>
      </c>
    </row>
    <row r="2343" spans="3:30">
      <c r="C2343" s="43" t="s">
        <v>4353</v>
      </c>
      <c r="D2343" s="44" t="s">
        <v>4354</v>
      </c>
      <c r="E2343" s="44"/>
      <c r="F2343" s="45">
        <v>40361.429085648146</v>
      </c>
      <c r="G2343" s="46">
        <v>98</v>
      </c>
      <c r="H2343" s="47">
        <v>43383</v>
      </c>
      <c r="I2343" s="47">
        <v>43391</v>
      </c>
      <c r="J2343" s="46">
        <v>412610</v>
      </c>
      <c r="K2343" s="46">
        <v>0</v>
      </c>
      <c r="L2343" s="46">
        <v>0</v>
      </c>
      <c r="M2343" s="46">
        <f t="shared" si="647"/>
        <v>412610</v>
      </c>
      <c r="N2343" s="46">
        <v>412610</v>
      </c>
      <c r="O2343" s="48">
        <f t="shared" si="648"/>
        <v>0</v>
      </c>
      <c r="P2343" s="46">
        <v>0</v>
      </c>
      <c r="Q2343" s="46">
        <v>412610</v>
      </c>
      <c r="R2343" s="49">
        <f t="shared" si="649"/>
        <v>1</v>
      </c>
      <c r="S2343" s="50">
        <f t="shared" si="650"/>
        <v>0.01</v>
      </c>
      <c r="T2343" s="49">
        <f t="shared" si="651"/>
        <v>4126.1000000000004</v>
      </c>
      <c r="U2343" s="51">
        <f t="shared" si="652"/>
        <v>0</v>
      </c>
      <c r="V2343" s="52">
        <f>IF(0&lt;0.8,0,IF(0&lt;1,Sheet3!L561,1))*IF(G2343&lt;3,0.12 - O2343,0.01) *U2343</f>
        <v>0</v>
      </c>
      <c r="W2343" s="52">
        <f t="shared" si="653"/>
        <v>0</v>
      </c>
      <c r="X2343" s="53">
        <f t="shared" si="654"/>
        <v>0</v>
      </c>
      <c r="Y2343" s="53">
        <f t="shared" si="655"/>
        <v>0</v>
      </c>
      <c r="Z2343" s="54">
        <f t="shared" si="659"/>
        <v>0</v>
      </c>
      <c r="AA2343" s="54">
        <f t="shared" si="656"/>
        <v>0</v>
      </c>
      <c r="AB2343" s="55">
        <f t="shared" si="661"/>
        <v>0</v>
      </c>
      <c r="AC2343" s="55">
        <f t="shared" si="657"/>
        <v>0</v>
      </c>
      <c r="AD2343" s="56">
        <f t="shared" si="658"/>
        <v>4126.1000000000004</v>
      </c>
    </row>
    <row r="2344" spans="3:30">
      <c r="C2344" s="43" t="s">
        <v>4355</v>
      </c>
      <c r="D2344" s="44" t="s">
        <v>4356</v>
      </c>
      <c r="E2344" s="44"/>
      <c r="F2344" s="45">
        <v>40704.627233796295</v>
      </c>
      <c r="G2344" s="46">
        <v>87</v>
      </c>
      <c r="H2344" s="47">
        <v>43388</v>
      </c>
      <c r="I2344" s="47">
        <v>43399</v>
      </c>
      <c r="J2344" s="46">
        <v>1464899</v>
      </c>
      <c r="K2344" s="46">
        <v>0</v>
      </c>
      <c r="L2344" s="46">
        <v>0</v>
      </c>
      <c r="M2344" s="46">
        <f t="shared" si="647"/>
        <v>1464899</v>
      </c>
      <c r="N2344" s="46">
        <v>1464899</v>
      </c>
      <c r="O2344" s="48">
        <f t="shared" si="648"/>
        <v>0</v>
      </c>
      <c r="P2344" s="46">
        <v>0</v>
      </c>
      <c r="Q2344" s="46">
        <v>1464899</v>
      </c>
      <c r="R2344" s="49">
        <f t="shared" si="649"/>
        <v>1</v>
      </c>
      <c r="S2344" s="50">
        <f t="shared" si="650"/>
        <v>0.01</v>
      </c>
      <c r="T2344" s="49">
        <f t="shared" si="651"/>
        <v>14648.99</v>
      </c>
      <c r="U2344" s="51">
        <f t="shared" si="652"/>
        <v>0</v>
      </c>
      <c r="V2344" s="52">
        <f>IF(0&lt;0.8,0,IF(0&lt;1,Sheet3!L561,1))*IF(G2344&lt;3,0.12 - O2344,0.01) *U2344</f>
        <v>0</v>
      </c>
      <c r="W2344" s="52">
        <f t="shared" si="653"/>
        <v>0</v>
      </c>
      <c r="X2344" s="53">
        <f t="shared" si="654"/>
        <v>0</v>
      </c>
      <c r="Y2344" s="53">
        <f t="shared" si="655"/>
        <v>0</v>
      </c>
      <c r="Z2344" s="54">
        <f t="shared" si="659"/>
        <v>0</v>
      </c>
      <c r="AA2344" s="54">
        <f t="shared" si="656"/>
        <v>0</v>
      </c>
      <c r="AB2344" s="55">
        <f t="shared" si="661"/>
        <v>0</v>
      </c>
      <c r="AC2344" s="55">
        <f t="shared" si="657"/>
        <v>0</v>
      </c>
      <c r="AD2344" s="56">
        <f t="shared" si="658"/>
        <v>14648.99</v>
      </c>
    </row>
    <row r="2345" spans="3:30">
      <c r="C2345" s="43" t="s">
        <v>4357</v>
      </c>
      <c r="D2345" s="44" t="s">
        <v>4358</v>
      </c>
      <c r="E2345" s="44"/>
      <c r="F2345" s="45">
        <v>40715.592407407406</v>
      </c>
      <c r="G2345" s="46">
        <v>87</v>
      </c>
      <c r="H2345" s="47">
        <v>43383</v>
      </c>
      <c r="I2345" s="47">
        <v>43389</v>
      </c>
      <c r="J2345" s="46">
        <v>85184</v>
      </c>
      <c r="K2345" s="46">
        <v>0</v>
      </c>
      <c r="L2345" s="46">
        <v>0</v>
      </c>
      <c r="M2345" s="46">
        <f t="shared" si="647"/>
        <v>85184</v>
      </c>
      <c r="N2345" s="46">
        <v>85184</v>
      </c>
      <c r="O2345" s="48">
        <f t="shared" si="648"/>
        <v>0</v>
      </c>
      <c r="P2345" s="46">
        <v>0</v>
      </c>
      <c r="Q2345" s="46">
        <v>85184</v>
      </c>
      <c r="R2345" s="49">
        <f t="shared" si="649"/>
        <v>1</v>
      </c>
      <c r="S2345" s="50">
        <f t="shared" si="650"/>
        <v>0.01</v>
      </c>
      <c r="T2345" s="49">
        <f t="shared" si="651"/>
        <v>851.84</v>
      </c>
      <c r="U2345" s="51">
        <f t="shared" si="652"/>
        <v>0</v>
      </c>
      <c r="V2345" s="52">
        <f>IF(0&lt;0.8,0,IF(0&lt;1,Sheet3!L561,1))*IF(G2345&lt;3,0.12 - O2345,0.01) *U2345</f>
        <v>0</v>
      </c>
      <c r="W2345" s="52">
        <f t="shared" si="653"/>
        <v>0</v>
      </c>
      <c r="X2345" s="53">
        <f t="shared" si="654"/>
        <v>0</v>
      </c>
      <c r="Y2345" s="53">
        <f t="shared" si="655"/>
        <v>0</v>
      </c>
      <c r="Z2345" s="54">
        <f t="shared" si="659"/>
        <v>0</v>
      </c>
      <c r="AA2345" s="54">
        <f t="shared" si="656"/>
        <v>0</v>
      </c>
      <c r="AB2345" s="55">
        <f t="shared" si="661"/>
        <v>0</v>
      </c>
      <c r="AC2345" s="55">
        <f t="shared" si="657"/>
        <v>0</v>
      </c>
      <c r="AD2345" s="56">
        <f t="shared" si="658"/>
        <v>851.84</v>
      </c>
    </row>
    <row r="2346" spans="3:30">
      <c r="C2346" s="43" t="s">
        <v>4359</v>
      </c>
      <c r="D2346" s="44" t="s">
        <v>4360</v>
      </c>
      <c r="E2346" s="44"/>
      <c r="F2346" s="45">
        <v>40737.432546296295</v>
      </c>
      <c r="G2346" s="46">
        <v>86</v>
      </c>
      <c r="H2346" s="47">
        <v>43383</v>
      </c>
      <c r="I2346" s="47">
        <v>43389</v>
      </c>
      <c r="J2346" s="46">
        <v>1171159</v>
      </c>
      <c r="K2346" s="46">
        <v>0</v>
      </c>
      <c r="L2346" s="46">
        <v>0</v>
      </c>
      <c r="M2346" s="46">
        <f t="shared" si="647"/>
        <v>1171159</v>
      </c>
      <c r="N2346" s="46">
        <v>1171159</v>
      </c>
      <c r="O2346" s="48">
        <f t="shared" si="648"/>
        <v>0</v>
      </c>
      <c r="P2346" s="46">
        <v>0</v>
      </c>
      <c r="Q2346" s="46">
        <v>1171159</v>
      </c>
      <c r="R2346" s="49">
        <f t="shared" si="649"/>
        <v>1</v>
      </c>
      <c r="S2346" s="50">
        <f t="shared" si="650"/>
        <v>0.01</v>
      </c>
      <c r="T2346" s="49">
        <f t="shared" si="651"/>
        <v>11711.59</v>
      </c>
      <c r="U2346" s="51">
        <f t="shared" si="652"/>
        <v>0</v>
      </c>
      <c r="V2346" s="52">
        <f>IF(0&lt;0.8,0,IF(0&lt;1,Sheet3!L561,1))*IF(G2346&lt;3,0.12 - O2346,0.01) *U2346</f>
        <v>0</v>
      </c>
      <c r="W2346" s="52">
        <f t="shared" si="653"/>
        <v>0</v>
      </c>
      <c r="X2346" s="53">
        <f t="shared" si="654"/>
        <v>0</v>
      </c>
      <c r="Y2346" s="53">
        <f t="shared" si="655"/>
        <v>0</v>
      </c>
      <c r="Z2346" s="54">
        <f t="shared" si="659"/>
        <v>0</v>
      </c>
      <c r="AA2346" s="54">
        <f t="shared" si="656"/>
        <v>0</v>
      </c>
      <c r="AB2346" s="55">
        <f t="shared" si="661"/>
        <v>0</v>
      </c>
      <c r="AC2346" s="55">
        <f t="shared" si="657"/>
        <v>0</v>
      </c>
      <c r="AD2346" s="56">
        <f t="shared" si="658"/>
        <v>11711.59</v>
      </c>
    </row>
    <row r="2347" spans="3:30">
      <c r="C2347" s="43" t="s">
        <v>4361</v>
      </c>
      <c r="D2347" s="44" t="s">
        <v>4362</v>
      </c>
      <c r="E2347" s="44"/>
      <c r="F2347" s="45">
        <v>41002.366307870368</v>
      </c>
      <c r="G2347" s="46">
        <v>77</v>
      </c>
      <c r="H2347" s="47">
        <v>43376</v>
      </c>
      <c r="I2347" s="47">
        <v>43392</v>
      </c>
      <c r="J2347" s="46">
        <v>11154199</v>
      </c>
      <c r="K2347" s="46">
        <v>0</v>
      </c>
      <c r="L2347" s="46">
        <v>0</v>
      </c>
      <c r="M2347" s="46">
        <f t="shared" si="647"/>
        <v>11154199</v>
      </c>
      <c r="N2347" s="46">
        <v>11141925</v>
      </c>
      <c r="O2347" s="48">
        <f t="shared" si="648"/>
        <v>0</v>
      </c>
      <c r="P2347" s="46">
        <v>0</v>
      </c>
      <c r="Q2347" s="46">
        <v>11154199</v>
      </c>
      <c r="R2347" s="49">
        <f t="shared" si="649"/>
        <v>1</v>
      </c>
      <c r="S2347" s="50">
        <f t="shared" si="650"/>
        <v>0.01</v>
      </c>
      <c r="T2347" s="49">
        <f t="shared" si="651"/>
        <v>111541.99</v>
      </c>
      <c r="U2347" s="51">
        <f t="shared" si="652"/>
        <v>0</v>
      </c>
      <c r="V2347" s="52">
        <f>IF(0&lt;0.8,0,IF(0&lt;1,Sheet3!L561,1))*IF(G2347&lt;3,0.12 - O2347,0.01) *U2347</f>
        <v>0</v>
      </c>
      <c r="W2347" s="52">
        <f t="shared" si="653"/>
        <v>0</v>
      </c>
      <c r="X2347" s="53">
        <f t="shared" si="654"/>
        <v>0</v>
      </c>
      <c r="Y2347" s="53">
        <f t="shared" si="655"/>
        <v>0</v>
      </c>
      <c r="Z2347" s="54">
        <f t="shared" si="659"/>
        <v>0</v>
      </c>
      <c r="AA2347" s="54">
        <f t="shared" si="656"/>
        <v>0</v>
      </c>
      <c r="AB2347" s="55">
        <f t="shared" si="661"/>
        <v>0</v>
      </c>
      <c r="AC2347" s="55">
        <f t="shared" si="657"/>
        <v>0</v>
      </c>
      <c r="AD2347" s="56">
        <f t="shared" si="658"/>
        <v>111541.99</v>
      </c>
    </row>
    <row r="2348" spans="3:30">
      <c r="C2348" s="43" t="s">
        <v>4363</v>
      </c>
      <c r="D2348" s="44" t="s">
        <v>4364</v>
      </c>
      <c r="E2348" s="44"/>
      <c r="F2348" s="45">
        <v>41173.398645833331</v>
      </c>
      <c r="G2348" s="46">
        <v>72</v>
      </c>
      <c r="H2348" s="47">
        <v>43383</v>
      </c>
      <c r="I2348" s="47">
        <v>43389</v>
      </c>
      <c r="J2348" s="46">
        <v>541233</v>
      </c>
      <c r="K2348" s="46">
        <v>0</v>
      </c>
      <c r="L2348" s="46">
        <v>0</v>
      </c>
      <c r="M2348" s="46">
        <f t="shared" si="647"/>
        <v>541233</v>
      </c>
      <c r="N2348" s="46">
        <v>541233</v>
      </c>
      <c r="O2348" s="48">
        <f t="shared" si="648"/>
        <v>0</v>
      </c>
      <c r="P2348" s="46">
        <v>0</v>
      </c>
      <c r="Q2348" s="46">
        <v>541233</v>
      </c>
      <c r="R2348" s="49">
        <f t="shared" si="649"/>
        <v>1</v>
      </c>
      <c r="S2348" s="50">
        <f t="shared" si="650"/>
        <v>0.01</v>
      </c>
      <c r="T2348" s="49">
        <f t="shared" si="651"/>
        <v>5412.33</v>
      </c>
      <c r="U2348" s="51">
        <f t="shared" si="652"/>
        <v>0</v>
      </c>
      <c r="V2348" s="52">
        <f>IF(0&lt;0.8,0,IF(0&lt;1,Sheet3!L561,1))*IF(G2348&lt;3,0.12 - O2348,0.01) *U2348</f>
        <v>0</v>
      </c>
      <c r="W2348" s="52">
        <f t="shared" si="653"/>
        <v>0</v>
      </c>
      <c r="X2348" s="53">
        <f t="shared" si="654"/>
        <v>0</v>
      </c>
      <c r="Y2348" s="53">
        <f t="shared" si="655"/>
        <v>0</v>
      </c>
      <c r="Z2348" s="54">
        <f t="shared" si="659"/>
        <v>0</v>
      </c>
      <c r="AA2348" s="54">
        <f t="shared" si="656"/>
        <v>0</v>
      </c>
      <c r="AB2348" s="55">
        <f t="shared" si="661"/>
        <v>0</v>
      </c>
      <c r="AC2348" s="55">
        <f t="shared" si="657"/>
        <v>0</v>
      </c>
      <c r="AD2348" s="56">
        <f t="shared" si="658"/>
        <v>5412.33</v>
      </c>
    </row>
    <row r="2349" spans="3:30">
      <c r="C2349" s="43" t="s">
        <v>4365</v>
      </c>
      <c r="D2349" s="44" t="s">
        <v>4366</v>
      </c>
      <c r="E2349" s="44"/>
      <c r="F2349" s="45">
        <v>41334.608958333331</v>
      </c>
      <c r="G2349" s="46">
        <v>66</v>
      </c>
      <c r="H2349" s="47">
        <v>43383</v>
      </c>
      <c r="I2349" s="47">
        <v>43390</v>
      </c>
      <c r="J2349" s="46">
        <v>766971</v>
      </c>
      <c r="K2349" s="46">
        <v>0</v>
      </c>
      <c r="L2349" s="46">
        <v>0</v>
      </c>
      <c r="M2349" s="46">
        <f t="shared" si="647"/>
        <v>766971</v>
      </c>
      <c r="N2349" s="46">
        <v>766971</v>
      </c>
      <c r="O2349" s="48">
        <f t="shared" si="648"/>
        <v>0</v>
      </c>
      <c r="P2349" s="46">
        <v>0</v>
      </c>
      <c r="Q2349" s="46">
        <v>766971</v>
      </c>
      <c r="R2349" s="49">
        <f t="shared" si="649"/>
        <v>1</v>
      </c>
      <c r="S2349" s="50">
        <f t="shared" si="650"/>
        <v>0.01</v>
      </c>
      <c r="T2349" s="49">
        <f t="shared" si="651"/>
        <v>7669.71</v>
      </c>
      <c r="U2349" s="51">
        <f t="shared" si="652"/>
        <v>0</v>
      </c>
      <c r="V2349" s="52">
        <f>IF(0&lt;0.8,0,IF(0&lt;1,Sheet3!L561,1))*IF(G2349&lt;3,0.12 - O2349,0.01) *U2349</f>
        <v>0</v>
      </c>
      <c r="W2349" s="52">
        <f t="shared" si="653"/>
        <v>0</v>
      </c>
      <c r="X2349" s="53">
        <f t="shared" si="654"/>
        <v>0</v>
      </c>
      <c r="Y2349" s="53">
        <f t="shared" si="655"/>
        <v>0</v>
      </c>
      <c r="Z2349" s="54">
        <f t="shared" si="659"/>
        <v>0</v>
      </c>
      <c r="AA2349" s="54">
        <f t="shared" si="656"/>
        <v>0</v>
      </c>
      <c r="AB2349" s="55">
        <f t="shared" si="661"/>
        <v>0</v>
      </c>
      <c r="AC2349" s="55">
        <f t="shared" si="657"/>
        <v>0</v>
      </c>
      <c r="AD2349" s="56">
        <f t="shared" si="658"/>
        <v>7669.71</v>
      </c>
    </row>
    <row r="2350" spans="3:30">
      <c r="C2350" s="43" t="s">
        <v>4367</v>
      </c>
      <c r="D2350" s="44" t="s">
        <v>4368</v>
      </c>
      <c r="E2350" s="44"/>
      <c r="F2350" s="45">
        <v>41460.465694444443</v>
      </c>
      <c r="G2350" s="46">
        <v>62</v>
      </c>
      <c r="H2350" s="47">
        <v>43383</v>
      </c>
      <c r="I2350" s="47">
        <v>43391</v>
      </c>
      <c r="J2350" s="46">
        <v>93170</v>
      </c>
      <c r="K2350" s="46">
        <v>0</v>
      </c>
      <c r="L2350" s="46">
        <v>0</v>
      </c>
      <c r="M2350" s="46">
        <f t="shared" si="647"/>
        <v>93170</v>
      </c>
      <c r="N2350" s="46">
        <v>93170</v>
      </c>
      <c r="O2350" s="48">
        <f t="shared" si="648"/>
        <v>0</v>
      </c>
      <c r="P2350" s="46">
        <v>0</v>
      </c>
      <c r="Q2350" s="46">
        <v>93170</v>
      </c>
      <c r="R2350" s="49">
        <f t="shared" si="649"/>
        <v>1</v>
      </c>
      <c r="S2350" s="50">
        <f t="shared" si="650"/>
        <v>0.01</v>
      </c>
      <c r="T2350" s="49">
        <f t="shared" si="651"/>
        <v>931.7</v>
      </c>
      <c r="U2350" s="51">
        <f t="shared" si="652"/>
        <v>0</v>
      </c>
      <c r="V2350" s="52">
        <f>IF(0&lt;0.8,0,IF(0&lt;1,Sheet3!L561,1))*IF(G2350&lt;3,0.12 - O2350,0.01) *U2350</f>
        <v>0</v>
      </c>
      <c r="W2350" s="52">
        <f t="shared" si="653"/>
        <v>0</v>
      </c>
      <c r="X2350" s="53">
        <f t="shared" si="654"/>
        <v>0</v>
      </c>
      <c r="Y2350" s="53">
        <f t="shared" si="655"/>
        <v>0</v>
      </c>
      <c r="Z2350" s="54">
        <f t="shared" si="659"/>
        <v>0</v>
      </c>
      <c r="AA2350" s="54">
        <f t="shared" si="656"/>
        <v>0</v>
      </c>
      <c r="AB2350" s="55">
        <f t="shared" si="661"/>
        <v>0</v>
      </c>
      <c r="AC2350" s="55">
        <f t="shared" si="657"/>
        <v>0</v>
      </c>
      <c r="AD2350" s="56">
        <f t="shared" si="658"/>
        <v>931.7</v>
      </c>
    </row>
    <row r="2351" spans="3:30">
      <c r="C2351" s="43" t="s">
        <v>4369</v>
      </c>
      <c r="D2351" s="44" t="s">
        <v>4370</v>
      </c>
      <c r="E2351" s="44"/>
      <c r="F2351" s="45">
        <v>41568.438414351847</v>
      </c>
      <c r="G2351" s="46">
        <v>59</v>
      </c>
      <c r="H2351" s="47">
        <v>43385</v>
      </c>
      <c r="I2351" s="47">
        <v>43403</v>
      </c>
      <c r="J2351" s="46">
        <v>20328</v>
      </c>
      <c r="K2351" s="46">
        <v>0</v>
      </c>
      <c r="L2351" s="46">
        <v>0</v>
      </c>
      <c r="M2351" s="46">
        <f t="shared" si="647"/>
        <v>20328</v>
      </c>
      <c r="N2351" s="46">
        <v>20328</v>
      </c>
      <c r="O2351" s="48">
        <f t="shared" si="648"/>
        <v>0</v>
      </c>
      <c r="P2351" s="46">
        <v>0</v>
      </c>
      <c r="Q2351" s="46">
        <v>20328</v>
      </c>
      <c r="R2351" s="49">
        <f t="shared" si="649"/>
        <v>1</v>
      </c>
      <c r="S2351" s="50">
        <f t="shared" si="650"/>
        <v>0.01</v>
      </c>
      <c r="T2351" s="49">
        <f t="shared" si="651"/>
        <v>203.28</v>
      </c>
      <c r="U2351" s="51">
        <f t="shared" si="652"/>
        <v>0</v>
      </c>
      <c r="V2351" s="52">
        <f>IF(0&lt;0.8,0,IF(0&lt;1,Sheet3!L561,1))*IF(G2351&lt;3,0.12 - O2351,0.01) *U2351</f>
        <v>0</v>
      </c>
      <c r="W2351" s="52">
        <f t="shared" si="653"/>
        <v>0</v>
      </c>
      <c r="X2351" s="53">
        <f t="shared" si="654"/>
        <v>0</v>
      </c>
      <c r="Y2351" s="53">
        <f t="shared" si="655"/>
        <v>0</v>
      </c>
      <c r="Z2351" s="54">
        <f t="shared" si="659"/>
        <v>0</v>
      </c>
      <c r="AA2351" s="54">
        <f t="shared" si="656"/>
        <v>0</v>
      </c>
      <c r="AB2351" s="55">
        <f t="shared" si="661"/>
        <v>0</v>
      </c>
      <c r="AC2351" s="55">
        <f t="shared" si="657"/>
        <v>0</v>
      </c>
      <c r="AD2351" s="56">
        <f t="shared" si="658"/>
        <v>203.28</v>
      </c>
    </row>
    <row r="2352" spans="3:30">
      <c r="C2352" s="43" t="s">
        <v>4371</v>
      </c>
      <c r="D2352" s="44" t="s">
        <v>4372</v>
      </c>
      <c r="E2352" s="44"/>
      <c r="F2352" s="45">
        <v>41751.651770833334</v>
      </c>
      <c r="G2352" s="46">
        <v>53</v>
      </c>
      <c r="H2352" s="47">
        <v>43388</v>
      </c>
      <c r="I2352" s="47">
        <v>43423</v>
      </c>
      <c r="J2352" s="46">
        <v>486372</v>
      </c>
      <c r="K2352" s="46">
        <v>0</v>
      </c>
      <c r="L2352" s="46">
        <v>0</v>
      </c>
      <c r="M2352" s="46">
        <f t="shared" si="647"/>
        <v>486372</v>
      </c>
      <c r="N2352" s="46">
        <v>486372</v>
      </c>
      <c r="O2352" s="48">
        <f t="shared" si="648"/>
        <v>0</v>
      </c>
      <c r="P2352" s="46">
        <v>0</v>
      </c>
      <c r="Q2352" s="46">
        <v>486372</v>
      </c>
      <c r="R2352" s="49">
        <f t="shared" si="649"/>
        <v>1</v>
      </c>
      <c r="S2352" s="50">
        <f t="shared" si="650"/>
        <v>0.01</v>
      </c>
      <c r="T2352" s="49">
        <f t="shared" si="651"/>
        <v>4863.72</v>
      </c>
      <c r="U2352" s="51">
        <f t="shared" si="652"/>
        <v>0</v>
      </c>
      <c r="V2352" s="52">
        <f>IF(0&lt;0.8,0,IF(0&lt;1,Sheet3!L561,1))*IF(G2352&lt;3,0.12 - O2352,0.01) *U2352</f>
        <v>0</v>
      </c>
      <c r="W2352" s="52">
        <f t="shared" si="653"/>
        <v>0</v>
      </c>
      <c r="X2352" s="53">
        <f t="shared" si="654"/>
        <v>0</v>
      </c>
      <c r="Y2352" s="53">
        <f t="shared" si="655"/>
        <v>0</v>
      </c>
      <c r="Z2352" s="54">
        <f t="shared" si="659"/>
        <v>0</v>
      </c>
      <c r="AA2352" s="54">
        <f t="shared" si="656"/>
        <v>0</v>
      </c>
      <c r="AB2352" s="55">
        <f t="shared" si="661"/>
        <v>0</v>
      </c>
      <c r="AC2352" s="55">
        <f t="shared" si="657"/>
        <v>0</v>
      </c>
      <c r="AD2352" s="56">
        <f t="shared" si="658"/>
        <v>4863.72</v>
      </c>
    </row>
    <row r="2353" spans="3:30">
      <c r="C2353" s="43" t="s">
        <v>4373</v>
      </c>
      <c r="D2353" s="44" t="s">
        <v>4374</v>
      </c>
      <c r="E2353" s="44"/>
      <c r="F2353" s="45">
        <v>41851.401064814811</v>
      </c>
      <c r="G2353" s="46">
        <v>50</v>
      </c>
      <c r="H2353" s="47">
        <v>43383</v>
      </c>
      <c r="I2353" s="47">
        <v>43390</v>
      </c>
      <c r="J2353" s="46">
        <v>347730</v>
      </c>
      <c r="K2353" s="46">
        <v>0</v>
      </c>
      <c r="L2353" s="46">
        <v>0</v>
      </c>
      <c r="M2353" s="46">
        <f t="shared" si="647"/>
        <v>347730</v>
      </c>
      <c r="N2353" s="46">
        <v>347730</v>
      </c>
      <c r="O2353" s="48">
        <f t="shared" si="648"/>
        <v>0</v>
      </c>
      <c r="P2353" s="46">
        <v>0</v>
      </c>
      <c r="Q2353" s="46">
        <v>347730</v>
      </c>
      <c r="R2353" s="49">
        <f t="shared" si="649"/>
        <v>1</v>
      </c>
      <c r="S2353" s="50">
        <f t="shared" si="650"/>
        <v>0.01</v>
      </c>
      <c r="T2353" s="49">
        <f t="shared" si="651"/>
        <v>3477.3</v>
      </c>
      <c r="U2353" s="51">
        <f t="shared" si="652"/>
        <v>0</v>
      </c>
      <c r="V2353" s="52">
        <f>IF(0&lt;0.8,0,IF(0&lt;1,Sheet3!L561,1))*IF(G2353&lt;3,0.12 - O2353,0.01) *U2353</f>
        <v>0</v>
      </c>
      <c r="W2353" s="52">
        <f t="shared" si="653"/>
        <v>0</v>
      </c>
      <c r="X2353" s="53">
        <f t="shared" si="654"/>
        <v>0</v>
      </c>
      <c r="Y2353" s="53">
        <f t="shared" si="655"/>
        <v>0</v>
      </c>
      <c r="Z2353" s="54">
        <f t="shared" si="659"/>
        <v>0</v>
      </c>
      <c r="AA2353" s="54">
        <f t="shared" si="656"/>
        <v>0</v>
      </c>
      <c r="AB2353" s="55">
        <f t="shared" si="661"/>
        <v>0</v>
      </c>
      <c r="AC2353" s="55">
        <f t="shared" si="657"/>
        <v>0</v>
      </c>
      <c r="AD2353" s="56">
        <f t="shared" si="658"/>
        <v>3477.3</v>
      </c>
    </row>
    <row r="2354" spans="3:30">
      <c r="C2354" s="43" t="s">
        <v>4375</v>
      </c>
      <c r="D2354" s="44" t="s">
        <v>4376</v>
      </c>
      <c r="E2354" s="44"/>
      <c r="F2354" s="45">
        <v>41857.482141203705</v>
      </c>
      <c r="G2354" s="46">
        <v>49</v>
      </c>
      <c r="H2354" s="47">
        <v>43388</v>
      </c>
      <c r="I2354" s="47">
        <v>43391</v>
      </c>
      <c r="J2354" s="46">
        <v>1003429</v>
      </c>
      <c r="K2354" s="46">
        <v>0</v>
      </c>
      <c r="L2354" s="46">
        <v>0</v>
      </c>
      <c r="M2354" s="46">
        <f t="shared" si="647"/>
        <v>1003429</v>
      </c>
      <c r="N2354" s="46">
        <v>1003429</v>
      </c>
      <c r="O2354" s="48">
        <f t="shared" si="648"/>
        <v>0</v>
      </c>
      <c r="P2354" s="46">
        <v>0</v>
      </c>
      <c r="Q2354" s="46">
        <v>1003429</v>
      </c>
      <c r="R2354" s="49">
        <f t="shared" si="649"/>
        <v>1</v>
      </c>
      <c r="S2354" s="50">
        <f t="shared" si="650"/>
        <v>0.01</v>
      </c>
      <c r="T2354" s="49">
        <f t="shared" si="651"/>
        <v>10034.290000000001</v>
      </c>
      <c r="U2354" s="51">
        <f t="shared" si="652"/>
        <v>0</v>
      </c>
      <c r="V2354" s="52">
        <f>IF(0&lt;0.8,0,IF(0&lt;1,Sheet3!L561,1))*IF(G2354&lt;3,0.12 - O2354,0.01) *U2354</f>
        <v>0</v>
      </c>
      <c r="W2354" s="52">
        <f t="shared" si="653"/>
        <v>0</v>
      </c>
      <c r="X2354" s="53">
        <f t="shared" si="654"/>
        <v>0</v>
      </c>
      <c r="Y2354" s="53">
        <f t="shared" si="655"/>
        <v>0</v>
      </c>
      <c r="Z2354" s="54">
        <f t="shared" si="659"/>
        <v>0</v>
      </c>
      <c r="AA2354" s="54">
        <f t="shared" si="656"/>
        <v>0</v>
      </c>
      <c r="AB2354" s="55">
        <f t="shared" si="661"/>
        <v>0</v>
      </c>
      <c r="AC2354" s="55">
        <f t="shared" si="657"/>
        <v>0</v>
      </c>
      <c r="AD2354" s="56">
        <f t="shared" si="658"/>
        <v>10034.290000000001</v>
      </c>
    </row>
    <row r="2355" spans="3:30">
      <c r="C2355" s="43" t="s">
        <v>4377</v>
      </c>
      <c r="D2355" s="44" t="s">
        <v>4378</v>
      </c>
      <c r="E2355" s="44"/>
      <c r="F2355" s="45">
        <v>42311.650671296295</v>
      </c>
      <c r="G2355" s="46">
        <v>34</v>
      </c>
      <c r="H2355" s="47">
        <v>43391</v>
      </c>
      <c r="I2355" s="47">
        <v>43397</v>
      </c>
      <c r="J2355" s="46">
        <v>908782</v>
      </c>
      <c r="K2355" s="46">
        <v>0</v>
      </c>
      <c r="L2355" s="46">
        <v>0</v>
      </c>
      <c r="M2355" s="46">
        <f t="shared" ref="M2355:M2418" si="662">IFERROR(J2355-K2355-L2355,0)</f>
        <v>908782</v>
      </c>
      <c r="N2355" s="46">
        <v>908782</v>
      </c>
      <c r="O2355" s="48">
        <f t="shared" ref="O2355:O2418" si="663">IFERROR(IF(1 - M2355/N2355&lt;0,0,1-M2355/N2355),0)</f>
        <v>0</v>
      </c>
      <c r="P2355" s="46">
        <v>0</v>
      </c>
      <c r="Q2355" s="46">
        <v>908782</v>
      </c>
      <c r="R2355" s="49">
        <f t="shared" ref="R2355:R2418" si="664">IF(F2355&lt;DATEVALUE("2018-07-01"),1,0)</f>
        <v>1</v>
      </c>
      <c r="S2355" s="50">
        <f t="shared" ref="S2355:S2418" si="665">IF(R2355=1,1%,0)</f>
        <v>0.01</v>
      </c>
      <c r="T2355" s="49">
        <f t="shared" ref="T2355:T2418" si="666">IFERROR(S2355*M2355,0)</f>
        <v>9087.82</v>
      </c>
      <c r="U2355" s="51">
        <f t="shared" ref="U2355:U2418" si="667">IF(O2355&lt;=0.12,1,0)*(1-R2355)*M2355</f>
        <v>0</v>
      </c>
      <c r="V2355" s="52">
        <f>IF(0&lt;0.8,0,IF(0&lt;1,Sheet3!L561,1))*IF(G2355&lt;3,0.12 - O2355,0.01) *U2355</f>
        <v>0</v>
      </c>
      <c r="W2355" s="52">
        <f t="shared" ref="W2355:W2418" si="668">IF(0&gt;1,IF(0&lt;=1.1,1,IF(0&lt;=1.2,2,IF(0&lt;=1.5,3,5))),0) * 1000000</f>
        <v>0</v>
      </c>
      <c r="X2355" s="53">
        <f t="shared" ref="X2355:X2418" si="669">IF(AND(P2355&gt;=150000000,P2355&lt;300000000),5000000,IF(AND(P2355&gt;=300000000,P2355&lt;500000000),10000000,IF(AND(P2355&gt;=300000000,P2355&lt;500000000),15000000,IF(AND(P2355&gt;=500000000,P2355&lt;3000000000),20000000,IF(P2355&gt;=30000000000,35000000,0))))) * (1-R2355)</f>
        <v>0</v>
      </c>
      <c r="Y2355" s="53">
        <f t="shared" ref="Y2355:Y2418" si="670">IFERROR(Q2355 * (1-R2355),0)</f>
        <v>0</v>
      </c>
      <c r="Z2355" s="54">
        <f t="shared" si="659"/>
        <v>0</v>
      </c>
      <c r="AA2355" s="54">
        <f t="shared" ref="AA2355:AA2418" si="671">IFERROR((1-R2355) * Z2355 * 2%,0)</f>
        <v>0</v>
      </c>
      <c r="AB2355" s="55">
        <f t="shared" si="661"/>
        <v>0</v>
      </c>
      <c r="AC2355" s="55">
        <f t="shared" ref="AC2355:AC2418" si="672">IFERROR(AB2355 * (1-R2355) * 2%,0)</f>
        <v>0</v>
      </c>
      <c r="AD2355" s="56">
        <f t="shared" ref="AD2355:AD2418" si="673">T2355+V2355+W2355+X2355+AA2355+AC2355</f>
        <v>9087.82</v>
      </c>
    </row>
    <row r="2356" spans="3:30">
      <c r="C2356" s="43" t="s">
        <v>4379</v>
      </c>
      <c r="D2356" s="44" t="s">
        <v>4380</v>
      </c>
      <c r="E2356" s="44"/>
      <c r="F2356" s="45">
        <v>42447.444618055553</v>
      </c>
      <c r="G2356" s="46">
        <v>30</v>
      </c>
      <c r="H2356" s="47">
        <v>43376</v>
      </c>
      <c r="I2356" s="47">
        <v>43426</v>
      </c>
      <c r="J2356" s="46">
        <v>2167084</v>
      </c>
      <c r="K2356" s="46">
        <v>0</v>
      </c>
      <c r="L2356" s="46">
        <v>0</v>
      </c>
      <c r="M2356" s="46">
        <f t="shared" si="662"/>
        <v>2167084</v>
      </c>
      <c r="N2356" s="46">
        <v>3897773</v>
      </c>
      <c r="O2356" s="48">
        <f t="shared" si="663"/>
        <v>0.44401995703700547</v>
      </c>
      <c r="P2356" s="46">
        <v>0</v>
      </c>
      <c r="Q2356" s="46">
        <v>1580234</v>
      </c>
      <c r="R2356" s="49">
        <f t="shared" si="664"/>
        <v>1</v>
      </c>
      <c r="S2356" s="50">
        <f t="shared" si="665"/>
        <v>0.01</v>
      </c>
      <c r="T2356" s="49">
        <f t="shared" si="666"/>
        <v>21670.84</v>
      </c>
      <c r="U2356" s="51">
        <f t="shared" si="667"/>
        <v>0</v>
      </c>
      <c r="V2356" s="52">
        <f>IF(0&lt;0.8,0,IF(0&lt;1,Sheet3!L561,1))*IF(G2356&lt;3,0.12 - O2356,0.01) *U2356</f>
        <v>0</v>
      </c>
      <c r="W2356" s="52">
        <f t="shared" si="668"/>
        <v>0</v>
      </c>
      <c r="X2356" s="53">
        <f t="shared" si="669"/>
        <v>0</v>
      </c>
      <c r="Y2356" s="53">
        <f t="shared" si="670"/>
        <v>0</v>
      </c>
      <c r="Z2356" s="54">
        <f t="shared" si="659"/>
        <v>0</v>
      </c>
      <c r="AA2356" s="54">
        <f t="shared" si="671"/>
        <v>0</v>
      </c>
      <c r="AB2356" s="55">
        <f t="shared" si="661"/>
        <v>0</v>
      </c>
      <c r="AC2356" s="55">
        <f t="shared" si="672"/>
        <v>0</v>
      </c>
      <c r="AD2356" s="56">
        <f t="shared" si="673"/>
        <v>21670.84</v>
      </c>
    </row>
    <row r="2357" spans="3:30">
      <c r="C2357" s="43" t="s">
        <v>4381</v>
      </c>
      <c r="D2357" s="44" t="s">
        <v>4382</v>
      </c>
      <c r="E2357" s="44"/>
      <c r="F2357" s="45">
        <v>42662.390659722223</v>
      </c>
      <c r="G2357" s="46">
        <v>23</v>
      </c>
      <c r="H2357" s="47">
        <v>43376</v>
      </c>
      <c r="I2357" s="47">
        <v>43459</v>
      </c>
      <c r="J2357" s="46">
        <v>30375441</v>
      </c>
      <c r="K2357" s="46">
        <v>1380335</v>
      </c>
      <c r="L2357" s="46">
        <v>0</v>
      </c>
      <c r="M2357" s="46">
        <f t="shared" si="662"/>
        <v>28995106</v>
      </c>
      <c r="N2357" s="46">
        <v>36384653</v>
      </c>
      <c r="O2357" s="48">
        <f t="shared" si="663"/>
        <v>0.20309516212783452</v>
      </c>
      <c r="P2357" s="46">
        <v>0</v>
      </c>
      <c r="Q2357" s="46">
        <v>30375441</v>
      </c>
      <c r="R2357" s="49">
        <f t="shared" si="664"/>
        <v>1</v>
      </c>
      <c r="S2357" s="50">
        <f t="shared" si="665"/>
        <v>0.01</v>
      </c>
      <c r="T2357" s="49">
        <f t="shared" si="666"/>
        <v>289951.06</v>
      </c>
      <c r="U2357" s="51">
        <f t="shared" si="667"/>
        <v>0</v>
      </c>
      <c r="V2357" s="52">
        <f>IF(0&lt;0.8,0,IF(0&lt;1,Sheet3!L561,1))*IF(G2357&lt;3,0.12 - O2357,0.01) *U2357</f>
        <v>0</v>
      </c>
      <c r="W2357" s="52">
        <f t="shared" si="668"/>
        <v>0</v>
      </c>
      <c r="X2357" s="53">
        <f t="shared" si="669"/>
        <v>0</v>
      </c>
      <c r="Y2357" s="53">
        <f t="shared" si="670"/>
        <v>0</v>
      </c>
      <c r="Z2357" s="54">
        <f t="shared" si="659"/>
        <v>0</v>
      </c>
      <c r="AA2357" s="54">
        <f t="shared" si="671"/>
        <v>0</v>
      </c>
      <c r="AB2357" s="55">
        <f t="shared" si="661"/>
        <v>0</v>
      </c>
      <c r="AC2357" s="55">
        <f t="shared" si="672"/>
        <v>0</v>
      </c>
      <c r="AD2357" s="56">
        <f t="shared" si="673"/>
        <v>289951.06</v>
      </c>
    </row>
    <row r="2358" spans="3:30">
      <c r="C2358" s="43" t="s">
        <v>4383</v>
      </c>
      <c r="D2358" s="44" t="s">
        <v>4384</v>
      </c>
      <c r="E2358" s="44"/>
      <c r="F2358" s="45">
        <v>42879.402939814812</v>
      </c>
      <c r="G2358" s="46">
        <v>16</v>
      </c>
      <c r="H2358" s="47">
        <v>43383</v>
      </c>
      <c r="I2358" s="47">
        <v>43389</v>
      </c>
      <c r="J2358" s="46">
        <v>820985</v>
      </c>
      <c r="K2358" s="46">
        <v>0</v>
      </c>
      <c r="L2358" s="46">
        <v>0</v>
      </c>
      <c r="M2358" s="46">
        <f t="shared" si="662"/>
        <v>820985</v>
      </c>
      <c r="N2358" s="46">
        <v>820985</v>
      </c>
      <c r="O2358" s="48">
        <f t="shared" si="663"/>
        <v>0</v>
      </c>
      <c r="P2358" s="46">
        <v>0</v>
      </c>
      <c r="Q2358" s="46">
        <v>820985</v>
      </c>
      <c r="R2358" s="49">
        <f t="shared" si="664"/>
        <v>1</v>
      </c>
      <c r="S2358" s="50">
        <f t="shared" si="665"/>
        <v>0.01</v>
      </c>
      <c r="T2358" s="49">
        <f t="shared" si="666"/>
        <v>8209.85</v>
      </c>
      <c r="U2358" s="51">
        <f t="shared" si="667"/>
        <v>0</v>
      </c>
      <c r="V2358" s="52">
        <f>IF(0&lt;0.8,0,IF(0&lt;1,Sheet3!L561,1))*IF(G2358&lt;3,0.12 - O2358,0.01) *U2358</f>
        <v>0</v>
      </c>
      <c r="W2358" s="52">
        <f t="shared" si="668"/>
        <v>0</v>
      </c>
      <c r="X2358" s="53">
        <f t="shared" si="669"/>
        <v>0</v>
      </c>
      <c r="Y2358" s="53">
        <f t="shared" si="670"/>
        <v>0</v>
      </c>
      <c r="Z2358" s="54">
        <f t="shared" si="659"/>
        <v>0</v>
      </c>
      <c r="AA2358" s="54">
        <f t="shared" si="671"/>
        <v>0</v>
      </c>
      <c r="AB2358" s="55">
        <f t="shared" si="661"/>
        <v>0</v>
      </c>
      <c r="AC2358" s="55">
        <f t="shared" si="672"/>
        <v>0</v>
      </c>
      <c r="AD2358" s="56">
        <f t="shared" si="673"/>
        <v>8209.85</v>
      </c>
    </row>
    <row r="2359" spans="3:30">
      <c r="C2359" s="43" t="s">
        <v>4385</v>
      </c>
      <c r="D2359" s="44" t="s">
        <v>4386</v>
      </c>
      <c r="E2359" s="44"/>
      <c r="F2359" s="45">
        <v>42941.307800925926</v>
      </c>
      <c r="G2359" s="46">
        <v>14</v>
      </c>
      <c r="H2359" s="47">
        <v>43372</v>
      </c>
      <c r="I2359" s="47">
        <v>43383</v>
      </c>
      <c r="J2359" s="46">
        <v>1052839</v>
      </c>
      <c r="K2359" s="46">
        <v>0</v>
      </c>
      <c r="L2359" s="46">
        <v>0</v>
      </c>
      <c r="M2359" s="46">
        <f t="shared" si="662"/>
        <v>1052839</v>
      </c>
      <c r="N2359" s="46">
        <v>1051132</v>
      </c>
      <c r="O2359" s="48">
        <f t="shared" si="663"/>
        <v>0</v>
      </c>
      <c r="P2359" s="46">
        <v>0</v>
      </c>
      <c r="Q2359" s="46">
        <v>1052839</v>
      </c>
      <c r="R2359" s="49">
        <f t="shared" si="664"/>
        <v>1</v>
      </c>
      <c r="S2359" s="50">
        <f t="shared" si="665"/>
        <v>0.01</v>
      </c>
      <c r="T2359" s="49">
        <f t="shared" si="666"/>
        <v>10528.39</v>
      </c>
      <c r="U2359" s="51">
        <f t="shared" si="667"/>
        <v>0</v>
      </c>
      <c r="V2359" s="52">
        <f>IF(0&lt;0.8,0,IF(0&lt;1,Sheet3!L561,1))*IF(G2359&lt;3,0.12 - O2359,0.01) *U2359</f>
        <v>0</v>
      </c>
      <c r="W2359" s="52">
        <f t="shared" si="668"/>
        <v>0</v>
      </c>
      <c r="X2359" s="53">
        <f t="shared" si="669"/>
        <v>0</v>
      </c>
      <c r="Y2359" s="53">
        <f t="shared" si="670"/>
        <v>0</v>
      </c>
      <c r="Z2359" s="54">
        <f t="shared" si="659"/>
        <v>0</v>
      </c>
      <c r="AA2359" s="54">
        <f t="shared" si="671"/>
        <v>0</v>
      </c>
      <c r="AB2359" s="55">
        <f t="shared" si="661"/>
        <v>0</v>
      </c>
      <c r="AC2359" s="55">
        <f t="shared" si="672"/>
        <v>0</v>
      </c>
      <c r="AD2359" s="56">
        <f t="shared" si="673"/>
        <v>10528.39</v>
      </c>
    </row>
    <row r="2360" spans="3:30">
      <c r="C2360" s="43" t="s">
        <v>4387</v>
      </c>
      <c r="D2360" s="44" t="s">
        <v>4388</v>
      </c>
      <c r="E2360" s="44"/>
      <c r="F2360" s="45">
        <v>42968.263564814813</v>
      </c>
      <c r="G2360" s="46">
        <v>13</v>
      </c>
      <c r="H2360" s="47">
        <v>43385</v>
      </c>
      <c r="I2360" s="47">
        <v>43403</v>
      </c>
      <c r="J2360" s="46">
        <v>3444300</v>
      </c>
      <c r="K2360" s="46">
        <v>0</v>
      </c>
      <c r="L2360" s="46">
        <v>0</v>
      </c>
      <c r="M2360" s="46">
        <f t="shared" si="662"/>
        <v>3444300</v>
      </c>
      <c r="N2360" s="46">
        <v>2708718</v>
      </c>
      <c r="O2360" s="48">
        <f t="shared" si="663"/>
        <v>0</v>
      </c>
      <c r="P2360" s="46">
        <v>0</v>
      </c>
      <c r="Q2360" s="46">
        <v>3444300</v>
      </c>
      <c r="R2360" s="49">
        <f t="shared" si="664"/>
        <v>1</v>
      </c>
      <c r="S2360" s="50">
        <f t="shared" si="665"/>
        <v>0.01</v>
      </c>
      <c r="T2360" s="49">
        <f t="shared" si="666"/>
        <v>34443</v>
      </c>
      <c r="U2360" s="51">
        <f t="shared" si="667"/>
        <v>0</v>
      </c>
      <c r="V2360" s="52">
        <f>IF(0&lt;0.8,0,IF(0&lt;1,Sheet3!L561,1))*IF(G2360&lt;3,0.12 - O2360,0.01) *U2360</f>
        <v>0</v>
      </c>
      <c r="W2360" s="52">
        <f t="shared" si="668"/>
        <v>0</v>
      </c>
      <c r="X2360" s="53">
        <f t="shared" si="669"/>
        <v>0</v>
      </c>
      <c r="Y2360" s="53">
        <f t="shared" si="670"/>
        <v>0</v>
      </c>
      <c r="Z2360" s="54">
        <f t="shared" si="659"/>
        <v>0</v>
      </c>
      <c r="AA2360" s="54">
        <f t="shared" si="671"/>
        <v>0</v>
      </c>
      <c r="AB2360" s="55">
        <f t="shared" si="661"/>
        <v>0</v>
      </c>
      <c r="AC2360" s="55">
        <f t="shared" si="672"/>
        <v>0</v>
      </c>
      <c r="AD2360" s="56">
        <f t="shared" si="673"/>
        <v>34443</v>
      </c>
    </row>
    <row r="2361" spans="3:30">
      <c r="C2361" s="43" t="s">
        <v>4389</v>
      </c>
      <c r="D2361" s="44" t="s">
        <v>4390</v>
      </c>
      <c r="E2361" s="44"/>
      <c r="F2361" s="45">
        <v>42968.269907407404</v>
      </c>
      <c r="G2361" s="46">
        <v>13</v>
      </c>
      <c r="H2361" s="47">
        <v>43385</v>
      </c>
      <c r="I2361" s="47">
        <v>43403</v>
      </c>
      <c r="J2361" s="46">
        <v>827540</v>
      </c>
      <c r="K2361" s="46">
        <v>0</v>
      </c>
      <c r="L2361" s="46">
        <v>0</v>
      </c>
      <c r="M2361" s="46">
        <f t="shared" si="662"/>
        <v>827540</v>
      </c>
      <c r="N2361" s="46">
        <v>993860</v>
      </c>
      <c r="O2361" s="48">
        <f t="shared" si="663"/>
        <v>0.16734751373432877</v>
      </c>
      <c r="P2361" s="46">
        <v>0</v>
      </c>
      <c r="Q2361" s="46">
        <v>827540</v>
      </c>
      <c r="R2361" s="49">
        <f t="shared" si="664"/>
        <v>1</v>
      </c>
      <c r="S2361" s="50">
        <f t="shared" si="665"/>
        <v>0.01</v>
      </c>
      <c r="T2361" s="49">
        <f t="shared" si="666"/>
        <v>8275.4</v>
      </c>
      <c r="U2361" s="51">
        <f t="shared" si="667"/>
        <v>0</v>
      </c>
      <c r="V2361" s="52">
        <f>IF(0&lt;0.8,0,IF(0&lt;1,Sheet3!L561,1))*IF(G2361&lt;3,0.12 - O2361,0.01) *U2361</f>
        <v>0</v>
      </c>
      <c r="W2361" s="52">
        <f t="shared" si="668"/>
        <v>0</v>
      </c>
      <c r="X2361" s="53">
        <f t="shared" si="669"/>
        <v>0</v>
      </c>
      <c r="Y2361" s="53">
        <f t="shared" si="670"/>
        <v>0</v>
      </c>
      <c r="Z2361" s="54">
        <f t="shared" si="659"/>
        <v>0</v>
      </c>
      <c r="AA2361" s="54">
        <f t="shared" si="671"/>
        <v>0</v>
      </c>
      <c r="AB2361" s="55">
        <f t="shared" si="661"/>
        <v>0</v>
      </c>
      <c r="AC2361" s="55">
        <f t="shared" si="672"/>
        <v>0</v>
      </c>
      <c r="AD2361" s="56">
        <f t="shared" si="673"/>
        <v>8275.4</v>
      </c>
    </row>
    <row r="2362" spans="3:30">
      <c r="C2362" s="43" t="s">
        <v>4391</v>
      </c>
      <c r="D2362" s="44" t="s">
        <v>4392</v>
      </c>
      <c r="E2362" s="44"/>
      <c r="F2362" s="45">
        <v>43018.083148148144</v>
      </c>
      <c r="G2362" s="46">
        <v>11</v>
      </c>
      <c r="H2362" s="47">
        <v>43383</v>
      </c>
      <c r="I2362" s="47">
        <v>43391</v>
      </c>
      <c r="J2362" s="46">
        <v>376915</v>
      </c>
      <c r="K2362" s="46">
        <v>0</v>
      </c>
      <c r="L2362" s="46">
        <v>0</v>
      </c>
      <c r="M2362" s="46">
        <f t="shared" si="662"/>
        <v>376915</v>
      </c>
      <c r="N2362" s="46">
        <v>376915</v>
      </c>
      <c r="O2362" s="48">
        <f t="shared" si="663"/>
        <v>0</v>
      </c>
      <c r="P2362" s="46">
        <v>0</v>
      </c>
      <c r="Q2362" s="46">
        <v>376915</v>
      </c>
      <c r="R2362" s="49">
        <f t="shared" si="664"/>
        <v>1</v>
      </c>
      <c r="S2362" s="50">
        <f t="shared" si="665"/>
        <v>0.01</v>
      </c>
      <c r="T2362" s="49">
        <f t="shared" si="666"/>
        <v>3769.15</v>
      </c>
      <c r="U2362" s="51">
        <f t="shared" si="667"/>
        <v>0</v>
      </c>
      <c r="V2362" s="52">
        <f>IF(0&lt;0.8,0,IF(0&lt;1,Sheet3!L561,1))*IF(G2362&lt;3,0.12 - O2362,0.01) *U2362</f>
        <v>0</v>
      </c>
      <c r="W2362" s="52">
        <f t="shared" si="668"/>
        <v>0</v>
      </c>
      <c r="X2362" s="53">
        <f t="shared" si="669"/>
        <v>0</v>
      </c>
      <c r="Y2362" s="53">
        <f t="shared" si="670"/>
        <v>0</v>
      </c>
      <c r="Z2362" s="54">
        <f t="shared" si="659"/>
        <v>0</v>
      </c>
      <c r="AA2362" s="54">
        <f t="shared" si="671"/>
        <v>0</v>
      </c>
      <c r="AB2362" s="55">
        <f t="shared" si="661"/>
        <v>0</v>
      </c>
      <c r="AC2362" s="55">
        <f t="shared" si="672"/>
        <v>0</v>
      </c>
      <c r="AD2362" s="56">
        <f t="shared" si="673"/>
        <v>3769.15</v>
      </c>
    </row>
    <row r="2363" spans="3:30">
      <c r="C2363" s="43" t="s">
        <v>4393</v>
      </c>
      <c r="D2363" s="44" t="s">
        <v>4394</v>
      </c>
      <c r="E2363" s="44"/>
      <c r="F2363" s="45">
        <v>43064.359293981477</v>
      </c>
      <c r="G2363" s="46">
        <v>10</v>
      </c>
      <c r="H2363" s="47">
        <v>43385</v>
      </c>
      <c r="I2363" s="47">
        <v>43398</v>
      </c>
      <c r="J2363" s="46">
        <v>1171698</v>
      </c>
      <c r="K2363" s="46">
        <v>0</v>
      </c>
      <c r="L2363" s="46">
        <v>0</v>
      </c>
      <c r="M2363" s="46">
        <f t="shared" si="662"/>
        <v>1171698</v>
      </c>
      <c r="N2363" s="46">
        <v>96072</v>
      </c>
      <c r="O2363" s="48">
        <f t="shared" si="663"/>
        <v>0</v>
      </c>
      <c r="P2363" s="46">
        <v>0</v>
      </c>
      <c r="Q2363" s="46">
        <v>1171698</v>
      </c>
      <c r="R2363" s="49">
        <f t="shared" si="664"/>
        <v>1</v>
      </c>
      <c r="S2363" s="50">
        <f t="shared" si="665"/>
        <v>0.01</v>
      </c>
      <c r="T2363" s="49">
        <f t="shared" si="666"/>
        <v>11716.98</v>
      </c>
      <c r="U2363" s="51">
        <f t="shared" si="667"/>
        <v>0</v>
      </c>
      <c r="V2363" s="52">
        <f>IF(0&lt;0.8,0,IF(0&lt;1,Sheet3!L561,1))*IF(G2363&lt;3,0.12 - O2363,0.01) *U2363</f>
        <v>0</v>
      </c>
      <c r="W2363" s="52">
        <f t="shared" si="668"/>
        <v>0</v>
      </c>
      <c r="X2363" s="53">
        <f t="shared" si="669"/>
        <v>0</v>
      </c>
      <c r="Y2363" s="53">
        <f t="shared" si="670"/>
        <v>0</v>
      </c>
      <c r="Z2363" s="54">
        <f t="shared" si="659"/>
        <v>0</v>
      </c>
      <c r="AA2363" s="54">
        <f t="shared" si="671"/>
        <v>0</v>
      </c>
      <c r="AB2363" s="55">
        <f>IF(R2363=0,1075624,0)</f>
        <v>0</v>
      </c>
      <c r="AC2363" s="55">
        <f t="shared" si="672"/>
        <v>0</v>
      </c>
      <c r="AD2363" s="56">
        <f t="shared" si="673"/>
        <v>11716.98</v>
      </c>
    </row>
    <row r="2364" spans="3:30">
      <c r="C2364" s="43" t="s">
        <v>4395</v>
      </c>
      <c r="D2364" s="44" t="s">
        <v>4396</v>
      </c>
      <c r="E2364" s="44"/>
      <c r="F2364" s="45">
        <v>43117.305798611109</v>
      </c>
      <c r="G2364" s="46">
        <v>8</v>
      </c>
      <c r="H2364" s="47">
        <v>43385</v>
      </c>
      <c r="I2364" s="47">
        <v>43402</v>
      </c>
      <c r="J2364" s="46">
        <v>1496673</v>
      </c>
      <c r="K2364" s="46">
        <v>0</v>
      </c>
      <c r="L2364" s="46">
        <v>0</v>
      </c>
      <c r="M2364" s="46">
        <f t="shared" si="662"/>
        <v>1496673</v>
      </c>
      <c r="N2364" s="46">
        <v>218161</v>
      </c>
      <c r="O2364" s="48">
        <f t="shared" si="663"/>
        <v>0</v>
      </c>
      <c r="P2364" s="46">
        <v>0</v>
      </c>
      <c r="Q2364" s="46">
        <v>1496673</v>
      </c>
      <c r="R2364" s="49">
        <f t="shared" si="664"/>
        <v>1</v>
      </c>
      <c r="S2364" s="50">
        <f t="shared" si="665"/>
        <v>0.01</v>
      </c>
      <c r="T2364" s="49">
        <f t="shared" si="666"/>
        <v>14966.73</v>
      </c>
      <c r="U2364" s="51">
        <f t="shared" si="667"/>
        <v>0</v>
      </c>
      <c r="V2364" s="52">
        <f>IF(0&lt;0.8,0,IF(0&lt;1,Sheet3!L561,1))*IF(G2364&lt;3,0.12 - O2364,0.01) *U2364</f>
        <v>0</v>
      </c>
      <c r="W2364" s="52">
        <f t="shared" si="668"/>
        <v>0</v>
      </c>
      <c r="X2364" s="53">
        <f t="shared" si="669"/>
        <v>0</v>
      </c>
      <c r="Y2364" s="53">
        <f t="shared" si="670"/>
        <v>0</v>
      </c>
      <c r="Z2364" s="54">
        <f t="shared" ref="Z2364:Z2397" si="674">IF(R2364=1,0,0)</f>
        <v>0</v>
      </c>
      <c r="AA2364" s="54">
        <f t="shared" si="671"/>
        <v>0</v>
      </c>
      <c r="AB2364" s="55">
        <f>IF(R2364=0,1278510,0)</f>
        <v>0</v>
      </c>
      <c r="AC2364" s="55">
        <f t="shared" si="672"/>
        <v>0</v>
      </c>
      <c r="AD2364" s="56">
        <f t="shared" si="673"/>
        <v>14966.73</v>
      </c>
    </row>
    <row r="2365" spans="3:30">
      <c r="C2365" s="43" t="s">
        <v>4397</v>
      </c>
      <c r="D2365" s="44" t="s">
        <v>4398</v>
      </c>
      <c r="E2365" s="44"/>
      <c r="F2365" s="45">
        <v>43165.319849537038</v>
      </c>
      <c r="G2365" s="46">
        <v>6</v>
      </c>
      <c r="H2365" s="47">
        <v>43383</v>
      </c>
      <c r="I2365" s="47">
        <v>43390</v>
      </c>
      <c r="J2365" s="46">
        <v>194480</v>
      </c>
      <c r="K2365" s="46">
        <v>0</v>
      </c>
      <c r="L2365" s="46">
        <v>0</v>
      </c>
      <c r="M2365" s="46">
        <f t="shared" si="662"/>
        <v>194480</v>
      </c>
      <c r="N2365" s="46">
        <v>228404</v>
      </c>
      <c r="O2365" s="48">
        <f t="shared" si="663"/>
        <v>0.14852629551146213</v>
      </c>
      <c r="P2365" s="46">
        <v>0</v>
      </c>
      <c r="Q2365" s="46">
        <v>194480</v>
      </c>
      <c r="R2365" s="49">
        <f t="shared" si="664"/>
        <v>1</v>
      </c>
      <c r="S2365" s="50">
        <f t="shared" si="665"/>
        <v>0.01</v>
      </c>
      <c r="T2365" s="49">
        <f t="shared" si="666"/>
        <v>1944.8</v>
      </c>
      <c r="U2365" s="51">
        <f t="shared" si="667"/>
        <v>0</v>
      </c>
      <c r="V2365" s="52">
        <f>IF(0&lt;0.8,0,IF(0&lt;1,Sheet3!L561,1))*IF(G2365&lt;3,0.12 - O2365,0.01) *U2365</f>
        <v>0</v>
      </c>
      <c r="W2365" s="52">
        <f t="shared" si="668"/>
        <v>0</v>
      </c>
      <c r="X2365" s="53">
        <f t="shared" si="669"/>
        <v>0</v>
      </c>
      <c r="Y2365" s="53">
        <f t="shared" si="670"/>
        <v>0</v>
      </c>
      <c r="Z2365" s="54">
        <f t="shared" si="674"/>
        <v>0</v>
      </c>
      <c r="AA2365" s="54">
        <f t="shared" si="671"/>
        <v>0</v>
      </c>
      <c r="AB2365" s="55">
        <f>IF(R2365=0,0,0)</f>
        <v>0</v>
      </c>
      <c r="AC2365" s="55">
        <f t="shared" si="672"/>
        <v>0</v>
      </c>
      <c r="AD2365" s="56">
        <f t="shared" si="673"/>
        <v>1944.8</v>
      </c>
    </row>
    <row r="2366" spans="3:30">
      <c r="C2366" s="43" t="s">
        <v>4399</v>
      </c>
      <c r="D2366" s="44" t="s">
        <v>4400</v>
      </c>
      <c r="E2366" s="44"/>
      <c r="F2366" s="45">
        <v>43171.424282407403</v>
      </c>
      <c r="G2366" s="46">
        <v>6</v>
      </c>
      <c r="H2366" s="47" t="s">
        <v>24</v>
      </c>
      <c r="I2366" s="47" t="s">
        <v>24</v>
      </c>
      <c r="J2366" s="46">
        <v>8054950</v>
      </c>
      <c r="K2366" s="46">
        <v>0</v>
      </c>
      <c r="L2366" s="46">
        <v>0</v>
      </c>
      <c r="M2366" s="46">
        <f t="shared" si="662"/>
        <v>8054950</v>
      </c>
      <c r="N2366" s="46" t="s">
        <v>24</v>
      </c>
      <c r="O2366" s="48">
        <f t="shared" si="663"/>
        <v>0</v>
      </c>
      <c r="P2366" s="46">
        <v>0</v>
      </c>
      <c r="Q2366" s="46">
        <v>0</v>
      </c>
      <c r="R2366" s="49">
        <f t="shared" si="664"/>
        <v>1</v>
      </c>
      <c r="S2366" s="50">
        <f t="shared" si="665"/>
        <v>0.01</v>
      </c>
      <c r="T2366" s="49">
        <f t="shared" si="666"/>
        <v>80549.5</v>
      </c>
      <c r="U2366" s="51">
        <f t="shared" si="667"/>
        <v>0</v>
      </c>
      <c r="V2366" s="52">
        <f>IF(0&lt;0.8,0,IF(0&lt;1,Sheet3!L561,1))*IF(G2366&lt;3,0.12 - O2366,0.01) *U2366</f>
        <v>0</v>
      </c>
      <c r="W2366" s="52">
        <f t="shared" si="668"/>
        <v>0</v>
      </c>
      <c r="X2366" s="53">
        <f t="shared" si="669"/>
        <v>0</v>
      </c>
      <c r="Y2366" s="53">
        <f t="shared" si="670"/>
        <v>0</v>
      </c>
      <c r="Z2366" s="54">
        <f>IF(R2366=1,0,"")</f>
        <v>0</v>
      </c>
      <c r="AA2366" s="54">
        <f t="shared" si="671"/>
        <v>0</v>
      </c>
      <c r="AB2366" s="55">
        <f>IF(R2366=0,"",0)</f>
        <v>0</v>
      </c>
      <c r="AC2366" s="55">
        <f t="shared" si="672"/>
        <v>0</v>
      </c>
      <c r="AD2366" s="56">
        <f t="shared" si="673"/>
        <v>80549.5</v>
      </c>
    </row>
    <row r="2367" spans="3:30">
      <c r="C2367" s="43" t="s">
        <v>4401</v>
      </c>
      <c r="D2367" s="44" t="s">
        <v>4402</v>
      </c>
      <c r="E2367" s="44"/>
      <c r="F2367" s="45">
        <v>43188.139236111107</v>
      </c>
      <c r="G2367" s="46">
        <v>6</v>
      </c>
      <c r="H2367" s="47">
        <v>43382</v>
      </c>
      <c r="I2367" s="47">
        <v>43437</v>
      </c>
      <c r="J2367" s="46">
        <v>11354398</v>
      </c>
      <c r="K2367" s="46">
        <v>0</v>
      </c>
      <c r="L2367" s="46">
        <v>0</v>
      </c>
      <c r="M2367" s="46">
        <f t="shared" si="662"/>
        <v>11354398</v>
      </c>
      <c r="N2367" s="46">
        <v>13023351</v>
      </c>
      <c r="O2367" s="48">
        <f t="shared" si="663"/>
        <v>0.12815081156915753</v>
      </c>
      <c r="P2367" s="46">
        <v>0</v>
      </c>
      <c r="Q2367" s="46">
        <v>11354398</v>
      </c>
      <c r="R2367" s="49">
        <f t="shared" si="664"/>
        <v>1</v>
      </c>
      <c r="S2367" s="50">
        <f t="shared" si="665"/>
        <v>0.01</v>
      </c>
      <c r="T2367" s="49">
        <f t="shared" si="666"/>
        <v>113543.98</v>
      </c>
      <c r="U2367" s="51">
        <f t="shared" si="667"/>
        <v>0</v>
      </c>
      <c r="V2367" s="52">
        <f>IF(0&lt;0.8,0,IF(0&lt;1,Sheet3!L561,1))*IF(G2367&lt;3,0.12 - O2367,0.01) *U2367</f>
        <v>0</v>
      </c>
      <c r="W2367" s="52">
        <f t="shared" si="668"/>
        <v>0</v>
      </c>
      <c r="X2367" s="53">
        <f t="shared" si="669"/>
        <v>0</v>
      </c>
      <c r="Y2367" s="53">
        <f t="shared" si="670"/>
        <v>0</v>
      </c>
      <c r="Z2367" s="54">
        <f t="shared" ref="Z2367:Z2375" si="675">IF(R2367=1,0,0)</f>
        <v>0</v>
      </c>
      <c r="AA2367" s="54">
        <f t="shared" si="671"/>
        <v>0</v>
      </c>
      <c r="AB2367" s="55">
        <f>IF(R2367=0,0,0)</f>
        <v>0</v>
      </c>
      <c r="AC2367" s="55">
        <f t="shared" si="672"/>
        <v>0</v>
      </c>
      <c r="AD2367" s="56">
        <f t="shared" si="673"/>
        <v>113543.98</v>
      </c>
    </row>
    <row r="2368" spans="3:30">
      <c r="C2368" s="43" t="s">
        <v>4403</v>
      </c>
      <c r="D2368" s="44" t="s">
        <v>4404</v>
      </c>
      <c r="E2368" s="44"/>
      <c r="F2368" s="45">
        <v>43190.245636574073</v>
      </c>
      <c r="G2368" s="46">
        <v>6</v>
      </c>
      <c r="H2368" s="47">
        <v>43385</v>
      </c>
      <c r="I2368" s="47">
        <v>43413</v>
      </c>
      <c r="J2368" s="46">
        <v>1653300</v>
      </c>
      <c r="K2368" s="46">
        <v>0</v>
      </c>
      <c r="L2368" s="46">
        <v>0</v>
      </c>
      <c r="M2368" s="46">
        <f t="shared" si="662"/>
        <v>1653300</v>
      </c>
      <c r="N2368" s="46">
        <v>1885180</v>
      </c>
      <c r="O2368" s="48">
        <f t="shared" si="663"/>
        <v>0.12300151709651064</v>
      </c>
      <c r="P2368" s="46">
        <v>0</v>
      </c>
      <c r="Q2368" s="46">
        <v>1653300</v>
      </c>
      <c r="R2368" s="49">
        <f t="shared" si="664"/>
        <v>1</v>
      </c>
      <c r="S2368" s="50">
        <f t="shared" si="665"/>
        <v>0.01</v>
      </c>
      <c r="T2368" s="49">
        <f t="shared" si="666"/>
        <v>16533</v>
      </c>
      <c r="U2368" s="51">
        <f t="shared" si="667"/>
        <v>0</v>
      </c>
      <c r="V2368" s="52">
        <f>IF(0&lt;0.8,0,IF(0&lt;1,Sheet3!L561,1))*IF(G2368&lt;3,0.12 - O2368,0.01) *U2368</f>
        <v>0</v>
      </c>
      <c r="W2368" s="52">
        <f t="shared" si="668"/>
        <v>0</v>
      </c>
      <c r="X2368" s="53">
        <f t="shared" si="669"/>
        <v>0</v>
      </c>
      <c r="Y2368" s="53">
        <f t="shared" si="670"/>
        <v>0</v>
      </c>
      <c r="Z2368" s="54">
        <f t="shared" si="675"/>
        <v>0</v>
      </c>
      <c r="AA2368" s="54">
        <f t="shared" si="671"/>
        <v>0</v>
      </c>
      <c r="AB2368" s="55">
        <f>IF(R2368=0,0,0)</f>
        <v>0</v>
      </c>
      <c r="AC2368" s="55">
        <f t="shared" si="672"/>
        <v>0</v>
      </c>
      <c r="AD2368" s="56">
        <f t="shared" si="673"/>
        <v>16533</v>
      </c>
    </row>
    <row r="2369" spans="3:30">
      <c r="C2369" s="43" t="s">
        <v>4405</v>
      </c>
      <c r="D2369" s="44" t="s">
        <v>4406</v>
      </c>
      <c r="E2369" s="44"/>
      <c r="F2369" s="45">
        <v>43294.289513888885</v>
      </c>
      <c r="G2369" s="46">
        <v>2</v>
      </c>
      <c r="H2369" s="47">
        <v>43383</v>
      </c>
      <c r="I2369" s="47">
        <v>43425</v>
      </c>
      <c r="J2369" s="46">
        <v>3446621</v>
      </c>
      <c r="K2369" s="46">
        <v>0</v>
      </c>
      <c r="L2369" s="46">
        <v>0</v>
      </c>
      <c r="M2369" s="46">
        <f t="shared" si="662"/>
        <v>3446621</v>
      </c>
      <c r="N2369" s="46">
        <v>1012768</v>
      </c>
      <c r="O2369" s="48">
        <f t="shared" si="663"/>
        <v>0</v>
      </c>
      <c r="P2369" s="46">
        <v>3446621</v>
      </c>
      <c r="Q2369" s="46">
        <v>0</v>
      </c>
      <c r="R2369" s="49">
        <f t="shared" si="664"/>
        <v>0</v>
      </c>
      <c r="S2369" s="50">
        <f t="shared" si="665"/>
        <v>0</v>
      </c>
      <c r="T2369" s="49">
        <f t="shared" si="666"/>
        <v>0</v>
      </c>
      <c r="U2369" s="51">
        <f t="shared" si="667"/>
        <v>3446621</v>
      </c>
      <c r="V2369" s="52">
        <f>IF(0&lt;0.8,0,IF(0&lt;1,Sheet3!L561,1))*IF(G2369&lt;3,0.12 - O2369,0.01) *U2369</f>
        <v>0</v>
      </c>
      <c r="W2369" s="52">
        <f t="shared" si="668"/>
        <v>0</v>
      </c>
      <c r="X2369" s="53">
        <f t="shared" si="669"/>
        <v>0</v>
      </c>
      <c r="Y2369" s="53">
        <f t="shared" si="670"/>
        <v>0</v>
      </c>
      <c r="Z2369" s="54">
        <f t="shared" si="675"/>
        <v>0</v>
      </c>
      <c r="AA2369" s="54">
        <f t="shared" si="671"/>
        <v>0</v>
      </c>
      <c r="AB2369" s="55">
        <f>IF(R2369=0,2443091,0)</f>
        <v>2443091</v>
      </c>
      <c r="AC2369" s="55">
        <f t="shared" si="672"/>
        <v>48861.82</v>
      </c>
      <c r="AD2369" s="56">
        <f t="shared" si="673"/>
        <v>48861.82</v>
      </c>
    </row>
    <row r="2370" spans="3:30">
      <c r="C2370" s="43" t="s">
        <v>4407</v>
      </c>
      <c r="D2370" s="44" t="s">
        <v>4408</v>
      </c>
      <c r="E2370" s="44"/>
      <c r="F2370" s="45">
        <v>43336.286608796298</v>
      </c>
      <c r="G2370" s="46">
        <v>1</v>
      </c>
      <c r="H2370" s="47" t="s">
        <v>24</v>
      </c>
      <c r="I2370" s="47" t="s">
        <v>24</v>
      </c>
      <c r="J2370" s="46">
        <v>4109820</v>
      </c>
      <c r="K2370" s="46">
        <v>0</v>
      </c>
      <c r="L2370" s="46">
        <v>0</v>
      </c>
      <c r="M2370" s="46">
        <f t="shared" si="662"/>
        <v>4109820</v>
      </c>
      <c r="N2370" s="46">
        <v>4973925</v>
      </c>
      <c r="O2370" s="48">
        <f t="shared" si="663"/>
        <v>0.17372698623320615</v>
      </c>
      <c r="P2370" s="46">
        <v>0</v>
      </c>
      <c r="Q2370" s="46">
        <v>0</v>
      </c>
      <c r="R2370" s="49">
        <f t="shared" si="664"/>
        <v>0</v>
      </c>
      <c r="S2370" s="50">
        <f t="shared" si="665"/>
        <v>0</v>
      </c>
      <c r="T2370" s="49">
        <f t="shared" si="666"/>
        <v>0</v>
      </c>
      <c r="U2370" s="51">
        <f t="shared" si="667"/>
        <v>0</v>
      </c>
      <c r="V2370" s="52">
        <f>IF(0&lt;0.8,0,IF(0&lt;1,Sheet3!L561,1))*IF(G2370&lt;3,0.12 - O2370,0.01) *U2370</f>
        <v>0</v>
      </c>
      <c r="W2370" s="52">
        <f t="shared" si="668"/>
        <v>0</v>
      </c>
      <c r="X2370" s="53">
        <f t="shared" si="669"/>
        <v>0</v>
      </c>
      <c r="Y2370" s="53">
        <f t="shared" si="670"/>
        <v>0</v>
      </c>
      <c r="Z2370" s="54">
        <f t="shared" si="675"/>
        <v>0</v>
      </c>
      <c r="AA2370" s="54">
        <f t="shared" si="671"/>
        <v>0</v>
      </c>
      <c r="AB2370" s="55">
        <f t="shared" ref="AB2370:AB2375" si="676">IF(R2370=0,0,0)</f>
        <v>0</v>
      </c>
      <c r="AC2370" s="55">
        <f t="shared" si="672"/>
        <v>0</v>
      </c>
      <c r="AD2370" s="56">
        <f t="shared" si="673"/>
        <v>0</v>
      </c>
    </row>
    <row r="2371" spans="3:30">
      <c r="C2371" s="43" t="s">
        <v>4409</v>
      </c>
      <c r="D2371" s="44" t="s">
        <v>4410</v>
      </c>
      <c r="E2371" s="44"/>
      <c r="F2371" s="45">
        <v>43339.141134259255</v>
      </c>
      <c r="G2371" s="46">
        <v>1</v>
      </c>
      <c r="H2371" s="47">
        <v>43383</v>
      </c>
      <c r="I2371" s="47">
        <v>43390</v>
      </c>
      <c r="J2371" s="46">
        <v>156640</v>
      </c>
      <c r="K2371" s="46">
        <v>0</v>
      </c>
      <c r="L2371" s="46">
        <v>0</v>
      </c>
      <c r="M2371" s="46">
        <f t="shared" si="662"/>
        <v>156640</v>
      </c>
      <c r="N2371" s="46">
        <v>188518</v>
      </c>
      <c r="O2371" s="48">
        <f t="shared" si="663"/>
        <v>0.16909791107480454</v>
      </c>
      <c r="P2371" s="46">
        <v>0</v>
      </c>
      <c r="Q2371" s="46">
        <v>0</v>
      </c>
      <c r="R2371" s="49">
        <f t="shared" si="664"/>
        <v>0</v>
      </c>
      <c r="S2371" s="50">
        <f t="shared" si="665"/>
        <v>0</v>
      </c>
      <c r="T2371" s="49">
        <f t="shared" si="666"/>
        <v>0</v>
      </c>
      <c r="U2371" s="51">
        <f t="shared" si="667"/>
        <v>0</v>
      </c>
      <c r="V2371" s="52">
        <f>IF(0&lt;0.8,0,IF(0&lt;1,Sheet3!L561,1))*IF(G2371&lt;3,0.12 - O2371,0.01) *U2371</f>
        <v>0</v>
      </c>
      <c r="W2371" s="52">
        <f t="shared" si="668"/>
        <v>0</v>
      </c>
      <c r="X2371" s="53">
        <f t="shared" si="669"/>
        <v>0</v>
      </c>
      <c r="Y2371" s="53">
        <f t="shared" si="670"/>
        <v>0</v>
      </c>
      <c r="Z2371" s="54">
        <f t="shared" si="675"/>
        <v>0</v>
      </c>
      <c r="AA2371" s="54">
        <f t="shared" si="671"/>
        <v>0</v>
      </c>
      <c r="AB2371" s="55">
        <f t="shared" si="676"/>
        <v>0</v>
      </c>
      <c r="AC2371" s="55">
        <f t="shared" si="672"/>
        <v>0</v>
      </c>
      <c r="AD2371" s="56">
        <f t="shared" si="673"/>
        <v>0</v>
      </c>
    </row>
    <row r="2372" spans="3:30">
      <c r="C2372" s="43" t="s">
        <v>4411</v>
      </c>
      <c r="D2372" s="44" t="s">
        <v>4412</v>
      </c>
      <c r="E2372" s="44"/>
      <c r="F2372" s="45">
        <v>43353.356527777774</v>
      </c>
      <c r="G2372" s="46">
        <v>0</v>
      </c>
      <c r="H2372" s="47">
        <v>43399</v>
      </c>
      <c r="I2372" s="47">
        <v>43398</v>
      </c>
      <c r="J2372" s="46">
        <v>10599170</v>
      </c>
      <c r="K2372" s="46">
        <v>0</v>
      </c>
      <c r="L2372" s="46">
        <v>0</v>
      </c>
      <c r="M2372" s="46">
        <f t="shared" si="662"/>
        <v>10599170</v>
      </c>
      <c r="N2372" s="46">
        <v>10402908</v>
      </c>
      <c r="O2372" s="48">
        <f t="shared" si="663"/>
        <v>0</v>
      </c>
      <c r="P2372" s="46">
        <v>0</v>
      </c>
      <c r="Q2372" s="46">
        <v>0</v>
      </c>
      <c r="R2372" s="49">
        <f t="shared" si="664"/>
        <v>0</v>
      </c>
      <c r="S2372" s="50">
        <f t="shared" si="665"/>
        <v>0</v>
      </c>
      <c r="T2372" s="49">
        <f t="shared" si="666"/>
        <v>0</v>
      </c>
      <c r="U2372" s="51">
        <f t="shared" si="667"/>
        <v>10599170</v>
      </c>
      <c r="V2372" s="52">
        <f>IF(0&lt;0.8,0,IF(0&lt;1,Sheet3!L561,1))*IF(G2372&lt;3,0.12 - O2372,0.01) *U2372</f>
        <v>0</v>
      </c>
      <c r="W2372" s="52">
        <f t="shared" si="668"/>
        <v>0</v>
      </c>
      <c r="X2372" s="53">
        <f t="shared" si="669"/>
        <v>0</v>
      </c>
      <c r="Y2372" s="53">
        <f t="shared" si="670"/>
        <v>0</v>
      </c>
      <c r="Z2372" s="54">
        <f t="shared" si="675"/>
        <v>0</v>
      </c>
      <c r="AA2372" s="54">
        <f t="shared" si="671"/>
        <v>0</v>
      </c>
      <c r="AB2372" s="55">
        <f t="shared" si="676"/>
        <v>0</v>
      </c>
      <c r="AC2372" s="55">
        <f t="shared" si="672"/>
        <v>0</v>
      </c>
      <c r="AD2372" s="56">
        <f t="shared" si="673"/>
        <v>0</v>
      </c>
    </row>
    <row r="2373" spans="3:30">
      <c r="C2373" s="43" t="s">
        <v>4413</v>
      </c>
      <c r="D2373" s="44" t="s">
        <v>4414</v>
      </c>
      <c r="E2373" s="44"/>
      <c r="F2373" s="45">
        <v>43353.36005787037</v>
      </c>
      <c r="G2373" s="46">
        <v>0</v>
      </c>
      <c r="H2373" s="47">
        <v>43383</v>
      </c>
      <c r="I2373" s="47">
        <v>43391</v>
      </c>
      <c r="J2373" s="46">
        <v>117007</v>
      </c>
      <c r="K2373" s="46">
        <v>0</v>
      </c>
      <c r="L2373" s="46">
        <v>0</v>
      </c>
      <c r="M2373" s="46">
        <f t="shared" si="662"/>
        <v>117007</v>
      </c>
      <c r="N2373" s="46">
        <v>117007</v>
      </c>
      <c r="O2373" s="48">
        <f t="shared" si="663"/>
        <v>0</v>
      </c>
      <c r="P2373" s="46">
        <v>0</v>
      </c>
      <c r="Q2373" s="46">
        <v>0</v>
      </c>
      <c r="R2373" s="49">
        <f t="shared" si="664"/>
        <v>0</v>
      </c>
      <c r="S2373" s="50">
        <f t="shared" si="665"/>
        <v>0</v>
      </c>
      <c r="T2373" s="49">
        <f t="shared" si="666"/>
        <v>0</v>
      </c>
      <c r="U2373" s="51">
        <f t="shared" si="667"/>
        <v>117007</v>
      </c>
      <c r="V2373" s="52">
        <f>IF(0&lt;0.8,0,IF(0&lt;1,Sheet3!L561,1))*IF(G2373&lt;3,0.12 - O2373,0.01) *U2373</f>
        <v>0</v>
      </c>
      <c r="W2373" s="52">
        <f t="shared" si="668"/>
        <v>0</v>
      </c>
      <c r="X2373" s="53">
        <f t="shared" si="669"/>
        <v>0</v>
      </c>
      <c r="Y2373" s="53">
        <f t="shared" si="670"/>
        <v>0</v>
      </c>
      <c r="Z2373" s="54">
        <f t="shared" si="675"/>
        <v>0</v>
      </c>
      <c r="AA2373" s="54">
        <f t="shared" si="671"/>
        <v>0</v>
      </c>
      <c r="AB2373" s="55">
        <f t="shared" si="676"/>
        <v>0</v>
      </c>
      <c r="AC2373" s="55">
        <f t="shared" si="672"/>
        <v>0</v>
      </c>
      <c r="AD2373" s="56">
        <f t="shared" si="673"/>
        <v>0</v>
      </c>
    </row>
    <row r="2374" spans="3:30">
      <c r="C2374" s="43" t="s">
        <v>4415</v>
      </c>
      <c r="D2374" s="44" t="s">
        <v>4416</v>
      </c>
      <c r="E2374" s="44"/>
      <c r="F2374" s="45">
        <v>38960.638506944444</v>
      </c>
      <c r="G2374" s="46">
        <v>145</v>
      </c>
      <c r="H2374" s="47">
        <v>43392</v>
      </c>
      <c r="I2374" s="47">
        <v>43434</v>
      </c>
      <c r="J2374" s="46">
        <v>6518269</v>
      </c>
      <c r="K2374" s="46">
        <v>0</v>
      </c>
      <c r="L2374" s="46">
        <v>0</v>
      </c>
      <c r="M2374" s="46">
        <f t="shared" si="662"/>
        <v>6518269</v>
      </c>
      <c r="N2374" s="46">
        <v>6746733</v>
      </c>
      <c r="O2374" s="48">
        <f t="shared" si="663"/>
        <v>3.3862908166070849E-2</v>
      </c>
      <c r="P2374" s="46">
        <v>0</v>
      </c>
      <c r="Q2374" s="46">
        <v>6518269</v>
      </c>
      <c r="R2374" s="49">
        <f t="shared" si="664"/>
        <v>1</v>
      </c>
      <c r="S2374" s="50">
        <f t="shared" si="665"/>
        <v>0.01</v>
      </c>
      <c r="T2374" s="49">
        <f t="shared" si="666"/>
        <v>65182.69</v>
      </c>
      <c r="U2374" s="51">
        <f t="shared" si="667"/>
        <v>0</v>
      </c>
      <c r="V2374" s="52">
        <f>IF(0&lt;0.8,0,IF(0&lt;1,Sheet3!L561,1))*IF(G2374&lt;3,0.12 - O2374,0.01) *U2374</f>
        <v>0</v>
      </c>
      <c r="W2374" s="52">
        <f t="shared" si="668"/>
        <v>0</v>
      </c>
      <c r="X2374" s="53">
        <f t="shared" si="669"/>
        <v>0</v>
      </c>
      <c r="Y2374" s="53">
        <f t="shared" si="670"/>
        <v>0</v>
      </c>
      <c r="Z2374" s="54">
        <f t="shared" si="675"/>
        <v>0</v>
      </c>
      <c r="AA2374" s="54">
        <f t="shared" si="671"/>
        <v>0</v>
      </c>
      <c r="AB2374" s="55">
        <f t="shared" si="676"/>
        <v>0</v>
      </c>
      <c r="AC2374" s="55">
        <f t="shared" si="672"/>
        <v>0</v>
      </c>
      <c r="AD2374" s="56">
        <f t="shared" si="673"/>
        <v>65182.69</v>
      </c>
    </row>
    <row r="2375" spans="3:30">
      <c r="C2375" s="43" t="s">
        <v>4417</v>
      </c>
      <c r="D2375" s="44" t="s">
        <v>4418</v>
      </c>
      <c r="E2375" s="44"/>
      <c r="F2375" s="45">
        <v>38989.447488425925</v>
      </c>
      <c r="G2375" s="46">
        <v>144</v>
      </c>
      <c r="H2375" s="47">
        <v>43376</v>
      </c>
      <c r="I2375" s="47">
        <v>43425</v>
      </c>
      <c r="J2375" s="46">
        <v>490050</v>
      </c>
      <c r="K2375" s="46">
        <v>0</v>
      </c>
      <c r="L2375" s="46">
        <v>0</v>
      </c>
      <c r="M2375" s="46">
        <f t="shared" si="662"/>
        <v>490050</v>
      </c>
      <c r="N2375" s="46">
        <v>490050</v>
      </c>
      <c r="O2375" s="48">
        <f t="shared" si="663"/>
        <v>0</v>
      </c>
      <c r="P2375" s="46">
        <v>0</v>
      </c>
      <c r="Q2375" s="46">
        <v>490050</v>
      </c>
      <c r="R2375" s="49">
        <f t="shared" si="664"/>
        <v>1</v>
      </c>
      <c r="S2375" s="50">
        <f t="shared" si="665"/>
        <v>0.01</v>
      </c>
      <c r="T2375" s="49">
        <f t="shared" si="666"/>
        <v>4900.5</v>
      </c>
      <c r="U2375" s="51">
        <f t="shared" si="667"/>
        <v>0</v>
      </c>
      <c r="V2375" s="52">
        <f>IF(0&lt;0.8,0,IF(0&lt;1,Sheet3!L561,1))*IF(G2375&lt;3,0.12 - O2375,0.01) *U2375</f>
        <v>0</v>
      </c>
      <c r="W2375" s="52">
        <f t="shared" si="668"/>
        <v>0</v>
      </c>
      <c r="X2375" s="53">
        <f t="shared" si="669"/>
        <v>0</v>
      </c>
      <c r="Y2375" s="53">
        <f t="shared" si="670"/>
        <v>0</v>
      </c>
      <c r="Z2375" s="54">
        <f t="shared" si="675"/>
        <v>0</v>
      </c>
      <c r="AA2375" s="54">
        <f t="shared" si="671"/>
        <v>0</v>
      </c>
      <c r="AB2375" s="55">
        <f t="shared" si="676"/>
        <v>0</v>
      </c>
      <c r="AC2375" s="55">
        <f t="shared" si="672"/>
        <v>0</v>
      </c>
      <c r="AD2375" s="56">
        <f t="shared" si="673"/>
        <v>4900.5</v>
      </c>
    </row>
    <row r="2376" spans="3:30">
      <c r="C2376" s="43" t="s">
        <v>4419</v>
      </c>
      <c r="D2376" s="44" t="s">
        <v>4420</v>
      </c>
      <c r="E2376" s="44"/>
      <c r="F2376" s="45">
        <v>39427.624467592592</v>
      </c>
      <c r="G2376" s="46">
        <v>129</v>
      </c>
      <c r="H2376" s="47" t="s">
        <v>24</v>
      </c>
      <c r="I2376" s="47" t="s">
        <v>24</v>
      </c>
      <c r="J2376" s="46">
        <v>1482723</v>
      </c>
      <c r="K2376" s="46">
        <v>0</v>
      </c>
      <c r="L2376" s="46">
        <v>0</v>
      </c>
      <c r="M2376" s="46">
        <f t="shared" si="662"/>
        <v>1482723</v>
      </c>
      <c r="N2376" s="46" t="s">
        <v>24</v>
      </c>
      <c r="O2376" s="48">
        <f t="shared" si="663"/>
        <v>0</v>
      </c>
      <c r="P2376" s="46">
        <v>0</v>
      </c>
      <c r="Q2376" s="46">
        <v>0</v>
      </c>
      <c r="R2376" s="49">
        <f t="shared" si="664"/>
        <v>1</v>
      </c>
      <c r="S2376" s="50">
        <f t="shared" si="665"/>
        <v>0.01</v>
      </c>
      <c r="T2376" s="49">
        <f t="shared" si="666"/>
        <v>14827.23</v>
      </c>
      <c r="U2376" s="51">
        <f t="shared" si="667"/>
        <v>0</v>
      </c>
      <c r="V2376" s="52">
        <f>IF(0&lt;0.8,0,IF(0&lt;1,Sheet3!L561,1))*IF(G2376&lt;3,0.12 - O2376,0.01) *U2376</f>
        <v>0</v>
      </c>
      <c r="W2376" s="52">
        <f t="shared" si="668"/>
        <v>0</v>
      </c>
      <c r="X2376" s="53">
        <f t="shared" si="669"/>
        <v>0</v>
      </c>
      <c r="Y2376" s="53">
        <f t="shared" si="670"/>
        <v>0</v>
      </c>
      <c r="Z2376" s="54">
        <f>IF(R2376=1,0,"")</f>
        <v>0</v>
      </c>
      <c r="AA2376" s="54">
        <f t="shared" si="671"/>
        <v>0</v>
      </c>
      <c r="AB2376" s="55">
        <f>IF(R2376=0,"",0)</f>
        <v>0</v>
      </c>
      <c r="AC2376" s="55">
        <f t="shared" si="672"/>
        <v>0</v>
      </c>
      <c r="AD2376" s="56">
        <f t="shared" si="673"/>
        <v>14827.23</v>
      </c>
    </row>
    <row r="2377" spans="3:30">
      <c r="C2377" s="43" t="s">
        <v>4419</v>
      </c>
      <c r="D2377" s="44" t="s">
        <v>4420</v>
      </c>
      <c r="E2377" s="44"/>
      <c r="F2377" s="45">
        <v>39427.624467592592</v>
      </c>
      <c r="G2377" s="46">
        <v>129</v>
      </c>
      <c r="H2377" s="47" t="s">
        <v>24</v>
      </c>
      <c r="I2377" s="47" t="s">
        <v>24</v>
      </c>
      <c r="J2377" s="46">
        <v>1482723</v>
      </c>
      <c r="K2377" s="46">
        <v>0</v>
      </c>
      <c r="L2377" s="46">
        <v>0</v>
      </c>
      <c r="M2377" s="46">
        <f t="shared" si="662"/>
        <v>1482723</v>
      </c>
      <c r="N2377" s="46" t="s">
        <v>24</v>
      </c>
      <c r="O2377" s="48">
        <f t="shared" si="663"/>
        <v>0</v>
      </c>
      <c r="P2377" s="46">
        <v>0</v>
      </c>
      <c r="Q2377" s="46">
        <v>0</v>
      </c>
      <c r="R2377" s="49">
        <f t="shared" si="664"/>
        <v>1</v>
      </c>
      <c r="S2377" s="50">
        <f t="shared" si="665"/>
        <v>0.01</v>
      </c>
      <c r="T2377" s="49">
        <f t="shared" si="666"/>
        <v>14827.23</v>
      </c>
      <c r="U2377" s="51">
        <f t="shared" si="667"/>
        <v>0</v>
      </c>
      <c r="V2377" s="52">
        <f>IF(0&lt;0.8,0,IF(0&lt;1,Sheet3!L561,1))*IF(G2377&lt;3,0.12 - O2377,0.01) *U2377</f>
        <v>0</v>
      </c>
      <c r="W2377" s="52">
        <f t="shared" si="668"/>
        <v>0</v>
      </c>
      <c r="X2377" s="53">
        <f t="shared" si="669"/>
        <v>0</v>
      </c>
      <c r="Y2377" s="53">
        <f t="shared" si="670"/>
        <v>0</v>
      </c>
      <c r="Z2377" s="54">
        <f>IF(R2377=1,0,"")</f>
        <v>0</v>
      </c>
      <c r="AA2377" s="54">
        <f t="shared" si="671"/>
        <v>0</v>
      </c>
      <c r="AB2377" s="55">
        <f>IF(R2377=0,"",0)</f>
        <v>0</v>
      </c>
      <c r="AC2377" s="55">
        <f t="shared" si="672"/>
        <v>0</v>
      </c>
      <c r="AD2377" s="56">
        <f t="shared" si="673"/>
        <v>14827.23</v>
      </c>
    </row>
    <row r="2378" spans="3:30">
      <c r="C2378" s="43" t="s">
        <v>4421</v>
      </c>
      <c r="D2378" s="44" t="s">
        <v>4422</v>
      </c>
      <c r="E2378" s="44"/>
      <c r="F2378" s="45">
        <v>39674.453541666662</v>
      </c>
      <c r="G2378" s="46">
        <v>121</v>
      </c>
      <c r="H2378" s="47">
        <v>43404</v>
      </c>
      <c r="I2378" s="47">
        <v>43423</v>
      </c>
      <c r="J2378" s="46">
        <v>215600</v>
      </c>
      <c r="K2378" s="46">
        <v>0</v>
      </c>
      <c r="L2378" s="46">
        <v>0</v>
      </c>
      <c r="M2378" s="46">
        <f t="shared" si="662"/>
        <v>215600</v>
      </c>
      <c r="N2378" s="46">
        <v>215600</v>
      </c>
      <c r="O2378" s="48">
        <f t="shared" si="663"/>
        <v>0</v>
      </c>
      <c r="P2378" s="46">
        <v>0</v>
      </c>
      <c r="Q2378" s="46">
        <v>215600</v>
      </c>
      <c r="R2378" s="49">
        <f t="shared" si="664"/>
        <v>1</v>
      </c>
      <c r="S2378" s="50">
        <f t="shared" si="665"/>
        <v>0.01</v>
      </c>
      <c r="T2378" s="49">
        <f t="shared" si="666"/>
        <v>2156</v>
      </c>
      <c r="U2378" s="51">
        <f t="shared" si="667"/>
        <v>0</v>
      </c>
      <c r="V2378" s="52">
        <f>IF(0&lt;0.8,0,IF(0&lt;1,Sheet3!L561,1))*IF(G2378&lt;3,0.12 - O2378,0.01) *U2378</f>
        <v>0</v>
      </c>
      <c r="W2378" s="52">
        <f t="shared" si="668"/>
        <v>0</v>
      </c>
      <c r="X2378" s="53">
        <f t="shared" si="669"/>
        <v>0</v>
      </c>
      <c r="Y2378" s="53">
        <f t="shared" si="670"/>
        <v>0</v>
      </c>
      <c r="Z2378" s="54">
        <f t="shared" ref="Z2378:Z2434" si="677">IF(R2378=1,0,0)</f>
        <v>0</v>
      </c>
      <c r="AA2378" s="54">
        <f t="shared" si="671"/>
        <v>0</v>
      </c>
      <c r="AB2378" s="55">
        <f t="shared" ref="AB2378:AB2434" si="678">IF(R2378=0,0,0)</f>
        <v>0</v>
      </c>
      <c r="AC2378" s="55">
        <f t="shared" si="672"/>
        <v>0</v>
      </c>
      <c r="AD2378" s="56">
        <f t="shared" si="673"/>
        <v>2156</v>
      </c>
    </row>
    <row r="2379" spans="3:30">
      <c r="C2379" s="43" t="s">
        <v>4423</v>
      </c>
      <c r="D2379" s="44" t="s">
        <v>4424</v>
      </c>
      <c r="E2379" s="44"/>
      <c r="F2379" s="45">
        <v>40323.571689814817</v>
      </c>
      <c r="G2379" s="46">
        <v>100</v>
      </c>
      <c r="H2379" s="47">
        <v>43376</v>
      </c>
      <c r="I2379" s="47">
        <v>43453</v>
      </c>
      <c r="J2379" s="46">
        <v>841192</v>
      </c>
      <c r="K2379" s="46">
        <v>0</v>
      </c>
      <c r="L2379" s="46">
        <v>0</v>
      </c>
      <c r="M2379" s="46">
        <f t="shared" si="662"/>
        <v>841192</v>
      </c>
      <c r="N2379" s="46">
        <v>841192</v>
      </c>
      <c r="O2379" s="48">
        <f t="shared" si="663"/>
        <v>0</v>
      </c>
      <c r="P2379" s="46">
        <v>0</v>
      </c>
      <c r="Q2379" s="46">
        <v>841192</v>
      </c>
      <c r="R2379" s="49">
        <f t="shared" si="664"/>
        <v>1</v>
      </c>
      <c r="S2379" s="50">
        <f t="shared" si="665"/>
        <v>0.01</v>
      </c>
      <c r="T2379" s="49">
        <f t="shared" si="666"/>
        <v>8411.92</v>
      </c>
      <c r="U2379" s="51">
        <f t="shared" si="667"/>
        <v>0</v>
      </c>
      <c r="V2379" s="52">
        <f>IF(0&lt;0.8,0,IF(0&lt;1,Sheet3!L561,1))*IF(G2379&lt;3,0.12 - O2379,0.01) *U2379</f>
        <v>0</v>
      </c>
      <c r="W2379" s="52">
        <f t="shared" si="668"/>
        <v>0</v>
      </c>
      <c r="X2379" s="53">
        <f t="shared" si="669"/>
        <v>0</v>
      </c>
      <c r="Y2379" s="53">
        <f t="shared" si="670"/>
        <v>0</v>
      </c>
      <c r="Z2379" s="54">
        <f t="shared" si="677"/>
        <v>0</v>
      </c>
      <c r="AA2379" s="54">
        <f t="shared" si="671"/>
        <v>0</v>
      </c>
      <c r="AB2379" s="55">
        <f t="shared" si="678"/>
        <v>0</v>
      </c>
      <c r="AC2379" s="55">
        <f t="shared" si="672"/>
        <v>0</v>
      </c>
      <c r="AD2379" s="56">
        <f t="shared" si="673"/>
        <v>8411.92</v>
      </c>
    </row>
    <row r="2380" spans="3:30">
      <c r="C2380" s="43" t="s">
        <v>4425</v>
      </c>
      <c r="D2380" s="44" t="s">
        <v>4426</v>
      </c>
      <c r="E2380" s="44"/>
      <c r="F2380" s="45">
        <v>40597.357418981483</v>
      </c>
      <c r="G2380" s="46">
        <v>91</v>
      </c>
      <c r="H2380" s="47">
        <v>43376</v>
      </c>
      <c r="I2380" s="47">
        <v>43400</v>
      </c>
      <c r="J2380" s="46">
        <v>1123919</v>
      </c>
      <c r="K2380" s="46">
        <v>0</v>
      </c>
      <c r="L2380" s="46">
        <v>0</v>
      </c>
      <c r="M2380" s="46">
        <f t="shared" si="662"/>
        <v>1123919</v>
      </c>
      <c r="N2380" s="46">
        <v>1124211</v>
      </c>
      <c r="O2380" s="48">
        <f t="shared" si="663"/>
        <v>2.5973771827525471E-4</v>
      </c>
      <c r="P2380" s="46">
        <v>0</v>
      </c>
      <c r="Q2380" s="46">
        <v>1123919</v>
      </c>
      <c r="R2380" s="49">
        <f t="shared" si="664"/>
        <v>1</v>
      </c>
      <c r="S2380" s="50">
        <f t="shared" si="665"/>
        <v>0.01</v>
      </c>
      <c r="T2380" s="49">
        <f t="shared" si="666"/>
        <v>11239.19</v>
      </c>
      <c r="U2380" s="51">
        <f t="shared" si="667"/>
        <v>0</v>
      </c>
      <c r="V2380" s="52">
        <f>IF(0&lt;0.8,0,IF(0&lt;1,Sheet3!L561,1))*IF(G2380&lt;3,0.12 - O2380,0.01) *U2380</f>
        <v>0</v>
      </c>
      <c r="W2380" s="52">
        <f t="shared" si="668"/>
        <v>0</v>
      </c>
      <c r="X2380" s="53">
        <f t="shared" si="669"/>
        <v>0</v>
      </c>
      <c r="Y2380" s="53">
        <f t="shared" si="670"/>
        <v>0</v>
      </c>
      <c r="Z2380" s="54">
        <f t="shared" si="677"/>
        <v>0</v>
      </c>
      <c r="AA2380" s="54">
        <f t="shared" si="671"/>
        <v>0</v>
      </c>
      <c r="AB2380" s="55">
        <f t="shared" si="678"/>
        <v>0</v>
      </c>
      <c r="AC2380" s="55">
        <f t="shared" si="672"/>
        <v>0</v>
      </c>
      <c r="AD2380" s="56">
        <f t="shared" si="673"/>
        <v>11239.19</v>
      </c>
    </row>
    <row r="2381" spans="3:30">
      <c r="C2381" s="43" t="s">
        <v>4427</v>
      </c>
      <c r="D2381" s="44" t="s">
        <v>4428</v>
      </c>
      <c r="E2381" s="44"/>
      <c r="F2381" s="45">
        <v>40763.571006944439</v>
      </c>
      <c r="G2381" s="46">
        <v>85</v>
      </c>
      <c r="H2381" s="47">
        <v>43390</v>
      </c>
      <c r="I2381" s="47">
        <v>43425</v>
      </c>
      <c r="J2381" s="46">
        <v>432454</v>
      </c>
      <c r="K2381" s="46">
        <v>0</v>
      </c>
      <c r="L2381" s="46">
        <v>0</v>
      </c>
      <c r="M2381" s="46">
        <f t="shared" si="662"/>
        <v>432454</v>
      </c>
      <c r="N2381" s="46">
        <v>432454</v>
      </c>
      <c r="O2381" s="48">
        <f t="shared" si="663"/>
        <v>0</v>
      </c>
      <c r="P2381" s="46">
        <v>0</v>
      </c>
      <c r="Q2381" s="46">
        <v>432454</v>
      </c>
      <c r="R2381" s="49">
        <f t="shared" si="664"/>
        <v>1</v>
      </c>
      <c r="S2381" s="50">
        <f t="shared" si="665"/>
        <v>0.01</v>
      </c>
      <c r="T2381" s="49">
        <f t="shared" si="666"/>
        <v>4324.54</v>
      </c>
      <c r="U2381" s="51">
        <f t="shared" si="667"/>
        <v>0</v>
      </c>
      <c r="V2381" s="52">
        <f>IF(0&lt;0.8,0,IF(0&lt;1,Sheet3!L561,1))*IF(G2381&lt;3,0.12 - O2381,0.01) *U2381</f>
        <v>0</v>
      </c>
      <c r="W2381" s="52">
        <f t="shared" si="668"/>
        <v>0</v>
      </c>
      <c r="X2381" s="53">
        <f t="shared" si="669"/>
        <v>0</v>
      </c>
      <c r="Y2381" s="53">
        <f t="shared" si="670"/>
        <v>0</v>
      </c>
      <c r="Z2381" s="54">
        <f t="shared" si="677"/>
        <v>0</v>
      </c>
      <c r="AA2381" s="54">
        <f t="shared" si="671"/>
        <v>0</v>
      </c>
      <c r="AB2381" s="55">
        <f t="shared" si="678"/>
        <v>0</v>
      </c>
      <c r="AC2381" s="55">
        <f t="shared" si="672"/>
        <v>0</v>
      </c>
      <c r="AD2381" s="56">
        <f t="shared" si="673"/>
        <v>4324.54</v>
      </c>
    </row>
    <row r="2382" spans="3:30">
      <c r="C2382" s="43" t="s">
        <v>4429</v>
      </c>
      <c r="D2382" s="44" t="s">
        <v>4430</v>
      </c>
      <c r="E2382" s="44"/>
      <c r="F2382" s="45">
        <v>40917.693391203698</v>
      </c>
      <c r="G2382" s="46">
        <v>80</v>
      </c>
      <c r="H2382" s="47">
        <v>43376</v>
      </c>
      <c r="I2382" s="47">
        <v>43431</v>
      </c>
      <c r="J2382" s="46">
        <v>2813734</v>
      </c>
      <c r="K2382" s="46">
        <v>0</v>
      </c>
      <c r="L2382" s="46">
        <v>0</v>
      </c>
      <c r="M2382" s="46">
        <f t="shared" si="662"/>
        <v>2813734</v>
      </c>
      <c r="N2382" s="46">
        <v>2813734</v>
      </c>
      <c r="O2382" s="48">
        <f t="shared" si="663"/>
        <v>0</v>
      </c>
      <c r="P2382" s="46">
        <v>0</v>
      </c>
      <c r="Q2382" s="46">
        <v>2813734</v>
      </c>
      <c r="R2382" s="49">
        <f t="shared" si="664"/>
        <v>1</v>
      </c>
      <c r="S2382" s="50">
        <f t="shared" si="665"/>
        <v>0.01</v>
      </c>
      <c r="T2382" s="49">
        <f t="shared" si="666"/>
        <v>28137.34</v>
      </c>
      <c r="U2382" s="51">
        <f t="shared" si="667"/>
        <v>0</v>
      </c>
      <c r="V2382" s="52">
        <f>IF(0&lt;0.8,0,IF(0&lt;1,Sheet3!L561,1))*IF(G2382&lt;3,0.12 - O2382,0.01) *U2382</f>
        <v>0</v>
      </c>
      <c r="W2382" s="52">
        <f t="shared" si="668"/>
        <v>0</v>
      </c>
      <c r="X2382" s="53">
        <f t="shared" si="669"/>
        <v>0</v>
      </c>
      <c r="Y2382" s="53">
        <f t="shared" si="670"/>
        <v>0</v>
      </c>
      <c r="Z2382" s="54">
        <f t="shared" si="677"/>
        <v>0</v>
      </c>
      <c r="AA2382" s="54">
        <f t="shared" si="671"/>
        <v>0</v>
      </c>
      <c r="AB2382" s="55">
        <f t="shared" si="678"/>
        <v>0</v>
      </c>
      <c r="AC2382" s="55">
        <f t="shared" si="672"/>
        <v>0</v>
      </c>
      <c r="AD2382" s="56">
        <f t="shared" si="673"/>
        <v>28137.34</v>
      </c>
    </row>
    <row r="2383" spans="3:30">
      <c r="C2383" s="43" t="s">
        <v>4431</v>
      </c>
      <c r="D2383" s="44" t="s">
        <v>4432</v>
      </c>
      <c r="E2383" s="44"/>
      <c r="F2383" s="45">
        <v>41051.623564814814</v>
      </c>
      <c r="G2383" s="46">
        <v>76</v>
      </c>
      <c r="H2383" s="47">
        <v>43376</v>
      </c>
      <c r="I2383" s="47">
        <v>43463</v>
      </c>
      <c r="J2383" s="46">
        <v>99099</v>
      </c>
      <c r="K2383" s="46">
        <v>0</v>
      </c>
      <c r="L2383" s="46">
        <v>0</v>
      </c>
      <c r="M2383" s="46">
        <f t="shared" si="662"/>
        <v>99099</v>
      </c>
      <c r="N2383" s="46">
        <v>99099</v>
      </c>
      <c r="O2383" s="48">
        <f t="shared" si="663"/>
        <v>0</v>
      </c>
      <c r="P2383" s="46">
        <v>0</v>
      </c>
      <c r="Q2383" s="46">
        <v>99099</v>
      </c>
      <c r="R2383" s="49">
        <f t="shared" si="664"/>
        <v>1</v>
      </c>
      <c r="S2383" s="50">
        <f t="shared" si="665"/>
        <v>0.01</v>
      </c>
      <c r="T2383" s="49">
        <f t="shared" si="666"/>
        <v>990.99</v>
      </c>
      <c r="U2383" s="51">
        <f t="shared" si="667"/>
        <v>0</v>
      </c>
      <c r="V2383" s="52">
        <f>IF(0&lt;0.8,0,IF(0&lt;1,Sheet3!L561,1))*IF(G2383&lt;3,0.12 - O2383,0.01) *U2383</f>
        <v>0</v>
      </c>
      <c r="W2383" s="52">
        <f t="shared" si="668"/>
        <v>0</v>
      </c>
      <c r="X2383" s="53">
        <f t="shared" si="669"/>
        <v>0</v>
      </c>
      <c r="Y2383" s="53">
        <f t="shared" si="670"/>
        <v>0</v>
      </c>
      <c r="Z2383" s="54">
        <f t="shared" si="677"/>
        <v>0</v>
      </c>
      <c r="AA2383" s="54">
        <f t="shared" si="671"/>
        <v>0</v>
      </c>
      <c r="AB2383" s="55">
        <f t="shared" si="678"/>
        <v>0</v>
      </c>
      <c r="AC2383" s="55">
        <f t="shared" si="672"/>
        <v>0</v>
      </c>
      <c r="AD2383" s="56">
        <f t="shared" si="673"/>
        <v>990.99</v>
      </c>
    </row>
    <row r="2384" spans="3:30">
      <c r="C2384" s="43" t="s">
        <v>4433</v>
      </c>
      <c r="D2384" s="44" t="s">
        <v>4434</v>
      </c>
      <c r="E2384" s="44"/>
      <c r="F2384" s="45">
        <v>41079.616377314815</v>
      </c>
      <c r="G2384" s="46">
        <v>75</v>
      </c>
      <c r="H2384" s="47">
        <v>43376</v>
      </c>
      <c r="I2384" s="47">
        <v>43453</v>
      </c>
      <c r="J2384" s="46">
        <v>621698</v>
      </c>
      <c r="K2384" s="46">
        <v>0</v>
      </c>
      <c r="L2384" s="46">
        <v>0</v>
      </c>
      <c r="M2384" s="46">
        <f t="shared" si="662"/>
        <v>621698</v>
      </c>
      <c r="N2384" s="46">
        <v>621698</v>
      </c>
      <c r="O2384" s="48">
        <f t="shared" si="663"/>
        <v>0</v>
      </c>
      <c r="P2384" s="46">
        <v>0</v>
      </c>
      <c r="Q2384" s="46">
        <v>621698</v>
      </c>
      <c r="R2384" s="49">
        <f t="shared" si="664"/>
        <v>1</v>
      </c>
      <c r="S2384" s="50">
        <f t="shared" si="665"/>
        <v>0.01</v>
      </c>
      <c r="T2384" s="49">
        <f t="shared" si="666"/>
        <v>6216.9800000000005</v>
      </c>
      <c r="U2384" s="51">
        <f t="shared" si="667"/>
        <v>0</v>
      </c>
      <c r="V2384" s="52">
        <f>IF(0&lt;0.8,0,IF(0&lt;1,Sheet3!L561,1))*IF(G2384&lt;3,0.12 - O2384,0.01) *U2384</f>
        <v>0</v>
      </c>
      <c r="W2384" s="52">
        <f t="shared" si="668"/>
        <v>0</v>
      </c>
      <c r="X2384" s="53">
        <f t="shared" si="669"/>
        <v>0</v>
      </c>
      <c r="Y2384" s="53">
        <f t="shared" si="670"/>
        <v>0</v>
      </c>
      <c r="Z2384" s="54">
        <f t="shared" si="677"/>
        <v>0</v>
      </c>
      <c r="AA2384" s="54">
        <f t="shared" si="671"/>
        <v>0</v>
      </c>
      <c r="AB2384" s="55">
        <f t="shared" si="678"/>
        <v>0</v>
      </c>
      <c r="AC2384" s="55">
        <f t="shared" si="672"/>
        <v>0</v>
      </c>
      <c r="AD2384" s="56">
        <f t="shared" si="673"/>
        <v>6216.9800000000005</v>
      </c>
    </row>
    <row r="2385" spans="3:30">
      <c r="C2385" s="43" t="s">
        <v>4435</v>
      </c>
      <c r="D2385" s="44" t="s">
        <v>4436</v>
      </c>
      <c r="E2385" s="44"/>
      <c r="F2385" s="45">
        <v>41097.437025462961</v>
      </c>
      <c r="G2385" s="46">
        <v>74</v>
      </c>
      <c r="H2385" s="47">
        <v>43390</v>
      </c>
      <c r="I2385" s="47">
        <v>43453</v>
      </c>
      <c r="J2385" s="46">
        <v>1258037</v>
      </c>
      <c r="K2385" s="46">
        <v>0</v>
      </c>
      <c r="L2385" s="46">
        <v>0</v>
      </c>
      <c r="M2385" s="46">
        <f t="shared" si="662"/>
        <v>1258037</v>
      </c>
      <c r="N2385" s="46">
        <v>1258037</v>
      </c>
      <c r="O2385" s="48">
        <f t="shared" si="663"/>
        <v>0</v>
      </c>
      <c r="P2385" s="46">
        <v>0</v>
      </c>
      <c r="Q2385" s="46">
        <v>1258037</v>
      </c>
      <c r="R2385" s="49">
        <f t="shared" si="664"/>
        <v>1</v>
      </c>
      <c r="S2385" s="50">
        <f t="shared" si="665"/>
        <v>0.01</v>
      </c>
      <c r="T2385" s="49">
        <f t="shared" si="666"/>
        <v>12580.37</v>
      </c>
      <c r="U2385" s="51">
        <f t="shared" si="667"/>
        <v>0</v>
      </c>
      <c r="V2385" s="52">
        <f>IF(0&lt;0.8,0,IF(0&lt;1,Sheet3!L561,1))*IF(G2385&lt;3,0.12 - O2385,0.01) *U2385</f>
        <v>0</v>
      </c>
      <c r="W2385" s="52">
        <f t="shared" si="668"/>
        <v>0</v>
      </c>
      <c r="X2385" s="53">
        <f t="shared" si="669"/>
        <v>0</v>
      </c>
      <c r="Y2385" s="53">
        <f t="shared" si="670"/>
        <v>0</v>
      </c>
      <c r="Z2385" s="54">
        <f t="shared" si="677"/>
        <v>0</v>
      </c>
      <c r="AA2385" s="54">
        <f t="shared" si="671"/>
        <v>0</v>
      </c>
      <c r="AB2385" s="55">
        <f t="shared" si="678"/>
        <v>0</v>
      </c>
      <c r="AC2385" s="55">
        <f t="shared" si="672"/>
        <v>0</v>
      </c>
      <c r="AD2385" s="56">
        <f t="shared" si="673"/>
        <v>12580.37</v>
      </c>
    </row>
    <row r="2386" spans="3:30">
      <c r="C2386" s="43" t="s">
        <v>4437</v>
      </c>
      <c r="D2386" s="44" t="s">
        <v>4438</v>
      </c>
      <c r="E2386" s="44"/>
      <c r="F2386" s="45">
        <v>41132.437106481477</v>
      </c>
      <c r="G2386" s="46">
        <v>73</v>
      </c>
      <c r="H2386" s="47">
        <v>43390</v>
      </c>
      <c r="I2386" s="47">
        <v>43413</v>
      </c>
      <c r="J2386" s="46">
        <v>3084122</v>
      </c>
      <c r="K2386" s="46">
        <v>0</v>
      </c>
      <c r="L2386" s="46">
        <v>0</v>
      </c>
      <c r="M2386" s="46">
        <f t="shared" si="662"/>
        <v>3084122</v>
      </c>
      <c r="N2386" s="46">
        <v>3084122</v>
      </c>
      <c r="O2386" s="48">
        <f t="shared" si="663"/>
        <v>0</v>
      </c>
      <c r="P2386" s="46">
        <v>0</v>
      </c>
      <c r="Q2386" s="46">
        <v>3084122</v>
      </c>
      <c r="R2386" s="49">
        <f t="shared" si="664"/>
        <v>1</v>
      </c>
      <c r="S2386" s="50">
        <f t="shared" si="665"/>
        <v>0.01</v>
      </c>
      <c r="T2386" s="49">
        <f t="shared" si="666"/>
        <v>30841.22</v>
      </c>
      <c r="U2386" s="51">
        <f t="shared" si="667"/>
        <v>0</v>
      </c>
      <c r="V2386" s="52">
        <f>IF(0&lt;0.8,0,IF(0&lt;1,Sheet3!L561,1))*IF(G2386&lt;3,0.12 - O2386,0.01) *U2386</f>
        <v>0</v>
      </c>
      <c r="W2386" s="52">
        <f t="shared" si="668"/>
        <v>0</v>
      </c>
      <c r="X2386" s="53">
        <f t="shared" si="669"/>
        <v>0</v>
      </c>
      <c r="Y2386" s="53">
        <f t="shared" si="670"/>
        <v>0</v>
      </c>
      <c r="Z2386" s="54">
        <f t="shared" si="677"/>
        <v>0</v>
      </c>
      <c r="AA2386" s="54">
        <f t="shared" si="671"/>
        <v>0</v>
      </c>
      <c r="AB2386" s="55">
        <f t="shared" si="678"/>
        <v>0</v>
      </c>
      <c r="AC2386" s="55">
        <f t="shared" si="672"/>
        <v>0</v>
      </c>
      <c r="AD2386" s="56">
        <f t="shared" si="673"/>
        <v>30841.22</v>
      </c>
    </row>
    <row r="2387" spans="3:30">
      <c r="C2387" s="43" t="s">
        <v>4439</v>
      </c>
      <c r="D2387" s="44" t="s">
        <v>4440</v>
      </c>
      <c r="E2387" s="44"/>
      <c r="F2387" s="45">
        <v>41162.592974537038</v>
      </c>
      <c r="G2387" s="46">
        <v>72</v>
      </c>
      <c r="H2387" s="47">
        <v>43390</v>
      </c>
      <c r="I2387" s="47">
        <v>43439</v>
      </c>
      <c r="J2387" s="46">
        <v>1230407</v>
      </c>
      <c r="K2387" s="46">
        <v>0</v>
      </c>
      <c r="L2387" s="46">
        <v>0</v>
      </c>
      <c r="M2387" s="46">
        <f t="shared" si="662"/>
        <v>1230407</v>
      </c>
      <c r="N2387" s="46">
        <v>1230860</v>
      </c>
      <c r="O2387" s="48">
        <f t="shared" si="663"/>
        <v>3.6803535739238225E-4</v>
      </c>
      <c r="P2387" s="46">
        <v>0</v>
      </c>
      <c r="Q2387" s="46">
        <v>1230407</v>
      </c>
      <c r="R2387" s="49">
        <f t="shared" si="664"/>
        <v>1</v>
      </c>
      <c r="S2387" s="50">
        <f t="shared" si="665"/>
        <v>0.01</v>
      </c>
      <c r="T2387" s="49">
        <f t="shared" si="666"/>
        <v>12304.07</v>
      </c>
      <c r="U2387" s="51">
        <f t="shared" si="667"/>
        <v>0</v>
      </c>
      <c r="V2387" s="52">
        <f>IF(0&lt;0.8,0,IF(0&lt;1,Sheet3!L561,1))*IF(G2387&lt;3,0.12 - O2387,0.01) *U2387</f>
        <v>0</v>
      </c>
      <c r="W2387" s="52">
        <f t="shared" si="668"/>
        <v>0</v>
      </c>
      <c r="X2387" s="53">
        <f t="shared" si="669"/>
        <v>0</v>
      </c>
      <c r="Y2387" s="53">
        <f t="shared" si="670"/>
        <v>0</v>
      </c>
      <c r="Z2387" s="54">
        <f t="shared" si="677"/>
        <v>0</v>
      </c>
      <c r="AA2387" s="54">
        <f t="shared" si="671"/>
        <v>0</v>
      </c>
      <c r="AB2387" s="55">
        <f t="shared" si="678"/>
        <v>0</v>
      </c>
      <c r="AC2387" s="55">
        <f t="shared" si="672"/>
        <v>0</v>
      </c>
      <c r="AD2387" s="56">
        <f t="shared" si="673"/>
        <v>12304.07</v>
      </c>
    </row>
    <row r="2388" spans="3:30">
      <c r="C2388" s="43" t="s">
        <v>4441</v>
      </c>
      <c r="D2388" s="44" t="s">
        <v>4442</v>
      </c>
      <c r="E2388" s="44"/>
      <c r="F2388" s="45">
        <v>41250.428298611107</v>
      </c>
      <c r="G2388" s="46">
        <v>69</v>
      </c>
      <c r="H2388" s="47">
        <v>43376</v>
      </c>
      <c r="I2388" s="47">
        <v>43453</v>
      </c>
      <c r="J2388" s="46">
        <v>1099120</v>
      </c>
      <c r="K2388" s="46">
        <v>0</v>
      </c>
      <c r="L2388" s="46">
        <v>0</v>
      </c>
      <c r="M2388" s="46">
        <f t="shared" si="662"/>
        <v>1099120</v>
      </c>
      <c r="N2388" s="46">
        <v>1136432</v>
      </c>
      <c r="O2388" s="48">
        <f t="shared" si="663"/>
        <v>3.2832584791698927E-2</v>
      </c>
      <c r="P2388" s="46">
        <v>0</v>
      </c>
      <c r="Q2388" s="46">
        <v>1099120</v>
      </c>
      <c r="R2388" s="49">
        <f t="shared" si="664"/>
        <v>1</v>
      </c>
      <c r="S2388" s="50">
        <f t="shared" si="665"/>
        <v>0.01</v>
      </c>
      <c r="T2388" s="49">
        <f t="shared" si="666"/>
        <v>10991.2</v>
      </c>
      <c r="U2388" s="51">
        <f t="shared" si="667"/>
        <v>0</v>
      </c>
      <c r="V2388" s="52">
        <f>IF(0&lt;0.8,0,IF(0&lt;1,Sheet3!L561,1))*IF(G2388&lt;3,0.12 - O2388,0.01) *U2388</f>
        <v>0</v>
      </c>
      <c r="W2388" s="52">
        <f t="shared" si="668"/>
        <v>0</v>
      </c>
      <c r="X2388" s="53">
        <f t="shared" si="669"/>
        <v>0</v>
      </c>
      <c r="Y2388" s="53">
        <f t="shared" si="670"/>
        <v>0</v>
      </c>
      <c r="Z2388" s="54">
        <f t="shared" si="677"/>
        <v>0</v>
      </c>
      <c r="AA2388" s="54">
        <f t="shared" si="671"/>
        <v>0</v>
      </c>
      <c r="AB2388" s="55">
        <f t="shared" si="678"/>
        <v>0</v>
      </c>
      <c r="AC2388" s="55">
        <f t="shared" si="672"/>
        <v>0</v>
      </c>
      <c r="AD2388" s="56">
        <f t="shared" si="673"/>
        <v>10991.2</v>
      </c>
    </row>
    <row r="2389" spans="3:30">
      <c r="C2389" s="43" t="s">
        <v>4443</v>
      </c>
      <c r="D2389" s="44" t="s">
        <v>4444</v>
      </c>
      <c r="E2389" s="44"/>
      <c r="F2389" s="45">
        <v>41281.612962962958</v>
      </c>
      <c r="G2389" s="46">
        <v>68</v>
      </c>
      <c r="H2389" s="47">
        <v>43390</v>
      </c>
      <c r="I2389" s="47">
        <v>43398</v>
      </c>
      <c r="J2389" s="46">
        <v>8146374</v>
      </c>
      <c r="K2389" s="46">
        <v>0</v>
      </c>
      <c r="L2389" s="46">
        <v>0</v>
      </c>
      <c r="M2389" s="46">
        <f t="shared" si="662"/>
        <v>8146374</v>
      </c>
      <c r="N2389" s="46">
        <v>8146374</v>
      </c>
      <c r="O2389" s="48">
        <f t="shared" si="663"/>
        <v>0</v>
      </c>
      <c r="P2389" s="46">
        <v>0</v>
      </c>
      <c r="Q2389" s="46">
        <v>8146374</v>
      </c>
      <c r="R2389" s="49">
        <f t="shared" si="664"/>
        <v>1</v>
      </c>
      <c r="S2389" s="50">
        <f t="shared" si="665"/>
        <v>0.01</v>
      </c>
      <c r="T2389" s="49">
        <f t="shared" si="666"/>
        <v>81463.740000000005</v>
      </c>
      <c r="U2389" s="51">
        <f t="shared" si="667"/>
        <v>0</v>
      </c>
      <c r="V2389" s="52">
        <f>IF(0&lt;0.8,0,IF(0&lt;1,Sheet3!L561,1))*IF(G2389&lt;3,0.12 - O2389,0.01) *U2389</f>
        <v>0</v>
      </c>
      <c r="W2389" s="52">
        <f t="shared" si="668"/>
        <v>0</v>
      </c>
      <c r="X2389" s="53">
        <f t="shared" si="669"/>
        <v>0</v>
      </c>
      <c r="Y2389" s="53">
        <f t="shared" si="670"/>
        <v>0</v>
      </c>
      <c r="Z2389" s="54">
        <f t="shared" si="677"/>
        <v>0</v>
      </c>
      <c r="AA2389" s="54">
        <f t="shared" si="671"/>
        <v>0</v>
      </c>
      <c r="AB2389" s="55">
        <f t="shared" si="678"/>
        <v>0</v>
      </c>
      <c r="AC2389" s="55">
        <f t="shared" si="672"/>
        <v>0</v>
      </c>
      <c r="AD2389" s="56">
        <f t="shared" si="673"/>
        <v>81463.740000000005</v>
      </c>
    </row>
    <row r="2390" spans="3:30">
      <c r="C2390" s="43" t="s">
        <v>4445</v>
      </c>
      <c r="D2390" s="44" t="s">
        <v>4446</v>
      </c>
      <c r="E2390" s="44"/>
      <c r="F2390" s="45">
        <v>41391.422592592593</v>
      </c>
      <c r="G2390" s="46">
        <v>65</v>
      </c>
      <c r="H2390" s="47">
        <v>43390</v>
      </c>
      <c r="I2390" s="47">
        <v>43441</v>
      </c>
      <c r="J2390" s="46">
        <v>654874</v>
      </c>
      <c r="K2390" s="46">
        <v>0</v>
      </c>
      <c r="L2390" s="46">
        <v>0</v>
      </c>
      <c r="M2390" s="46">
        <f t="shared" si="662"/>
        <v>654874</v>
      </c>
      <c r="N2390" s="46">
        <v>784685</v>
      </c>
      <c r="O2390" s="48">
        <f t="shared" si="663"/>
        <v>0.1654307142356487</v>
      </c>
      <c r="P2390" s="46">
        <v>0</v>
      </c>
      <c r="Q2390" s="46">
        <v>654874</v>
      </c>
      <c r="R2390" s="49">
        <f t="shared" si="664"/>
        <v>1</v>
      </c>
      <c r="S2390" s="50">
        <f t="shared" si="665"/>
        <v>0.01</v>
      </c>
      <c r="T2390" s="49">
        <f t="shared" si="666"/>
        <v>6548.74</v>
      </c>
      <c r="U2390" s="51">
        <f t="shared" si="667"/>
        <v>0</v>
      </c>
      <c r="V2390" s="52">
        <f>IF(0&lt;0.8,0,IF(0&lt;1,Sheet3!L561,1))*IF(G2390&lt;3,0.12 - O2390,0.01) *U2390</f>
        <v>0</v>
      </c>
      <c r="W2390" s="52">
        <f t="shared" si="668"/>
        <v>0</v>
      </c>
      <c r="X2390" s="53">
        <f t="shared" si="669"/>
        <v>0</v>
      </c>
      <c r="Y2390" s="53">
        <f t="shared" si="670"/>
        <v>0</v>
      </c>
      <c r="Z2390" s="54">
        <f t="shared" si="677"/>
        <v>0</v>
      </c>
      <c r="AA2390" s="54">
        <f t="shared" si="671"/>
        <v>0</v>
      </c>
      <c r="AB2390" s="55">
        <f t="shared" si="678"/>
        <v>0</v>
      </c>
      <c r="AC2390" s="55">
        <f t="shared" si="672"/>
        <v>0</v>
      </c>
      <c r="AD2390" s="56">
        <f t="shared" si="673"/>
        <v>6548.74</v>
      </c>
    </row>
    <row r="2391" spans="3:30">
      <c r="C2391" s="43" t="s">
        <v>4447</v>
      </c>
      <c r="D2391" s="44" t="s">
        <v>4448</v>
      </c>
      <c r="E2391" s="44"/>
      <c r="F2391" s="45">
        <v>41391.423958333333</v>
      </c>
      <c r="G2391" s="46">
        <v>65</v>
      </c>
      <c r="H2391" s="47">
        <v>43395</v>
      </c>
      <c r="I2391" s="47">
        <v>43418</v>
      </c>
      <c r="J2391" s="46">
        <v>10099502</v>
      </c>
      <c r="K2391" s="46">
        <v>0</v>
      </c>
      <c r="L2391" s="46">
        <v>0</v>
      </c>
      <c r="M2391" s="46">
        <f t="shared" si="662"/>
        <v>10099502</v>
      </c>
      <c r="N2391" s="46">
        <v>10072101</v>
      </c>
      <c r="O2391" s="48">
        <f t="shared" si="663"/>
        <v>0</v>
      </c>
      <c r="P2391" s="46">
        <v>0</v>
      </c>
      <c r="Q2391" s="46">
        <v>10099502</v>
      </c>
      <c r="R2391" s="49">
        <f t="shared" si="664"/>
        <v>1</v>
      </c>
      <c r="S2391" s="50">
        <f t="shared" si="665"/>
        <v>0.01</v>
      </c>
      <c r="T2391" s="49">
        <f t="shared" si="666"/>
        <v>100995.02</v>
      </c>
      <c r="U2391" s="51">
        <f t="shared" si="667"/>
        <v>0</v>
      </c>
      <c r="V2391" s="52">
        <f>IF(0&lt;0.8,0,IF(0&lt;1,Sheet3!L561,1))*IF(G2391&lt;3,0.12 - O2391,0.01) *U2391</f>
        <v>0</v>
      </c>
      <c r="W2391" s="52">
        <f t="shared" si="668"/>
        <v>0</v>
      </c>
      <c r="X2391" s="53">
        <f t="shared" si="669"/>
        <v>0</v>
      </c>
      <c r="Y2391" s="53">
        <f t="shared" si="670"/>
        <v>0</v>
      </c>
      <c r="Z2391" s="54">
        <f t="shared" si="677"/>
        <v>0</v>
      </c>
      <c r="AA2391" s="54">
        <f t="shared" si="671"/>
        <v>0</v>
      </c>
      <c r="AB2391" s="55">
        <f t="shared" si="678"/>
        <v>0</v>
      </c>
      <c r="AC2391" s="55">
        <f t="shared" si="672"/>
        <v>0</v>
      </c>
      <c r="AD2391" s="56">
        <f t="shared" si="673"/>
        <v>100995.02</v>
      </c>
    </row>
    <row r="2392" spans="3:30">
      <c r="C2392" s="43" t="s">
        <v>4449</v>
      </c>
      <c r="D2392" s="44" t="s">
        <v>4450</v>
      </c>
      <c r="E2392" s="44"/>
      <c r="F2392" s="45">
        <v>41472.405243055553</v>
      </c>
      <c r="G2392" s="46">
        <v>62</v>
      </c>
      <c r="H2392" s="47">
        <v>43376</v>
      </c>
      <c r="I2392" s="47">
        <v>43400</v>
      </c>
      <c r="J2392" s="46">
        <v>656425</v>
      </c>
      <c r="K2392" s="46">
        <v>0</v>
      </c>
      <c r="L2392" s="46">
        <v>0</v>
      </c>
      <c r="M2392" s="46">
        <f t="shared" si="662"/>
        <v>656425</v>
      </c>
      <c r="N2392" s="46">
        <v>656425</v>
      </c>
      <c r="O2392" s="48">
        <f t="shared" si="663"/>
        <v>0</v>
      </c>
      <c r="P2392" s="46">
        <v>0</v>
      </c>
      <c r="Q2392" s="46">
        <v>656425</v>
      </c>
      <c r="R2392" s="49">
        <f t="shared" si="664"/>
        <v>1</v>
      </c>
      <c r="S2392" s="50">
        <f t="shared" si="665"/>
        <v>0.01</v>
      </c>
      <c r="T2392" s="49">
        <f t="shared" si="666"/>
        <v>6564.25</v>
      </c>
      <c r="U2392" s="51">
        <f t="shared" si="667"/>
        <v>0</v>
      </c>
      <c r="V2392" s="52">
        <f>IF(0&lt;0.8,0,IF(0&lt;1,Sheet3!L561,1))*IF(G2392&lt;3,0.12 - O2392,0.01) *U2392</f>
        <v>0</v>
      </c>
      <c r="W2392" s="52">
        <f t="shared" si="668"/>
        <v>0</v>
      </c>
      <c r="X2392" s="53">
        <f t="shared" si="669"/>
        <v>0</v>
      </c>
      <c r="Y2392" s="53">
        <f t="shared" si="670"/>
        <v>0</v>
      </c>
      <c r="Z2392" s="54">
        <f t="shared" si="677"/>
        <v>0</v>
      </c>
      <c r="AA2392" s="54">
        <f t="shared" si="671"/>
        <v>0</v>
      </c>
      <c r="AB2392" s="55">
        <f t="shared" si="678"/>
        <v>0</v>
      </c>
      <c r="AC2392" s="55">
        <f t="shared" si="672"/>
        <v>0</v>
      </c>
      <c r="AD2392" s="56">
        <f t="shared" si="673"/>
        <v>6564.25</v>
      </c>
    </row>
    <row r="2393" spans="3:30">
      <c r="C2393" s="43" t="s">
        <v>4451</v>
      </c>
      <c r="D2393" s="44" t="s">
        <v>4452</v>
      </c>
      <c r="E2393" s="44"/>
      <c r="F2393" s="45">
        <v>41486.404016203705</v>
      </c>
      <c r="G2393" s="46">
        <v>62</v>
      </c>
      <c r="H2393" s="47">
        <v>43376</v>
      </c>
      <c r="I2393" s="47">
        <v>43468</v>
      </c>
      <c r="J2393" s="46">
        <v>5039529</v>
      </c>
      <c r="K2393" s="46">
        <v>0</v>
      </c>
      <c r="L2393" s="46">
        <v>0</v>
      </c>
      <c r="M2393" s="46">
        <f t="shared" si="662"/>
        <v>5039529</v>
      </c>
      <c r="N2393" s="46">
        <v>5039529</v>
      </c>
      <c r="O2393" s="48">
        <f t="shared" si="663"/>
        <v>0</v>
      </c>
      <c r="P2393" s="46">
        <v>0</v>
      </c>
      <c r="Q2393" s="46">
        <v>5039529</v>
      </c>
      <c r="R2393" s="49">
        <f t="shared" si="664"/>
        <v>1</v>
      </c>
      <c r="S2393" s="50">
        <f t="shared" si="665"/>
        <v>0.01</v>
      </c>
      <c r="T2393" s="49">
        <f t="shared" si="666"/>
        <v>50395.29</v>
      </c>
      <c r="U2393" s="51">
        <f t="shared" si="667"/>
        <v>0</v>
      </c>
      <c r="V2393" s="52">
        <f>IF(0&lt;0.8,0,IF(0&lt;1,Sheet3!L561,1))*IF(G2393&lt;3,0.12 - O2393,0.01) *U2393</f>
        <v>0</v>
      </c>
      <c r="W2393" s="52">
        <f t="shared" si="668"/>
        <v>0</v>
      </c>
      <c r="X2393" s="53">
        <f t="shared" si="669"/>
        <v>0</v>
      </c>
      <c r="Y2393" s="53">
        <f t="shared" si="670"/>
        <v>0</v>
      </c>
      <c r="Z2393" s="54">
        <f t="shared" si="677"/>
        <v>0</v>
      </c>
      <c r="AA2393" s="54">
        <f t="shared" si="671"/>
        <v>0</v>
      </c>
      <c r="AB2393" s="55">
        <f t="shared" si="678"/>
        <v>0</v>
      </c>
      <c r="AC2393" s="55">
        <f t="shared" si="672"/>
        <v>0</v>
      </c>
      <c r="AD2393" s="56">
        <f t="shared" si="673"/>
        <v>50395.29</v>
      </c>
    </row>
    <row r="2394" spans="3:30">
      <c r="C2394" s="43" t="s">
        <v>4453</v>
      </c>
      <c r="D2394" s="44" t="s">
        <v>4454</v>
      </c>
      <c r="E2394" s="44"/>
      <c r="F2394" s="45">
        <v>41486.402604166666</v>
      </c>
      <c r="G2394" s="46">
        <v>62</v>
      </c>
      <c r="H2394" s="47">
        <v>43376</v>
      </c>
      <c r="I2394" s="47">
        <v>43425</v>
      </c>
      <c r="J2394" s="46">
        <v>239580</v>
      </c>
      <c r="K2394" s="46">
        <v>0</v>
      </c>
      <c r="L2394" s="46">
        <v>0</v>
      </c>
      <c r="M2394" s="46">
        <f t="shared" si="662"/>
        <v>239580</v>
      </c>
      <c r="N2394" s="46">
        <v>239580</v>
      </c>
      <c r="O2394" s="48">
        <f t="shared" si="663"/>
        <v>0</v>
      </c>
      <c r="P2394" s="46">
        <v>0</v>
      </c>
      <c r="Q2394" s="46">
        <v>239580</v>
      </c>
      <c r="R2394" s="49">
        <f t="shared" si="664"/>
        <v>1</v>
      </c>
      <c r="S2394" s="50">
        <f t="shared" si="665"/>
        <v>0.01</v>
      </c>
      <c r="T2394" s="49">
        <f t="shared" si="666"/>
        <v>2395.8000000000002</v>
      </c>
      <c r="U2394" s="51">
        <f t="shared" si="667"/>
        <v>0</v>
      </c>
      <c r="V2394" s="52">
        <f>IF(0&lt;0.8,0,IF(0&lt;1,Sheet3!L561,1))*IF(G2394&lt;3,0.12 - O2394,0.01) *U2394</f>
        <v>0</v>
      </c>
      <c r="W2394" s="52">
        <f t="shared" si="668"/>
        <v>0</v>
      </c>
      <c r="X2394" s="53">
        <f t="shared" si="669"/>
        <v>0</v>
      </c>
      <c r="Y2394" s="53">
        <f t="shared" si="670"/>
        <v>0</v>
      </c>
      <c r="Z2394" s="54">
        <f t="shared" si="677"/>
        <v>0</v>
      </c>
      <c r="AA2394" s="54">
        <f t="shared" si="671"/>
        <v>0</v>
      </c>
      <c r="AB2394" s="55">
        <f t="shared" si="678"/>
        <v>0</v>
      </c>
      <c r="AC2394" s="55">
        <f t="shared" si="672"/>
        <v>0</v>
      </c>
      <c r="AD2394" s="56">
        <f t="shared" si="673"/>
        <v>2395.8000000000002</v>
      </c>
    </row>
    <row r="2395" spans="3:30">
      <c r="C2395" s="43" t="s">
        <v>4455</v>
      </c>
      <c r="D2395" s="44" t="s">
        <v>4456</v>
      </c>
      <c r="E2395" s="44"/>
      <c r="F2395" s="45">
        <v>41885.468668981477</v>
      </c>
      <c r="G2395" s="46">
        <v>48</v>
      </c>
      <c r="H2395" s="47">
        <v>43433</v>
      </c>
      <c r="I2395" s="47">
        <v>43461</v>
      </c>
      <c r="J2395" s="46">
        <v>537083</v>
      </c>
      <c r="K2395" s="46">
        <v>0</v>
      </c>
      <c r="L2395" s="46">
        <v>0</v>
      </c>
      <c r="M2395" s="46">
        <f t="shared" si="662"/>
        <v>537083</v>
      </c>
      <c r="N2395" s="46">
        <v>532288</v>
      </c>
      <c r="O2395" s="48">
        <f t="shared" si="663"/>
        <v>0</v>
      </c>
      <c r="P2395" s="46">
        <v>0</v>
      </c>
      <c r="Q2395" s="46">
        <v>537083</v>
      </c>
      <c r="R2395" s="49">
        <f t="shared" si="664"/>
        <v>1</v>
      </c>
      <c r="S2395" s="50">
        <f t="shared" si="665"/>
        <v>0.01</v>
      </c>
      <c r="T2395" s="49">
        <f t="shared" si="666"/>
        <v>5370.83</v>
      </c>
      <c r="U2395" s="51">
        <f t="shared" si="667"/>
        <v>0</v>
      </c>
      <c r="V2395" s="52">
        <f>IF(0&lt;0.8,0,IF(0&lt;1,Sheet3!L561,1))*IF(G2395&lt;3,0.12 - O2395,0.01) *U2395</f>
        <v>0</v>
      </c>
      <c r="W2395" s="52">
        <f t="shared" si="668"/>
        <v>0</v>
      </c>
      <c r="X2395" s="53">
        <f t="shared" si="669"/>
        <v>0</v>
      </c>
      <c r="Y2395" s="53">
        <f t="shared" si="670"/>
        <v>0</v>
      </c>
      <c r="Z2395" s="54">
        <f t="shared" si="677"/>
        <v>0</v>
      </c>
      <c r="AA2395" s="54">
        <f t="shared" si="671"/>
        <v>0</v>
      </c>
      <c r="AB2395" s="55">
        <f t="shared" si="678"/>
        <v>0</v>
      </c>
      <c r="AC2395" s="55">
        <f t="shared" si="672"/>
        <v>0</v>
      </c>
      <c r="AD2395" s="56">
        <f t="shared" si="673"/>
        <v>5370.83</v>
      </c>
    </row>
    <row r="2396" spans="3:30">
      <c r="C2396" s="43" t="s">
        <v>4457</v>
      </c>
      <c r="D2396" s="44" t="s">
        <v>4458</v>
      </c>
      <c r="E2396" s="44"/>
      <c r="F2396" s="45">
        <v>41885.469594907408</v>
      </c>
      <c r="G2396" s="46">
        <v>48</v>
      </c>
      <c r="H2396" s="47">
        <v>43459</v>
      </c>
      <c r="I2396" s="47">
        <v>43486</v>
      </c>
      <c r="J2396" s="46">
        <v>140167801</v>
      </c>
      <c r="K2396" s="46">
        <v>0</v>
      </c>
      <c r="L2396" s="46">
        <v>0</v>
      </c>
      <c r="M2396" s="46">
        <f t="shared" si="662"/>
        <v>140167801</v>
      </c>
      <c r="N2396" s="46">
        <v>178773504</v>
      </c>
      <c r="O2396" s="48">
        <f t="shared" si="663"/>
        <v>0.21594756569743134</v>
      </c>
      <c r="P2396" s="46">
        <v>0</v>
      </c>
      <c r="Q2396" s="46">
        <v>174852970</v>
      </c>
      <c r="R2396" s="49">
        <f t="shared" si="664"/>
        <v>1</v>
      </c>
      <c r="S2396" s="50">
        <f t="shared" si="665"/>
        <v>0.01</v>
      </c>
      <c r="T2396" s="49">
        <f t="shared" si="666"/>
        <v>1401678.01</v>
      </c>
      <c r="U2396" s="51">
        <f t="shared" si="667"/>
        <v>0</v>
      </c>
      <c r="V2396" s="52">
        <f>IF(0&lt;0.8,0,IF(0&lt;1,Sheet3!L561,1))*IF(G2396&lt;3,0.12 - O2396,0.01) *U2396</f>
        <v>0</v>
      </c>
      <c r="W2396" s="52">
        <f t="shared" si="668"/>
        <v>0</v>
      </c>
      <c r="X2396" s="53">
        <f t="shared" si="669"/>
        <v>0</v>
      </c>
      <c r="Y2396" s="53">
        <f t="shared" si="670"/>
        <v>0</v>
      </c>
      <c r="Z2396" s="54">
        <f t="shared" si="677"/>
        <v>0</v>
      </c>
      <c r="AA2396" s="54">
        <f t="shared" si="671"/>
        <v>0</v>
      </c>
      <c r="AB2396" s="55">
        <f t="shared" si="678"/>
        <v>0</v>
      </c>
      <c r="AC2396" s="55">
        <f t="shared" si="672"/>
        <v>0</v>
      </c>
      <c r="AD2396" s="56">
        <f t="shared" si="673"/>
        <v>1401678.01</v>
      </c>
    </row>
    <row r="2397" spans="3:30">
      <c r="C2397" s="43" t="s">
        <v>4459</v>
      </c>
      <c r="D2397" s="44" t="s">
        <v>4460</v>
      </c>
      <c r="E2397" s="44"/>
      <c r="F2397" s="45">
        <v>42089.498842592591</v>
      </c>
      <c r="G2397" s="46">
        <v>42</v>
      </c>
      <c r="H2397" s="47">
        <v>43376</v>
      </c>
      <c r="I2397" s="47">
        <v>43449</v>
      </c>
      <c r="J2397" s="46">
        <v>3650666</v>
      </c>
      <c r="K2397" s="46">
        <v>0</v>
      </c>
      <c r="L2397" s="46">
        <v>0</v>
      </c>
      <c r="M2397" s="46">
        <f t="shared" si="662"/>
        <v>3650666</v>
      </c>
      <c r="N2397" s="46">
        <v>3650666</v>
      </c>
      <c r="O2397" s="48">
        <f t="shared" si="663"/>
        <v>0</v>
      </c>
      <c r="P2397" s="46">
        <v>0</v>
      </c>
      <c r="Q2397" s="46">
        <v>3650666</v>
      </c>
      <c r="R2397" s="49">
        <f t="shared" si="664"/>
        <v>1</v>
      </c>
      <c r="S2397" s="50">
        <f t="shared" si="665"/>
        <v>0.01</v>
      </c>
      <c r="T2397" s="49">
        <f t="shared" si="666"/>
        <v>36506.660000000003</v>
      </c>
      <c r="U2397" s="51">
        <f t="shared" si="667"/>
        <v>0</v>
      </c>
      <c r="V2397" s="52">
        <f>IF(0&lt;0.8,0,IF(0&lt;1,Sheet3!L561,1))*IF(G2397&lt;3,0.12 - O2397,0.01) *U2397</f>
        <v>0</v>
      </c>
      <c r="W2397" s="52">
        <f t="shared" si="668"/>
        <v>0</v>
      </c>
      <c r="X2397" s="53">
        <f t="shared" si="669"/>
        <v>0</v>
      </c>
      <c r="Y2397" s="53">
        <f t="shared" si="670"/>
        <v>0</v>
      </c>
      <c r="Z2397" s="54">
        <f t="shared" si="677"/>
        <v>0</v>
      </c>
      <c r="AA2397" s="54">
        <f t="shared" si="671"/>
        <v>0</v>
      </c>
      <c r="AB2397" s="55">
        <f t="shared" si="678"/>
        <v>0</v>
      </c>
      <c r="AC2397" s="55">
        <f t="shared" si="672"/>
        <v>0</v>
      </c>
      <c r="AD2397" s="56">
        <f t="shared" si="673"/>
        <v>36506.660000000003</v>
      </c>
    </row>
    <row r="2398" spans="3:30">
      <c r="C2398" s="43" t="s">
        <v>4461</v>
      </c>
      <c r="D2398" s="44" t="s">
        <v>4462</v>
      </c>
      <c r="E2398" s="44"/>
      <c r="F2398" s="45">
        <v>42089.497754629629</v>
      </c>
      <c r="G2398" s="46">
        <v>42</v>
      </c>
      <c r="H2398" s="47">
        <v>43390</v>
      </c>
      <c r="I2398" s="47">
        <v>43432</v>
      </c>
      <c r="J2398" s="46">
        <v>208846</v>
      </c>
      <c r="K2398" s="46">
        <v>0</v>
      </c>
      <c r="L2398" s="46">
        <v>0</v>
      </c>
      <c r="M2398" s="46">
        <f t="shared" si="662"/>
        <v>208846</v>
      </c>
      <c r="N2398" s="46">
        <v>206353</v>
      </c>
      <c r="O2398" s="48">
        <f t="shared" si="663"/>
        <v>0</v>
      </c>
      <c r="P2398" s="46">
        <v>0</v>
      </c>
      <c r="Q2398" s="46">
        <v>208846</v>
      </c>
      <c r="R2398" s="49">
        <f t="shared" si="664"/>
        <v>1</v>
      </c>
      <c r="S2398" s="50">
        <f t="shared" si="665"/>
        <v>0.01</v>
      </c>
      <c r="T2398" s="49">
        <f t="shared" si="666"/>
        <v>2088.46</v>
      </c>
      <c r="U2398" s="51">
        <f t="shared" si="667"/>
        <v>0</v>
      </c>
      <c r="V2398" s="52">
        <f>IF(0&lt;0.8,0,IF(0&lt;1,Sheet3!L561,1))*IF(G2398&lt;3,0.12 - O2398,0.01) *U2398</f>
        <v>0</v>
      </c>
      <c r="W2398" s="52">
        <f t="shared" si="668"/>
        <v>0</v>
      </c>
      <c r="X2398" s="53">
        <f t="shared" si="669"/>
        <v>0</v>
      </c>
      <c r="Y2398" s="53">
        <f t="shared" si="670"/>
        <v>0</v>
      </c>
      <c r="Z2398" s="54">
        <f t="shared" si="677"/>
        <v>0</v>
      </c>
      <c r="AA2398" s="54">
        <f t="shared" si="671"/>
        <v>0</v>
      </c>
      <c r="AB2398" s="55">
        <f t="shared" si="678"/>
        <v>0</v>
      </c>
      <c r="AC2398" s="55">
        <f t="shared" si="672"/>
        <v>0</v>
      </c>
      <c r="AD2398" s="56">
        <f t="shared" si="673"/>
        <v>2088.46</v>
      </c>
    </row>
    <row r="2399" spans="3:30">
      <c r="C2399" s="43" t="s">
        <v>4463</v>
      </c>
      <c r="D2399" s="44" t="s">
        <v>4464</v>
      </c>
      <c r="E2399" s="44"/>
      <c r="F2399" s="45">
        <v>42129.346817129626</v>
      </c>
      <c r="G2399" s="46">
        <v>40</v>
      </c>
      <c r="H2399" s="47">
        <v>43376</v>
      </c>
      <c r="I2399" s="47">
        <v>43402</v>
      </c>
      <c r="J2399" s="46">
        <v>422774</v>
      </c>
      <c r="K2399" s="46">
        <v>0</v>
      </c>
      <c r="L2399" s="46">
        <v>0</v>
      </c>
      <c r="M2399" s="46">
        <f t="shared" si="662"/>
        <v>422774</v>
      </c>
      <c r="N2399" s="46">
        <v>422774</v>
      </c>
      <c r="O2399" s="48">
        <f t="shared" si="663"/>
        <v>0</v>
      </c>
      <c r="P2399" s="46">
        <v>0</v>
      </c>
      <c r="Q2399" s="46">
        <v>422774</v>
      </c>
      <c r="R2399" s="49">
        <f t="shared" si="664"/>
        <v>1</v>
      </c>
      <c r="S2399" s="50">
        <f t="shared" si="665"/>
        <v>0.01</v>
      </c>
      <c r="T2399" s="49">
        <f t="shared" si="666"/>
        <v>4227.74</v>
      </c>
      <c r="U2399" s="51">
        <f t="shared" si="667"/>
        <v>0</v>
      </c>
      <c r="V2399" s="52">
        <f>IF(0&lt;0.8,0,IF(0&lt;1,Sheet3!L561,1))*IF(G2399&lt;3,0.12 - O2399,0.01) *U2399</f>
        <v>0</v>
      </c>
      <c r="W2399" s="52">
        <f t="shared" si="668"/>
        <v>0</v>
      </c>
      <c r="X2399" s="53">
        <f t="shared" si="669"/>
        <v>0</v>
      </c>
      <c r="Y2399" s="53">
        <f t="shared" si="670"/>
        <v>0</v>
      </c>
      <c r="Z2399" s="54">
        <f t="shared" si="677"/>
        <v>0</v>
      </c>
      <c r="AA2399" s="54">
        <f t="shared" si="671"/>
        <v>0</v>
      </c>
      <c r="AB2399" s="55">
        <f t="shared" si="678"/>
        <v>0</v>
      </c>
      <c r="AC2399" s="55">
        <f t="shared" si="672"/>
        <v>0</v>
      </c>
      <c r="AD2399" s="56">
        <f t="shared" si="673"/>
        <v>4227.74</v>
      </c>
    </row>
    <row r="2400" spans="3:30">
      <c r="C2400" s="43" t="s">
        <v>4465</v>
      </c>
      <c r="D2400" s="44" t="s">
        <v>4466</v>
      </c>
      <c r="E2400" s="44"/>
      <c r="F2400" s="45">
        <v>42220.410856481481</v>
      </c>
      <c r="G2400" s="46">
        <v>37</v>
      </c>
      <c r="H2400" s="47">
        <v>43404</v>
      </c>
      <c r="I2400" s="47">
        <v>43462</v>
      </c>
      <c r="J2400" s="46">
        <v>22747022</v>
      </c>
      <c r="K2400" s="46">
        <v>4135822</v>
      </c>
      <c r="L2400" s="46">
        <v>0</v>
      </c>
      <c r="M2400" s="46">
        <f t="shared" si="662"/>
        <v>18611200</v>
      </c>
      <c r="N2400" s="46">
        <v>35676273</v>
      </c>
      <c r="O2400" s="48">
        <f t="shared" si="663"/>
        <v>0.47833115863868403</v>
      </c>
      <c r="P2400" s="46">
        <v>0</v>
      </c>
      <c r="Q2400" s="46">
        <v>22747022</v>
      </c>
      <c r="R2400" s="49">
        <f t="shared" si="664"/>
        <v>1</v>
      </c>
      <c r="S2400" s="50">
        <f t="shared" si="665"/>
        <v>0.01</v>
      </c>
      <c r="T2400" s="49">
        <f t="shared" si="666"/>
        <v>186112</v>
      </c>
      <c r="U2400" s="51">
        <f t="shared" si="667"/>
        <v>0</v>
      </c>
      <c r="V2400" s="52">
        <f>IF(0&lt;0.8,0,IF(0&lt;1,Sheet3!L561,1))*IF(G2400&lt;3,0.12 - O2400,0.01) *U2400</f>
        <v>0</v>
      </c>
      <c r="W2400" s="52">
        <f t="shared" si="668"/>
        <v>0</v>
      </c>
      <c r="X2400" s="53">
        <f t="shared" si="669"/>
        <v>0</v>
      </c>
      <c r="Y2400" s="53">
        <f t="shared" si="670"/>
        <v>0</v>
      </c>
      <c r="Z2400" s="54">
        <f t="shared" si="677"/>
        <v>0</v>
      </c>
      <c r="AA2400" s="54">
        <f t="shared" si="671"/>
        <v>0</v>
      </c>
      <c r="AB2400" s="55">
        <f t="shared" si="678"/>
        <v>0</v>
      </c>
      <c r="AC2400" s="55">
        <f t="shared" si="672"/>
        <v>0</v>
      </c>
      <c r="AD2400" s="56">
        <f t="shared" si="673"/>
        <v>186112</v>
      </c>
    </row>
    <row r="2401" spans="3:30">
      <c r="C2401" s="43" t="s">
        <v>4467</v>
      </c>
      <c r="D2401" s="44" t="s">
        <v>4468</v>
      </c>
      <c r="E2401" s="44"/>
      <c r="F2401" s="45">
        <v>42348.401643518519</v>
      </c>
      <c r="G2401" s="46">
        <v>33</v>
      </c>
      <c r="H2401" s="47">
        <v>43376</v>
      </c>
      <c r="I2401" s="47">
        <v>43449</v>
      </c>
      <c r="J2401" s="46">
        <v>2841080</v>
      </c>
      <c r="K2401" s="46">
        <v>0</v>
      </c>
      <c r="L2401" s="46">
        <v>0</v>
      </c>
      <c r="M2401" s="46">
        <f t="shared" si="662"/>
        <v>2841080</v>
      </c>
      <c r="N2401" s="46">
        <v>3141523</v>
      </c>
      <c r="O2401" s="48">
        <f t="shared" si="663"/>
        <v>9.5636097523398633E-2</v>
      </c>
      <c r="P2401" s="46">
        <v>0</v>
      </c>
      <c r="Q2401" s="46">
        <v>2841080</v>
      </c>
      <c r="R2401" s="49">
        <f t="shared" si="664"/>
        <v>1</v>
      </c>
      <c r="S2401" s="50">
        <f t="shared" si="665"/>
        <v>0.01</v>
      </c>
      <c r="T2401" s="49">
        <f t="shared" si="666"/>
        <v>28410.799999999999</v>
      </c>
      <c r="U2401" s="51">
        <f t="shared" si="667"/>
        <v>0</v>
      </c>
      <c r="V2401" s="52">
        <f>IF(0&lt;0.8,0,IF(0&lt;1,Sheet3!L561,1))*IF(G2401&lt;3,0.12 - O2401,0.01) *U2401</f>
        <v>0</v>
      </c>
      <c r="W2401" s="52">
        <f t="shared" si="668"/>
        <v>0</v>
      </c>
      <c r="X2401" s="53">
        <f t="shared" si="669"/>
        <v>0</v>
      </c>
      <c r="Y2401" s="53">
        <f t="shared" si="670"/>
        <v>0</v>
      </c>
      <c r="Z2401" s="54">
        <f t="shared" si="677"/>
        <v>0</v>
      </c>
      <c r="AA2401" s="54">
        <f t="shared" si="671"/>
        <v>0</v>
      </c>
      <c r="AB2401" s="55">
        <f t="shared" si="678"/>
        <v>0</v>
      </c>
      <c r="AC2401" s="55">
        <f t="shared" si="672"/>
        <v>0</v>
      </c>
      <c r="AD2401" s="56">
        <f t="shared" si="673"/>
        <v>28410.799999999999</v>
      </c>
    </row>
    <row r="2402" spans="3:30">
      <c r="C2402" s="43" t="s">
        <v>4469</v>
      </c>
      <c r="D2402" s="44" t="s">
        <v>4470</v>
      </c>
      <c r="E2402" s="44"/>
      <c r="F2402" s="45">
        <v>42355.644340277773</v>
      </c>
      <c r="G2402" s="46">
        <v>33</v>
      </c>
      <c r="H2402" s="47">
        <v>43382</v>
      </c>
      <c r="I2402" s="47">
        <v>43426</v>
      </c>
      <c r="J2402" s="46">
        <v>199650</v>
      </c>
      <c r="K2402" s="46">
        <v>0</v>
      </c>
      <c r="L2402" s="46">
        <v>0</v>
      </c>
      <c r="M2402" s="46">
        <f t="shared" si="662"/>
        <v>199650</v>
      </c>
      <c r="N2402" s="46">
        <v>199650</v>
      </c>
      <c r="O2402" s="48">
        <f t="shared" si="663"/>
        <v>0</v>
      </c>
      <c r="P2402" s="46">
        <v>0</v>
      </c>
      <c r="Q2402" s="46">
        <v>199650</v>
      </c>
      <c r="R2402" s="49">
        <f t="shared" si="664"/>
        <v>1</v>
      </c>
      <c r="S2402" s="50">
        <f t="shared" si="665"/>
        <v>0.01</v>
      </c>
      <c r="T2402" s="49">
        <f t="shared" si="666"/>
        <v>1996.5</v>
      </c>
      <c r="U2402" s="51">
        <f t="shared" si="667"/>
        <v>0</v>
      </c>
      <c r="V2402" s="52">
        <f>IF(0&lt;0.8,0,IF(0&lt;1,Sheet3!L561,1))*IF(G2402&lt;3,0.12 - O2402,0.01) *U2402</f>
        <v>0</v>
      </c>
      <c r="W2402" s="52">
        <f t="shared" si="668"/>
        <v>0</v>
      </c>
      <c r="X2402" s="53">
        <f t="shared" si="669"/>
        <v>0</v>
      </c>
      <c r="Y2402" s="53">
        <f t="shared" si="670"/>
        <v>0</v>
      </c>
      <c r="Z2402" s="54">
        <f t="shared" si="677"/>
        <v>0</v>
      </c>
      <c r="AA2402" s="54">
        <f t="shared" si="671"/>
        <v>0</v>
      </c>
      <c r="AB2402" s="55">
        <f t="shared" si="678"/>
        <v>0</v>
      </c>
      <c r="AC2402" s="55">
        <f t="shared" si="672"/>
        <v>0</v>
      </c>
      <c r="AD2402" s="56">
        <f t="shared" si="673"/>
        <v>1996.5</v>
      </c>
    </row>
    <row r="2403" spans="3:30">
      <c r="C2403" s="43" t="s">
        <v>4471</v>
      </c>
      <c r="D2403" s="44" t="s">
        <v>4472</v>
      </c>
      <c r="E2403" s="44"/>
      <c r="F2403" s="45">
        <v>42551.134305555555</v>
      </c>
      <c r="G2403" s="46">
        <v>27</v>
      </c>
      <c r="H2403" s="47">
        <v>43376</v>
      </c>
      <c r="I2403" s="47">
        <v>43468</v>
      </c>
      <c r="J2403" s="46">
        <v>64904</v>
      </c>
      <c r="K2403" s="46">
        <v>0</v>
      </c>
      <c r="L2403" s="46">
        <v>0</v>
      </c>
      <c r="M2403" s="46">
        <f t="shared" si="662"/>
        <v>64904</v>
      </c>
      <c r="N2403" s="46">
        <v>64904</v>
      </c>
      <c r="O2403" s="48">
        <f t="shared" si="663"/>
        <v>0</v>
      </c>
      <c r="P2403" s="46">
        <v>0</v>
      </c>
      <c r="Q2403" s="46">
        <v>64904</v>
      </c>
      <c r="R2403" s="49">
        <f t="shared" si="664"/>
        <v>1</v>
      </c>
      <c r="S2403" s="50">
        <f t="shared" si="665"/>
        <v>0.01</v>
      </c>
      <c r="T2403" s="49">
        <f t="shared" si="666"/>
        <v>649.04</v>
      </c>
      <c r="U2403" s="51">
        <f t="shared" si="667"/>
        <v>0</v>
      </c>
      <c r="V2403" s="52">
        <f>IF(0&lt;0.8,0,IF(0&lt;1,Sheet3!L561,1))*IF(G2403&lt;3,0.12 - O2403,0.01) *U2403</f>
        <v>0</v>
      </c>
      <c r="W2403" s="52">
        <f t="shared" si="668"/>
        <v>0</v>
      </c>
      <c r="X2403" s="53">
        <f t="shared" si="669"/>
        <v>0</v>
      </c>
      <c r="Y2403" s="53">
        <f t="shared" si="670"/>
        <v>0</v>
      </c>
      <c r="Z2403" s="54">
        <f t="shared" si="677"/>
        <v>0</v>
      </c>
      <c r="AA2403" s="54">
        <f t="shared" si="671"/>
        <v>0</v>
      </c>
      <c r="AB2403" s="55">
        <f t="shared" si="678"/>
        <v>0</v>
      </c>
      <c r="AC2403" s="55">
        <f t="shared" si="672"/>
        <v>0</v>
      </c>
      <c r="AD2403" s="56">
        <f t="shared" si="673"/>
        <v>649.04</v>
      </c>
    </row>
    <row r="2404" spans="3:30">
      <c r="C2404" s="43" t="s">
        <v>4473</v>
      </c>
      <c r="D2404" s="44" t="s">
        <v>4474</v>
      </c>
      <c r="E2404" s="44"/>
      <c r="F2404" s="45">
        <v>42559.06417824074</v>
      </c>
      <c r="G2404" s="46">
        <v>26</v>
      </c>
      <c r="H2404" s="47">
        <v>43404</v>
      </c>
      <c r="I2404" s="47">
        <v>43411</v>
      </c>
      <c r="J2404" s="46">
        <v>164945</v>
      </c>
      <c r="K2404" s="46">
        <v>0</v>
      </c>
      <c r="L2404" s="46">
        <v>0</v>
      </c>
      <c r="M2404" s="46">
        <f t="shared" si="662"/>
        <v>164945</v>
      </c>
      <c r="N2404" s="46">
        <v>297660</v>
      </c>
      <c r="O2404" s="48">
        <f t="shared" si="663"/>
        <v>0.44586104951958605</v>
      </c>
      <c r="P2404" s="46">
        <v>0</v>
      </c>
      <c r="Q2404" s="46">
        <v>164945</v>
      </c>
      <c r="R2404" s="49">
        <f t="shared" si="664"/>
        <v>1</v>
      </c>
      <c r="S2404" s="50">
        <f t="shared" si="665"/>
        <v>0.01</v>
      </c>
      <c r="T2404" s="49">
        <f t="shared" si="666"/>
        <v>1649.45</v>
      </c>
      <c r="U2404" s="51">
        <f t="shared" si="667"/>
        <v>0</v>
      </c>
      <c r="V2404" s="52">
        <f>IF(0&lt;0.8,0,IF(0&lt;1,Sheet3!L561,1))*IF(G2404&lt;3,0.12 - O2404,0.01) *U2404</f>
        <v>0</v>
      </c>
      <c r="W2404" s="52">
        <f t="shared" si="668"/>
        <v>0</v>
      </c>
      <c r="X2404" s="53">
        <f t="shared" si="669"/>
        <v>0</v>
      </c>
      <c r="Y2404" s="53">
        <f t="shared" si="670"/>
        <v>0</v>
      </c>
      <c r="Z2404" s="54">
        <f t="shared" si="677"/>
        <v>0</v>
      </c>
      <c r="AA2404" s="54">
        <f t="shared" si="671"/>
        <v>0</v>
      </c>
      <c r="AB2404" s="55">
        <f t="shared" si="678"/>
        <v>0</v>
      </c>
      <c r="AC2404" s="55">
        <f t="shared" si="672"/>
        <v>0</v>
      </c>
      <c r="AD2404" s="56">
        <f t="shared" si="673"/>
        <v>1649.45</v>
      </c>
    </row>
    <row r="2405" spans="3:30">
      <c r="C2405" s="43" t="s">
        <v>4475</v>
      </c>
      <c r="D2405" s="44" t="s">
        <v>4476</v>
      </c>
      <c r="E2405" s="44"/>
      <c r="F2405" s="45">
        <v>42637.295069444444</v>
      </c>
      <c r="G2405" s="46">
        <v>24</v>
      </c>
      <c r="H2405" s="47">
        <v>43376</v>
      </c>
      <c r="I2405" s="47">
        <v>43417</v>
      </c>
      <c r="J2405" s="46">
        <v>3221330</v>
      </c>
      <c r="K2405" s="46">
        <v>0</v>
      </c>
      <c r="L2405" s="46">
        <v>0</v>
      </c>
      <c r="M2405" s="46">
        <f t="shared" si="662"/>
        <v>3221330</v>
      </c>
      <c r="N2405" s="46">
        <v>3219060</v>
      </c>
      <c r="O2405" s="48">
        <f t="shared" si="663"/>
        <v>0</v>
      </c>
      <c r="P2405" s="46">
        <v>0</v>
      </c>
      <c r="Q2405" s="46">
        <v>3221330</v>
      </c>
      <c r="R2405" s="49">
        <f t="shared" si="664"/>
        <v>1</v>
      </c>
      <c r="S2405" s="50">
        <f t="shared" si="665"/>
        <v>0.01</v>
      </c>
      <c r="T2405" s="49">
        <f t="shared" si="666"/>
        <v>32213.3</v>
      </c>
      <c r="U2405" s="51">
        <f t="shared" si="667"/>
        <v>0</v>
      </c>
      <c r="V2405" s="52">
        <f>IF(0&lt;0.8,0,IF(0&lt;1,Sheet3!L561,1))*IF(G2405&lt;3,0.12 - O2405,0.01) *U2405</f>
        <v>0</v>
      </c>
      <c r="W2405" s="52">
        <f t="shared" si="668"/>
        <v>0</v>
      </c>
      <c r="X2405" s="53">
        <f t="shared" si="669"/>
        <v>0</v>
      </c>
      <c r="Y2405" s="53">
        <f t="shared" si="670"/>
        <v>0</v>
      </c>
      <c r="Z2405" s="54">
        <f t="shared" si="677"/>
        <v>0</v>
      </c>
      <c r="AA2405" s="54">
        <f t="shared" si="671"/>
        <v>0</v>
      </c>
      <c r="AB2405" s="55">
        <f t="shared" si="678"/>
        <v>0</v>
      </c>
      <c r="AC2405" s="55">
        <f t="shared" si="672"/>
        <v>0</v>
      </c>
      <c r="AD2405" s="56">
        <f t="shared" si="673"/>
        <v>32213.3</v>
      </c>
    </row>
    <row r="2406" spans="3:30">
      <c r="C2406" s="43" t="s">
        <v>4477</v>
      </c>
      <c r="D2406" s="44" t="s">
        <v>4478</v>
      </c>
      <c r="E2406" s="44"/>
      <c r="F2406" s="45">
        <v>42644.209976851853</v>
      </c>
      <c r="G2406" s="46">
        <v>23</v>
      </c>
      <c r="H2406" s="47">
        <v>43390</v>
      </c>
      <c r="I2406" s="47">
        <v>43453</v>
      </c>
      <c r="J2406" s="46">
        <v>4286788</v>
      </c>
      <c r="K2406" s="46">
        <v>0</v>
      </c>
      <c r="L2406" s="46">
        <v>0</v>
      </c>
      <c r="M2406" s="46">
        <f t="shared" si="662"/>
        <v>4286788</v>
      </c>
      <c r="N2406" s="46">
        <v>4286788</v>
      </c>
      <c r="O2406" s="48">
        <f t="shared" si="663"/>
        <v>0</v>
      </c>
      <c r="P2406" s="46">
        <v>0</v>
      </c>
      <c r="Q2406" s="46">
        <v>4286788</v>
      </c>
      <c r="R2406" s="49">
        <f t="shared" si="664"/>
        <v>1</v>
      </c>
      <c r="S2406" s="50">
        <f t="shared" si="665"/>
        <v>0.01</v>
      </c>
      <c r="T2406" s="49">
        <f t="shared" si="666"/>
        <v>42867.88</v>
      </c>
      <c r="U2406" s="51">
        <f t="shared" si="667"/>
        <v>0</v>
      </c>
      <c r="V2406" s="52">
        <f>IF(0&lt;0.8,0,IF(0&lt;1,Sheet3!L561,1))*IF(G2406&lt;3,0.12 - O2406,0.01) *U2406</f>
        <v>0</v>
      </c>
      <c r="W2406" s="52">
        <f t="shared" si="668"/>
        <v>0</v>
      </c>
      <c r="X2406" s="53">
        <f t="shared" si="669"/>
        <v>0</v>
      </c>
      <c r="Y2406" s="53">
        <f t="shared" si="670"/>
        <v>0</v>
      </c>
      <c r="Z2406" s="54">
        <f t="shared" si="677"/>
        <v>0</v>
      </c>
      <c r="AA2406" s="54">
        <f t="shared" si="671"/>
        <v>0</v>
      </c>
      <c r="AB2406" s="55">
        <f t="shared" si="678"/>
        <v>0</v>
      </c>
      <c r="AC2406" s="55">
        <f t="shared" si="672"/>
        <v>0</v>
      </c>
      <c r="AD2406" s="56">
        <f t="shared" si="673"/>
        <v>42867.88</v>
      </c>
    </row>
    <row r="2407" spans="3:30">
      <c r="C2407" s="43" t="s">
        <v>4479</v>
      </c>
      <c r="D2407" s="44" t="s">
        <v>4480</v>
      </c>
      <c r="E2407" s="44"/>
      <c r="F2407" s="45">
        <v>42916.129733796297</v>
      </c>
      <c r="G2407" s="46">
        <v>15</v>
      </c>
      <c r="H2407" s="47">
        <v>43376</v>
      </c>
      <c r="I2407" s="47">
        <v>43442</v>
      </c>
      <c r="J2407" s="46">
        <v>726847</v>
      </c>
      <c r="K2407" s="46">
        <v>0</v>
      </c>
      <c r="L2407" s="46">
        <v>0</v>
      </c>
      <c r="M2407" s="46">
        <f t="shared" si="662"/>
        <v>726847</v>
      </c>
      <c r="N2407" s="46">
        <v>726847</v>
      </c>
      <c r="O2407" s="48">
        <f t="shared" si="663"/>
        <v>0</v>
      </c>
      <c r="P2407" s="46">
        <v>0</v>
      </c>
      <c r="Q2407" s="46">
        <v>726847</v>
      </c>
      <c r="R2407" s="49">
        <f t="shared" si="664"/>
        <v>1</v>
      </c>
      <c r="S2407" s="50">
        <f t="shared" si="665"/>
        <v>0.01</v>
      </c>
      <c r="T2407" s="49">
        <f t="shared" si="666"/>
        <v>7268.47</v>
      </c>
      <c r="U2407" s="51">
        <f t="shared" si="667"/>
        <v>0</v>
      </c>
      <c r="V2407" s="52">
        <f>IF(0&lt;0.8,0,IF(0&lt;1,Sheet3!L561,1))*IF(G2407&lt;3,0.12 - O2407,0.01) *U2407</f>
        <v>0</v>
      </c>
      <c r="W2407" s="52">
        <f t="shared" si="668"/>
        <v>0</v>
      </c>
      <c r="X2407" s="53">
        <f t="shared" si="669"/>
        <v>0</v>
      </c>
      <c r="Y2407" s="53">
        <f t="shared" si="670"/>
        <v>0</v>
      </c>
      <c r="Z2407" s="54">
        <f t="shared" si="677"/>
        <v>0</v>
      </c>
      <c r="AA2407" s="54">
        <f t="shared" si="671"/>
        <v>0</v>
      </c>
      <c r="AB2407" s="55">
        <f t="shared" si="678"/>
        <v>0</v>
      </c>
      <c r="AC2407" s="55">
        <f t="shared" si="672"/>
        <v>0</v>
      </c>
      <c r="AD2407" s="56">
        <f t="shared" si="673"/>
        <v>7268.47</v>
      </c>
    </row>
    <row r="2408" spans="3:30">
      <c r="C2408" s="43" t="s">
        <v>4481</v>
      </c>
      <c r="D2408" s="44" t="s">
        <v>4482</v>
      </c>
      <c r="E2408" s="44"/>
      <c r="F2408" s="45">
        <v>42963.311342592591</v>
      </c>
      <c r="G2408" s="46">
        <v>13</v>
      </c>
      <c r="H2408" s="47">
        <v>43385</v>
      </c>
      <c r="I2408" s="47">
        <v>43403</v>
      </c>
      <c r="J2408" s="46">
        <v>23958</v>
      </c>
      <c r="K2408" s="46">
        <v>0</v>
      </c>
      <c r="L2408" s="46">
        <v>0</v>
      </c>
      <c r="M2408" s="46">
        <f t="shared" si="662"/>
        <v>23958</v>
      </c>
      <c r="N2408" s="46">
        <v>23958</v>
      </c>
      <c r="O2408" s="48">
        <f t="shared" si="663"/>
        <v>0</v>
      </c>
      <c r="P2408" s="46">
        <v>0</v>
      </c>
      <c r="Q2408" s="46">
        <v>23958</v>
      </c>
      <c r="R2408" s="49">
        <f t="shared" si="664"/>
        <v>1</v>
      </c>
      <c r="S2408" s="50">
        <f t="shared" si="665"/>
        <v>0.01</v>
      </c>
      <c r="T2408" s="49">
        <f t="shared" si="666"/>
        <v>239.58</v>
      </c>
      <c r="U2408" s="51">
        <f t="shared" si="667"/>
        <v>0</v>
      </c>
      <c r="V2408" s="52">
        <f>IF(0&lt;0.8,0,IF(0&lt;1,Sheet3!L561,1))*IF(G2408&lt;3,0.12 - O2408,0.01) *U2408</f>
        <v>0</v>
      </c>
      <c r="W2408" s="52">
        <f t="shared" si="668"/>
        <v>0</v>
      </c>
      <c r="X2408" s="53">
        <f t="shared" si="669"/>
        <v>0</v>
      </c>
      <c r="Y2408" s="53">
        <f t="shared" si="670"/>
        <v>0</v>
      </c>
      <c r="Z2408" s="54">
        <f t="shared" si="677"/>
        <v>0</v>
      </c>
      <c r="AA2408" s="54">
        <f t="shared" si="671"/>
        <v>0</v>
      </c>
      <c r="AB2408" s="55">
        <f t="shared" si="678"/>
        <v>0</v>
      </c>
      <c r="AC2408" s="55">
        <f t="shared" si="672"/>
        <v>0</v>
      </c>
      <c r="AD2408" s="56">
        <f t="shared" si="673"/>
        <v>239.58</v>
      </c>
    </row>
    <row r="2409" spans="3:30">
      <c r="C2409" s="43" t="s">
        <v>4483</v>
      </c>
      <c r="D2409" s="44" t="s">
        <v>4484</v>
      </c>
      <c r="E2409" s="44"/>
      <c r="F2409" s="45">
        <v>42998.265856481477</v>
      </c>
      <c r="G2409" s="46">
        <v>12</v>
      </c>
      <c r="H2409" s="47">
        <v>43390</v>
      </c>
      <c r="I2409" s="47">
        <v>43449</v>
      </c>
      <c r="J2409" s="46">
        <v>2973980</v>
      </c>
      <c r="K2409" s="46">
        <v>0</v>
      </c>
      <c r="L2409" s="46">
        <v>0</v>
      </c>
      <c r="M2409" s="46">
        <f t="shared" si="662"/>
        <v>2973980</v>
      </c>
      <c r="N2409" s="46">
        <v>2973938</v>
      </c>
      <c r="O2409" s="48">
        <f t="shared" si="663"/>
        <v>0</v>
      </c>
      <c r="P2409" s="46">
        <v>0</v>
      </c>
      <c r="Q2409" s="46">
        <v>2973980</v>
      </c>
      <c r="R2409" s="49">
        <f t="shared" si="664"/>
        <v>1</v>
      </c>
      <c r="S2409" s="50">
        <f t="shared" si="665"/>
        <v>0.01</v>
      </c>
      <c r="T2409" s="49">
        <f t="shared" si="666"/>
        <v>29739.8</v>
      </c>
      <c r="U2409" s="51">
        <f t="shared" si="667"/>
        <v>0</v>
      </c>
      <c r="V2409" s="52">
        <f>IF(0&lt;0.8,0,IF(0&lt;1,Sheet3!L561,1))*IF(G2409&lt;3,0.12 - O2409,0.01) *U2409</f>
        <v>0</v>
      </c>
      <c r="W2409" s="52">
        <f t="shared" si="668"/>
        <v>0</v>
      </c>
      <c r="X2409" s="53">
        <f t="shared" si="669"/>
        <v>0</v>
      </c>
      <c r="Y2409" s="53">
        <f t="shared" si="670"/>
        <v>0</v>
      </c>
      <c r="Z2409" s="54">
        <f t="shared" si="677"/>
        <v>0</v>
      </c>
      <c r="AA2409" s="54">
        <f t="shared" si="671"/>
        <v>0</v>
      </c>
      <c r="AB2409" s="55">
        <f t="shared" si="678"/>
        <v>0</v>
      </c>
      <c r="AC2409" s="55">
        <f t="shared" si="672"/>
        <v>0</v>
      </c>
      <c r="AD2409" s="56">
        <f t="shared" si="673"/>
        <v>29739.8</v>
      </c>
    </row>
    <row r="2410" spans="3:30">
      <c r="C2410" s="43" t="s">
        <v>4485</v>
      </c>
      <c r="D2410" s="44" t="s">
        <v>4486</v>
      </c>
      <c r="E2410" s="44"/>
      <c r="F2410" s="45">
        <v>43095.297152777777</v>
      </c>
      <c r="G2410" s="46">
        <v>9</v>
      </c>
      <c r="H2410" s="47">
        <v>43405</v>
      </c>
      <c r="I2410" s="47">
        <v>43412</v>
      </c>
      <c r="J2410" s="46">
        <v>2494778</v>
      </c>
      <c r="K2410" s="46">
        <v>0</v>
      </c>
      <c r="L2410" s="46">
        <v>0</v>
      </c>
      <c r="M2410" s="46">
        <f t="shared" si="662"/>
        <v>2494778</v>
      </c>
      <c r="N2410" s="46">
        <v>2494778</v>
      </c>
      <c r="O2410" s="48">
        <f t="shared" si="663"/>
        <v>0</v>
      </c>
      <c r="P2410" s="46">
        <v>0</v>
      </c>
      <c r="Q2410" s="46">
        <v>2494778</v>
      </c>
      <c r="R2410" s="49">
        <f t="shared" si="664"/>
        <v>1</v>
      </c>
      <c r="S2410" s="50">
        <f t="shared" si="665"/>
        <v>0.01</v>
      </c>
      <c r="T2410" s="49">
        <f t="shared" si="666"/>
        <v>24947.78</v>
      </c>
      <c r="U2410" s="51">
        <f t="shared" si="667"/>
        <v>0</v>
      </c>
      <c r="V2410" s="52">
        <f>IF(0&lt;0.8,0,IF(0&lt;1,Sheet3!L561,1))*IF(G2410&lt;3,0.12 - O2410,0.01) *U2410</f>
        <v>0</v>
      </c>
      <c r="W2410" s="52">
        <f t="shared" si="668"/>
        <v>0</v>
      </c>
      <c r="X2410" s="53">
        <f t="shared" si="669"/>
        <v>0</v>
      </c>
      <c r="Y2410" s="53">
        <f t="shared" si="670"/>
        <v>0</v>
      </c>
      <c r="Z2410" s="54">
        <f t="shared" si="677"/>
        <v>0</v>
      </c>
      <c r="AA2410" s="54">
        <f t="shared" si="671"/>
        <v>0</v>
      </c>
      <c r="AB2410" s="55">
        <f t="shared" si="678"/>
        <v>0</v>
      </c>
      <c r="AC2410" s="55">
        <f t="shared" si="672"/>
        <v>0</v>
      </c>
      <c r="AD2410" s="56">
        <f t="shared" si="673"/>
        <v>24947.78</v>
      </c>
    </row>
    <row r="2411" spans="3:30">
      <c r="C2411" s="43" t="s">
        <v>4487</v>
      </c>
      <c r="D2411" s="44" t="s">
        <v>4488</v>
      </c>
      <c r="E2411" s="44"/>
      <c r="F2411" s="45">
        <v>43109.296053240738</v>
      </c>
      <c r="G2411" s="46">
        <v>8</v>
      </c>
      <c r="H2411" s="47">
        <v>43390</v>
      </c>
      <c r="I2411" s="47">
        <v>43392</v>
      </c>
      <c r="J2411" s="46">
        <v>4372335</v>
      </c>
      <c r="K2411" s="46">
        <v>0</v>
      </c>
      <c r="L2411" s="46">
        <v>0</v>
      </c>
      <c r="M2411" s="46">
        <f t="shared" si="662"/>
        <v>4372335</v>
      </c>
      <c r="N2411" s="46">
        <v>4372335</v>
      </c>
      <c r="O2411" s="48">
        <f t="shared" si="663"/>
        <v>0</v>
      </c>
      <c r="P2411" s="46">
        <v>0</v>
      </c>
      <c r="Q2411" s="46">
        <v>4372335</v>
      </c>
      <c r="R2411" s="49">
        <f t="shared" si="664"/>
        <v>1</v>
      </c>
      <c r="S2411" s="50">
        <f t="shared" si="665"/>
        <v>0.01</v>
      </c>
      <c r="T2411" s="49">
        <f t="shared" si="666"/>
        <v>43723.35</v>
      </c>
      <c r="U2411" s="51">
        <f t="shared" si="667"/>
        <v>0</v>
      </c>
      <c r="V2411" s="52">
        <f>IF(0&lt;0.8,0,IF(0&lt;1,Sheet3!L561,1))*IF(G2411&lt;3,0.12 - O2411,0.01) *U2411</f>
        <v>0</v>
      </c>
      <c r="W2411" s="52">
        <f t="shared" si="668"/>
        <v>0</v>
      </c>
      <c r="X2411" s="53">
        <f t="shared" si="669"/>
        <v>0</v>
      </c>
      <c r="Y2411" s="53">
        <f t="shared" si="670"/>
        <v>0</v>
      </c>
      <c r="Z2411" s="54">
        <f t="shared" si="677"/>
        <v>0</v>
      </c>
      <c r="AA2411" s="54">
        <f t="shared" si="671"/>
        <v>0</v>
      </c>
      <c r="AB2411" s="55">
        <f t="shared" si="678"/>
        <v>0</v>
      </c>
      <c r="AC2411" s="55">
        <f t="shared" si="672"/>
        <v>0</v>
      </c>
      <c r="AD2411" s="56">
        <f t="shared" si="673"/>
        <v>43723.35</v>
      </c>
    </row>
    <row r="2412" spans="3:30">
      <c r="C2412" s="43" t="s">
        <v>4489</v>
      </c>
      <c r="D2412" s="44" t="s">
        <v>4490</v>
      </c>
      <c r="E2412" s="44"/>
      <c r="F2412" s="45">
        <v>43117.313043981478</v>
      </c>
      <c r="G2412" s="46">
        <v>8</v>
      </c>
      <c r="H2412" s="47">
        <v>43390</v>
      </c>
      <c r="I2412" s="47">
        <v>43405</v>
      </c>
      <c r="J2412" s="46">
        <v>449757</v>
      </c>
      <c r="K2412" s="46">
        <v>0</v>
      </c>
      <c r="L2412" s="46">
        <v>0</v>
      </c>
      <c r="M2412" s="46">
        <f t="shared" si="662"/>
        <v>449757</v>
      </c>
      <c r="N2412" s="46">
        <v>449757</v>
      </c>
      <c r="O2412" s="48">
        <f t="shared" si="663"/>
        <v>0</v>
      </c>
      <c r="P2412" s="46">
        <v>0</v>
      </c>
      <c r="Q2412" s="46">
        <v>449757</v>
      </c>
      <c r="R2412" s="49">
        <f t="shared" si="664"/>
        <v>1</v>
      </c>
      <c r="S2412" s="50">
        <f t="shared" si="665"/>
        <v>0.01</v>
      </c>
      <c r="T2412" s="49">
        <f t="shared" si="666"/>
        <v>4497.57</v>
      </c>
      <c r="U2412" s="51">
        <f t="shared" si="667"/>
        <v>0</v>
      </c>
      <c r="V2412" s="52">
        <f>IF(0&lt;0.8,0,IF(0&lt;1,Sheet3!L561,1))*IF(G2412&lt;3,0.12 - O2412,0.01) *U2412</f>
        <v>0</v>
      </c>
      <c r="W2412" s="52">
        <f t="shared" si="668"/>
        <v>0</v>
      </c>
      <c r="X2412" s="53">
        <f t="shared" si="669"/>
        <v>0</v>
      </c>
      <c r="Y2412" s="53">
        <f t="shared" si="670"/>
        <v>0</v>
      </c>
      <c r="Z2412" s="54">
        <f t="shared" si="677"/>
        <v>0</v>
      </c>
      <c r="AA2412" s="54">
        <f t="shared" si="671"/>
        <v>0</v>
      </c>
      <c r="AB2412" s="55">
        <f t="shared" si="678"/>
        <v>0</v>
      </c>
      <c r="AC2412" s="55">
        <f t="shared" si="672"/>
        <v>0</v>
      </c>
      <c r="AD2412" s="56">
        <f t="shared" si="673"/>
        <v>4497.57</v>
      </c>
    </row>
    <row r="2413" spans="3:30">
      <c r="C2413" s="43" t="s">
        <v>4491</v>
      </c>
      <c r="D2413" s="44" t="s">
        <v>4492</v>
      </c>
      <c r="E2413" s="44"/>
      <c r="F2413" s="45">
        <v>43130.268321759257</v>
      </c>
      <c r="G2413" s="46">
        <v>8</v>
      </c>
      <c r="H2413" s="47">
        <v>43390</v>
      </c>
      <c r="I2413" s="47">
        <v>43425</v>
      </c>
      <c r="J2413" s="46">
        <v>415580</v>
      </c>
      <c r="K2413" s="46">
        <v>0</v>
      </c>
      <c r="L2413" s="46">
        <v>0</v>
      </c>
      <c r="M2413" s="46">
        <f t="shared" si="662"/>
        <v>415580</v>
      </c>
      <c r="N2413" s="46">
        <v>464794</v>
      </c>
      <c r="O2413" s="48">
        <f t="shared" si="663"/>
        <v>0.10588346665404458</v>
      </c>
      <c r="P2413" s="46">
        <v>0</v>
      </c>
      <c r="Q2413" s="46">
        <v>415580</v>
      </c>
      <c r="R2413" s="49">
        <f t="shared" si="664"/>
        <v>1</v>
      </c>
      <c r="S2413" s="50">
        <f t="shared" si="665"/>
        <v>0.01</v>
      </c>
      <c r="T2413" s="49">
        <f t="shared" si="666"/>
        <v>4155.8</v>
      </c>
      <c r="U2413" s="51">
        <f t="shared" si="667"/>
        <v>0</v>
      </c>
      <c r="V2413" s="52">
        <f>IF(0&lt;0.8,0,IF(0&lt;1,Sheet3!L561,1))*IF(G2413&lt;3,0.12 - O2413,0.01) *U2413</f>
        <v>0</v>
      </c>
      <c r="W2413" s="52">
        <f t="shared" si="668"/>
        <v>0</v>
      </c>
      <c r="X2413" s="53">
        <f t="shared" si="669"/>
        <v>0</v>
      </c>
      <c r="Y2413" s="53">
        <f t="shared" si="670"/>
        <v>0</v>
      </c>
      <c r="Z2413" s="54">
        <f t="shared" si="677"/>
        <v>0</v>
      </c>
      <c r="AA2413" s="54">
        <f t="shared" si="671"/>
        <v>0</v>
      </c>
      <c r="AB2413" s="55">
        <f t="shared" si="678"/>
        <v>0</v>
      </c>
      <c r="AC2413" s="55">
        <f t="shared" si="672"/>
        <v>0</v>
      </c>
      <c r="AD2413" s="56">
        <f t="shared" si="673"/>
        <v>4155.8</v>
      </c>
    </row>
    <row r="2414" spans="3:30">
      <c r="C2414" s="43" t="s">
        <v>4493</v>
      </c>
      <c r="D2414" s="44" t="s">
        <v>4494</v>
      </c>
      <c r="E2414" s="44"/>
      <c r="F2414" s="45">
        <v>43161.172118055554</v>
      </c>
      <c r="G2414" s="46">
        <v>6</v>
      </c>
      <c r="H2414" s="47">
        <v>43390</v>
      </c>
      <c r="I2414" s="47">
        <v>43400</v>
      </c>
      <c r="J2414" s="46">
        <v>374440</v>
      </c>
      <c r="K2414" s="46">
        <v>0</v>
      </c>
      <c r="L2414" s="46">
        <v>0</v>
      </c>
      <c r="M2414" s="46">
        <f t="shared" si="662"/>
        <v>374440</v>
      </c>
      <c r="N2414" s="46">
        <v>443564</v>
      </c>
      <c r="O2414" s="48">
        <f t="shared" si="663"/>
        <v>0.15583771451244921</v>
      </c>
      <c r="P2414" s="46">
        <v>0</v>
      </c>
      <c r="Q2414" s="46">
        <v>374440</v>
      </c>
      <c r="R2414" s="49">
        <f t="shared" si="664"/>
        <v>1</v>
      </c>
      <c r="S2414" s="50">
        <f t="shared" si="665"/>
        <v>0.01</v>
      </c>
      <c r="T2414" s="49">
        <f t="shared" si="666"/>
        <v>3744.4</v>
      </c>
      <c r="U2414" s="51">
        <f t="shared" si="667"/>
        <v>0</v>
      </c>
      <c r="V2414" s="52">
        <f>IF(0&lt;0.8,0,IF(0&lt;1,Sheet3!L561,1))*IF(G2414&lt;3,0.12 - O2414,0.01) *U2414</f>
        <v>0</v>
      </c>
      <c r="W2414" s="52">
        <f t="shared" si="668"/>
        <v>0</v>
      </c>
      <c r="X2414" s="53">
        <f t="shared" si="669"/>
        <v>0</v>
      </c>
      <c r="Y2414" s="53">
        <f t="shared" si="670"/>
        <v>0</v>
      </c>
      <c r="Z2414" s="54">
        <f t="shared" si="677"/>
        <v>0</v>
      </c>
      <c r="AA2414" s="54">
        <f t="shared" si="671"/>
        <v>0</v>
      </c>
      <c r="AB2414" s="55">
        <f t="shared" si="678"/>
        <v>0</v>
      </c>
      <c r="AC2414" s="55">
        <f t="shared" si="672"/>
        <v>0</v>
      </c>
      <c r="AD2414" s="56">
        <f t="shared" si="673"/>
        <v>3744.4</v>
      </c>
    </row>
    <row r="2415" spans="3:30">
      <c r="C2415" s="43" t="s">
        <v>4495</v>
      </c>
      <c r="D2415" s="44" t="s">
        <v>4496</v>
      </c>
      <c r="E2415" s="44"/>
      <c r="F2415" s="45">
        <v>43164.218819444446</v>
      </c>
      <c r="G2415" s="46">
        <v>6</v>
      </c>
      <c r="H2415" s="47">
        <v>43382</v>
      </c>
      <c r="I2415" s="47">
        <v>43456</v>
      </c>
      <c r="J2415" s="46">
        <v>59400</v>
      </c>
      <c r="K2415" s="46">
        <v>0</v>
      </c>
      <c r="L2415" s="46">
        <v>0</v>
      </c>
      <c r="M2415" s="46">
        <f t="shared" si="662"/>
        <v>59400</v>
      </c>
      <c r="N2415" s="46">
        <v>72017</v>
      </c>
      <c r="O2415" s="48">
        <f t="shared" si="663"/>
        <v>0.17519474568504656</v>
      </c>
      <c r="P2415" s="46">
        <v>0</v>
      </c>
      <c r="Q2415" s="46">
        <v>59400</v>
      </c>
      <c r="R2415" s="49">
        <f t="shared" si="664"/>
        <v>1</v>
      </c>
      <c r="S2415" s="50">
        <f t="shared" si="665"/>
        <v>0.01</v>
      </c>
      <c r="T2415" s="49">
        <f t="shared" si="666"/>
        <v>594</v>
      </c>
      <c r="U2415" s="51">
        <f t="shared" si="667"/>
        <v>0</v>
      </c>
      <c r="V2415" s="52">
        <f>IF(0&lt;0.8,0,IF(0&lt;1,Sheet3!L561,1))*IF(G2415&lt;3,0.12 - O2415,0.01) *U2415</f>
        <v>0</v>
      </c>
      <c r="W2415" s="52">
        <f t="shared" si="668"/>
        <v>0</v>
      </c>
      <c r="X2415" s="53">
        <f t="shared" si="669"/>
        <v>0</v>
      </c>
      <c r="Y2415" s="53">
        <f t="shared" si="670"/>
        <v>0</v>
      </c>
      <c r="Z2415" s="54">
        <f t="shared" si="677"/>
        <v>0</v>
      </c>
      <c r="AA2415" s="54">
        <f t="shared" si="671"/>
        <v>0</v>
      </c>
      <c r="AB2415" s="55">
        <f t="shared" si="678"/>
        <v>0</v>
      </c>
      <c r="AC2415" s="55">
        <f t="shared" si="672"/>
        <v>0</v>
      </c>
      <c r="AD2415" s="56">
        <f t="shared" si="673"/>
        <v>594</v>
      </c>
    </row>
    <row r="2416" spans="3:30">
      <c r="C2416" s="43" t="s">
        <v>4497</v>
      </c>
      <c r="D2416" s="44" t="s">
        <v>4498</v>
      </c>
      <c r="E2416" s="44"/>
      <c r="F2416" s="45">
        <v>43165.359282407408</v>
      </c>
      <c r="G2416" s="46">
        <v>6</v>
      </c>
      <c r="H2416" s="47">
        <v>43385</v>
      </c>
      <c r="I2416" s="47">
        <v>43403</v>
      </c>
      <c r="J2416" s="46">
        <v>11000</v>
      </c>
      <c r="K2416" s="46">
        <v>0</v>
      </c>
      <c r="L2416" s="46">
        <v>0</v>
      </c>
      <c r="M2416" s="46">
        <f t="shared" si="662"/>
        <v>11000</v>
      </c>
      <c r="N2416" s="46">
        <v>13310</v>
      </c>
      <c r="O2416" s="48">
        <f t="shared" si="663"/>
        <v>0.17355371900826444</v>
      </c>
      <c r="P2416" s="46">
        <v>0</v>
      </c>
      <c r="Q2416" s="46">
        <v>11000</v>
      </c>
      <c r="R2416" s="49">
        <f t="shared" si="664"/>
        <v>1</v>
      </c>
      <c r="S2416" s="50">
        <f t="shared" si="665"/>
        <v>0.01</v>
      </c>
      <c r="T2416" s="49">
        <f t="shared" si="666"/>
        <v>110</v>
      </c>
      <c r="U2416" s="51">
        <f t="shared" si="667"/>
        <v>0</v>
      </c>
      <c r="V2416" s="52">
        <f>IF(0&lt;0.8,0,IF(0&lt;1,Sheet3!L561,1))*IF(G2416&lt;3,0.12 - O2416,0.01) *U2416</f>
        <v>0</v>
      </c>
      <c r="W2416" s="52">
        <f t="shared" si="668"/>
        <v>0</v>
      </c>
      <c r="X2416" s="53">
        <f t="shared" si="669"/>
        <v>0</v>
      </c>
      <c r="Y2416" s="53">
        <f t="shared" si="670"/>
        <v>0</v>
      </c>
      <c r="Z2416" s="54">
        <f t="shared" si="677"/>
        <v>0</v>
      </c>
      <c r="AA2416" s="54">
        <f t="shared" si="671"/>
        <v>0</v>
      </c>
      <c r="AB2416" s="55">
        <f t="shared" si="678"/>
        <v>0</v>
      </c>
      <c r="AC2416" s="55">
        <f t="shared" si="672"/>
        <v>0</v>
      </c>
      <c r="AD2416" s="56">
        <f t="shared" si="673"/>
        <v>110</v>
      </c>
    </row>
    <row r="2417" spans="3:30">
      <c r="C2417" s="43" t="s">
        <v>4499</v>
      </c>
      <c r="D2417" s="44" t="s">
        <v>4500</v>
      </c>
      <c r="E2417" s="44"/>
      <c r="F2417" s="45">
        <v>43165.363483796296</v>
      </c>
      <c r="G2417" s="46">
        <v>6</v>
      </c>
      <c r="H2417" s="47">
        <v>43376</v>
      </c>
      <c r="I2417" s="47">
        <v>43389</v>
      </c>
      <c r="J2417" s="46">
        <v>2206112</v>
      </c>
      <c r="K2417" s="46">
        <v>0</v>
      </c>
      <c r="L2417" s="46">
        <v>0</v>
      </c>
      <c r="M2417" s="46">
        <f t="shared" si="662"/>
        <v>2206112</v>
      </c>
      <c r="N2417" s="46">
        <v>2147917</v>
      </c>
      <c r="O2417" s="48">
        <f t="shared" si="663"/>
        <v>0</v>
      </c>
      <c r="P2417" s="46">
        <v>0</v>
      </c>
      <c r="Q2417" s="46">
        <v>2206112</v>
      </c>
      <c r="R2417" s="49">
        <f t="shared" si="664"/>
        <v>1</v>
      </c>
      <c r="S2417" s="50">
        <f t="shared" si="665"/>
        <v>0.01</v>
      </c>
      <c r="T2417" s="49">
        <f t="shared" si="666"/>
        <v>22061.119999999999</v>
      </c>
      <c r="U2417" s="51">
        <f t="shared" si="667"/>
        <v>0</v>
      </c>
      <c r="V2417" s="52">
        <f>IF(0&lt;0.8,0,IF(0&lt;1,Sheet3!L561,1))*IF(G2417&lt;3,0.12 - O2417,0.01) *U2417</f>
        <v>0</v>
      </c>
      <c r="W2417" s="52">
        <f t="shared" si="668"/>
        <v>0</v>
      </c>
      <c r="X2417" s="53">
        <f t="shared" si="669"/>
        <v>0</v>
      </c>
      <c r="Y2417" s="53">
        <f t="shared" si="670"/>
        <v>0</v>
      </c>
      <c r="Z2417" s="54">
        <f t="shared" si="677"/>
        <v>0</v>
      </c>
      <c r="AA2417" s="54">
        <f t="shared" si="671"/>
        <v>0</v>
      </c>
      <c r="AB2417" s="55">
        <f t="shared" si="678"/>
        <v>0</v>
      </c>
      <c r="AC2417" s="55">
        <f t="shared" si="672"/>
        <v>0</v>
      </c>
      <c r="AD2417" s="56">
        <f t="shared" si="673"/>
        <v>22061.119999999999</v>
      </c>
    </row>
    <row r="2418" spans="3:30">
      <c r="C2418" s="43" t="s">
        <v>4501</v>
      </c>
      <c r="D2418" s="44" t="s">
        <v>4502</v>
      </c>
      <c r="E2418" s="44"/>
      <c r="F2418" s="45">
        <v>43173.215694444443</v>
      </c>
      <c r="G2418" s="46">
        <v>6</v>
      </c>
      <c r="H2418" s="47">
        <v>43376</v>
      </c>
      <c r="I2418" s="47">
        <v>43385</v>
      </c>
      <c r="J2418" s="46">
        <v>6928240</v>
      </c>
      <c r="K2418" s="46">
        <v>0</v>
      </c>
      <c r="L2418" s="46">
        <v>0</v>
      </c>
      <c r="M2418" s="46">
        <f t="shared" si="662"/>
        <v>6928240</v>
      </c>
      <c r="N2418" s="46">
        <v>6310634</v>
      </c>
      <c r="O2418" s="48">
        <f t="shared" si="663"/>
        <v>0</v>
      </c>
      <c r="P2418" s="46">
        <v>0</v>
      </c>
      <c r="Q2418" s="46">
        <v>6928240</v>
      </c>
      <c r="R2418" s="49">
        <f t="shared" si="664"/>
        <v>1</v>
      </c>
      <c r="S2418" s="50">
        <f t="shared" si="665"/>
        <v>0.01</v>
      </c>
      <c r="T2418" s="49">
        <f t="shared" si="666"/>
        <v>69282.399999999994</v>
      </c>
      <c r="U2418" s="51">
        <f t="shared" si="667"/>
        <v>0</v>
      </c>
      <c r="V2418" s="52">
        <f>IF(0&lt;0.8,0,IF(0&lt;1,Sheet3!L561,1))*IF(G2418&lt;3,0.12 - O2418,0.01) *U2418</f>
        <v>0</v>
      </c>
      <c r="W2418" s="52">
        <f t="shared" si="668"/>
        <v>0</v>
      </c>
      <c r="X2418" s="53">
        <f t="shared" si="669"/>
        <v>0</v>
      </c>
      <c r="Y2418" s="53">
        <f t="shared" si="670"/>
        <v>0</v>
      </c>
      <c r="Z2418" s="54">
        <f t="shared" si="677"/>
        <v>0</v>
      </c>
      <c r="AA2418" s="54">
        <f t="shared" si="671"/>
        <v>0</v>
      </c>
      <c r="AB2418" s="55">
        <f t="shared" si="678"/>
        <v>0</v>
      </c>
      <c r="AC2418" s="55">
        <f t="shared" si="672"/>
        <v>0</v>
      </c>
      <c r="AD2418" s="56">
        <f t="shared" si="673"/>
        <v>69282.399999999994</v>
      </c>
    </row>
    <row r="2419" spans="3:30">
      <c r="C2419" s="43" t="s">
        <v>4503</v>
      </c>
      <c r="D2419" s="44" t="s">
        <v>4504</v>
      </c>
      <c r="E2419" s="44"/>
      <c r="F2419" s="45">
        <v>43180.38653935185</v>
      </c>
      <c r="G2419" s="46">
        <v>6</v>
      </c>
      <c r="H2419" s="47">
        <v>43393</v>
      </c>
      <c r="I2419" s="47">
        <v>43420</v>
      </c>
      <c r="J2419" s="46">
        <v>728200</v>
      </c>
      <c r="K2419" s="46">
        <v>0</v>
      </c>
      <c r="L2419" s="46">
        <v>0</v>
      </c>
      <c r="M2419" s="46">
        <f t="shared" ref="M2419:M2482" si="679">IFERROR(J2419-K2419-L2419,0)</f>
        <v>728200</v>
      </c>
      <c r="N2419" s="46">
        <v>602822</v>
      </c>
      <c r="O2419" s="48">
        <f t="shared" ref="O2419:O2482" si="680">IFERROR(IF(1 - M2419/N2419&lt;0,0,1-M2419/N2419),0)</f>
        <v>0</v>
      </c>
      <c r="P2419" s="46">
        <v>0</v>
      </c>
      <c r="Q2419" s="46">
        <v>728200</v>
      </c>
      <c r="R2419" s="49">
        <f t="shared" ref="R2419:R2482" si="681">IF(F2419&lt;DATEVALUE("2018-07-01"),1,0)</f>
        <v>1</v>
      </c>
      <c r="S2419" s="50">
        <f t="shared" ref="S2419:S2482" si="682">IF(R2419=1,1%,0)</f>
        <v>0.01</v>
      </c>
      <c r="T2419" s="49">
        <f t="shared" ref="T2419:T2482" si="683">IFERROR(S2419*M2419,0)</f>
        <v>7282</v>
      </c>
      <c r="U2419" s="51">
        <f t="shared" ref="U2419:U2482" si="684">IF(O2419&lt;=0.12,1,0)*(1-R2419)*M2419</f>
        <v>0</v>
      </c>
      <c r="V2419" s="52">
        <f>IF(0&lt;0.8,0,IF(0&lt;1,Sheet3!L561,1))*IF(G2419&lt;3,0.12 - O2419,0.01) *U2419</f>
        <v>0</v>
      </c>
      <c r="W2419" s="52">
        <f t="shared" ref="W2419:W2482" si="685">IF(0&gt;1,IF(0&lt;=1.1,1,IF(0&lt;=1.2,2,IF(0&lt;=1.5,3,5))),0) * 1000000</f>
        <v>0</v>
      </c>
      <c r="X2419" s="53">
        <f t="shared" ref="X2419:X2482" si="686">IF(AND(P2419&gt;=150000000,P2419&lt;300000000),5000000,IF(AND(P2419&gt;=300000000,P2419&lt;500000000),10000000,IF(AND(P2419&gt;=300000000,P2419&lt;500000000),15000000,IF(AND(P2419&gt;=500000000,P2419&lt;3000000000),20000000,IF(P2419&gt;=30000000000,35000000,0))))) * (1-R2419)</f>
        <v>0</v>
      </c>
      <c r="Y2419" s="53">
        <f t="shared" ref="Y2419:Y2482" si="687">IFERROR(Q2419 * (1-R2419),0)</f>
        <v>0</v>
      </c>
      <c r="Z2419" s="54">
        <f t="shared" si="677"/>
        <v>0</v>
      </c>
      <c r="AA2419" s="54">
        <f t="shared" ref="AA2419:AA2482" si="688">IFERROR((1-R2419) * Z2419 * 2%,0)</f>
        <v>0</v>
      </c>
      <c r="AB2419" s="55">
        <f t="shared" si="678"/>
        <v>0</v>
      </c>
      <c r="AC2419" s="55">
        <f t="shared" ref="AC2419:AC2482" si="689">IFERROR(AB2419 * (1-R2419) * 2%,0)</f>
        <v>0</v>
      </c>
      <c r="AD2419" s="56">
        <f t="shared" ref="AD2419:AD2482" si="690">T2419+V2419+W2419+X2419+AA2419+AC2419</f>
        <v>7282</v>
      </c>
    </row>
    <row r="2420" spans="3:30">
      <c r="C2420" s="43" t="s">
        <v>4505</v>
      </c>
      <c r="D2420" s="44" t="s">
        <v>4506</v>
      </c>
      <c r="E2420" s="44"/>
      <c r="F2420" s="45">
        <v>43206.109907407408</v>
      </c>
      <c r="G2420" s="46">
        <v>5</v>
      </c>
      <c r="H2420" s="47">
        <v>43385</v>
      </c>
      <c r="I2420" s="47">
        <v>43419</v>
      </c>
      <c r="J2420" s="46">
        <v>309324</v>
      </c>
      <c r="K2420" s="46">
        <v>0</v>
      </c>
      <c r="L2420" s="46">
        <v>0</v>
      </c>
      <c r="M2420" s="46">
        <f t="shared" si="679"/>
        <v>309324</v>
      </c>
      <c r="N2420" s="46">
        <v>309324</v>
      </c>
      <c r="O2420" s="48">
        <f t="shared" si="680"/>
        <v>0</v>
      </c>
      <c r="P2420" s="46">
        <v>0</v>
      </c>
      <c r="Q2420" s="46">
        <v>309324</v>
      </c>
      <c r="R2420" s="49">
        <f t="shared" si="681"/>
        <v>1</v>
      </c>
      <c r="S2420" s="50">
        <f t="shared" si="682"/>
        <v>0.01</v>
      </c>
      <c r="T2420" s="49">
        <f t="shared" si="683"/>
        <v>3093.2400000000002</v>
      </c>
      <c r="U2420" s="51">
        <f t="shared" si="684"/>
        <v>0</v>
      </c>
      <c r="V2420" s="52">
        <f>IF(0&lt;0.8,0,IF(0&lt;1,Sheet3!L561,1))*IF(G2420&lt;3,0.12 - O2420,0.01) *U2420</f>
        <v>0</v>
      </c>
      <c r="W2420" s="52">
        <f t="shared" si="685"/>
        <v>0</v>
      </c>
      <c r="X2420" s="53">
        <f t="shared" si="686"/>
        <v>0</v>
      </c>
      <c r="Y2420" s="53">
        <f t="shared" si="687"/>
        <v>0</v>
      </c>
      <c r="Z2420" s="54">
        <f t="shared" si="677"/>
        <v>0</v>
      </c>
      <c r="AA2420" s="54">
        <f t="shared" si="688"/>
        <v>0</v>
      </c>
      <c r="AB2420" s="55">
        <f t="shared" si="678"/>
        <v>0</v>
      </c>
      <c r="AC2420" s="55">
        <f t="shared" si="689"/>
        <v>0</v>
      </c>
      <c r="AD2420" s="56">
        <f t="shared" si="690"/>
        <v>3093.2400000000002</v>
      </c>
    </row>
    <row r="2421" spans="3:30">
      <c r="C2421" s="43" t="s">
        <v>4507</v>
      </c>
      <c r="D2421" s="44" t="s">
        <v>4508</v>
      </c>
      <c r="E2421" s="44"/>
      <c r="F2421" s="45">
        <v>43207.268761574072</v>
      </c>
      <c r="G2421" s="46">
        <v>5</v>
      </c>
      <c r="H2421" s="47">
        <v>43390</v>
      </c>
      <c r="I2421" s="47">
        <v>43427</v>
      </c>
      <c r="J2421" s="46">
        <v>1258100</v>
      </c>
      <c r="K2421" s="46">
        <v>0</v>
      </c>
      <c r="L2421" s="46">
        <v>0</v>
      </c>
      <c r="M2421" s="46">
        <f t="shared" si="679"/>
        <v>1258100</v>
      </c>
      <c r="N2421" s="46">
        <v>1274292</v>
      </c>
      <c r="O2421" s="48">
        <f t="shared" si="680"/>
        <v>1.2706663778788485E-2</v>
      </c>
      <c r="P2421" s="46">
        <v>0</v>
      </c>
      <c r="Q2421" s="46">
        <v>1258100</v>
      </c>
      <c r="R2421" s="49">
        <f t="shared" si="681"/>
        <v>1</v>
      </c>
      <c r="S2421" s="50">
        <f t="shared" si="682"/>
        <v>0.01</v>
      </c>
      <c r="T2421" s="49">
        <f t="shared" si="683"/>
        <v>12581</v>
      </c>
      <c r="U2421" s="51">
        <f t="shared" si="684"/>
        <v>0</v>
      </c>
      <c r="V2421" s="52">
        <f>IF(0&lt;0.8,0,IF(0&lt;1,Sheet3!L561,1))*IF(G2421&lt;3,0.12 - O2421,0.01) *U2421</f>
        <v>0</v>
      </c>
      <c r="W2421" s="52">
        <f t="shared" si="685"/>
        <v>0</v>
      </c>
      <c r="X2421" s="53">
        <f t="shared" si="686"/>
        <v>0</v>
      </c>
      <c r="Y2421" s="53">
        <f t="shared" si="687"/>
        <v>0</v>
      </c>
      <c r="Z2421" s="54">
        <f t="shared" si="677"/>
        <v>0</v>
      </c>
      <c r="AA2421" s="54">
        <f t="shared" si="688"/>
        <v>0</v>
      </c>
      <c r="AB2421" s="55">
        <f t="shared" si="678"/>
        <v>0</v>
      </c>
      <c r="AC2421" s="55">
        <f t="shared" si="689"/>
        <v>0</v>
      </c>
      <c r="AD2421" s="56">
        <f t="shared" si="690"/>
        <v>12581</v>
      </c>
    </row>
    <row r="2422" spans="3:30">
      <c r="C2422" s="43" t="s">
        <v>4509</v>
      </c>
      <c r="D2422" s="44" t="s">
        <v>4510</v>
      </c>
      <c r="E2422" s="44"/>
      <c r="F2422" s="45">
        <v>43284.127488425926</v>
      </c>
      <c r="G2422" s="46">
        <v>2</v>
      </c>
      <c r="H2422" s="47">
        <v>43390</v>
      </c>
      <c r="I2422" s="47">
        <v>43439</v>
      </c>
      <c r="J2422" s="46">
        <v>554620</v>
      </c>
      <c r="K2422" s="46">
        <v>0</v>
      </c>
      <c r="L2422" s="46">
        <v>0</v>
      </c>
      <c r="M2422" s="46">
        <f t="shared" si="679"/>
        <v>554620</v>
      </c>
      <c r="N2422" s="46">
        <v>631796</v>
      </c>
      <c r="O2422" s="48">
        <f t="shared" si="680"/>
        <v>0.12215335329758337</v>
      </c>
      <c r="P2422" s="46">
        <v>554620</v>
      </c>
      <c r="Q2422" s="46">
        <v>0</v>
      </c>
      <c r="R2422" s="49">
        <f t="shared" si="681"/>
        <v>0</v>
      </c>
      <c r="S2422" s="50">
        <f t="shared" si="682"/>
        <v>0</v>
      </c>
      <c r="T2422" s="49">
        <f t="shared" si="683"/>
        <v>0</v>
      </c>
      <c r="U2422" s="51">
        <f t="shared" si="684"/>
        <v>0</v>
      </c>
      <c r="V2422" s="52">
        <f>IF(0&lt;0.8,0,IF(0&lt;1,Sheet3!L561,1))*IF(G2422&lt;3,0.12 - O2422,0.01) *U2422</f>
        <v>0</v>
      </c>
      <c r="W2422" s="52">
        <f t="shared" si="685"/>
        <v>0</v>
      </c>
      <c r="X2422" s="53">
        <f t="shared" si="686"/>
        <v>0</v>
      </c>
      <c r="Y2422" s="53">
        <f t="shared" si="687"/>
        <v>0</v>
      </c>
      <c r="Z2422" s="54">
        <f t="shared" si="677"/>
        <v>0</v>
      </c>
      <c r="AA2422" s="54">
        <f t="shared" si="688"/>
        <v>0</v>
      </c>
      <c r="AB2422" s="55">
        <f t="shared" si="678"/>
        <v>0</v>
      </c>
      <c r="AC2422" s="55">
        <f t="shared" si="689"/>
        <v>0</v>
      </c>
      <c r="AD2422" s="56">
        <f t="shared" si="690"/>
        <v>0</v>
      </c>
    </row>
    <row r="2423" spans="3:30">
      <c r="C2423" s="43" t="s">
        <v>4511</v>
      </c>
      <c r="D2423" s="44" t="s">
        <v>4512</v>
      </c>
      <c r="E2423" s="44"/>
      <c r="F2423" s="45">
        <v>43298.176006944443</v>
      </c>
      <c r="G2423" s="46">
        <v>2</v>
      </c>
      <c r="H2423" s="47">
        <v>43385</v>
      </c>
      <c r="I2423" s="47">
        <v>43439</v>
      </c>
      <c r="J2423" s="46">
        <v>1365812</v>
      </c>
      <c r="K2423" s="46">
        <v>0</v>
      </c>
      <c r="L2423" s="46">
        <v>0</v>
      </c>
      <c r="M2423" s="46">
        <f t="shared" si="679"/>
        <v>1365812</v>
      </c>
      <c r="N2423" s="46">
        <v>1252402</v>
      </c>
      <c r="O2423" s="48">
        <f t="shared" si="680"/>
        <v>0</v>
      </c>
      <c r="P2423" s="46">
        <v>1365812</v>
      </c>
      <c r="Q2423" s="46">
        <v>0</v>
      </c>
      <c r="R2423" s="49">
        <f t="shared" si="681"/>
        <v>0</v>
      </c>
      <c r="S2423" s="50">
        <f t="shared" si="682"/>
        <v>0</v>
      </c>
      <c r="T2423" s="49">
        <f t="shared" si="683"/>
        <v>0</v>
      </c>
      <c r="U2423" s="51">
        <f t="shared" si="684"/>
        <v>1365812</v>
      </c>
      <c r="V2423" s="52">
        <f>IF(0&lt;0.8,0,IF(0&lt;1,Sheet3!L561,1))*IF(G2423&lt;3,0.12 - O2423,0.01) *U2423</f>
        <v>0</v>
      </c>
      <c r="W2423" s="52">
        <f t="shared" si="685"/>
        <v>0</v>
      </c>
      <c r="X2423" s="53">
        <f t="shared" si="686"/>
        <v>0</v>
      </c>
      <c r="Y2423" s="53">
        <f t="shared" si="687"/>
        <v>0</v>
      </c>
      <c r="Z2423" s="54">
        <f t="shared" si="677"/>
        <v>0</v>
      </c>
      <c r="AA2423" s="54">
        <f t="shared" si="688"/>
        <v>0</v>
      </c>
      <c r="AB2423" s="55">
        <f t="shared" si="678"/>
        <v>0</v>
      </c>
      <c r="AC2423" s="55">
        <f t="shared" si="689"/>
        <v>0</v>
      </c>
      <c r="AD2423" s="56">
        <f t="shared" si="690"/>
        <v>0</v>
      </c>
    </row>
    <row r="2424" spans="3:30">
      <c r="C2424" s="43" t="s">
        <v>4513</v>
      </c>
      <c r="D2424" s="44" t="s">
        <v>4514</v>
      </c>
      <c r="E2424" s="44"/>
      <c r="F2424" s="45">
        <v>43316.196817129625</v>
      </c>
      <c r="G2424" s="46">
        <v>1</v>
      </c>
      <c r="H2424" s="47">
        <v>43385</v>
      </c>
      <c r="I2424" s="47">
        <v>43400</v>
      </c>
      <c r="J2424" s="46">
        <v>414840</v>
      </c>
      <c r="K2424" s="46">
        <v>0</v>
      </c>
      <c r="L2424" s="46">
        <v>0</v>
      </c>
      <c r="M2424" s="46">
        <f t="shared" si="679"/>
        <v>414840</v>
      </c>
      <c r="N2424" s="46">
        <v>475750</v>
      </c>
      <c r="O2424" s="48">
        <f t="shared" si="680"/>
        <v>0.12802942722017863</v>
      </c>
      <c r="P2424" s="46">
        <v>0</v>
      </c>
      <c r="Q2424" s="46">
        <v>0</v>
      </c>
      <c r="R2424" s="49">
        <f t="shared" si="681"/>
        <v>0</v>
      </c>
      <c r="S2424" s="50">
        <f t="shared" si="682"/>
        <v>0</v>
      </c>
      <c r="T2424" s="49">
        <f t="shared" si="683"/>
        <v>0</v>
      </c>
      <c r="U2424" s="51">
        <f t="shared" si="684"/>
        <v>0</v>
      </c>
      <c r="V2424" s="52">
        <f>IF(0&lt;0.8,0,IF(0&lt;1,Sheet3!L561,1))*IF(G2424&lt;3,0.12 - O2424,0.01) *U2424</f>
        <v>0</v>
      </c>
      <c r="W2424" s="52">
        <f t="shared" si="685"/>
        <v>0</v>
      </c>
      <c r="X2424" s="53">
        <f t="shared" si="686"/>
        <v>0</v>
      </c>
      <c r="Y2424" s="53">
        <f t="shared" si="687"/>
        <v>0</v>
      </c>
      <c r="Z2424" s="54">
        <f t="shared" si="677"/>
        <v>0</v>
      </c>
      <c r="AA2424" s="54">
        <f t="shared" si="688"/>
        <v>0</v>
      </c>
      <c r="AB2424" s="55">
        <f t="shared" si="678"/>
        <v>0</v>
      </c>
      <c r="AC2424" s="55">
        <f t="shared" si="689"/>
        <v>0</v>
      </c>
      <c r="AD2424" s="56">
        <f t="shared" si="690"/>
        <v>0</v>
      </c>
    </row>
    <row r="2425" spans="3:30">
      <c r="C2425" s="43" t="s">
        <v>4515</v>
      </c>
      <c r="D2425" s="44" t="s">
        <v>4516</v>
      </c>
      <c r="E2425" s="44"/>
      <c r="F2425" s="45">
        <v>43326.125960648147</v>
      </c>
      <c r="G2425" s="46">
        <v>1</v>
      </c>
      <c r="H2425" s="47">
        <v>43455</v>
      </c>
      <c r="I2425" s="47">
        <v>43454</v>
      </c>
      <c r="J2425" s="46">
        <v>1849650</v>
      </c>
      <c r="K2425" s="46">
        <v>0</v>
      </c>
      <c r="L2425" s="46">
        <v>0</v>
      </c>
      <c r="M2425" s="46">
        <f t="shared" si="679"/>
        <v>1849650</v>
      </c>
      <c r="N2425" s="46">
        <v>1733650</v>
      </c>
      <c r="O2425" s="48">
        <f t="shared" si="680"/>
        <v>0</v>
      </c>
      <c r="P2425" s="46">
        <v>0</v>
      </c>
      <c r="Q2425" s="46">
        <v>0</v>
      </c>
      <c r="R2425" s="49">
        <f t="shared" si="681"/>
        <v>0</v>
      </c>
      <c r="S2425" s="50">
        <f t="shared" si="682"/>
        <v>0</v>
      </c>
      <c r="T2425" s="49">
        <f t="shared" si="683"/>
        <v>0</v>
      </c>
      <c r="U2425" s="51">
        <f t="shared" si="684"/>
        <v>1849650</v>
      </c>
      <c r="V2425" s="52">
        <f>IF(0&lt;0.8,0,IF(0&lt;1,Sheet3!L561,1))*IF(G2425&lt;3,0.12 - O2425,0.01) *U2425</f>
        <v>0</v>
      </c>
      <c r="W2425" s="52">
        <f t="shared" si="685"/>
        <v>0</v>
      </c>
      <c r="X2425" s="53">
        <f t="shared" si="686"/>
        <v>0</v>
      </c>
      <c r="Y2425" s="53">
        <f t="shared" si="687"/>
        <v>0</v>
      </c>
      <c r="Z2425" s="54">
        <f t="shared" si="677"/>
        <v>0</v>
      </c>
      <c r="AA2425" s="54">
        <f t="shared" si="688"/>
        <v>0</v>
      </c>
      <c r="AB2425" s="55">
        <f t="shared" si="678"/>
        <v>0</v>
      </c>
      <c r="AC2425" s="55">
        <f t="shared" si="689"/>
        <v>0</v>
      </c>
      <c r="AD2425" s="56">
        <f t="shared" si="690"/>
        <v>0</v>
      </c>
    </row>
    <row r="2426" spans="3:30">
      <c r="C2426" s="43" t="s">
        <v>4517</v>
      </c>
      <c r="D2426" s="44" t="s">
        <v>4518</v>
      </c>
      <c r="E2426" s="44"/>
      <c r="F2426" s="45">
        <v>43326.41269675926</v>
      </c>
      <c r="G2426" s="46">
        <v>1</v>
      </c>
      <c r="H2426" s="47">
        <v>43395</v>
      </c>
      <c r="I2426" s="47">
        <v>43403</v>
      </c>
      <c r="J2426" s="46">
        <v>405471</v>
      </c>
      <c r="K2426" s="46">
        <v>0</v>
      </c>
      <c r="L2426" s="46">
        <v>0</v>
      </c>
      <c r="M2426" s="46">
        <f t="shared" si="679"/>
        <v>405471</v>
      </c>
      <c r="N2426" s="46">
        <v>405471</v>
      </c>
      <c r="O2426" s="48">
        <f t="shared" si="680"/>
        <v>0</v>
      </c>
      <c r="P2426" s="46">
        <v>0</v>
      </c>
      <c r="Q2426" s="46">
        <v>0</v>
      </c>
      <c r="R2426" s="49">
        <f t="shared" si="681"/>
        <v>0</v>
      </c>
      <c r="S2426" s="50">
        <f t="shared" si="682"/>
        <v>0</v>
      </c>
      <c r="T2426" s="49">
        <f t="shared" si="683"/>
        <v>0</v>
      </c>
      <c r="U2426" s="51">
        <f t="shared" si="684"/>
        <v>405471</v>
      </c>
      <c r="V2426" s="52">
        <f>IF(0&lt;0.8,0,IF(0&lt;1,Sheet3!L561,1))*IF(G2426&lt;3,0.12 - O2426,0.01) *U2426</f>
        <v>0</v>
      </c>
      <c r="W2426" s="52">
        <f t="shared" si="685"/>
        <v>0</v>
      </c>
      <c r="X2426" s="53">
        <f t="shared" si="686"/>
        <v>0</v>
      </c>
      <c r="Y2426" s="53">
        <f t="shared" si="687"/>
        <v>0</v>
      </c>
      <c r="Z2426" s="54">
        <f t="shared" si="677"/>
        <v>0</v>
      </c>
      <c r="AA2426" s="54">
        <f t="shared" si="688"/>
        <v>0</v>
      </c>
      <c r="AB2426" s="55">
        <f t="shared" si="678"/>
        <v>0</v>
      </c>
      <c r="AC2426" s="55">
        <f t="shared" si="689"/>
        <v>0</v>
      </c>
      <c r="AD2426" s="56">
        <f t="shared" si="690"/>
        <v>0</v>
      </c>
    </row>
    <row r="2427" spans="3:30">
      <c r="C2427" s="43" t="s">
        <v>4519</v>
      </c>
      <c r="D2427" s="44" t="s">
        <v>4520</v>
      </c>
      <c r="E2427" s="44"/>
      <c r="F2427" s="45">
        <v>43343.223391203705</v>
      </c>
      <c r="G2427" s="46">
        <v>1</v>
      </c>
      <c r="H2427" s="47">
        <v>43385</v>
      </c>
      <c r="I2427" s="47">
        <v>43449</v>
      </c>
      <c r="J2427" s="46">
        <v>297440</v>
      </c>
      <c r="K2427" s="46">
        <v>0</v>
      </c>
      <c r="L2427" s="46">
        <v>0</v>
      </c>
      <c r="M2427" s="46">
        <f t="shared" si="679"/>
        <v>297440</v>
      </c>
      <c r="N2427" s="46">
        <v>338778</v>
      </c>
      <c r="O2427" s="48">
        <f t="shared" si="680"/>
        <v>0.12202091044873042</v>
      </c>
      <c r="P2427" s="46">
        <v>0</v>
      </c>
      <c r="Q2427" s="46">
        <v>0</v>
      </c>
      <c r="R2427" s="49">
        <f t="shared" si="681"/>
        <v>0</v>
      </c>
      <c r="S2427" s="50">
        <f t="shared" si="682"/>
        <v>0</v>
      </c>
      <c r="T2427" s="49">
        <f t="shared" si="683"/>
        <v>0</v>
      </c>
      <c r="U2427" s="51">
        <f t="shared" si="684"/>
        <v>0</v>
      </c>
      <c r="V2427" s="52">
        <f>IF(0&lt;0.8,0,IF(0&lt;1,Sheet3!L561,1))*IF(G2427&lt;3,0.12 - O2427,0.01) *U2427</f>
        <v>0</v>
      </c>
      <c r="W2427" s="52">
        <f t="shared" si="685"/>
        <v>0</v>
      </c>
      <c r="X2427" s="53">
        <f t="shared" si="686"/>
        <v>0</v>
      </c>
      <c r="Y2427" s="53">
        <f t="shared" si="687"/>
        <v>0</v>
      </c>
      <c r="Z2427" s="54">
        <f t="shared" si="677"/>
        <v>0</v>
      </c>
      <c r="AA2427" s="54">
        <f t="shared" si="688"/>
        <v>0</v>
      </c>
      <c r="AB2427" s="55">
        <f t="shared" si="678"/>
        <v>0</v>
      </c>
      <c r="AC2427" s="55">
        <f t="shared" si="689"/>
        <v>0</v>
      </c>
      <c r="AD2427" s="56">
        <f t="shared" si="690"/>
        <v>0</v>
      </c>
    </row>
    <row r="2428" spans="3:30">
      <c r="C2428" s="43" t="s">
        <v>4521</v>
      </c>
      <c r="D2428" s="44" t="s">
        <v>4522</v>
      </c>
      <c r="E2428" s="44"/>
      <c r="F2428" s="45">
        <v>38960.638483796298</v>
      </c>
      <c r="G2428" s="46">
        <v>145</v>
      </c>
      <c r="H2428" s="47">
        <v>43391</v>
      </c>
      <c r="I2428" s="47">
        <v>43405</v>
      </c>
      <c r="J2428" s="46">
        <v>1013980</v>
      </c>
      <c r="K2428" s="46">
        <v>0</v>
      </c>
      <c r="L2428" s="46">
        <v>0</v>
      </c>
      <c r="M2428" s="46">
        <f t="shared" si="679"/>
        <v>1013980</v>
      </c>
      <c r="N2428" s="46">
        <v>1013980</v>
      </c>
      <c r="O2428" s="48">
        <f t="shared" si="680"/>
        <v>0</v>
      </c>
      <c r="P2428" s="46">
        <v>0</v>
      </c>
      <c r="Q2428" s="46">
        <v>1013980</v>
      </c>
      <c r="R2428" s="49">
        <f t="shared" si="681"/>
        <v>1</v>
      </c>
      <c r="S2428" s="50">
        <f t="shared" si="682"/>
        <v>0.01</v>
      </c>
      <c r="T2428" s="49">
        <f t="shared" si="683"/>
        <v>10139.800000000001</v>
      </c>
      <c r="U2428" s="51">
        <f t="shared" si="684"/>
        <v>0</v>
      </c>
      <c r="V2428" s="52">
        <f>IF(0&lt;0.8,0,IF(0&lt;1,Sheet3!L561,1))*IF(G2428&lt;3,0.12 - O2428,0.01) *U2428</f>
        <v>0</v>
      </c>
      <c r="W2428" s="52">
        <f t="shared" si="685"/>
        <v>0</v>
      </c>
      <c r="X2428" s="53">
        <f t="shared" si="686"/>
        <v>0</v>
      </c>
      <c r="Y2428" s="53">
        <f t="shared" si="687"/>
        <v>0</v>
      </c>
      <c r="Z2428" s="54">
        <f t="shared" si="677"/>
        <v>0</v>
      </c>
      <c r="AA2428" s="54">
        <f t="shared" si="688"/>
        <v>0</v>
      </c>
      <c r="AB2428" s="55">
        <f t="shared" si="678"/>
        <v>0</v>
      </c>
      <c r="AC2428" s="55">
        <f t="shared" si="689"/>
        <v>0</v>
      </c>
      <c r="AD2428" s="56">
        <f t="shared" si="690"/>
        <v>10139.800000000001</v>
      </c>
    </row>
    <row r="2429" spans="3:30">
      <c r="C2429" s="43" t="s">
        <v>4523</v>
      </c>
      <c r="D2429" s="44" t="s">
        <v>4524</v>
      </c>
      <c r="E2429" s="44"/>
      <c r="F2429" s="45">
        <v>38960.638483796298</v>
      </c>
      <c r="G2429" s="46">
        <v>145</v>
      </c>
      <c r="H2429" s="47">
        <v>43395</v>
      </c>
      <c r="I2429" s="47">
        <v>43398</v>
      </c>
      <c r="J2429" s="46">
        <v>4384201</v>
      </c>
      <c r="K2429" s="46">
        <v>199282</v>
      </c>
      <c r="L2429" s="46">
        <v>0</v>
      </c>
      <c r="M2429" s="46">
        <f t="shared" si="679"/>
        <v>4184919</v>
      </c>
      <c r="N2429" s="46">
        <v>4384201</v>
      </c>
      <c r="O2429" s="48">
        <f t="shared" si="680"/>
        <v>4.5454576557963478E-2</v>
      </c>
      <c r="P2429" s="46">
        <v>0</v>
      </c>
      <c r="Q2429" s="46">
        <v>4384201</v>
      </c>
      <c r="R2429" s="49">
        <f t="shared" si="681"/>
        <v>1</v>
      </c>
      <c r="S2429" s="50">
        <f t="shared" si="682"/>
        <v>0.01</v>
      </c>
      <c r="T2429" s="49">
        <f t="shared" si="683"/>
        <v>41849.19</v>
      </c>
      <c r="U2429" s="51">
        <f t="shared" si="684"/>
        <v>0</v>
      </c>
      <c r="V2429" s="52">
        <f>IF(0&lt;0.8,0,IF(0&lt;1,Sheet3!L561,1))*IF(G2429&lt;3,0.12 - O2429,0.01) *U2429</f>
        <v>0</v>
      </c>
      <c r="W2429" s="52">
        <f t="shared" si="685"/>
        <v>0</v>
      </c>
      <c r="X2429" s="53">
        <f t="shared" si="686"/>
        <v>0</v>
      </c>
      <c r="Y2429" s="53">
        <f t="shared" si="687"/>
        <v>0</v>
      </c>
      <c r="Z2429" s="54">
        <f t="shared" si="677"/>
        <v>0</v>
      </c>
      <c r="AA2429" s="54">
        <f t="shared" si="688"/>
        <v>0</v>
      </c>
      <c r="AB2429" s="55">
        <f t="shared" si="678"/>
        <v>0</v>
      </c>
      <c r="AC2429" s="55">
        <f t="shared" si="689"/>
        <v>0</v>
      </c>
      <c r="AD2429" s="56">
        <f t="shared" si="690"/>
        <v>41849.19</v>
      </c>
    </row>
    <row r="2430" spans="3:30">
      <c r="C2430" s="43" t="s">
        <v>4525</v>
      </c>
      <c r="D2430" s="44" t="s">
        <v>4526</v>
      </c>
      <c r="E2430" s="44"/>
      <c r="F2430" s="45">
        <v>38960.638495370367</v>
      </c>
      <c r="G2430" s="46">
        <v>145</v>
      </c>
      <c r="H2430" s="47">
        <v>43493</v>
      </c>
      <c r="I2430" s="47">
        <v>43496</v>
      </c>
      <c r="J2430" s="46">
        <v>12379576</v>
      </c>
      <c r="K2430" s="46">
        <v>0</v>
      </c>
      <c r="L2430" s="46">
        <v>0</v>
      </c>
      <c r="M2430" s="46">
        <f t="shared" si="679"/>
        <v>12379576</v>
      </c>
      <c r="N2430" s="46">
        <v>14202823</v>
      </c>
      <c r="O2430" s="48">
        <f t="shared" si="680"/>
        <v>0.12837215531025059</v>
      </c>
      <c r="P2430" s="46">
        <v>0</v>
      </c>
      <c r="Q2430" s="46">
        <v>12732016</v>
      </c>
      <c r="R2430" s="49">
        <f t="shared" si="681"/>
        <v>1</v>
      </c>
      <c r="S2430" s="50">
        <f t="shared" si="682"/>
        <v>0.01</v>
      </c>
      <c r="T2430" s="49">
        <f t="shared" si="683"/>
        <v>123795.76000000001</v>
      </c>
      <c r="U2430" s="51">
        <f t="shared" si="684"/>
        <v>0</v>
      </c>
      <c r="V2430" s="52">
        <f>IF(0&lt;0.8,0,IF(0&lt;1,Sheet3!L561,1))*IF(G2430&lt;3,0.12 - O2430,0.01) *U2430</f>
        <v>0</v>
      </c>
      <c r="W2430" s="52">
        <f t="shared" si="685"/>
        <v>0</v>
      </c>
      <c r="X2430" s="53">
        <f t="shared" si="686"/>
        <v>0</v>
      </c>
      <c r="Y2430" s="53">
        <f t="shared" si="687"/>
        <v>0</v>
      </c>
      <c r="Z2430" s="54">
        <f t="shared" si="677"/>
        <v>0</v>
      </c>
      <c r="AA2430" s="54">
        <f t="shared" si="688"/>
        <v>0</v>
      </c>
      <c r="AB2430" s="55">
        <f t="shared" si="678"/>
        <v>0</v>
      </c>
      <c r="AC2430" s="55">
        <f t="shared" si="689"/>
        <v>0</v>
      </c>
      <c r="AD2430" s="56">
        <f t="shared" si="690"/>
        <v>123795.76000000001</v>
      </c>
    </row>
    <row r="2431" spans="3:30">
      <c r="C2431" s="43" t="s">
        <v>4527</v>
      </c>
      <c r="D2431" s="44" t="s">
        <v>4528</v>
      </c>
      <c r="E2431" s="44"/>
      <c r="F2431" s="45">
        <v>39224.734166666662</v>
      </c>
      <c r="G2431" s="46">
        <v>136</v>
      </c>
      <c r="H2431" s="47">
        <v>43392</v>
      </c>
      <c r="I2431" s="47">
        <v>43403</v>
      </c>
      <c r="J2431" s="46">
        <v>48293389</v>
      </c>
      <c r="K2431" s="46">
        <v>0</v>
      </c>
      <c r="L2431" s="46">
        <v>0</v>
      </c>
      <c r="M2431" s="46">
        <f t="shared" si="679"/>
        <v>48293389</v>
      </c>
      <c r="N2431" s="46">
        <v>70182609</v>
      </c>
      <c r="O2431" s="48">
        <f t="shared" si="680"/>
        <v>0.31188951667499276</v>
      </c>
      <c r="P2431" s="46">
        <v>0</v>
      </c>
      <c r="Q2431" s="46">
        <v>48293389</v>
      </c>
      <c r="R2431" s="49">
        <f t="shared" si="681"/>
        <v>1</v>
      </c>
      <c r="S2431" s="50">
        <f t="shared" si="682"/>
        <v>0.01</v>
      </c>
      <c r="T2431" s="49">
        <f t="shared" si="683"/>
        <v>482933.89</v>
      </c>
      <c r="U2431" s="51">
        <f t="shared" si="684"/>
        <v>0</v>
      </c>
      <c r="V2431" s="52">
        <f>IF(0&lt;0.8,0,IF(0&lt;1,Sheet3!L561,1))*IF(G2431&lt;3,0.12 - O2431,0.01) *U2431</f>
        <v>0</v>
      </c>
      <c r="W2431" s="52">
        <f t="shared" si="685"/>
        <v>0</v>
      </c>
      <c r="X2431" s="53">
        <f t="shared" si="686"/>
        <v>0</v>
      </c>
      <c r="Y2431" s="53">
        <f t="shared" si="687"/>
        <v>0</v>
      </c>
      <c r="Z2431" s="54">
        <f t="shared" si="677"/>
        <v>0</v>
      </c>
      <c r="AA2431" s="54">
        <f t="shared" si="688"/>
        <v>0</v>
      </c>
      <c r="AB2431" s="55">
        <f t="shared" si="678"/>
        <v>0</v>
      </c>
      <c r="AC2431" s="55">
        <f t="shared" si="689"/>
        <v>0</v>
      </c>
      <c r="AD2431" s="56">
        <f t="shared" si="690"/>
        <v>482933.89</v>
      </c>
    </row>
    <row r="2432" spans="3:30">
      <c r="C2432" s="43" t="s">
        <v>4529</v>
      </c>
      <c r="D2432" s="44" t="s">
        <v>4530</v>
      </c>
      <c r="E2432" s="44"/>
      <c r="F2432" s="45">
        <v>39343.591053240736</v>
      </c>
      <c r="G2432" s="46">
        <v>132</v>
      </c>
      <c r="H2432" s="47">
        <v>43405</v>
      </c>
      <c r="I2432" s="47">
        <v>43431</v>
      </c>
      <c r="J2432" s="46">
        <v>3472800</v>
      </c>
      <c r="K2432" s="46">
        <v>0</v>
      </c>
      <c r="L2432" s="46">
        <v>0</v>
      </c>
      <c r="M2432" s="46">
        <f t="shared" si="679"/>
        <v>3472800</v>
      </c>
      <c r="N2432" s="46">
        <v>3422719</v>
      </c>
      <c r="O2432" s="48">
        <f t="shared" si="680"/>
        <v>0</v>
      </c>
      <c r="P2432" s="46">
        <v>0</v>
      </c>
      <c r="Q2432" s="46">
        <v>3472800</v>
      </c>
      <c r="R2432" s="49">
        <f t="shared" si="681"/>
        <v>1</v>
      </c>
      <c r="S2432" s="50">
        <f t="shared" si="682"/>
        <v>0.01</v>
      </c>
      <c r="T2432" s="49">
        <f t="shared" si="683"/>
        <v>34728</v>
      </c>
      <c r="U2432" s="51">
        <f t="shared" si="684"/>
        <v>0</v>
      </c>
      <c r="V2432" s="52">
        <f>IF(0&lt;0.8,0,IF(0&lt;1,Sheet3!L561,1))*IF(G2432&lt;3,0.12 - O2432,0.01) *U2432</f>
        <v>0</v>
      </c>
      <c r="W2432" s="52">
        <f t="shared" si="685"/>
        <v>0</v>
      </c>
      <c r="X2432" s="53">
        <f t="shared" si="686"/>
        <v>0</v>
      </c>
      <c r="Y2432" s="53">
        <f t="shared" si="687"/>
        <v>0</v>
      </c>
      <c r="Z2432" s="54">
        <f t="shared" si="677"/>
        <v>0</v>
      </c>
      <c r="AA2432" s="54">
        <f t="shared" si="688"/>
        <v>0</v>
      </c>
      <c r="AB2432" s="55">
        <f t="shared" si="678"/>
        <v>0</v>
      </c>
      <c r="AC2432" s="55">
        <f t="shared" si="689"/>
        <v>0</v>
      </c>
      <c r="AD2432" s="56">
        <f t="shared" si="690"/>
        <v>34728</v>
      </c>
    </row>
    <row r="2433" spans="3:30">
      <c r="C2433" s="43" t="s">
        <v>4531</v>
      </c>
      <c r="D2433" s="44" t="s">
        <v>4532</v>
      </c>
      <c r="E2433" s="44"/>
      <c r="F2433" s="45">
        <v>39499.6484375</v>
      </c>
      <c r="G2433" s="46">
        <v>127</v>
      </c>
      <c r="H2433" s="47">
        <v>43391</v>
      </c>
      <c r="I2433" s="47">
        <v>43404</v>
      </c>
      <c r="J2433" s="46">
        <v>859463</v>
      </c>
      <c r="K2433" s="46">
        <v>0</v>
      </c>
      <c r="L2433" s="46">
        <v>0</v>
      </c>
      <c r="M2433" s="46">
        <f t="shared" si="679"/>
        <v>859463</v>
      </c>
      <c r="N2433" s="46">
        <v>859463</v>
      </c>
      <c r="O2433" s="48">
        <f t="shared" si="680"/>
        <v>0</v>
      </c>
      <c r="P2433" s="46">
        <v>0</v>
      </c>
      <c r="Q2433" s="46">
        <v>859463</v>
      </c>
      <c r="R2433" s="49">
        <f t="shared" si="681"/>
        <v>1</v>
      </c>
      <c r="S2433" s="50">
        <f t="shared" si="682"/>
        <v>0.01</v>
      </c>
      <c r="T2433" s="49">
        <f t="shared" si="683"/>
        <v>8594.630000000001</v>
      </c>
      <c r="U2433" s="51">
        <f t="shared" si="684"/>
        <v>0</v>
      </c>
      <c r="V2433" s="52">
        <f>IF(0&lt;0.8,0,IF(0&lt;1,Sheet3!L561,1))*IF(G2433&lt;3,0.12 - O2433,0.01) *U2433</f>
        <v>0</v>
      </c>
      <c r="W2433" s="52">
        <f t="shared" si="685"/>
        <v>0</v>
      </c>
      <c r="X2433" s="53">
        <f t="shared" si="686"/>
        <v>0</v>
      </c>
      <c r="Y2433" s="53">
        <f t="shared" si="687"/>
        <v>0</v>
      </c>
      <c r="Z2433" s="54">
        <f t="shared" si="677"/>
        <v>0</v>
      </c>
      <c r="AA2433" s="54">
        <f t="shared" si="688"/>
        <v>0</v>
      </c>
      <c r="AB2433" s="55">
        <f t="shared" si="678"/>
        <v>0</v>
      </c>
      <c r="AC2433" s="55">
        <f t="shared" si="689"/>
        <v>0</v>
      </c>
      <c r="AD2433" s="56">
        <f t="shared" si="690"/>
        <v>8594.630000000001</v>
      </c>
    </row>
    <row r="2434" spans="3:30">
      <c r="C2434" s="43" t="s">
        <v>4533</v>
      </c>
      <c r="D2434" s="44" t="s">
        <v>4534</v>
      </c>
      <c r="E2434" s="44"/>
      <c r="F2434" s="45">
        <v>39547.057557870372</v>
      </c>
      <c r="G2434" s="46">
        <v>125</v>
      </c>
      <c r="H2434" s="47">
        <v>43390</v>
      </c>
      <c r="I2434" s="47">
        <v>43434</v>
      </c>
      <c r="J2434" s="46">
        <v>3119792</v>
      </c>
      <c r="K2434" s="46">
        <v>0</v>
      </c>
      <c r="L2434" s="46">
        <v>0</v>
      </c>
      <c r="M2434" s="46">
        <f t="shared" si="679"/>
        <v>3119792</v>
      </c>
      <c r="N2434" s="46">
        <v>3119792</v>
      </c>
      <c r="O2434" s="48">
        <f t="shared" si="680"/>
        <v>0</v>
      </c>
      <c r="P2434" s="46">
        <v>0</v>
      </c>
      <c r="Q2434" s="46">
        <v>3119792</v>
      </c>
      <c r="R2434" s="49">
        <f t="shared" si="681"/>
        <v>1</v>
      </c>
      <c r="S2434" s="50">
        <f t="shared" si="682"/>
        <v>0.01</v>
      </c>
      <c r="T2434" s="49">
        <f t="shared" si="683"/>
        <v>31197.920000000002</v>
      </c>
      <c r="U2434" s="51">
        <f t="shared" si="684"/>
        <v>0</v>
      </c>
      <c r="V2434" s="52">
        <f>IF(0&lt;0.8,0,IF(0&lt;1,Sheet3!L561,1))*IF(G2434&lt;3,0.12 - O2434,0.01) *U2434</f>
        <v>0</v>
      </c>
      <c r="W2434" s="52">
        <f t="shared" si="685"/>
        <v>0</v>
      </c>
      <c r="X2434" s="53">
        <f t="shared" si="686"/>
        <v>0</v>
      </c>
      <c r="Y2434" s="53">
        <f t="shared" si="687"/>
        <v>0</v>
      </c>
      <c r="Z2434" s="54">
        <f t="shared" si="677"/>
        <v>0</v>
      </c>
      <c r="AA2434" s="54">
        <f t="shared" si="688"/>
        <v>0</v>
      </c>
      <c r="AB2434" s="55">
        <f t="shared" si="678"/>
        <v>0</v>
      </c>
      <c r="AC2434" s="55">
        <f t="shared" si="689"/>
        <v>0</v>
      </c>
      <c r="AD2434" s="56">
        <f t="shared" si="690"/>
        <v>31197.920000000002</v>
      </c>
    </row>
    <row r="2435" spans="3:30">
      <c r="C2435" s="43" t="s">
        <v>4535</v>
      </c>
      <c r="D2435" s="44" t="s">
        <v>24</v>
      </c>
      <c r="E2435" s="44"/>
      <c r="F2435" s="45" t="s">
        <v>24</v>
      </c>
      <c r="G2435" s="46" t="s">
        <v>24</v>
      </c>
      <c r="H2435" s="47" t="s">
        <v>24</v>
      </c>
      <c r="I2435" s="47" t="s">
        <v>24</v>
      </c>
      <c r="J2435" s="46">
        <v>119790</v>
      </c>
      <c r="K2435" s="46">
        <v>0</v>
      </c>
      <c r="L2435" s="46">
        <v>0</v>
      </c>
      <c r="M2435" s="46">
        <f t="shared" si="679"/>
        <v>119790</v>
      </c>
      <c r="N2435" s="46" t="s">
        <v>24</v>
      </c>
      <c r="O2435" s="48">
        <f t="shared" si="680"/>
        <v>0</v>
      </c>
      <c r="P2435" s="46">
        <v>0</v>
      </c>
      <c r="Q2435" s="46">
        <v>0</v>
      </c>
      <c r="R2435" s="49">
        <f t="shared" si="681"/>
        <v>0</v>
      </c>
      <c r="S2435" s="50">
        <f t="shared" si="682"/>
        <v>0</v>
      </c>
      <c r="T2435" s="49">
        <f t="shared" si="683"/>
        <v>0</v>
      </c>
      <c r="U2435" s="51">
        <f t="shared" si="684"/>
        <v>119790</v>
      </c>
      <c r="V2435" s="52">
        <f>IF(0&lt;0.8,0,IF(0&lt;1,Sheet3!L561,1))*IF(G2435&lt;3,0.12 - O2435,0.01) *U2435</f>
        <v>0</v>
      </c>
      <c r="W2435" s="52">
        <f t="shared" si="685"/>
        <v>0</v>
      </c>
      <c r="X2435" s="53">
        <f t="shared" si="686"/>
        <v>0</v>
      </c>
      <c r="Y2435" s="53">
        <f t="shared" si="687"/>
        <v>0</v>
      </c>
      <c r="Z2435" s="54" t="str">
        <f>IF(R2435=1,0,"")</f>
        <v/>
      </c>
      <c r="AA2435" s="54">
        <f t="shared" si="688"/>
        <v>0</v>
      </c>
      <c r="AB2435" s="55" t="str">
        <f>IF(R2435=0,"",0)</f>
        <v/>
      </c>
      <c r="AC2435" s="55">
        <f t="shared" si="689"/>
        <v>0</v>
      </c>
      <c r="AD2435" s="56">
        <f t="shared" si="690"/>
        <v>0</v>
      </c>
    </row>
    <row r="2436" spans="3:30">
      <c r="C2436" s="43" t="s">
        <v>4536</v>
      </c>
      <c r="D2436" s="44" t="s">
        <v>4537</v>
      </c>
      <c r="E2436" s="44"/>
      <c r="F2436" s="45">
        <v>39622.794039351851</v>
      </c>
      <c r="G2436" s="46">
        <v>123</v>
      </c>
      <c r="H2436" s="47">
        <v>43390</v>
      </c>
      <c r="I2436" s="47">
        <v>43468</v>
      </c>
      <c r="J2436" s="46">
        <v>207152</v>
      </c>
      <c r="K2436" s="46">
        <v>0</v>
      </c>
      <c r="L2436" s="46">
        <v>0</v>
      </c>
      <c r="M2436" s="46">
        <f t="shared" si="679"/>
        <v>207152</v>
      </c>
      <c r="N2436" s="46">
        <v>207152</v>
      </c>
      <c r="O2436" s="48">
        <f t="shared" si="680"/>
        <v>0</v>
      </c>
      <c r="P2436" s="46">
        <v>0</v>
      </c>
      <c r="Q2436" s="46">
        <v>207152</v>
      </c>
      <c r="R2436" s="49">
        <f t="shared" si="681"/>
        <v>1</v>
      </c>
      <c r="S2436" s="50">
        <f t="shared" si="682"/>
        <v>0.01</v>
      </c>
      <c r="T2436" s="49">
        <f t="shared" si="683"/>
        <v>2071.52</v>
      </c>
      <c r="U2436" s="51">
        <f t="shared" si="684"/>
        <v>0</v>
      </c>
      <c r="V2436" s="52">
        <f>IF(0&lt;0.8,0,IF(0&lt;1,Sheet3!L561,1))*IF(G2436&lt;3,0.12 - O2436,0.01) *U2436</f>
        <v>0</v>
      </c>
      <c r="W2436" s="52">
        <f t="shared" si="685"/>
        <v>0</v>
      </c>
      <c r="X2436" s="53">
        <f t="shared" si="686"/>
        <v>0</v>
      </c>
      <c r="Y2436" s="53">
        <f t="shared" si="687"/>
        <v>0</v>
      </c>
      <c r="Z2436" s="54">
        <f t="shared" ref="Z2436:Z2499" si="691">IF(R2436=1,0,0)</f>
        <v>0</v>
      </c>
      <c r="AA2436" s="54">
        <f t="shared" si="688"/>
        <v>0</v>
      </c>
      <c r="AB2436" s="55">
        <f t="shared" ref="AB2436:AB2446" si="692">IF(R2436=0,0,0)</f>
        <v>0</v>
      </c>
      <c r="AC2436" s="55">
        <f t="shared" si="689"/>
        <v>0</v>
      </c>
      <c r="AD2436" s="56">
        <f t="shared" si="690"/>
        <v>2071.52</v>
      </c>
    </row>
    <row r="2437" spans="3:30">
      <c r="C2437" s="43" t="s">
        <v>4538</v>
      </c>
      <c r="D2437" s="44" t="s">
        <v>4539</v>
      </c>
      <c r="E2437" s="44"/>
      <c r="F2437" s="45">
        <v>39876.57267361111</v>
      </c>
      <c r="G2437" s="46">
        <v>114</v>
      </c>
      <c r="H2437" s="47">
        <v>43376</v>
      </c>
      <c r="I2437" s="47">
        <v>43398</v>
      </c>
      <c r="J2437" s="46">
        <v>228690</v>
      </c>
      <c r="K2437" s="46">
        <v>0</v>
      </c>
      <c r="L2437" s="46">
        <v>0</v>
      </c>
      <c r="M2437" s="46">
        <f t="shared" si="679"/>
        <v>228690</v>
      </c>
      <c r="N2437" s="46">
        <v>228690</v>
      </c>
      <c r="O2437" s="48">
        <f t="shared" si="680"/>
        <v>0</v>
      </c>
      <c r="P2437" s="46">
        <v>0</v>
      </c>
      <c r="Q2437" s="46">
        <v>228690</v>
      </c>
      <c r="R2437" s="49">
        <f t="shared" si="681"/>
        <v>1</v>
      </c>
      <c r="S2437" s="50">
        <f t="shared" si="682"/>
        <v>0.01</v>
      </c>
      <c r="T2437" s="49">
        <f t="shared" si="683"/>
        <v>2286.9</v>
      </c>
      <c r="U2437" s="51">
        <f t="shared" si="684"/>
        <v>0</v>
      </c>
      <c r="V2437" s="52">
        <f>IF(0&lt;0.8,0,IF(0&lt;1,Sheet3!L561,1))*IF(G2437&lt;3,0.12 - O2437,0.01) *U2437</f>
        <v>0</v>
      </c>
      <c r="W2437" s="52">
        <f t="shared" si="685"/>
        <v>0</v>
      </c>
      <c r="X2437" s="53">
        <f t="shared" si="686"/>
        <v>0</v>
      </c>
      <c r="Y2437" s="53">
        <f t="shared" si="687"/>
        <v>0</v>
      </c>
      <c r="Z2437" s="54">
        <f t="shared" si="691"/>
        <v>0</v>
      </c>
      <c r="AA2437" s="54">
        <f t="shared" si="688"/>
        <v>0</v>
      </c>
      <c r="AB2437" s="55">
        <f t="shared" si="692"/>
        <v>0</v>
      </c>
      <c r="AC2437" s="55">
        <f t="shared" si="689"/>
        <v>0</v>
      </c>
      <c r="AD2437" s="56">
        <f t="shared" si="690"/>
        <v>2286.9</v>
      </c>
    </row>
    <row r="2438" spans="3:30">
      <c r="C2438" s="43" t="s">
        <v>4540</v>
      </c>
      <c r="D2438" s="44" t="s">
        <v>4541</v>
      </c>
      <c r="E2438" s="44"/>
      <c r="F2438" s="45">
        <v>42567.321805555555</v>
      </c>
      <c r="G2438" s="46">
        <v>26</v>
      </c>
      <c r="H2438" s="47">
        <v>43376</v>
      </c>
      <c r="I2438" s="47">
        <v>43416</v>
      </c>
      <c r="J2438" s="46">
        <v>2517251</v>
      </c>
      <c r="K2438" s="46">
        <v>0</v>
      </c>
      <c r="L2438" s="46">
        <v>0</v>
      </c>
      <c r="M2438" s="46">
        <f t="shared" si="679"/>
        <v>2517251</v>
      </c>
      <c r="N2438" s="46">
        <v>2517251</v>
      </c>
      <c r="O2438" s="48">
        <f t="shared" si="680"/>
        <v>0</v>
      </c>
      <c r="P2438" s="46">
        <v>0</v>
      </c>
      <c r="Q2438" s="46">
        <v>2517251</v>
      </c>
      <c r="R2438" s="49">
        <f t="shared" si="681"/>
        <v>1</v>
      </c>
      <c r="S2438" s="50">
        <f t="shared" si="682"/>
        <v>0.01</v>
      </c>
      <c r="T2438" s="49">
        <f t="shared" si="683"/>
        <v>25172.510000000002</v>
      </c>
      <c r="U2438" s="51">
        <f t="shared" si="684"/>
        <v>0</v>
      </c>
      <c r="V2438" s="52">
        <f>IF(0&lt;0.8,0,IF(0&lt;1,Sheet3!L561,1))*IF(G2438&lt;3,0.12 - O2438,0.01) *U2438</f>
        <v>0</v>
      </c>
      <c r="W2438" s="52">
        <f t="shared" si="685"/>
        <v>0</v>
      </c>
      <c r="X2438" s="53">
        <f t="shared" si="686"/>
        <v>0</v>
      </c>
      <c r="Y2438" s="53">
        <f t="shared" si="687"/>
        <v>0</v>
      </c>
      <c r="Z2438" s="54">
        <f t="shared" si="691"/>
        <v>0</v>
      </c>
      <c r="AA2438" s="54">
        <f t="shared" si="688"/>
        <v>0</v>
      </c>
      <c r="AB2438" s="55">
        <f t="shared" si="692"/>
        <v>0</v>
      </c>
      <c r="AC2438" s="55">
        <f t="shared" si="689"/>
        <v>0</v>
      </c>
      <c r="AD2438" s="56">
        <f t="shared" si="690"/>
        <v>25172.510000000002</v>
      </c>
    </row>
    <row r="2439" spans="3:30">
      <c r="C2439" s="43" t="s">
        <v>4542</v>
      </c>
      <c r="D2439" s="44" t="s">
        <v>4543</v>
      </c>
      <c r="E2439" s="44"/>
      <c r="F2439" s="45">
        <v>39988.38444444444</v>
      </c>
      <c r="G2439" s="46">
        <v>111</v>
      </c>
      <c r="H2439" s="47">
        <v>43376</v>
      </c>
      <c r="I2439" s="47">
        <v>43395</v>
      </c>
      <c r="J2439" s="46">
        <v>140360</v>
      </c>
      <c r="K2439" s="46">
        <v>0</v>
      </c>
      <c r="L2439" s="46">
        <v>0</v>
      </c>
      <c r="M2439" s="46">
        <f t="shared" si="679"/>
        <v>140360</v>
      </c>
      <c r="N2439" s="46">
        <v>140360</v>
      </c>
      <c r="O2439" s="48">
        <f t="shared" si="680"/>
        <v>0</v>
      </c>
      <c r="P2439" s="46">
        <v>0</v>
      </c>
      <c r="Q2439" s="46">
        <v>140360</v>
      </c>
      <c r="R2439" s="49">
        <f t="shared" si="681"/>
        <v>1</v>
      </c>
      <c r="S2439" s="50">
        <f t="shared" si="682"/>
        <v>0.01</v>
      </c>
      <c r="T2439" s="49">
        <f t="shared" si="683"/>
        <v>1403.6000000000001</v>
      </c>
      <c r="U2439" s="51">
        <f t="shared" si="684"/>
        <v>0</v>
      </c>
      <c r="V2439" s="52">
        <f>IF(0&lt;0.8,0,IF(0&lt;1,Sheet3!L561,1))*IF(G2439&lt;3,0.12 - O2439,0.01) *U2439</f>
        <v>0</v>
      </c>
      <c r="W2439" s="52">
        <f t="shared" si="685"/>
        <v>0</v>
      </c>
      <c r="X2439" s="53">
        <f t="shared" si="686"/>
        <v>0</v>
      </c>
      <c r="Y2439" s="53">
        <f t="shared" si="687"/>
        <v>0</v>
      </c>
      <c r="Z2439" s="54">
        <f t="shared" si="691"/>
        <v>0</v>
      </c>
      <c r="AA2439" s="54">
        <f t="shared" si="688"/>
        <v>0</v>
      </c>
      <c r="AB2439" s="55">
        <f t="shared" si="692"/>
        <v>0</v>
      </c>
      <c r="AC2439" s="55">
        <f t="shared" si="689"/>
        <v>0</v>
      </c>
      <c r="AD2439" s="56">
        <f t="shared" si="690"/>
        <v>1403.6000000000001</v>
      </c>
    </row>
    <row r="2440" spans="3:30">
      <c r="C2440" s="43" t="s">
        <v>4544</v>
      </c>
      <c r="D2440" s="44" t="s">
        <v>4545</v>
      </c>
      <c r="E2440" s="44"/>
      <c r="F2440" s="45">
        <v>40035.589490740742</v>
      </c>
      <c r="G2440" s="46">
        <v>109</v>
      </c>
      <c r="H2440" s="47">
        <v>43390</v>
      </c>
      <c r="I2440" s="47">
        <v>43411</v>
      </c>
      <c r="J2440" s="46">
        <v>1191487</v>
      </c>
      <c r="K2440" s="46">
        <v>0</v>
      </c>
      <c r="L2440" s="46">
        <v>0</v>
      </c>
      <c r="M2440" s="46">
        <f t="shared" si="679"/>
        <v>1191487</v>
      </c>
      <c r="N2440" s="46">
        <v>1191487</v>
      </c>
      <c r="O2440" s="48">
        <f t="shared" si="680"/>
        <v>0</v>
      </c>
      <c r="P2440" s="46">
        <v>0</v>
      </c>
      <c r="Q2440" s="46">
        <v>1191487</v>
      </c>
      <c r="R2440" s="49">
        <f t="shared" si="681"/>
        <v>1</v>
      </c>
      <c r="S2440" s="50">
        <f t="shared" si="682"/>
        <v>0.01</v>
      </c>
      <c r="T2440" s="49">
        <f t="shared" si="683"/>
        <v>11914.87</v>
      </c>
      <c r="U2440" s="51">
        <f t="shared" si="684"/>
        <v>0</v>
      </c>
      <c r="V2440" s="52">
        <f>IF(0&lt;0.8,0,IF(0&lt;1,Sheet3!L561,1))*IF(G2440&lt;3,0.12 - O2440,0.01) *U2440</f>
        <v>0</v>
      </c>
      <c r="W2440" s="52">
        <f t="shared" si="685"/>
        <v>0</v>
      </c>
      <c r="X2440" s="53">
        <f t="shared" si="686"/>
        <v>0</v>
      </c>
      <c r="Y2440" s="53">
        <f t="shared" si="687"/>
        <v>0</v>
      </c>
      <c r="Z2440" s="54">
        <f t="shared" si="691"/>
        <v>0</v>
      </c>
      <c r="AA2440" s="54">
        <f t="shared" si="688"/>
        <v>0</v>
      </c>
      <c r="AB2440" s="55">
        <f t="shared" si="692"/>
        <v>0</v>
      </c>
      <c r="AC2440" s="55">
        <f t="shared" si="689"/>
        <v>0</v>
      </c>
      <c r="AD2440" s="56">
        <f t="shared" si="690"/>
        <v>11914.87</v>
      </c>
    </row>
    <row r="2441" spans="3:30">
      <c r="C2441" s="43" t="s">
        <v>4546</v>
      </c>
      <c r="D2441" s="44" t="s">
        <v>4547</v>
      </c>
      <c r="E2441" s="44"/>
      <c r="F2441" s="45">
        <v>40068.376921296294</v>
      </c>
      <c r="G2441" s="46">
        <v>108</v>
      </c>
      <c r="H2441" s="47">
        <v>43390</v>
      </c>
      <c r="I2441" s="47">
        <v>43398</v>
      </c>
      <c r="J2441" s="46">
        <v>468101</v>
      </c>
      <c r="K2441" s="46">
        <v>0</v>
      </c>
      <c r="L2441" s="46">
        <v>0</v>
      </c>
      <c r="M2441" s="46">
        <f t="shared" si="679"/>
        <v>468101</v>
      </c>
      <c r="N2441" s="46">
        <v>566474</v>
      </c>
      <c r="O2441" s="48">
        <f t="shared" si="680"/>
        <v>0.17365845563962334</v>
      </c>
      <c r="P2441" s="46">
        <v>0</v>
      </c>
      <c r="Q2441" s="46">
        <v>468101</v>
      </c>
      <c r="R2441" s="49">
        <f t="shared" si="681"/>
        <v>1</v>
      </c>
      <c r="S2441" s="50">
        <f t="shared" si="682"/>
        <v>0.01</v>
      </c>
      <c r="T2441" s="49">
        <f t="shared" si="683"/>
        <v>4681.01</v>
      </c>
      <c r="U2441" s="51">
        <f t="shared" si="684"/>
        <v>0</v>
      </c>
      <c r="V2441" s="52">
        <f>IF(0&lt;0.8,0,IF(0&lt;1,Sheet3!L561,1))*IF(G2441&lt;3,0.12 - O2441,0.01) *U2441</f>
        <v>0</v>
      </c>
      <c r="W2441" s="52">
        <f t="shared" si="685"/>
        <v>0</v>
      </c>
      <c r="X2441" s="53">
        <f t="shared" si="686"/>
        <v>0</v>
      </c>
      <c r="Y2441" s="53">
        <f t="shared" si="687"/>
        <v>0</v>
      </c>
      <c r="Z2441" s="54">
        <f t="shared" si="691"/>
        <v>0</v>
      </c>
      <c r="AA2441" s="54">
        <f t="shared" si="688"/>
        <v>0</v>
      </c>
      <c r="AB2441" s="55">
        <f t="shared" si="692"/>
        <v>0</v>
      </c>
      <c r="AC2441" s="55">
        <f t="shared" si="689"/>
        <v>0</v>
      </c>
      <c r="AD2441" s="56">
        <f t="shared" si="690"/>
        <v>4681.01</v>
      </c>
    </row>
    <row r="2442" spans="3:30">
      <c r="C2442" s="43" t="s">
        <v>4548</v>
      </c>
      <c r="D2442" s="44" t="s">
        <v>4549</v>
      </c>
      <c r="E2442" s="44"/>
      <c r="F2442" s="45">
        <v>40081.361990740741</v>
      </c>
      <c r="G2442" s="46">
        <v>108</v>
      </c>
      <c r="H2442" s="47">
        <v>43390</v>
      </c>
      <c r="I2442" s="47">
        <v>43442</v>
      </c>
      <c r="J2442" s="46">
        <v>4150191</v>
      </c>
      <c r="K2442" s="46">
        <v>0</v>
      </c>
      <c r="L2442" s="46">
        <v>0</v>
      </c>
      <c r="M2442" s="46">
        <f t="shared" si="679"/>
        <v>4150191</v>
      </c>
      <c r="N2442" s="46">
        <v>4150191</v>
      </c>
      <c r="O2442" s="48">
        <f t="shared" si="680"/>
        <v>0</v>
      </c>
      <c r="P2442" s="46">
        <v>0</v>
      </c>
      <c r="Q2442" s="46">
        <v>4150191</v>
      </c>
      <c r="R2442" s="49">
        <f t="shared" si="681"/>
        <v>1</v>
      </c>
      <c r="S2442" s="50">
        <f t="shared" si="682"/>
        <v>0.01</v>
      </c>
      <c r="T2442" s="49">
        <f t="shared" si="683"/>
        <v>41501.910000000003</v>
      </c>
      <c r="U2442" s="51">
        <f t="shared" si="684"/>
        <v>0</v>
      </c>
      <c r="V2442" s="52">
        <f>IF(0&lt;0.8,0,IF(0&lt;1,Sheet3!L561,1))*IF(G2442&lt;3,0.12 - O2442,0.01) *U2442</f>
        <v>0</v>
      </c>
      <c r="W2442" s="52">
        <f t="shared" si="685"/>
        <v>0</v>
      </c>
      <c r="X2442" s="53">
        <f t="shared" si="686"/>
        <v>0</v>
      </c>
      <c r="Y2442" s="53">
        <f t="shared" si="687"/>
        <v>0</v>
      </c>
      <c r="Z2442" s="54">
        <f t="shared" si="691"/>
        <v>0</v>
      </c>
      <c r="AA2442" s="54">
        <f t="shared" si="688"/>
        <v>0</v>
      </c>
      <c r="AB2442" s="55">
        <f t="shared" si="692"/>
        <v>0</v>
      </c>
      <c r="AC2442" s="55">
        <f t="shared" si="689"/>
        <v>0</v>
      </c>
      <c r="AD2442" s="56">
        <f t="shared" si="690"/>
        <v>41501.910000000003</v>
      </c>
    </row>
    <row r="2443" spans="3:30">
      <c r="C2443" s="43" t="s">
        <v>4550</v>
      </c>
      <c r="D2443" s="44" t="s">
        <v>4551</v>
      </c>
      <c r="E2443" s="44"/>
      <c r="F2443" s="45">
        <v>40191.422465277778</v>
      </c>
      <c r="G2443" s="46">
        <v>104</v>
      </c>
      <c r="H2443" s="47">
        <v>43385</v>
      </c>
      <c r="I2443" s="47">
        <v>43399</v>
      </c>
      <c r="J2443" s="46">
        <v>954315</v>
      </c>
      <c r="K2443" s="46">
        <v>0</v>
      </c>
      <c r="L2443" s="46">
        <v>0</v>
      </c>
      <c r="M2443" s="46">
        <f t="shared" si="679"/>
        <v>954315</v>
      </c>
      <c r="N2443" s="46">
        <v>953625</v>
      </c>
      <c r="O2443" s="48">
        <f t="shared" si="680"/>
        <v>0</v>
      </c>
      <c r="P2443" s="46">
        <v>0</v>
      </c>
      <c r="Q2443" s="46">
        <v>954315</v>
      </c>
      <c r="R2443" s="49">
        <f t="shared" si="681"/>
        <v>1</v>
      </c>
      <c r="S2443" s="50">
        <f t="shared" si="682"/>
        <v>0.01</v>
      </c>
      <c r="T2443" s="49">
        <f t="shared" si="683"/>
        <v>9543.15</v>
      </c>
      <c r="U2443" s="51">
        <f t="shared" si="684"/>
        <v>0</v>
      </c>
      <c r="V2443" s="52">
        <f>IF(0&lt;0.8,0,IF(0&lt;1,Sheet3!L561,1))*IF(G2443&lt;3,0.12 - O2443,0.01) *U2443</f>
        <v>0</v>
      </c>
      <c r="W2443" s="52">
        <f t="shared" si="685"/>
        <v>0</v>
      </c>
      <c r="X2443" s="53">
        <f t="shared" si="686"/>
        <v>0</v>
      </c>
      <c r="Y2443" s="53">
        <f t="shared" si="687"/>
        <v>0</v>
      </c>
      <c r="Z2443" s="54">
        <f t="shared" si="691"/>
        <v>0</v>
      </c>
      <c r="AA2443" s="54">
        <f t="shared" si="688"/>
        <v>0</v>
      </c>
      <c r="AB2443" s="55">
        <f t="shared" si="692"/>
        <v>0</v>
      </c>
      <c r="AC2443" s="55">
        <f t="shared" si="689"/>
        <v>0</v>
      </c>
      <c r="AD2443" s="56">
        <f t="shared" si="690"/>
        <v>9543.15</v>
      </c>
    </row>
    <row r="2444" spans="3:30">
      <c r="C2444" s="43" t="s">
        <v>4552</v>
      </c>
      <c r="D2444" s="44" t="s">
        <v>4553</v>
      </c>
      <c r="E2444" s="44"/>
      <c r="F2444" s="45">
        <v>40263.593356481477</v>
      </c>
      <c r="G2444" s="46">
        <v>102</v>
      </c>
      <c r="H2444" s="47">
        <v>43376</v>
      </c>
      <c r="I2444" s="47">
        <v>43423</v>
      </c>
      <c r="J2444" s="46">
        <v>7311113</v>
      </c>
      <c r="K2444" s="46">
        <v>332323</v>
      </c>
      <c r="L2444" s="46">
        <v>0</v>
      </c>
      <c r="M2444" s="46">
        <f t="shared" si="679"/>
        <v>6978790</v>
      </c>
      <c r="N2444" s="46">
        <v>7311473</v>
      </c>
      <c r="O2444" s="48">
        <f t="shared" si="680"/>
        <v>4.5501501544216838E-2</v>
      </c>
      <c r="P2444" s="46">
        <v>0</v>
      </c>
      <c r="Q2444" s="46">
        <v>7311113</v>
      </c>
      <c r="R2444" s="49">
        <f t="shared" si="681"/>
        <v>1</v>
      </c>
      <c r="S2444" s="50">
        <f t="shared" si="682"/>
        <v>0.01</v>
      </c>
      <c r="T2444" s="49">
        <f t="shared" si="683"/>
        <v>69787.899999999994</v>
      </c>
      <c r="U2444" s="51">
        <f t="shared" si="684"/>
        <v>0</v>
      </c>
      <c r="V2444" s="52">
        <f>IF(0&lt;0.8,0,IF(0&lt;1,Sheet3!L561,1))*IF(G2444&lt;3,0.12 - O2444,0.01) *U2444</f>
        <v>0</v>
      </c>
      <c r="W2444" s="52">
        <f t="shared" si="685"/>
        <v>0</v>
      </c>
      <c r="X2444" s="53">
        <f t="shared" si="686"/>
        <v>0</v>
      </c>
      <c r="Y2444" s="53">
        <f t="shared" si="687"/>
        <v>0</v>
      </c>
      <c r="Z2444" s="54">
        <f t="shared" si="691"/>
        <v>0</v>
      </c>
      <c r="AA2444" s="54">
        <f t="shared" si="688"/>
        <v>0</v>
      </c>
      <c r="AB2444" s="55">
        <f t="shared" si="692"/>
        <v>0</v>
      </c>
      <c r="AC2444" s="55">
        <f t="shared" si="689"/>
        <v>0</v>
      </c>
      <c r="AD2444" s="56">
        <f t="shared" si="690"/>
        <v>69787.899999999994</v>
      </c>
    </row>
    <row r="2445" spans="3:30">
      <c r="C2445" s="43" t="s">
        <v>4554</v>
      </c>
      <c r="D2445" s="44" t="s">
        <v>4555</v>
      </c>
      <c r="E2445" s="44"/>
      <c r="F2445" s="45">
        <v>40395.574432870366</v>
      </c>
      <c r="G2445" s="46">
        <v>97</v>
      </c>
      <c r="H2445" s="47">
        <v>43376</v>
      </c>
      <c r="I2445" s="47">
        <v>43395</v>
      </c>
      <c r="J2445" s="46">
        <v>777183</v>
      </c>
      <c r="K2445" s="46">
        <v>0</v>
      </c>
      <c r="L2445" s="46">
        <v>0</v>
      </c>
      <c r="M2445" s="46">
        <f t="shared" si="679"/>
        <v>777183</v>
      </c>
      <c r="N2445" s="46">
        <v>777183</v>
      </c>
      <c r="O2445" s="48">
        <f t="shared" si="680"/>
        <v>0</v>
      </c>
      <c r="P2445" s="46">
        <v>0</v>
      </c>
      <c r="Q2445" s="46">
        <v>777183</v>
      </c>
      <c r="R2445" s="49">
        <f t="shared" si="681"/>
        <v>1</v>
      </c>
      <c r="S2445" s="50">
        <f t="shared" si="682"/>
        <v>0.01</v>
      </c>
      <c r="T2445" s="49">
        <f t="shared" si="683"/>
        <v>7771.83</v>
      </c>
      <c r="U2445" s="51">
        <f t="shared" si="684"/>
        <v>0</v>
      </c>
      <c r="V2445" s="52">
        <f>IF(0&lt;0.8,0,IF(0&lt;1,Sheet3!L561,1))*IF(G2445&lt;3,0.12 - O2445,0.01) *U2445</f>
        <v>0</v>
      </c>
      <c r="W2445" s="52">
        <f t="shared" si="685"/>
        <v>0</v>
      </c>
      <c r="X2445" s="53">
        <f t="shared" si="686"/>
        <v>0</v>
      </c>
      <c r="Y2445" s="53">
        <f t="shared" si="687"/>
        <v>0</v>
      </c>
      <c r="Z2445" s="54">
        <f t="shared" si="691"/>
        <v>0</v>
      </c>
      <c r="AA2445" s="54">
        <f t="shared" si="688"/>
        <v>0</v>
      </c>
      <c r="AB2445" s="55">
        <f t="shared" si="692"/>
        <v>0</v>
      </c>
      <c r="AC2445" s="55">
        <f t="shared" si="689"/>
        <v>0</v>
      </c>
      <c r="AD2445" s="56">
        <f t="shared" si="690"/>
        <v>7771.83</v>
      </c>
    </row>
    <row r="2446" spans="3:30">
      <c r="C2446" s="43" t="s">
        <v>4556</v>
      </c>
      <c r="D2446" s="44" t="s">
        <v>4557</v>
      </c>
      <c r="E2446" s="44"/>
      <c r="F2446" s="45">
        <v>40557.431226851848</v>
      </c>
      <c r="G2446" s="46">
        <v>92</v>
      </c>
      <c r="H2446" s="47">
        <v>43376</v>
      </c>
      <c r="I2446" s="47">
        <v>43411</v>
      </c>
      <c r="J2446" s="46">
        <v>924440</v>
      </c>
      <c r="K2446" s="46">
        <v>0</v>
      </c>
      <c r="L2446" s="46">
        <v>0</v>
      </c>
      <c r="M2446" s="46">
        <f t="shared" si="679"/>
        <v>924440</v>
      </c>
      <c r="N2446" s="46">
        <v>924440</v>
      </c>
      <c r="O2446" s="48">
        <f t="shared" si="680"/>
        <v>0</v>
      </c>
      <c r="P2446" s="46">
        <v>0</v>
      </c>
      <c r="Q2446" s="46">
        <v>924440</v>
      </c>
      <c r="R2446" s="49">
        <f t="shared" si="681"/>
        <v>1</v>
      </c>
      <c r="S2446" s="50">
        <f t="shared" si="682"/>
        <v>0.01</v>
      </c>
      <c r="T2446" s="49">
        <f t="shared" si="683"/>
        <v>9244.4</v>
      </c>
      <c r="U2446" s="51">
        <f t="shared" si="684"/>
        <v>0</v>
      </c>
      <c r="V2446" s="52">
        <f>IF(0&lt;0.8,0,IF(0&lt;1,Sheet3!L561,1))*IF(G2446&lt;3,0.12 - O2446,0.01) *U2446</f>
        <v>0</v>
      </c>
      <c r="W2446" s="52">
        <f t="shared" si="685"/>
        <v>0</v>
      </c>
      <c r="X2446" s="53">
        <f t="shared" si="686"/>
        <v>0</v>
      </c>
      <c r="Y2446" s="53">
        <f t="shared" si="687"/>
        <v>0</v>
      </c>
      <c r="Z2446" s="54">
        <f t="shared" si="691"/>
        <v>0</v>
      </c>
      <c r="AA2446" s="54">
        <f t="shared" si="688"/>
        <v>0</v>
      </c>
      <c r="AB2446" s="55">
        <f t="shared" si="692"/>
        <v>0</v>
      </c>
      <c r="AC2446" s="55">
        <f t="shared" si="689"/>
        <v>0</v>
      </c>
      <c r="AD2446" s="56">
        <f t="shared" si="690"/>
        <v>9244.4</v>
      </c>
    </row>
    <row r="2447" spans="3:30">
      <c r="C2447" s="43" t="s">
        <v>4558</v>
      </c>
      <c r="D2447" s="44" t="s">
        <v>4559</v>
      </c>
      <c r="E2447" s="44"/>
      <c r="F2447" s="45">
        <v>40624.660081018519</v>
      </c>
      <c r="G2447" s="46">
        <v>90</v>
      </c>
      <c r="H2447" s="47">
        <v>43395</v>
      </c>
      <c r="I2447" s="47">
        <v>43432</v>
      </c>
      <c r="J2447" s="46">
        <v>907838</v>
      </c>
      <c r="K2447" s="46">
        <v>0</v>
      </c>
      <c r="L2447" s="46">
        <v>0</v>
      </c>
      <c r="M2447" s="46">
        <f t="shared" si="679"/>
        <v>907838</v>
      </c>
      <c r="N2447" s="46">
        <v>57836</v>
      </c>
      <c r="O2447" s="48">
        <f t="shared" si="680"/>
        <v>0</v>
      </c>
      <c r="P2447" s="46">
        <v>0</v>
      </c>
      <c r="Q2447" s="46">
        <v>907838</v>
      </c>
      <c r="R2447" s="49">
        <f t="shared" si="681"/>
        <v>1</v>
      </c>
      <c r="S2447" s="50">
        <f t="shared" si="682"/>
        <v>0.01</v>
      </c>
      <c r="T2447" s="49">
        <f t="shared" si="683"/>
        <v>9078.380000000001</v>
      </c>
      <c r="U2447" s="51">
        <f t="shared" si="684"/>
        <v>0</v>
      </c>
      <c r="V2447" s="52">
        <f>IF(0&lt;0.8,0,IF(0&lt;1,Sheet3!L561,1))*IF(G2447&lt;3,0.12 - O2447,0.01) *U2447</f>
        <v>0</v>
      </c>
      <c r="W2447" s="52">
        <f t="shared" si="685"/>
        <v>0</v>
      </c>
      <c r="X2447" s="53">
        <f t="shared" si="686"/>
        <v>0</v>
      </c>
      <c r="Y2447" s="53">
        <f t="shared" si="687"/>
        <v>0</v>
      </c>
      <c r="Z2447" s="54">
        <f t="shared" si="691"/>
        <v>0</v>
      </c>
      <c r="AA2447" s="54">
        <f t="shared" si="688"/>
        <v>0</v>
      </c>
      <c r="AB2447" s="55">
        <f>IF(R2447=0,850000,0)</f>
        <v>0</v>
      </c>
      <c r="AC2447" s="55">
        <f t="shared" si="689"/>
        <v>0</v>
      </c>
      <c r="AD2447" s="56">
        <f t="shared" si="690"/>
        <v>9078.380000000001</v>
      </c>
    </row>
    <row r="2448" spans="3:30">
      <c r="C2448" s="43" t="s">
        <v>4560</v>
      </c>
      <c r="D2448" s="44" t="s">
        <v>4561</v>
      </c>
      <c r="E2448" s="44"/>
      <c r="F2448" s="45">
        <v>40815.663217592592</v>
      </c>
      <c r="G2448" s="46">
        <v>84</v>
      </c>
      <c r="H2448" s="47">
        <v>43390</v>
      </c>
      <c r="I2448" s="47">
        <v>43398</v>
      </c>
      <c r="J2448" s="46">
        <v>288271</v>
      </c>
      <c r="K2448" s="46">
        <v>0</v>
      </c>
      <c r="L2448" s="46">
        <v>0</v>
      </c>
      <c r="M2448" s="46">
        <f t="shared" si="679"/>
        <v>288271</v>
      </c>
      <c r="N2448" s="46">
        <v>288271</v>
      </c>
      <c r="O2448" s="48">
        <f t="shared" si="680"/>
        <v>0</v>
      </c>
      <c r="P2448" s="46">
        <v>0</v>
      </c>
      <c r="Q2448" s="46">
        <v>288271</v>
      </c>
      <c r="R2448" s="49">
        <f t="shared" si="681"/>
        <v>1</v>
      </c>
      <c r="S2448" s="50">
        <f t="shared" si="682"/>
        <v>0.01</v>
      </c>
      <c r="T2448" s="49">
        <f t="shared" si="683"/>
        <v>2882.71</v>
      </c>
      <c r="U2448" s="51">
        <f t="shared" si="684"/>
        <v>0</v>
      </c>
      <c r="V2448" s="52">
        <f>IF(0&lt;0.8,0,IF(0&lt;1,Sheet3!L561,1))*IF(G2448&lt;3,0.12 - O2448,0.01) *U2448</f>
        <v>0</v>
      </c>
      <c r="W2448" s="52">
        <f t="shared" si="685"/>
        <v>0</v>
      </c>
      <c r="X2448" s="53">
        <f t="shared" si="686"/>
        <v>0</v>
      </c>
      <c r="Y2448" s="53">
        <f t="shared" si="687"/>
        <v>0</v>
      </c>
      <c r="Z2448" s="54">
        <f t="shared" si="691"/>
        <v>0</v>
      </c>
      <c r="AA2448" s="54">
        <f t="shared" si="688"/>
        <v>0</v>
      </c>
      <c r="AB2448" s="55">
        <f t="shared" ref="AB2448:AB2511" si="693">IF(R2448=0,0,0)</f>
        <v>0</v>
      </c>
      <c r="AC2448" s="55">
        <f t="shared" si="689"/>
        <v>0</v>
      </c>
      <c r="AD2448" s="56">
        <f t="shared" si="690"/>
        <v>2882.71</v>
      </c>
    </row>
    <row r="2449" spans="3:30">
      <c r="C2449" s="43" t="s">
        <v>4562</v>
      </c>
      <c r="D2449" s="44" t="s">
        <v>4563</v>
      </c>
      <c r="E2449" s="44"/>
      <c r="F2449" s="45">
        <v>40847.468912037039</v>
      </c>
      <c r="G2449" s="46">
        <v>83</v>
      </c>
      <c r="H2449" s="47">
        <v>43376</v>
      </c>
      <c r="I2449" s="47">
        <v>43395</v>
      </c>
      <c r="J2449" s="46">
        <v>438020</v>
      </c>
      <c r="K2449" s="46">
        <v>0</v>
      </c>
      <c r="L2449" s="46">
        <v>0</v>
      </c>
      <c r="M2449" s="46">
        <f t="shared" si="679"/>
        <v>438020</v>
      </c>
      <c r="N2449" s="46">
        <v>438020</v>
      </c>
      <c r="O2449" s="48">
        <f t="shared" si="680"/>
        <v>0</v>
      </c>
      <c r="P2449" s="46">
        <v>0</v>
      </c>
      <c r="Q2449" s="46">
        <v>438020</v>
      </c>
      <c r="R2449" s="49">
        <f t="shared" si="681"/>
        <v>1</v>
      </c>
      <c r="S2449" s="50">
        <f t="shared" si="682"/>
        <v>0.01</v>
      </c>
      <c r="T2449" s="49">
        <f t="shared" si="683"/>
        <v>4380.2</v>
      </c>
      <c r="U2449" s="51">
        <f t="shared" si="684"/>
        <v>0</v>
      </c>
      <c r="V2449" s="52">
        <f>IF(0&lt;0.8,0,IF(0&lt;1,Sheet3!L561,1))*IF(G2449&lt;3,0.12 - O2449,0.01) *U2449</f>
        <v>0</v>
      </c>
      <c r="W2449" s="52">
        <f t="shared" si="685"/>
        <v>0</v>
      </c>
      <c r="X2449" s="53">
        <f t="shared" si="686"/>
        <v>0</v>
      </c>
      <c r="Y2449" s="53">
        <f t="shared" si="687"/>
        <v>0</v>
      </c>
      <c r="Z2449" s="54">
        <f t="shared" si="691"/>
        <v>0</v>
      </c>
      <c r="AA2449" s="54">
        <f t="shared" si="688"/>
        <v>0</v>
      </c>
      <c r="AB2449" s="55">
        <f t="shared" si="693"/>
        <v>0</v>
      </c>
      <c r="AC2449" s="55">
        <f t="shared" si="689"/>
        <v>0</v>
      </c>
      <c r="AD2449" s="56">
        <f t="shared" si="690"/>
        <v>4380.2</v>
      </c>
    </row>
    <row r="2450" spans="3:30">
      <c r="C2450" s="43" t="s">
        <v>4564</v>
      </c>
      <c r="D2450" s="44" t="s">
        <v>4565</v>
      </c>
      <c r="E2450" s="44"/>
      <c r="F2450" s="45">
        <v>41233.622210648144</v>
      </c>
      <c r="G2450" s="46">
        <v>70</v>
      </c>
      <c r="H2450" s="47">
        <v>43376</v>
      </c>
      <c r="I2450" s="47">
        <v>43412</v>
      </c>
      <c r="J2450" s="46">
        <v>6801404</v>
      </c>
      <c r="K2450" s="46">
        <v>0</v>
      </c>
      <c r="L2450" s="46">
        <v>0</v>
      </c>
      <c r="M2450" s="46">
        <f t="shared" si="679"/>
        <v>6801404</v>
      </c>
      <c r="N2450" s="46">
        <v>6801404</v>
      </c>
      <c r="O2450" s="48">
        <f t="shared" si="680"/>
        <v>0</v>
      </c>
      <c r="P2450" s="46">
        <v>0</v>
      </c>
      <c r="Q2450" s="46">
        <v>6801404</v>
      </c>
      <c r="R2450" s="49">
        <f t="shared" si="681"/>
        <v>1</v>
      </c>
      <c r="S2450" s="50">
        <f t="shared" si="682"/>
        <v>0.01</v>
      </c>
      <c r="T2450" s="49">
        <f t="shared" si="683"/>
        <v>68014.040000000008</v>
      </c>
      <c r="U2450" s="51">
        <f t="shared" si="684"/>
        <v>0</v>
      </c>
      <c r="V2450" s="52">
        <f>IF(0&lt;0.8,0,IF(0&lt;1,Sheet3!L561,1))*IF(G2450&lt;3,0.12 - O2450,0.01) *U2450</f>
        <v>0</v>
      </c>
      <c r="W2450" s="52">
        <f t="shared" si="685"/>
        <v>0</v>
      </c>
      <c r="X2450" s="53">
        <f t="shared" si="686"/>
        <v>0</v>
      </c>
      <c r="Y2450" s="53">
        <f t="shared" si="687"/>
        <v>0</v>
      </c>
      <c r="Z2450" s="54">
        <f t="shared" si="691"/>
        <v>0</v>
      </c>
      <c r="AA2450" s="54">
        <f t="shared" si="688"/>
        <v>0</v>
      </c>
      <c r="AB2450" s="55">
        <f t="shared" si="693"/>
        <v>0</v>
      </c>
      <c r="AC2450" s="55">
        <f t="shared" si="689"/>
        <v>0</v>
      </c>
      <c r="AD2450" s="56">
        <f t="shared" si="690"/>
        <v>68014.040000000008</v>
      </c>
    </row>
    <row r="2451" spans="3:30">
      <c r="C2451" s="43" t="s">
        <v>4566</v>
      </c>
      <c r="D2451" s="44" t="s">
        <v>4567</v>
      </c>
      <c r="E2451" s="44"/>
      <c r="F2451" s="45">
        <v>41345.655868055554</v>
      </c>
      <c r="G2451" s="46">
        <v>66</v>
      </c>
      <c r="H2451" s="47">
        <v>43376</v>
      </c>
      <c r="I2451" s="47">
        <v>43424</v>
      </c>
      <c r="J2451" s="46">
        <v>5916803</v>
      </c>
      <c r="K2451" s="46">
        <v>537891</v>
      </c>
      <c r="L2451" s="46">
        <v>0</v>
      </c>
      <c r="M2451" s="46">
        <f t="shared" si="679"/>
        <v>5378912</v>
      </c>
      <c r="N2451" s="46">
        <v>5858321</v>
      </c>
      <c r="O2451" s="48">
        <f t="shared" si="680"/>
        <v>8.1833856492329438E-2</v>
      </c>
      <c r="P2451" s="46">
        <v>0</v>
      </c>
      <c r="Q2451" s="46">
        <v>5916803</v>
      </c>
      <c r="R2451" s="49">
        <f t="shared" si="681"/>
        <v>1</v>
      </c>
      <c r="S2451" s="50">
        <f t="shared" si="682"/>
        <v>0.01</v>
      </c>
      <c r="T2451" s="49">
        <f t="shared" si="683"/>
        <v>53789.120000000003</v>
      </c>
      <c r="U2451" s="51">
        <f t="shared" si="684"/>
        <v>0</v>
      </c>
      <c r="V2451" s="52">
        <f>IF(0&lt;0.8,0,IF(0&lt;1,Sheet3!L561,1))*IF(G2451&lt;3,0.12 - O2451,0.01) *U2451</f>
        <v>0</v>
      </c>
      <c r="W2451" s="52">
        <f t="shared" si="685"/>
        <v>0</v>
      </c>
      <c r="X2451" s="53">
        <f t="shared" si="686"/>
        <v>0</v>
      </c>
      <c r="Y2451" s="53">
        <f t="shared" si="687"/>
        <v>0</v>
      </c>
      <c r="Z2451" s="54">
        <f t="shared" si="691"/>
        <v>0</v>
      </c>
      <c r="AA2451" s="54">
        <f t="shared" si="688"/>
        <v>0</v>
      </c>
      <c r="AB2451" s="55">
        <f t="shared" si="693"/>
        <v>0</v>
      </c>
      <c r="AC2451" s="55">
        <f t="shared" si="689"/>
        <v>0</v>
      </c>
      <c r="AD2451" s="56">
        <f t="shared" si="690"/>
        <v>53789.120000000003</v>
      </c>
    </row>
    <row r="2452" spans="3:30">
      <c r="C2452" s="43" t="s">
        <v>4568</v>
      </c>
      <c r="D2452" s="44" t="s">
        <v>4569</v>
      </c>
      <c r="E2452" s="44"/>
      <c r="F2452" s="45">
        <v>41407.609722222223</v>
      </c>
      <c r="G2452" s="46">
        <v>64</v>
      </c>
      <c r="H2452" s="47">
        <v>43376</v>
      </c>
      <c r="I2452" s="47">
        <v>43475</v>
      </c>
      <c r="J2452" s="46">
        <v>1656563</v>
      </c>
      <c r="K2452" s="46">
        <v>0</v>
      </c>
      <c r="L2452" s="46">
        <v>0</v>
      </c>
      <c r="M2452" s="46">
        <f t="shared" si="679"/>
        <v>1656563</v>
      </c>
      <c r="N2452" s="46">
        <v>1656563</v>
      </c>
      <c r="O2452" s="48">
        <f t="shared" si="680"/>
        <v>0</v>
      </c>
      <c r="P2452" s="46">
        <v>0</v>
      </c>
      <c r="Q2452" s="46">
        <v>1656563</v>
      </c>
      <c r="R2452" s="49">
        <f t="shared" si="681"/>
        <v>1</v>
      </c>
      <c r="S2452" s="50">
        <f t="shared" si="682"/>
        <v>0.01</v>
      </c>
      <c r="T2452" s="49">
        <f t="shared" si="683"/>
        <v>16565.63</v>
      </c>
      <c r="U2452" s="51">
        <f t="shared" si="684"/>
        <v>0</v>
      </c>
      <c r="V2452" s="52">
        <f>IF(0&lt;0.8,0,IF(0&lt;1,Sheet3!L561,1))*IF(G2452&lt;3,0.12 - O2452,0.01) *U2452</f>
        <v>0</v>
      </c>
      <c r="W2452" s="52">
        <f t="shared" si="685"/>
        <v>0</v>
      </c>
      <c r="X2452" s="53">
        <f t="shared" si="686"/>
        <v>0</v>
      </c>
      <c r="Y2452" s="53">
        <f t="shared" si="687"/>
        <v>0</v>
      </c>
      <c r="Z2452" s="54">
        <f t="shared" si="691"/>
        <v>0</v>
      </c>
      <c r="AA2452" s="54">
        <f t="shared" si="688"/>
        <v>0</v>
      </c>
      <c r="AB2452" s="55">
        <f t="shared" si="693"/>
        <v>0</v>
      </c>
      <c r="AC2452" s="55">
        <f t="shared" si="689"/>
        <v>0</v>
      </c>
      <c r="AD2452" s="56">
        <f t="shared" si="690"/>
        <v>16565.63</v>
      </c>
    </row>
    <row r="2453" spans="3:30">
      <c r="C2453" s="43" t="s">
        <v>4570</v>
      </c>
      <c r="D2453" s="44" t="s">
        <v>4571</v>
      </c>
      <c r="E2453" s="44"/>
      <c r="F2453" s="45">
        <v>41424.422349537039</v>
      </c>
      <c r="G2453" s="46">
        <v>64</v>
      </c>
      <c r="H2453" s="47">
        <v>43395</v>
      </c>
      <c r="I2453" s="47">
        <v>43404</v>
      </c>
      <c r="J2453" s="46">
        <v>812612</v>
      </c>
      <c r="K2453" s="46">
        <v>0</v>
      </c>
      <c r="L2453" s="46">
        <v>0</v>
      </c>
      <c r="M2453" s="46">
        <f t="shared" si="679"/>
        <v>812612</v>
      </c>
      <c r="N2453" s="46">
        <v>812612</v>
      </c>
      <c r="O2453" s="48">
        <f t="shared" si="680"/>
        <v>0</v>
      </c>
      <c r="P2453" s="46">
        <v>0</v>
      </c>
      <c r="Q2453" s="46">
        <v>812612</v>
      </c>
      <c r="R2453" s="49">
        <f t="shared" si="681"/>
        <v>1</v>
      </c>
      <c r="S2453" s="50">
        <f t="shared" si="682"/>
        <v>0.01</v>
      </c>
      <c r="T2453" s="49">
        <f t="shared" si="683"/>
        <v>8126.12</v>
      </c>
      <c r="U2453" s="51">
        <f t="shared" si="684"/>
        <v>0</v>
      </c>
      <c r="V2453" s="52">
        <f>IF(0&lt;0.8,0,IF(0&lt;1,Sheet3!L561,1))*IF(G2453&lt;3,0.12 - O2453,0.01) *U2453</f>
        <v>0</v>
      </c>
      <c r="W2453" s="52">
        <f t="shared" si="685"/>
        <v>0</v>
      </c>
      <c r="X2453" s="53">
        <f t="shared" si="686"/>
        <v>0</v>
      </c>
      <c r="Y2453" s="53">
        <f t="shared" si="687"/>
        <v>0</v>
      </c>
      <c r="Z2453" s="54">
        <f t="shared" si="691"/>
        <v>0</v>
      </c>
      <c r="AA2453" s="54">
        <f t="shared" si="688"/>
        <v>0</v>
      </c>
      <c r="AB2453" s="55">
        <f t="shared" si="693"/>
        <v>0</v>
      </c>
      <c r="AC2453" s="55">
        <f t="shared" si="689"/>
        <v>0</v>
      </c>
      <c r="AD2453" s="56">
        <f t="shared" si="690"/>
        <v>8126.12</v>
      </c>
    </row>
    <row r="2454" spans="3:30">
      <c r="C2454" s="43" t="s">
        <v>4572</v>
      </c>
      <c r="D2454" s="44" t="s">
        <v>4573</v>
      </c>
      <c r="E2454" s="44"/>
      <c r="F2454" s="45">
        <v>41460.451365740737</v>
      </c>
      <c r="G2454" s="46">
        <v>62</v>
      </c>
      <c r="H2454" s="47">
        <v>43385</v>
      </c>
      <c r="I2454" s="47">
        <v>43395</v>
      </c>
      <c r="J2454" s="46">
        <v>1105939</v>
      </c>
      <c r="K2454" s="46">
        <v>0</v>
      </c>
      <c r="L2454" s="46">
        <v>0</v>
      </c>
      <c r="M2454" s="46">
        <f t="shared" si="679"/>
        <v>1105939</v>
      </c>
      <c r="N2454" s="46">
        <v>1105480</v>
      </c>
      <c r="O2454" s="48">
        <f t="shared" si="680"/>
        <v>0</v>
      </c>
      <c r="P2454" s="46">
        <v>0</v>
      </c>
      <c r="Q2454" s="46">
        <v>1105939</v>
      </c>
      <c r="R2454" s="49">
        <f t="shared" si="681"/>
        <v>1</v>
      </c>
      <c r="S2454" s="50">
        <f t="shared" si="682"/>
        <v>0.01</v>
      </c>
      <c r="T2454" s="49">
        <f t="shared" si="683"/>
        <v>11059.39</v>
      </c>
      <c r="U2454" s="51">
        <f t="shared" si="684"/>
        <v>0</v>
      </c>
      <c r="V2454" s="52">
        <f>IF(0&lt;0.8,0,IF(0&lt;1,Sheet3!L561,1))*IF(G2454&lt;3,0.12 - O2454,0.01) *U2454</f>
        <v>0</v>
      </c>
      <c r="W2454" s="52">
        <f t="shared" si="685"/>
        <v>0</v>
      </c>
      <c r="X2454" s="53">
        <f t="shared" si="686"/>
        <v>0</v>
      </c>
      <c r="Y2454" s="53">
        <f t="shared" si="687"/>
        <v>0</v>
      </c>
      <c r="Z2454" s="54">
        <f t="shared" si="691"/>
        <v>0</v>
      </c>
      <c r="AA2454" s="54">
        <f t="shared" si="688"/>
        <v>0</v>
      </c>
      <c r="AB2454" s="55">
        <f t="shared" si="693"/>
        <v>0</v>
      </c>
      <c r="AC2454" s="55">
        <f t="shared" si="689"/>
        <v>0</v>
      </c>
      <c r="AD2454" s="56">
        <f t="shared" si="690"/>
        <v>11059.39</v>
      </c>
    </row>
    <row r="2455" spans="3:30">
      <c r="C2455" s="43" t="s">
        <v>4574</v>
      </c>
      <c r="D2455" s="44" t="s">
        <v>4575</v>
      </c>
      <c r="E2455" s="44"/>
      <c r="F2455" s="45">
        <v>41512.400243055556</v>
      </c>
      <c r="G2455" s="46">
        <v>61</v>
      </c>
      <c r="H2455" s="47">
        <v>43376</v>
      </c>
      <c r="I2455" s="47">
        <v>43417</v>
      </c>
      <c r="J2455" s="46">
        <v>1238531</v>
      </c>
      <c r="K2455" s="46">
        <v>0</v>
      </c>
      <c r="L2455" s="46">
        <v>0</v>
      </c>
      <c r="M2455" s="46">
        <f t="shared" si="679"/>
        <v>1238531</v>
      </c>
      <c r="N2455" s="46">
        <v>1238531</v>
      </c>
      <c r="O2455" s="48">
        <f t="shared" si="680"/>
        <v>0</v>
      </c>
      <c r="P2455" s="46">
        <v>0</v>
      </c>
      <c r="Q2455" s="46">
        <v>1238531</v>
      </c>
      <c r="R2455" s="49">
        <f t="shared" si="681"/>
        <v>1</v>
      </c>
      <c r="S2455" s="50">
        <f t="shared" si="682"/>
        <v>0.01</v>
      </c>
      <c r="T2455" s="49">
        <f t="shared" si="683"/>
        <v>12385.31</v>
      </c>
      <c r="U2455" s="51">
        <f t="shared" si="684"/>
        <v>0</v>
      </c>
      <c r="V2455" s="52">
        <f>IF(0&lt;0.8,0,IF(0&lt;1,Sheet3!L561,1))*IF(G2455&lt;3,0.12 - O2455,0.01) *U2455</f>
        <v>0</v>
      </c>
      <c r="W2455" s="52">
        <f t="shared" si="685"/>
        <v>0</v>
      </c>
      <c r="X2455" s="53">
        <f t="shared" si="686"/>
        <v>0</v>
      </c>
      <c r="Y2455" s="53">
        <f t="shared" si="687"/>
        <v>0</v>
      </c>
      <c r="Z2455" s="54">
        <f t="shared" si="691"/>
        <v>0</v>
      </c>
      <c r="AA2455" s="54">
        <f t="shared" si="688"/>
        <v>0</v>
      </c>
      <c r="AB2455" s="55">
        <f t="shared" si="693"/>
        <v>0</v>
      </c>
      <c r="AC2455" s="55">
        <f t="shared" si="689"/>
        <v>0</v>
      </c>
      <c r="AD2455" s="56">
        <f t="shared" si="690"/>
        <v>12385.31</v>
      </c>
    </row>
    <row r="2456" spans="3:30">
      <c r="C2456" s="43" t="s">
        <v>4576</v>
      </c>
      <c r="D2456" s="44" t="s">
        <v>4577</v>
      </c>
      <c r="E2456" s="44"/>
      <c r="F2456" s="45">
        <v>41514.487928240742</v>
      </c>
      <c r="G2456" s="46">
        <v>61</v>
      </c>
      <c r="H2456" s="47">
        <v>43395</v>
      </c>
      <c r="I2456" s="47">
        <v>43434</v>
      </c>
      <c r="J2456" s="46">
        <v>680141</v>
      </c>
      <c r="K2456" s="46">
        <v>0</v>
      </c>
      <c r="L2456" s="46">
        <v>0</v>
      </c>
      <c r="M2456" s="46">
        <f t="shared" si="679"/>
        <v>680141</v>
      </c>
      <c r="N2456" s="46">
        <v>680141</v>
      </c>
      <c r="O2456" s="48">
        <f t="shared" si="680"/>
        <v>0</v>
      </c>
      <c r="P2456" s="46">
        <v>0</v>
      </c>
      <c r="Q2456" s="46">
        <v>680141</v>
      </c>
      <c r="R2456" s="49">
        <f t="shared" si="681"/>
        <v>1</v>
      </c>
      <c r="S2456" s="50">
        <f t="shared" si="682"/>
        <v>0.01</v>
      </c>
      <c r="T2456" s="49">
        <f t="shared" si="683"/>
        <v>6801.41</v>
      </c>
      <c r="U2456" s="51">
        <f t="shared" si="684"/>
        <v>0</v>
      </c>
      <c r="V2456" s="52">
        <f>IF(0&lt;0.8,0,IF(0&lt;1,Sheet3!L561,1))*IF(G2456&lt;3,0.12 - O2456,0.01) *U2456</f>
        <v>0</v>
      </c>
      <c r="W2456" s="52">
        <f t="shared" si="685"/>
        <v>0</v>
      </c>
      <c r="X2456" s="53">
        <f t="shared" si="686"/>
        <v>0</v>
      </c>
      <c r="Y2456" s="53">
        <f t="shared" si="687"/>
        <v>0</v>
      </c>
      <c r="Z2456" s="54">
        <f t="shared" si="691"/>
        <v>0</v>
      </c>
      <c r="AA2456" s="54">
        <f t="shared" si="688"/>
        <v>0</v>
      </c>
      <c r="AB2456" s="55">
        <f t="shared" si="693"/>
        <v>0</v>
      </c>
      <c r="AC2456" s="55">
        <f t="shared" si="689"/>
        <v>0</v>
      </c>
      <c r="AD2456" s="56">
        <f t="shared" si="690"/>
        <v>6801.41</v>
      </c>
    </row>
    <row r="2457" spans="3:30">
      <c r="C2457" s="43" t="s">
        <v>4578</v>
      </c>
      <c r="D2457" s="44" t="s">
        <v>4579</v>
      </c>
      <c r="E2457" s="44"/>
      <c r="F2457" s="45">
        <v>41619.594976851848</v>
      </c>
      <c r="G2457" s="46">
        <v>57</v>
      </c>
      <c r="H2457" s="47">
        <v>43383</v>
      </c>
      <c r="I2457" s="47">
        <v>43389</v>
      </c>
      <c r="J2457" s="46">
        <v>33880</v>
      </c>
      <c r="K2457" s="46">
        <v>0</v>
      </c>
      <c r="L2457" s="46">
        <v>0</v>
      </c>
      <c r="M2457" s="46">
        <f t="shared" si="679"/>
        <v>33880</v>
      </c>
      <c r="N2457" s="46">
        <v>33880</v>
      </c>
      <c r="O2457" s="48">
        <f t="shared" si="680"/>
        <v>0</v>
      </c>
      <c r="P2457" s="46">
        <v>0</v>
      </c>
      <c r="Q2457" s="46">
        <v>33880</v>
      </c>
      <c r="R2457" s="49">
        <f t="shared" si="681"/>
        <v>1</v>
      </c>
      <c r="S2457" s="50">
        <f t="shared" si="682"/>
        <v>0.01</v>
      </c>
      <c r="T2457" s="49">
        <f t="shared" si="683"/>
        <v>338.8</v>
      </c>
      <c r="U2457" s="51">
        <f t="shared" si="684"/>
        <v>0</v>
      </c>
      <c r="V2457" s="52">
        <f>IF(0&lt;0.8,0,IF(0&lt;1,Sheet3!L561,1))*IF(G2457&lt;3,0.12 - O2457,0.01) *U2457</f>
        <v>0</v>
      </c>
      <c r="W2457" s="52">
        <f t="shared" si="685"/>
        <v>0</v>
      </c>
      <c r="X2457" s="53">
        <f t="shared" si="686"/>
        <v>0</v>
      </c>
      <c r="Y2457" s="53">
        <f t="shared" si="687"/>
        <v>0</v>
      </c>
      <c r="Z2457" s="54">
        <f t="shared" si="691"/>
        <v>0</v>
      </c>
      <c r="AA2457" s="54">
        <f t="shared" si="688"/>
        <v>0</v>
      </c>
      <c r="AB2457" s="55">
        <f t="shared" si="693"/>
        <v>0</v>
      </c>
      <c r="AC2457" s="55">
        <f t="shared" si="689"/>
        <v>0</v>
      </c>
      <c r="AD2457" s="56">
        <f t="shared" si="690"/>
        <v>338.8</v>
      </c>
    </row>
    <row r="2458" spans="3:30">
      <c r="C2458" s="43" t="s">
        <v>4580</v>
      </c>
      <c r="D2458" s="44" t="s">
        <v>4581</v>
      </c>
      <c r="E2458" s="44"/>
      <c r="F2458" s="45">
        <v>41799.641817129625</v>
      </c>
      <c r="G2458" s="46">
        <v>51</v>
      </c>
      <c r="H2458" s="47">
        <v>43395</v>
      </c>
      <c r="I2458" s="47">
        <v>43410</v>
      </c>
      <c r="J2458" s="46">
        <v>2315698</v>
      </c>
      <c r="K2458" s="46">
        <v>0</v>
      </c>
      <c r="L2458" s="46">
        <v>0</v>
      </c>
      <c r="M2458" s="46">
        <f t="shared" si="679"/>
        <v>2315698</v>
      </c>
      <c r="N2458" s="46">
        <v>2315698</v>
      </c>
      <c r="O2458" s="48">
        <f t="shared" si="680"/>
        <v>0</v>
      </c>
      <c r="P2458" s="46">
        <v>0</v>
      </c>
      <c r="Q2458" s="46">
        <v>2315698</v>
      </c>
      <c r="R2458" s="49">
        <f t="shared" si="681"/>
        <v>1</v>
      </c>
      <c r="S2458" s="50">
        <f t="shared" si="682"/>
        <v>0.01</v>
      </c>
      <c r="T2458" s="49">
        <f t="shared" si="683"/>
        <v>23156.98</v>
      </c>
      <c r="U2458" s="51">
        <f t="shared" si="684"/>
        <v>0</v>
      </c>
      <c r="V2458" s="52">
        <f>IF(0&lt;0.8,0,IF(0&lt;1,Sheet3!L561,1))*IF(G2458&lt;3,0.12 - O2458,0.01) *U2458</f>
        <v>0</v>
      </c>
      <c r="W2458" s="52">
        <f t="shared" si="685"/>
        <v>0</v>
      </c>
      <c r="X2458" s="53">
        <f t="shared" si="686"/>
        <v>0</v>
      </c>
      <c r="Y2458" s="53">
        <f t="shared" si="687"/>
        <v>0</v>
      </c>
      <c r="Z2458" s="54">
        <f t="shared" si="691"/>
        <v>0</v>
      </c>
      <c r="AA2458" s="54">
        <f t="shared" si="688"/>
        <v>0</v>
      </c>
      <c r="AB2458" s="55">
        <f t="shared" si="693"/>
        <v>0</v>
      </c>
      <c r="AC2458" s="55">
        <f t="shared" si="689"/>
        <v>0</v>
      </c>
      <c r="AD2458" s="56">
        <f t="shared" si="690"/>
        <v>23156.98</v>
      </c>
    </row>
    <row r="2459" spans="3:30">
      <c r="C2459" s="43" t="s">
        <v>4582</v>
      </c>
      <c r="D2459" s="44" t="s">
        <v>4583</v>
      </c>
      <c r="E2459" s="44"/>
      <c r="F2459" s="45">
        <v>41886.459675925922</v>
      </c>
      <c r="G2459" s="46">
        <v>48</v>
      </c>
      <c r="H2459" s="47">
        <v>43376</v>
      </c>
      <c r="I2459" s="47">
        <v>43398</v>
      </c>
      <c r="J2459" s="46">
        <v>159236</v>
      </c>
      <c r="K2459" s="46">
        <v>0</v>
      </c>
      <c r="L2459" s="46">
        <v>0</v>
      </c>
      <c r="M2459" s="46">
        <f t="shared" si="679"/>
        <v>159236</v>
      </c>
      <c r="N2459" s="46">
        <v>159236</v>
      </c>
      <c r="O2459" s="48">
        <f t="shared" si="680"/>
        <v>0</v>
      </c>
      <c r="P2459" s="46">
        <v>0</v>
      </c>
      <c r="Q2459" s="46">
        <v>159236</v>
      </c>
      <c r="R2459" s="49">
        <f t="shared" si="681"/>
        <v>1</v>
      </c>
      <c r="S2459" s="50">
        <f t="shared" si="682"/>
        <v>0.01</v>
      </c>
      <c r="T2459" s="49">
        <f t="shared" si="683"/>
        <v>1592.3600000000001</v>
      </c>
      <c r="U2459" s="51">
        <f t="shared" si="684"/>
        <v>0</v>
      </c>
      <c r="V2459" s="52">
        <f>IF(0&lt;0.8,0,IF(0&lt;1,Sheet3!L561,1))*IF(G2459&lt;3,0.12 - O2459,0.01) *U2459</f>
        <v>0</v>
      </c>
      <c r="W2459" s="52">
        <f t="shared" si="685"/>
        <v>0</v>
      </c>
      <c r="X2459" s="53">
        <f t="shared" si="686"/>
        <v>0</v>
      </c>
      <c r="Y2459" s="53">
        <f t="shared" si="687"/>
        <v>0</v>
      </c>
      <c r="Z2459" s="54">
        <f t="shared" si="691"/>
        <v>0</v>
      </c>
      <c r="AA2459" s="54">
        <f t="shared" si="688"/>
        <v>0</v>
      </c>
      <c r="AB2459" s="55">
        <f t="shared" si="693"/>
        <v>0</v>
      </c>
      <c r="AC2459" s="55">
        <f t="shared" si="689"/>
        <v>0</v>
      </c>
      <c r="AD2459" s="56">
        <f t="shared" si="690"/>
        <v>1592.3600000000001</v>
      </c>
    </row>
    <row r="2460" spans="3:30">
      <c r="C2460" s="43" t="s">
        <v>4584</v>
      </c>
      <c r="D2460" s="44" t="s">
        <v>4585</v>
      </c>
      <c r="E2460" s="44"/>
      <c r="F2460" s="45">
        <v>42080.425706018519</v>
      </c>
      <c r="G2460" s="46">
        <v>42</v>
      </c>
      <c r="H2460" s="47">
        <v>43390</v>
      </c>
      <c r="I2460" s="47">
        <v>43400</v>
      </c>
      <c r="J2460" s="46">
        <v>882695</v>
      </c>
      <c r="K2460" s="46">
        <v>0</v>
      </c>
      <c r="L2460" s="46">
        <v>0</v>
      </c>
      <c r="M2460" s="46">
        <f t="shared" si="679"/>
        <v>882695</v>
      </c>
      <c r="N2460" s="46">
        <v>882695</v>
      </c>
      <c r="O2460" s="48">
        <f t="shared" si="680"/>
        <v>0</v>
      </c>
      <c r="P2460" s="46">
        <v>0</v>
      </c>
      <c r="Q2460" s="46">
        <v>882695</v>
      </c>
      <c r="R2460" s="49">
        <f t="shared" si="681"/>
        <v>1</v>
      </c>
      <c r="S2460" s="50">
        <f t="shared" si="682"/>
        <v>0.01</v>
      </c>
      <c r="T2460" s="49">
        <f t="shared" si="683"/>
        <v>8826.9500000000007</v>
      </c>
      <c r="U2460" s="51">
        <f t="shared" si="684"/>
        <v>0</v>
      </c>
      <c r="V2460" s="52">
        <f>IF(0&lt;0.8,0,IF(0&lt;1,Sheet3!L561,1))*IF(G2460&lt;3,0.12 - O2460,0.01) *U2460</f>
        <v>0</v>
      </c>
      <c r="W2460" s="52">
        <f t="shared" si="685"/>
        <v>0</v>
      </c>
      <c r="X2460" s="53">
        <f t="shared" si="686"/>
        <v>0</v>
      </c>
      <c r="Y2460" s="53">
        <f t="shared" si="687"/>
        <v>0</v>
      </c>
      <c r="Z2460" s="54">
        <f t="shared" si="691"/>
        <v>0</v>
      </c>
      <c r="AA2460" s="54">
        <f t="shared" si="688"/>
        <v>0</v>
      </c>
      <c r="AB2460" s="55">
        <f t="shared" si="693"/>
        <v>0</v>
      </c>
      <c r="AC2460" s="55">
        <f t="shared" si="689"/>
        <v>0</v>
      </c>
      <c r="AD2460" s="56">
        <f t="shared" si="690"/>
        <v>8826.9500000000007</v>
      </c>
    </row>
    <row r="2461" spans="3:30">
      <c r="C2461" s="43" t="s">
        <v>4586</v>
      </c>
      <c r="D2461" s="44" t="s">
        <v>4587</v>
      </c>
      <c r="E2461" s="44"/>
      <c r="F2461" s="45">
        <v>42436.610717592594</v>
      </c>
      <c r="G2461" s="46">
        <v>30</v>
      </c>
      <c r="H2461" s="47">
        <v>43376</v>
      </c>
      <c r="I2461" s="47">
        <v>43409</v>
      </c>
      <c r="J2461" s="46">
        <v>1042149</v>
      </c>
      <c r="K2461" s="46">
        <v>0</v>
      </c>
      <c r="L2461" s="46">
        <v>0</v>
      </c>
      <c r="M2461" s="46">
        <f t="shared" si="679"/>
        <v>1042149</v>
      </c>
      <c r="N2461" s="46">
        <v>1042149</v>
      </c>
      <c r="O2461" s="48">
        <f t="shared" si="680"/>
        <v>0</v>
      </c>
      <c r="P2461" s="46">
        <v>0</v>
      </c>
      <c r="Q2461" s="46">
        <v>1042149</v>
      </c>
      <c r="R2461" s="49">
        <f t="shared" si="681"/>
        <v>1</v>
      </c>
      <c r="S2461" s="50">
        <f t="shared" si="682"/>
        <v>0.01</v>
      </c>
      <c r="T2461" s="49">
        <f t="shared" si="683"/>
        <v>10421.49</v>
      </c>
      <c r="U2461" s="51">
        <f t="shared" si="684"/>
        <v>0</v>
      </c>
      <c r="V2461" s="52">
        <f>IF(0&lt;0.8,0,IF(0&lt;1,Sheet3!L561,1))*IF(G2461&lt;3,0.12 - O2461,0.01) *U2461</f>
        <v>0</v>
      </c>
      <c r="W2461" s="52">
        <f t="shared" si="685"/>
        <v>0</v>
      </c>
      <c r="X2461" s="53">
        <f t="shared" si="686"/>
        <v>0</v>
      </c>
      <c r="Y2461" s="53">
        <f t="shared" si="687"/>
        <v>0</v>
      </c>
      <c r="Z2461" s="54">
        <f t="shared" si="691"/>
        <v>0</v>
      </c>
      <c r="AA2461" s="54">
        <f t="shared" si="688"/>
        <v>0</v>
      </c>
      <c r="AB2461" s="55">
        <f t="shared" si="693"/>
        <v>0</v>
      </c>
      <c r="AC2461" s="55">
        <f t="shared" si="689"/>
        <v>0</v>
      </c>
      <c r="AD2461" s="56">
        <f t="shared" si="690"/>
        <v>10421.49</v>
      </c>
    </row>
    <row r="2462" spans="3:30">
      <c r="C2462" s="43" t="s">
        <v>4588</v>
      </c>
      <c r="D2462" s="44" t="s">
        <v>4589</v>
      </c>
      <c r="E2462" s="44"/>
      <c r="F2462" s="45">
        <v>42453.520405092589</v>
      </c>
      <c r="G2462" s="46">
        <v>30</v>
      </c>
      <c r="H2462" s="47">
        <v>43376</v>
      </c>
      <c r="I2462" s="47">
        <v>43418</v>
      </c>
      <c r="J2462" s="46">
        <v>117464</v>
      </c>
      <c r="K2462" s="46">
        <v>0</v>
      </c>
      <c r="L2462" s="46">
        <v>0</v>
      </c>
      <c r="M2462" s="46">
        <f t="shared" si="679"/>
        <v>117464</v>
      </c>
      <c r="N2462" s="46">
        <v>130196</v>
      </c>
      <c r="O2462" s="48">
        <f t="shared" si="680"/>
        <v>9.7791022765676416E-2</v>
      </c>
      <c r="P2462" s="46">
        <v>0</v>
      </c>
      <c r="Q2462" s="46">
        <v>117464</v>
      </c>
      <c r="R2462" s="49">
        <f t="shared" si="681"/>
        <v>1</v>
      </c>
      <c r="S2462" s="50">
        <f t="shared" si="682"/>
        <v>0.01</v>
      </c>
      <c r="T2462" s="49">
        <f t="shared" si="683"/>
        <v>1174.6400000000001</v>
      </c>
      <c r="U2462" s="51">
        <f t="shared" si="684"/>
        <v>0</v>
      </c>
      <c r="V2462" s="52">
        <f>IF(0&lt;0.8,0,IF(0&lt;1,Sheet3!L561,1))*IF(G2462&lt;3,0.12 - O2462,0.01) *U2462</f>
        <v>0</v>
      </c>
      <c r="W2462" s="52">
        <f t="shared" si="685"/>
        <v>0</v>
      </c>
      <c r="X2462" s="53">
        <f t="shared" si="686"/>
        <v>0</v>
      </c>
      <c r="Y2462" s="53">
        <f t="shared" si="687"/>
        <v>0</v>
      </c>
      <c r="Z2462" s="54">
        <f t="shared" si="691"/>
        <v>0</v>
      </c>
      <c r="AA2462" s="54">
        <f t="shared" si="688"/>
        <v>0</v>
      </c>
      <c r="AB2462" s="55">
        <f t="shared" si="693"/>
        <v>0</v>
      </c>
      <c r="AC2462" s="55">
        <f t="shared" si="689"/>
        <v>0</v>
      </c>
      <c r="AD2462" s="56">
        <f t="shared" si="690"/>
        <v>1174.6400000000001</v>
      </c>
    </row>
    <row r="2463" spans="3:30">
      <c r="C2463" s="43" t="s">
        <v>4590</v>
      </c>
      <c r="D2463" s="44" t="s">
        <v>4591</v>
      </c>
      <c r="E2463" s="44"/>
      <c r="F2463" s="45">
        <v>42457.551805555551</v>
      </c>
      <c r="G2463" s="46">
        <v>30</v>
      </c>
      <c r="H2463" s="47">
        <v>43414</v>
      </c>
      <c r="I2463" s="47">
        <v>43484</v>
      </c>
      <c r="J2463" s="46">
        <v>2873145</v>
      </c>
      <c r="K2463" s="46">
        <v>0</v>
      </c>
      <c r="L2463" s="46">
        <v>0</v>
      </c>
      <c r="M2463" s="46">
        <f t="shared" si="679"/>
        <v>2873145</v>
      </c>
      <c r="N2463" s="46">
        <v>2873145</v>
      </c>
      <c r="O2463" s="48">
        <f t="shared" si="680"/>
        <v>0</v>
      </c>
      <c r="P2463" s="46">
        <v>0</v>
      </c>
      <c r="Q2463" s="46">
        <v>2873145</v>
      </c>
      <c r="R2463" s="49">
        <f t="shared" si="681"/>
        <v>1</v>
      </c>
      <c r="S2463" s="50">
        <f t="shared" si="682"/>
        <v>0.01</v>
      </c>
      <c r="T2463" s="49">
        <f t="shared" si="683"/>
        <v>28731.45</v>
      </c>
      <c r="U2463" s="51">
        <f t="shared" si="684"/>
        <v>0</v>
      </c>
      <c r="V2463" s="52">
        <f>IF(0&lt;0.8,0,IF(0&lt;1,Sheet3!L561,1))*IF(G2463&lt;3,0.12 - O2463,0.01) *U2463</f>
        <v>0</v>
      </c>
      <c r="W2463" s="52">
        <f t="shared" si="685"/>
        <v>0</v>
      </c>
      <c r="X2463" s="53">
        <f t="shared" si="686"/>
        <v>0</v>
      </c>
      <c r="Y2463" s="53">
        <f t="shared" si="687"/>
        <v>0</v>
      </c>
      <c r="Z2463" s="54">
        <f t="shared" si="691"/>
        <v>0</v>
      </c>
      <c r="AA2463" s="54">
        <f t="shared" si="688"/>
        <v>0</v>
      </c>
      <c r="AB2463" s="55">
        <f t="shared" si="693"/>
        <v>0</v>
      </c>
      <c r="AC2463" s="55">
        <f t="shared" si="689"/>
        <v>0</v>
      </c>
      <c r="AD2463" s="56">
        <f t="shared" si="690"/>
        <v>28731.45</v>
      </c>
    </row>
    <row r="2464" spans="3:30">
      <c r="C2464" s="43" t="s">
        <v>4592</v>
      </c>
      <c r="D2464" s="44" t="s">
        <v>4593</v>
      </c>
      <c r="E2464" s="44"/>
      <c r="F2464" s="45">
        <v>42499.202048611107</v>
      </c>
      <c r="G2464" s="46">
        <v>28</v>
      </c>
      <c r="H2464" s="47">
        <v>43390</v>
      </c>
      <c r="I2464" s="47">
        <v>43402</v>
      </c>
      <c r="J2464" s="46">
        <v>1547953</v>
      </c>
      <c r="K2464" s="46">
        <v>0</v>
      </c>
      <c r="L2464" s="46">
        <v>0</v>
      </c>
      <c r="M2464" s="46">
        <f t="shared" si="679"/>
        <v>1547953</v>
      </c>
      <c r="N2464" s="46">
        <v>1547953</v>
      </c>
      <c r="O2464" s="48">
        <f t="shared" si="680"/>
        <v>0</v>
      </c>
      <c r="P2464" s="46">
        <v>0</v>
      </c>
      <c r="Q2464" s="46">
        <v>1547953</v>
      </c>
      <c r="R2464" s="49">
        <f t="shared" si="681"/>
        <v>1</v>
      </c>
      <c r="S2464" s="50">
        <f t="shared" si="682"/>
        <v>0.01</v>
      </c>
      <c r="T2464" s="49">
        <f t="shared" si="683"/>
        <v>15479.53</v>
      </c>
      <c r="U2464" s="51">
        <f t="shared" si="684"/>
        <v>0</v>
      </c>
      <c r="V2464" s="52">
        <f>IF(0&lt;0.8,0,IF(0&lt;1,Sheet3!L561,1))*IF(G2464&lt;3,0.12 - O2464,0.01) *U2464</f>
        <v>0</v>
      </c>
      <c r="W2464" s="52">
        <f t="shared" si="685"/>
        <v>0</v>
      </c>
      <c r="X2464" s="53">
        <f t="shared" si="686"/>
        <v>0</v>
      </c>
      <c r="Y2464" s="53">
        <f t="shared" si="687"/>
        <v>0</v>
      </c>
      <c r="Z2464" s="54">
        <f t="shared" si="691"/>
        <v>0</v>
      </c>
      <c r="AA2464" s="54">
        <f t="shared" si="688"/>
        <v>0</v>
      </c>
      <c r="AB2464" s="55">
        <f t="shared" si="693"/>
        <v>0</v>
      </c>
      <c r="AC2464" s="55">
        <f t="shared" si="689"/>
        <v>0</v>
      </c>
      <c r="AD2464" s="56">
        <f t="shared" si="690"/>
        <v>15479.53</v>
      </c>
    </row>
    <row r="2465" spans="3:30">
      <c r="C2465" s="43" t="s">
        <v>4594</v>
      </c>
      <c r="D2465" s="44" t="s">
        <v>4595</v>
      </c>
      <c r="E2465" s="44"/>
      <c r="F2465" s="45">
        <v>42562.10491898148</v>
      </c>
      <c r="G2465" s="46">
        <v>26</v>
      </c>
      <c r="H2465" s="47">
        <v>43385</v>
      </c>
      <c r="I2465" s="47">
        <v>43405</v>
      </c>
      <c r="J2465" s="46">
        <v>2484493</v>
      </c>
      <c r="K2465" s="46">
        <v>225863</v>
      </c>
      <c r="L2465" s="46">
        <v>0</v>
      </c>
      <c r="M2465" s="46">
        <f t="shared" si="679"/>
        <v>2258630</v>
      </c>
      <c r="N2465" s="46">
        <v>2484493</v>
      </c>
      <c r="O2465" s="48">
        <f t="shared" si="680"/>
        <v>9.0909090909090939E-2</v>
      </c>
      <c r="P2465" s="46">
        <v>0</v>
      </c>
      <c r="Q2465" s="46">
        <v>2484493</v>
      </c>
      <c r="R2465" s="49">
        <f t="shared" si="681"/>
        <v>1</v>
      </c>
      <c r="S2465" s="50">
        <f t="shared" si="682"/>
        <v>0.01</v>
      </c>
      <c r="T2465" s="49">
        <f t="shared" si="683"/>
        <v>22586.3</v>
      </c>
      <c r="U2465" s="51">
        <f t="shared" si="684"/>
        <v>0</v>
      </c>
      <c r="V2465" s="52">
        <f>IF(0&lt;0.8,0,IF(0&lt;1,Sheet3!L561,1))*IF(G2465&lt;3,0.12 - O2465,0.01) *U2465</f>
        <v>0</v>
      </c>
      <c r="W2465" s="52">
        <f t="shared" si="685"/>
        <v>0</v>
      </c>
      <c r="X2465" s="53">
        <f t="shared" si="686"/>
        <v>0</v>
      </c>
      <c r="Y2465" s="53">
        <f t="shared" si="687"/>
        <v>0</v>
      </c>
      <c r="Z2465" s="54">
        <f t="shared" si="691"/>
        <v>0</v>
      </c>
      <c r="AA2465" s="54">
        <f t="shared" si="688"/>
        <v>0</v>
      </c>
      <c r="AB2465" s="55">
        <f t="shared" si="693"/>
        <v>0</v>
      </c>
      <c r="AC2465" s="55">
        <f t="shared" si="689"/>
        <v>0</v>
      </c>
      <c r="AD2465" s="56">
        <f t="shared" si="690"/>
        <v>22586.3</v>
      </c>
    </row>
    <row r="2466" spans="3:30">
      <c r="C2466" s="43" t="s">
        <v>4596</v>
      </c>
      <c r="D2466" s="44" t="s">
        <v>4597</v>
      </c>
      <c r="E2466" s="44"/>
      <c r="F2466" s="45">
        <v>42649.167986111112</v>
      </c>
      <c r="G2466" s="46">
        <v>23</v>
      </c>
      <c r="H2466" s="47">
        <v>43376</v>
      </c>
      <c r="I2466" s="47">
        <v>43392</v>
      </c>
      <c r="J2466" s="46">
        <v>720313</v>
      </c>
      <c r="K2466" s="46">
        <v>0</v>
      </c>
      <c r="L2466" s="46">
        <v>0</v>
      </c>
      <c r="M2466" s="46">
        <f t="shared" si="679"/>
        <v>720313</v>
      </c>
      <c r="N2466" s="46">
        <v>720313</v>
      </c>
      <c r="O2466" s="48">
        <f t="shared" si="680"/>
        <v>0</v>
      </c>
      <c r="P2466" s="46">
        <v>0</v>
      </c>
      <c r="Q2466" s="46">
        <v>720313</v>
      </c>
      <c r="R2466" s="49">
        <f t="shared" si="681"/>
        <v>1</v>
      </c>
      <c r="S2466" s="50">
        <f t="shared" si="682"/>
        <v>0.01</v>
      </c>
      <c r="T2466" s="49">
        <f t="shared" si="683"/>
        <v>7203.13</v>
      </c>
      <c r="U2466" s="51">
        <f t="shared" si="684"/>
        <v>0</v>
      </c>
      <c r="V2466" s="52">
        <f>IF(0&lt;0.8,0,IF(0&lt;1,Sheet3!L561,1))*IF(G2466&lt;3,0.12 - O2466,0.01) *U2466</f>
        <v>0</v>
      </c>
      <c r="W2466" s="52">
        <f t="shared" si="685"/>
        <v>0</v>
      </c>
      <c r="X2466" s="53">
        <f t="shared" si="686"/>
        <v>0</v>
      </c>
      <c r="Y2466" s="53">
        <f t="shared" si="687"/>
        <v>0</v>
      </c>
      <c r="Z2466" s="54">
        <f t="shared" si="691"/>
        <v>0</v>
      </c>
      <c r="AA2466" s="54">
        <f t="shared" si="688"/>
        <v>0</v>
      </c>
      <c r="AB2466" s="55">
        <f t="shared" si="693"/>
        <v>0</v>
      </c>
      <c r="AC2466" s="55">
        <f t="shared" si="689"/>
        <v>0</v>
      </c>
      <c r="AD2466" s="56">
        <f t="shared" si="690"/>
        <v>7203.13</v>
      </c>
    </row>
    <row r="2467" spans="3:30">
      <c r="C2467" s="43" t="s">
        <v>4598</v>
      </c>
      <c r="D2467" s="44" t="s">
        <v>4599</v>
      </c>
      <c r="E2467" s="44"/>
      <c r="F2467" s="45">
        <v>42663.156111111108</v>
      </c>
      <c r="G2467" s="46">
        <v>23</v>
      </c>
      <c r="H2467" s="47">
        <v>43390</v>
      </c>
      <c r="I2467" s="47">
        <v>43398</v>
      </c>
      <c r="J2467" s="46">
        <v>367840</v>
      </c>
      <c r="K2467" s="46">
        <v>0</v>
      </c>
      <c r="L2467" s="46">
        <v>0</v>
      </c>
      <c r="M2467" s="46">
        <f t="shared" si="679"/>
        <v>367840</v>
      </c>
      <c r="N2467" s="46">
        <v>367840</v>
      </c>
      <c r="O2467" s="48">
        <f t="shared" si="680"/>
        <v>0</v>
      </c>
      <c r="P2467" s="46">
        <v>0</v>
      </c>
      <c r="Q2467" s="46">
        <v>367840</v>
      </c>
      <c r="R2467" s="49">
        <f t="shared" si="681"/>
        <v>1</v>
      </c>
      <c r="S2467" s="50">
        <f t="shared" si="682"/>
        <v>0.01</v>
      </c>
      <c r="T2467" s="49">
        <f t="shared" si="683"/>
        <v>3678.4</v>
      </c>
      <c r="U2467" s="51">
        <f t="shared" si="684"/>
        <v>0</v>
      </c>
      <c r="V2467" s="52">
        <f>IF(0&lt;0.8,0,IF(0&lt;1,Sheet3!L561,1))*IF(G2467&lt;3,0.12 - O2467,0.01) *U2467</f>
        <v>0</v>
      </c>
      <c r="W2467" s="52">
        <f t="shared" si="685"/>
        <v>0</v>
      </c>
      <c r="X2467" s="53">
        <f t="shared" si="686"/>
        <v>0</v>
      </c>
      <c r="Y2467" s="53">
        <f t="shared" si="687"/>
        <v>0</v>
      </c>
      <c r="Z2467" s="54">
        <f t="shared" si="691"/>
        <v>0</v>
      </c>
      <c r="AA2467" s="54">
        <f t="shared" si="688"/>
        <v>0</v>
      </c>
      <c r="AB2467" s="55">
        <f t="shared" si="693"/>
        <v>0</v>
      </c>
      <c r="AC2467" s="55">
        <f t="shared" si="689"/>
        <v>0</v>
      </c>
      <c r="AD2467" s="56">
        <f t="shared" si="690"/>
        <v>3678.4</v>
      </c>
    </row>
    <row r="2468" spans="3:30">
      <c r="C2468" s="43" t="s">
        <v>4600</v>
      </c>
      <c r="D2468" s="44" t="s">
        <v>4601</v>
      </c>
      <c r="E2468" s="44"/>
      <c r="F2468" s="45">
        <v>42677.293611111112</v>
      </c>
      <c r="G2468" s="46">
        <v>22</v>
      </c>
      <c r="H2468" s="47">
        <v>43376</v>
      </c>
      <c r="I2468" s="47">
        <v>43392</v>
      </c>
      <c r="J2468" s="46">
        <v>464640</v>
      </c>
      <c r="K2468" s="46">
        <v>0</v>
      </c>
      <c r="L2468" s="46">
        <v>0</v>
      </c>
      <c r="M2468" s="46">
        <f t="shared" si="679"/>
        <v>464640</v>
      </c>
      <c r="N2468" s="46">
        <v>464640</v>
      </c>
      <c r="O2468" s="48">
        <f t="shared" si="680"/>
        <v>0</v>
      </c>
      <c r="P2468" s="46">
        <v>0</v>
      </c>
      <c r="Q2468" s="46">
        <v>464640</v>
      </c>
      <c r="R2468" s="49">
        <f t="shared" si="681"/>
        <v>1</v>
      </c>
      <c r="S2468" s="50">
        <f t="shared" si="682"/>
        <v>0.01</v>
      </c>
      <c r="T2468" s="49">
        <f t="shared" si="683"/>
        <v>4646.4000000000005</v>
      </c>
      <c r="U2468" s="51">
        <f t="shared" si="684"/>
        <v>0</v>
      </c>
      <c r="V2468" s="52">
        <f>IF(0&lt;0.8,0,IF(0&lt;1,Sheet3!L561,1))*IF(G2468&lt;3,0.12 - O2468,0.01) *U2468</f>
        <v>0</v>
      </c>
      <c r="W2468" s="52">
        <f t="shared" si="685"/>
        <v>0</v>
      </c>
      <c r="X2468" s="53">
        <f t="shared" si="686"/>
        <v>0</v>
      </c>
      <c r="Y2468" s="53">
        <f t="shared" si="687"/>
        <v>0</v>
      </c>
      <c r="Z2468" s="54">
        <f t="shared" si="691"/>
        <v>0</v>
      </c>
      <c r="AA2468" s="54">
        <f t="shared" si="688"/>
        <v>0</v>
      </c>
      <c r="AB2468" s="55">
        <f t="shared" si="693"/>
        <v>0</v>
      </c>
      <c r="AC2468" s="55">
        <f t="shared" si="689"/>
        <v>0</v>
      </c>
      <c r="AD2468" s="56">
        <f t="shared" si="690"/>
        <v>4646.4000000000005</v>
      </c>
    </row>
    <row r="2469" spans="3:30">
      <c r="C2469" s="43" t="s">
        <v>4602</v>
      </c>
      <c r="D2469" s="44" t="s">
        <v>4603</v>
      </c>
      <c r="E2469" s="44"/>
      <c r="F2469" s="45">
        <v>42733.378148148149</v>
      </c>
      <c r="G2469" s="46">
        <v>21</v>
      </c>
      <c r="H2469" s="47">
        <v>43395</v>
      </c>
      <c r="I2469" s="47">
        <v>43425</v>
      </c>
      <c r="J2469" s="46">
        <v>5144871</v>
      </c>
      <c r="K2469" s="46">
        <v>0</v>
      </c>
      <c r="L2469" s="46">
        <v>0</v>
      </c>
      <c r="M2469" s="46">
        <f t="shared" si="679"/>
        <v>5144871</v>
      </c>
      <c r="N2469" s="46">
        <v>5144871</v>
      </c>
      <c r="O2469" s="48">
        <f t="shared" si="680"/>
        <v>0</v>
      </c>
      <c r="P2469" s="46">
        <v>0</v>
      </c>
      <c r="Q2469" s="46">
        <v>5144871</v>
      </c>
      <c r="R2469" s="49">
        <f t="shared" si="681"/>
        <v>1</v>
      </c>
      <c r="S2469" s="50">
        <f t="shared" si="682"/>
        <v>0.01</v>
      </c>
      <c r="T2469" s="49">
        <f t="shared" si="683"/>
        <v>51448.71</v>
      </c>
      <c r="U2469" s="51">
        <f t="shared" si="684"/>
        <v>0</v>
      </c>
      <c r="V2469" s="52">
        <f>IF(0&lt;0.8,0,IF(0&lt;1,Sheet3!L561,1))*IF(G2469&lt;3,0.12 - O2469,0.01) *U2469</f>
        <v>0</v>
      </c>
      <c r="W2469" s="52">
        <f t="shared" si="685"/>
        <v>0</v>
      </c>
      <c r="X2469" s="53">
        <f t="shared" si="686"/>
        <v>0</v>
      </c>
      <c r="Y2469" s="53">
        <f t="shared" si="687"/>
        <v>0</v>
      </c>
      <c r="Z2469" s="54">
        <f t="shared" si="691"/>
        <v>0</v>
      </c>
      <c r="AA2469" s="54">
        <f t="shared" si="688"/>
        <v>0</v>
      </c>
      <c r="AB2469" s="55">
        <f t="shared" si="693"/>
        <v>0</v>
      </c>
      <c r="AC2469" s="55">
        <f t="shared" si="689"/>
        <v>0</v>
      </c>
      <c r="AD2469" s="56">
        <f t="shared" si="690"/>
        <v>51448.71</v>
      </c>
    </row>
    <row r="2470" spans="3:30">
      <c r="C2470" s="43" t="s">
        <v>4604</v>
      </c>
      <c r="D2470" s="44" t="s">
        <v>4605</v>
      </c>
      <c r="E2470" s="44"/>
      <c r="F2470" s="45">
        <v>42810.092881944445</v>
      </c>
      <c r="G2470" s="46">
        <v>18</v>
      </c>
      <c r="H2470" s="47">
        <v>43390</v>
      </c>
      <c r="I2470" s="47">
        <v>43398</v>
      </c>
      <c r="J2470" s="46">
        <v>377278</v>
      </c>
      <c r="K2470" s="46">
        <v>0</v>
      </c>
      <c r="L2470" s="46">
        <v>0</v>
      </c>
      <c r="M2470" s="46">
        <f t="shared" si="679"/>
        <v>377278</v>
      </c>
      <c r="N2470" s="46">
        <v>377278</v>
      </c>
      <c r="O2470" s="48">
        <f t="shared" si="680"/>
        <v>0</v>
      </c>
      <c r="P2470" s="46">
        <v>0</v>
      </c>
      <c r="Q2470" s="46">
        <v>377278</v>
      </c>
      <c r="R2470" s="49">
        <f t="shared" si="681"/>
        <v>1</v>
      </c>
      <c r="S2470" s="50">
        <f t="shared" si="682"/>
        <v>0.01</v>
      </c>
      <c r="T2470" s="49">
        <f t="shared" si="683"/>
        <v>3772.78</v>
      </c>
      <c r="U2470" s="51">
        <f t="shared" si="684"/>
        <v>0</v>
      </c>
      <c r="V2470" s="52">
        <f>IF(0&lt;0.8,0,IF(0&lt;1,Sheet3!L561,1))*IF(G2470&lt;3,0.12 - O2470,0.01) *U2470</f>
        <v>0</v>
      </c>
      <c r="W2470" s="52">
        <f t="shared" si="685"/>
        <v>0</v>
      </c>
      <c r="X2470" s="53">
        <f t="shared" si="686"/>
        <v>0</v>
      </c>
      <c r="Y2470" s="53">
        <f t="shared" si="687"/>
        <v>0</v>
      </c>
      <c r="Z2470" s="54">
        <f t="shared" si="691"/>
        <v>0</v>
      </c>
      <c r="AA2470" s="54">
        <f t="shared" si="688"/>
        <v>0</v>
      </c>
      <c r="AB2470" s="55">
        <f t="shared" si="693"/>
        <v>0</v>
      </c>
      <c r="AC2470" s="55">
        <f t="shared" si="689"/>
        <v>0</v>
      </c>
      <c r="AD2470" s="56">
        <f t="shared" si="690"/>
        <v>3772.78</v>
      </c>
    </row>
    <row r="2471" spans="3:30">
      <c r="C2471" s="43" t="s">
        <v>4606</v>
      </c>
      <c r="D2471" s="44" t="s">
        <v>4607</v>
      </c>
      <c r="E2471" s="44"/>
      <c r="F2471" s="45">
        <v>42811.206585648149</v>
      </c>
      <c r="G2471" s="46">
        <v>18</v>
      </c>
      <c r="H2471" s="47">
        <v>43376</v>
      </c>
      <c r="I2471" s="47">
        <v>43395</v>
      </c>
      <c r="J2471" s="46">
        <v>546920</v>
      </c>
      <c r="K2471" s="46">
        <v>0</v>
      </c>
      <c r="L2471" s="46">
        <v>0</v>
      </c>
      <c r="M2471" s="46">
        <f t="shared" si="679"/>
        <v>546920</v>
      </c>
      <c r="N2471" s="46">
        <v>546920</v>
      </c>
      <c r="O2471" s="48">
        <f t="shared" si="680"/>
        <v>0</v>
      </c>
      <c r="P2471" s="46">
        <v>0</v>
      </c>
      <c r="Q2471" s="46">
        <v>546920</v>
      </c>
      <c r="R2471" s="49">
        <f t="shared" si="681"/>
        <v>1</v>
      </c>
      <c r="S2471" s="50">
        <f t="shared" si="682"/>
        <v>0.01</v>
      </c>
      <c r="T2471" s="49">
        <f t="shared" si="683"/>
        <v>5469.2</v>
      </c>
      <c r="U2471" s="51">
        <f t="shared" si="684"/>
        <v>0</v>
      </c>
      <c r="V2471" s="52">
        <f>IF(0&lt;0.8,0,IF(0&lt;1,Sheet3!L561,1))*IF(G2471&lt;3,0.12 - O2471,0.01) *U2471</f>
        <v>0</v>
      </c>
      <c r="W2471" s="52">
        <f t="shared" si="685"/>
        <v>0</v>
      </c>
      <c r="X2471" s="53">
        <f t="shared" si="686"/>
        <v>0</v>
      </c>
      <c r="Y2471" s="53">
        <f t="shared" si="687"/>
        <v>0</v>
      </c>
      <c r="Z2471" s="54">
        <f t="shared" si="691"/>
        <v>0</v>
      </c>
      <c r="AA2471" s="54">
        <f t="shared" si="688"/>
        <v>0</v>
      </c>
      <c r="AB2471" s="55">
        <f t="shared" si="693"/>
        <v>0</v>
      </c>
      <c r="AC2471" s="55">
        <f t="shared" si="689"/>
        <v>0</v>
      </c>
      <c r="AD2471" s="56">
        <f t="shared" si="690"/>
        <v>5469.2</v>
      </c>
    </row>
    <row r="2472" spans="3:30">
      <c r="C2472" s="43" t="s">
        <v>4608</v>
      </c>
      <c r="D2472" s="44" t="s">
        <v>4609</v>
      </c>
      <c r="E2472" s="44"/>
      <c r="F2472" s="45">
        <v>42814.328344907408</v>
      </c>
      <c r="G2472" s="46">
        <v>18</v>
      </c>
      <c r="H2472" s="47">
        <v>43386</v>
      </c>
      <c r="I2472" s="47">
        <v>43433</v>
      </c>
      <c r="J2472" s="46">
        <v>2482188</v>
      </c>
      <c r="K2472" s="46">
        <v>0</v>
      </c>
      <c r="L2472" s="46">
        <v>0</v>
      </c>
      <c r="M2472" s="46">
        <f t="shared" si="679"/>
        <v>2482188</v>
      </c>
      <c r="N2472" s="46">
        <v>2468797</v>
      </c>
      <c r="O2472" s="48">
        <f t="shared" si="680"/>
        <v>0</v>
      </c>
      <c r="P2472" s="46">
        <v>0</v>
      </c>
      <c r="Q2472" s="46">
        <v>2482188</v>
      </c>
      <c r="R2472" s="49">
        <f t="shared" si="681"/>
        <v>1</v>
      </c>
      <c r="S2472" s="50">
        <f t="shared" si="682"/>
        <v>0.01</v>
      </c>
      <c r="T2472" s="49">
        <f t="shared" si="683"/>
        <v>24821.88</v>
      </c>
      <c r="U2472" s="51">
        <f t="shared" si="684"/>
        <v>0</v>
      </c>
      <c r="V2472" s="52">
        <f>IF(0&lt;0.8,0,IF(0&lt;1,Sheet3!L561,1))*IF(G2472&lt;3,0.12 - O2472,0.01) *U2472</f>
        <v>0</v>
      </c>
      <c r="W2472" s="52">
        <f t="shared" si="685"/>
        <v>0</v>
      </c>
      <c r="X2472" s="53">
        <f t="shared" si="686"/>
        <v>0</v>
      </c>
      <c r="Y2472" s="53">
        <f t="shared" si="687"/>
        <v>0</v>
      </c>
      <c r="Z2472" s="54">
        <f t="shared" si="691"/>
        <v>0</v>
      </c>
      <c r="AA2472" s="54">
        <f t="shared" si="688"/>
        <v>0</v>
      </c>
      <c r="AB2472" s="55">
        <f t="shared" si="693"/>
        <v>0</v>
      </c>
      <c r="AC2472" s="55">
        <f t="shared" si="689"/>
        <v>0</v>
      </c>
      <c r="AD2472" s="56">
        <f t="shared" si="690"/>
        <v>24821.88</v>
      </c>
    </row>
    <row r="2473" spans="3:30">
      <c r="C2473" s="43" t="s">
        <v>4610</v>
      </c>
      <c r="D2473" s="44" t="s">
        <v>4611</v>
      </c>
      <c r="E2473" s="44"/>
      <c r="F2473" s="45">
        <v>42817.1405787037</v>
      </c>
      <c r="G2473" s="46">
        <v>18</v>
      </c>
      <c r="H2473" s="47">
        <v>43396</v>
      </c>
      <c r="I2473" s="47">
        <v>43418</v>
      </c>
      <c r="J2473" s="46">
        <v>2000094</v>
      </c>
      <c r="K2473" s="46">
        <v>0</v>
      </c>
      <c r="L2473" s="46">
        <v>0</v>
      </c>
      <c r="M2473" s="46">
        <f t="shared" si="679"/>
        <v>2000094</v>
      </c>
      <c r="N2473" s="46">
        <v>2000094</v>
      </c>
      <c r="O2473" s="48">
        <f t="shared" si="680"/>
        <v>0</v>
      </c>
      <c r="P2473" s="46">
        <v>0</v>
      </c>
      <c r="Q2473" s="46">
        <v>2000094</v>
      </c>
      <c r="R2473" s="49">
        <f t="shared" si="681"/>
        <v>1</v>
      </c>
      <c r="S2473" s="50">
        <f t="shared" si="682"/>
        <v>0.01</v>
      </c>
      <c r="T2473" s="49">
        <f t="shared" si="683"/>
        <v>20000.939999999999</v>
      </c>
      <c r="U2473" s="51">
        <f t="shared" si="684"/>
        <v>0</v>
      </c>
      <c r="V2473" s="52">
        <f>IF(0&lt;0.8,0,IF(0&lt;1,Sheet3!L561,1))*IF(G2473&lt;3,0.12 - O2473,0.01) *U2473</f>
        <v>0</v>
      </c>
      <c r="W2473" s="52">
        <f t="shared" si="685"/>
        <v>0</v>
      </c>
      <c r="X2473" s="53">
        <f t="shared" si="686"/>
        <v>0</v>
      </c>
      <c r="Y2473" s="53">
        <f t="shared" si="687"/>
        <v>0</v>
      </c>
      <c r="Z2473" s="54">
        <f t="shared" si="691"/>
        <v>0</v>
      </c>
      <c r="AA2473" s="54">
        <f t="shared" si="688"/>
        <v>0</v>
      </c>
      <c r="AB2473" s="55">
        <f t="shared" si="693"/>
        <v>0</v>
      </c>
      <c r="AC2473" s="55">
        <f t="shared" si="689"/>
        <v>0</v>
      </c>
      <c r="AD2473" s="56">
        <f t="shared" si="690"/>
        <v>20000.939999999999</v>
      </c>
    </row>
    <row r="2474" spans="3:30">
      <c r="C2474" s="43" t="s">
        <v>4612</v>
      </c>
      <c r="D2474" s="44" t="s">
        <v>4613</v>
      </c>
      <c r="E2474" s="44"/>
      <c r="F2474" s="45">
        <v>42830.289317129631</v>
      </c>
      <c r="G2474" s="46">
        <v>17</v>
      </c>
      <c r="H2474" s="47">
        <v>43390</v>
      </c>
      <c r="I2474" s="47">
        <v>43411</v>
      </c>
      <c r="J2474" s="46">
        <v>3526061</v>
      </c>
      <c r="K2474" s="46">
        <v>0</v>
      </c>
      <c r="L2474" s="46">
        <v>0</v>
      </c>
      <c r="M2474" s="46">
        <f t="shared" si="679"/>
        <v>3526061</v>
      </c>
      <c r="N2474" s="46">
        <v>3526061</v>
      </c>
      <c r="O2474" s="48">
        <f t="shared" si="680"/>
        <v>0</v>
      </c>
      <c r="P2474" s="46">
        <v>0</v>
      </c>
      <c r="Q2474" s="46">
        <v>3526061</v>
      </c>
      <c r="R2474" s="49">
        <f t="shared" si="681"/>
        <v>1</v>
      </c>
      <c r="S2474" s="50">
        <f t="shared" si="682"/>
        <v>0.01</v>
      </c>
      <c r="T2474" s="49">
        <f t="shared" si="683"/>
        <v>35260.61</v>
      </c>
      <c r="U2474" s="51">
        <f t="shared" si="684"/>
        <v>0</v>
      </c>
      <c r="V2474" s="52">
        <f>IF(0&lt;0.8,0,IF(0&lt;1,Sheet3!L561,1))*IF(G2474&lt;3,0.12 - O2474,0.01) *U2474</f>
        <v>0</v>
      </c>
      <c r="W2474" s="52">
        <f t="shared" si="685"/>
        <v>0</v>
      </c>
      <c r="X2474" s="53">
        <f t="shared" si="686"/>
        <v>0</v>
      </c>
      <c r="Y2474" s="53">
        <f t="shared" si="687"/>
        <v>0</v>
      </c>
      <c r="Z2474" s="54">
        <f t="shared" si="691"/>
        <v>0</v>
      </c>
      <c r="AA2474" s="54">
        <f t="shared" si="688"/>
        <v>0</v>
      </c>
      <c r="AB2474" s="55">
        <f t="shared" si="693"/>
        <v>0</v>
      </c>
      <c r="AC2474" s="55">
        <f t="shared" si="689"/>
        <v>0</v>
      </c>
      <c r="AD2474" s="56">
        <f t="shared" si="690"/>
        <v>35260.61</v>
      </c>
    </row>
    <row r="2475" spans="3:30">
      <c r="C2475" s="43" t="s">
        <v>4614</v>
      </c>
      <c r="D2475" s="44" t="s">
        <v>4615</v>
      </c>
      <c r="E2475" s="44"/>
      <c r="F2475" s="45">
        <v>42923.063993055555</v>
      </c>
      <c r="G2475" s="46">
        <v>14</v>
      </c>
      <c r="H2475" s="47">
        <v>43395</v>
      </c>
      <c r="I2475" s="47">
        <v>43479</v>
      </c>
      <c r="J2475" s="46">
        <v>1934064</v>
      </c>
      <c r="K2475" s="46">
        <v>0</v>
      </c>
      <c r="L2475" s="46">
        <v>0</v>
      </c>
      <c r="M2475" s="46">
        <f t="shared" si="679"/>
        <v>1934064</v>
      </c>
      <c r="N2475" s="46">
        <v>1934064</v>
      </c>
      <c r="O2475" s="48">
        <f t="shared" si="680"/>
        <v>0</v>
      </c>
      <c r="P2475" s="46">
        <v>0</v>
      </c>
      <c r="Q2475" s="46">
        <v>1934064</v>
      </c>
      <c r="R2475" s="49">
        <f t="shared" si="681"/>
        <v>1</v>
      </c>
      <c r="S2475" s="50">
        <f t="shared" si="682"/>
        <v>0.01</v>
      </c>
      <c r="T2475" s="49">
        <f t="shared" si="683"/>
        <v>19340.64</v>
      </c>
      <c r="U2475" s="51">
        <f t="shared" si="684"/>
        <v>0</v>
      </c>
      <c r="V2475" s="52">
        <f>IF(0&lt;0.8,0,IF(0&lt;1,Sheet3!L561,1))*IF(G2475&lt;3,0.12 - O2475,0.01) *U2475</f>
        <v>0</v>
      </c>
      <c r="W2475" s="52">
        <f t="shared" si="685"/>
        <v>0</v>
      </c>
      <c r="X2475" s="53">
        <f t="shared" si="686"/>
        <v>0</v>
      </c>
      <c r="Y2475" s="53">
        <f t="shared" si="687"/>
        <v>0</v>
      </c>
      <c r="Z2475" s="54">
        <f t="shared" si="691"/>
        <v>0</v>
      </c>
      <c r="AA2475" s="54">
        <f t="shared" si="688"/>
        <v>0</v>
      </c>
      <c r="AB2475" s="55">
        <f t="shared" si="693"/>
        <v>0</v>
      </c>
      <c r="AC2475" s="55">
        <f t="shared" si="689"/>
        <v>0</v>
      </c>
      <c r="AD2475" s="56">
        <f t="shared" si="690"/>
        <v>19340.64</v>
      </c>
    </row>
    <row r="2476" spans="3:30">
      <c r="C2476" s="43" t="s">
        <v>4616</v>
      </c>
      <c r="D2476" s="44" t="s">
        <v>4617</v>
      </c>
      <c r="E2476" s="44"/>
      <c r="F2476" s="45">
        <v>42923.101423611108</v>
      </c>
      <c r="G2476" s="46">
        <v>14</v>
      </c>
      <c r="H2476" s="47">
        <v>43395</v>
      </c>
      <c r="I2476" s="47">
        <v>43398</v>
      </c>
      <c r="J2476" s="46">
        <v>8164597</v>
      </c>
      <c r="K2476" s="46">
        <v>0</v>
      </c>
      <c r="L2476" s="46">
        <v>0</v>
      </c>
      <c r="M2476" s="46">
        <f t="shared" si="679"/>
        <v>8164597</v>
      </c>
      <c r="N2476" s="46">
        <v>8164597</v>
      </c>
      <c r="O2476" s="48">
        <f t="shared" si="680"/>
        <v>0</v>
      </c>
      <c r="P2476" s="46">
        <v>0</v>
      </c>
      <c r="Q2476" s="46">
        <v>8164597</v>
      </c>
      <c r="R2476" s="49">
        <f t="shared" si="681"/>
        <v>1</v>
      </c>
      <c r="S2476" s="50">
        <f t="shared" si="682"/>
        <v>0.01</v>
      </c>
      <c r="T2476" s="49">
        <f t="shared" si="683"/>
        <v>81645.97</v>
      </c>
      <c r="U2476" s="51">
        <f t="shared" si="684"/>
        <v>0</v>
      </c>
      <c r="V2476" s="52">
        <f>IF(0&lt;0.8,0,IF(0&lt;1,Sheet3!L561,1))*IF(G2476&lt;3,0.12 - O2476,0.01) *U2476</f>
        <v>0</v>
      </c>
      <c r="W2476" s="52">
        <f t="shared" si="685"/>
        <v>0</v>
      </c>
      <c r="X2476" s="53">
        <f t="shared" si="686"/>
        <v>0</v>
      </c>
      <c r="Y2476" s="53">
        <f t="shared" si="687"/>
        <v>0</v>
      </c>
      <c r="Z2476" s="54">
        <f t="shared" si="691"/>
        <v>0</v>
      </c>
      <c r="AA2476" s="54">
        <f t="shared" si="688"/>
        <v>0</v>
      </c>
      <c r="AB2476" s="55">
        <f t="shared" si="693"/>
        <v>0</v>
      </c>
      <c r="AC2476" s="55">
        <f t="shared" si="689"/>
        <v>0</v>
      </c>
      <c r="AD2476" s="56">
        <f t="shared" si="690"/>
        <v>81645.97</v>
      </c>
    </row>
    <row r="2477" spans="3:30">
      <c r="C2477" s="43" t="s">
        <v>4618</v>
      </c>
      <c r="D2477" s="44" t="s">
        <v>4619</v>
      </c>
      <c r="E2477" s="44"/>
      <c r="F2477" s="45">
        <v>43106.133923611109</v>
      </c>
      <c r="G2477" s="46">
        <v>8</v>
      </c>
      <c r="H2477" s="47">
        <v>43382</v>
      </c>
      <c r="I2477" s="47">
        <v>43427</v>
      </c>
      <c r="J2477" s="46">
        <v>934339</v>
      </c>
      <c r="K2477" s="46">
        <v>0</v>
      </c>
      <c r="L2477" s="46">
        <v>0</v>
      </c>
      <c r="M2477" s="46">
        <f t="shared" si="679"/>
        <v>934339</v>
      </c>
      <c r="N2477" s="46">
        <v>934339</v>
      </c>
      <c r="O2477" s="48">
        <f t="shared" si="680"/>
        <v>0</v>
      </c>
      <c r="P2477" s="46">
        <v>0</v>
      </c>
      <c r="Q2477" s="46">
        <v>934339</v>
      </c>
      <c r="R2477" s="49">
        <f t="shared" si="681"/>
        <v>1</v>
      </c>
      <c r="S2477" s="50">
        <f t="shared" si="682"/>
        <v>0.01</v>
      </c>
      <c r="T2477" s="49">
        <f t="shared" si="683"/>
        <v>9343.39</v>
      </c>
      <c r="U2477" s="51">
        <f t="shared" si="684"/>
        <v>0</v>
      </c>
      <c r="V2477" s="52">
        <f>IF(0&lt;0.8,0,IF(0&lt;1,Sheet3!L561,1))*IF(G2477&lt;3,0.12 - O2477,0.01) *U2477</f>
        <v>0</v>
      </c>
      <c r="W2477" s="52">
        <f t="shared" si="685"/>
        <v>0</v>
      </c>
      <c r="X2477" s="53">
        <f t="shared" si="686"/>
        <v>0</v>
      </c>
      <c r="Y2477" s="53">
        <f t="shared" si="687"/>
        <v>0</v>
      </c>
      <c r="Z2477" s="54">
        <f t="shared" si="691"/>
        <v>0</v>
      </c>
      <c r="AA2477" s="54">
        <f t="shared" si="688"/>
        <v>0</v>
      </c>
      <c r="AB2477" s="55">
        <f t="shared" si="693"/>
        <v>0</v>
      </c>
      <c r="AC2477" s="55">
        <f t="shared" si="689"/>
        <v>0</v>
      </c>
      <c r="AD2477" s="56">
        <f t="shared" si="690"/>
        <v>9343.39</v>
      </c>
    </row>
    <row r="2478" spans="3:30">
      <c r="C2478" s="43" t="s">
        <v>4620</v>
      </c>
      <c r="D2478" s="44" t="s">
        <v>4621</v>
      </c>
      <c r="E2478" s="44"/>
      <c r="F2478" s="45">
        <v>43180.133252314816</v>
      </c>
      <c r="G2478" s="46">
        <v>6</v>
      </c>
      <c r="H2478" s="47">
        <v>43376</v>
      </c>
      <c r="I2478" s="47">
        <v>43398</v>
      </c>
      <c r="J2478" s="46">
        <v>1813040</v>
      </c>
      <c r="K2478" s="46">
        <v>0</v>
      </c>
      <c r="L2478" s="46">
        <v>0</v>
      </c>
      <c r="M2478" s="46">
        <f t="shared" si="679"/>
        <v>1813040</v>
      </c>
      <c r="N2478" s="46">
        <v>1919732</v>
      </c>
      <c r="O2478" s="48">
        <f t="shared" si="680"/>
        <v>5.5576507554179422E-2</v>
      </c>
      <c r="P2478" s="46">
        <v>0</v>
      </c>
      <c r="Q2478" s="46">
        <v>1813040</v>
      </c>
      <c r="R2478" s="49">
        <f t="shared" si="681"/>
        <v>1</v>
      </c>
      <c r="S2478" s="50">
        <f t="shared" si="682"/>
        <v>0.01</v>
      </c>
      <c r="T2478" s="49">
        <f t="shared" si="683"/>
        <v>18130.400000000001</v>
      </c>
      <c r="U2478" s="51">
        <f t="shared" si="684"/>
        <v>0</v>
      </c>
      <c r="V2478" s="52">
        <f>IF(0&lt;0.8,0,IF(0&lt;1,Sheet3!L561,1))*IF(G2478&lt;3,0.12 - O2478,0.01) *U2478</f>
        <v>0</v>
      </c>
      <c r="W2478" s="52">
        <f t="shared" si="685"/>
        <v>0</v>
      </c>
      <c r="X2478" s="53">
        <f t="shared" si="686"/>
        <v>0</v>
      </c>
      <c r="Y2478" s="53">
        <f t="shared" si="687"/>
        <v>0</v>
      </c>
      <c r="Z2478" s="54">
        <f t="shared" si="691"/>
        <v>0</v>
      </c>
      <c r="AA2478" s="54">
        <f t="shared" si="688"/>
        <v>0</v>
      </c>
      <c r="AB2478" s="55">
        <f t="shared" si="693"/>
        <v>0</v>
      </c>
      <c r="AC2478" s="55">
        <f t="shared" si="689"/>
        <v>0</v>
      </c>
      <c r="AD2478" s="56">
        <f t="shared" si="690"/>
        <v>18130.400000000001</v>
      </c>
    </row>
    <row r="2479" spans="3:30">
      <c r="C2479" s="43" t="s">
        <v>4622</v>
      </c>
      <c r="D2479" s="44" t="s">
        <v>4623</v>
      </c>
      <c r="E2479" s="44"/>
      <c r="F2479" s="45">
        <v>43181.094097222223</v>
      </c>
      <c r="G2479" s="46">
        <v>6</v>
      </c>
      <c r="H2479" s="47">
        <v>43376</v>
      </c>
      <c r="I2479" s="47">
        <v>43388</v>
      </c>
      <c r="J2479" s="46">
        <v>3294165</v>
      </c>
      <c r="K2479" s="46">
        <v>0</v>
      </c>
      <c r="L2479" s="46">
        <v>0</v>
      </c>
      <c r="M2479" s="46">
        <f t="shared" si="679"/>
        <v>3294165</v>
      </c>
      <c r="N2479" s="46">
        <v>3294165</v>
      </c>
      <c r="O2479" s="48">
        <f t="shared" si="680"/>
        <v>0</v>
      </c>
      <c r="P2479" s="46">
        <v>0</v>
      </c>
      <c r="Q2479" s="46">
        <v>3294165</v>
      </c>
      <c r="R2479" s="49">
        <f t="shared" si="681"/>
        <v>1</v>
      </c>
      <c r="S2479" s="50">
        <f t="shared" si="682"/>
        <v>0.01</v>
      </c>
      <c r="T2479" s="49">
        <f t="shared" si="683"/>
        <v>32941.65</v>
      </c>
      <c r="U2479" s="51">
        <f t="shared" si="684"/>
        <v>0</v>
      </c>
      <c r="V2479" s="52">
        <f>IF(0&lt;0.8,0,IF(0&lt;1,Sheet3!L561,1))*IF(G2479&lt;3,0.12 - O2479,0.01) *U2479</f>
        <v>0</v>
      </c>
      <c r="W2479" s="52">
        <f t="shared" si="685"/>
        <v>0</v>
      </c>
      <c r="X2479" s="53">
        <f t="shared" si="686"/>
        <v>0</v>
      </c>
      <c r="Y2479" s="53">
        <f t="shared" si="687"/>
        <v>0</v>
      </c>
      <c r="Z2479" s="54">
        <f t="shared" si="691"/>
        <v>0</v>
      </c>
      <c r="AA2479" s="54">
        <f t="shared" si="688"/>
        <v>0</v>
      </c>
      <c r="AB2479" s="55">
        <f t="shared" si="693"/>
        <v>0</v>
      </c>
      <c r="AC2479" s="55">
        <f t="shared" si="689"/>
        <v>0</v>
      </c>
      <c r="AD2479" s="56">
        <f t="shared" si="690"/>
        <v>32941.65</v>
      </c>
    </row>
    <row r="2480" spans="3:30">
      <c r="C2480" s="43" t="s">
        <v>4624</v>
      </c>
      <c r="D2480" s="44" t="s">
        <v>4625</v>
      </c>
      <c r="E2480" s="44"/>
      <c r="F2480" s="45">
        <v>43204.148333333331</v>
      </c>
      <c r="G2480" s="46">
        <v>5</v>
      </c>
      <c r="H2480" s="47">
        <v>43433</v>
      </c>
      <c r="I2480" s="47">
        <v>43472</v>
      </c>
      <c r="J2480" s="46">
        <v>225631293</v>
      </c>
      <c r="K2480" s="46">
        <v>0</v>
      </c>
      <c r="L2480" s="46">
        <v>0</v>
      </c>
      <c r="M2480" s="46">
        <f t="shared" si="679"/>
        <v>225631293</v>
      </c>
      <c r="N2480" s="46">
        <v>446943241</v>
      </c>
      <c r="O2480" s="48">
        <f t="shared" si="680"/>
        <v>0.49516790432904212</v>
      </c>
      <c r="P2480" s="46">
        <v>0</v>
      </c>
      <c r="Q2480" s="46">
        <v>226100493</v>
      </c>
      <c r="R2480" s="49">
        <f t="shared" si="681"/>
        <v>1</v>
      </c>
      <c r="S2480" s="50">
        <f t="shared" si="682"/>
        <v>0.01</v>
      </c>
      <c r="T2480" s="49">
        <f t="shared" si="683"/>
        <v>2256312.9300000002</v>
      </c>
      <c r="U2480" s="51">
        <f t="shared" si="684"/>
        <v>0</v>
      </c>
      <c r="V2480" s="52">
        <f>IF(0&lt;0.8,0,IF(0&lt;1,Sheet3!L561,1))*IF(G2480&lt;3,0.12 - O2480,0.01) *U2480</f>
        <v>0</v>
      </c>
      <c r="W2480" s="52">
        <f t="shared" si="685"/>
        <v>0</v>
      </c>
      <c r="X2480" s="53">
        <f t="shared" si="686"/>
        <v>0</v>
      </c>
      <c r="Y2480" s="53">
        <f t="shared" si="687"/>
        <v>0</v>
      </c>
      <c r="Z2480" s="54">
        <f t="shared" si="691"/>
        <v>0</v>
      </c>
      <c r="AA2480" s="54">
        <f t="shared" si="688"/>
        <v>0</v>
      </c>
      <c r="AB2480" s="55">
        <f t="shared" si="693"/>
        <v>0</v>
      </c>
      <c r="AC2480" s="55">
        <f t="shared" si="689"/>
        <v>0</v>
      </c>
      <c r="AD2480" s="56">
        <f t="shared" si="690"/>
        <v>2256312.9300000002</v>
      </c>
    </row>
    <row r="2481" spans="3:30">
      <c r="C2481" s="43" t="s">
        <v>4626</v>
      </c>
      <c r="D2481" s="44" t="s">
        <v>4627</v>
      </c>
      <c r="E2481" s="44"/>
      <c r="F2481" s="45">
        <v>43222.333958333329</v>
      </c>
      <c r="G2481" s="46">
        <v>4</v>
      </c>
      <c r="H2481" s="47">
        <v>43390</v>
      </c>
      <c r="I2481" s="47">
        <v>43395</v>
      </c>
      <c r="J2481" s="46">
        <v>153670</v>
      </c>
      <c r="K2481" s="46">
        <v>0</v>
      </c>
      <c r="L2481" s="46">
        <v>0</v>
      </c>
      <c r="M2481" s="46">
        <f t="shared" si="679"/>
        <v>153670</v>
      </c>
      <c r="N2481" s="46">
        <v>153670</v>
      </c>
      <c r="O2481" s="48">
        <f t="shared" si="680"/>
        <v>0</v>
      </c>
      <c r="P2481" s="46">
        <v>0</v>
      </c>
      <c r="Q2481" s="46">
        <v>153670</v>
      </c>
      <c r="R2481" s="49">
        <f t="shared" si="681"/>
        <v>1</v>
      </c>
      <c r="S2481" s="50">
        <f t="shared" si="682"/>
        <v>0.01</v>
      </c>
      <c r="T2481" s="49">
        <f t="shared" si="683"/>
        <v>1536.7</v>
      </c>
      <c r="U2481" s="51">
        <f t="shared" si="684"/>
        <v>0</v>
      </c>
      <c r="V2481" s="52">
        <f>IF(0&lt;0.8,0,IF(0&lt;1,Sheet3!L561,1))*IF(G2481&lt;3,0.12 - O2481,0.01) *U2481</f>
        <v>0</v>
      </c>
      <c r="W2481" s="52">
        <f t="shared" si="685"/>
        <v>0</v>
      </c>
      <c r="X2481" s="53">
        <f t="shared" si="686"/>
        <v>0</v>
      </c>
      <c r="Y2481" s="53">
        <f t="shared" si="687"/>
        <v>0</v>
      </c>
      <c r="Z2481" s="54">
        <f t="shared" si="691"/>
        <v>0</v>
      </c>
      <c r="AA2481" s="54">
        <f t="shared" si="688"/>
        <v>0</v>
      </c>
      <c r="AB2481" s="55">
        <f t="shared" si="693"/>
        <v>0</v>
      </c>
      <c r="AC2481" s="55">
        <f t="shared" si="689"/>
        <v>0</v>
      </c>
      <c r="AD2481" s="56">
        <f t="shared" si="690"/>
        <v>1536.7</v>
      </c>
    </row>
    <row r="2482" spans="3:30">
      <c r="C2482" s="43" t="s">
        <v>4628</v>
      </c>
      <c r="D2482" s="44" t="s">
        <v>4629</v>
      </c>
      <c r="E2482" s="44"/>
      <c r="F2482" s="45">
        <v>43285.155034722222</v>
      </c>
      <c r="G2482" s="46">
        <v>2</v>
      </c>
      <c r="H2482" s="47">
        <v>43385</v>
      </c>
      <c r="I2482" s="47">
        <v>43395</v>
      </c>
      <c r="J2482" s="46">
        <v>334892</v>
      </c>
      <c r="K2482" s="46">
        <v>0</v>
      </c>
      <c r="L2482" s="46">
        <v>0</v>
      </c>
      <c r="M2482" s="46">
        <f t="shared" si="679"/>
        <v>334892</v>
      </c>
      <c r="N2482" s="46">
        <v>334202</v>
      </c>
      <c r="O2482" s="48">
        <f t="shared" si="680"/>
        <v>0</v>
      </c>
      <c r="P2482" s="46">
        <v>334892</v>
      </c>
      <c r="Q2482" s="46">
        <v>0</v>
      </c>
      <c r="R2482" s="49">
        <f t="shared" si="681"/>
        <v>0</v>
      </c>
      <c r="S2482" s="50">
        <f t="shared" si="682"/>
        <v>0</v>
      </c>
      <c r="T2482" s="49">
        <f t="shared" si="683"/>
        <v>0</v>
      </c>
      <c r="U2482" s="51">
        <f t="shared" si="684"/>
        <v>334892</v>
      </c>
      <c r="V2482" s="52">
        <f>IF(0&lt;0.8,0,IF(0&lt;1,Sheet3!L561,1))*IF(G2482&lt;3,0.12 - O2482,0.01) *U2482</f>
        <v>0</v>
      </c>
      <c r="W2482" s="52">
        <f t="shared" si="685"/>
        <v>0</v>
      </c>
      <c r="X2482" s="53">
        <f t="shared" si="686"/>
        <v>0</v>
      </c>
      <c r="Y2482" s="53">
        <f t="shared" si="687"/>
        <v>0</v>
      </c>
      <c r="Z2482" s="54">
        <f t="shared" si="691"/>
        <v>0</v>
      </c>
      <c r="AA2482" s="54">
        <f t="shared" si="688"/>
        <v>0</v>
      </c>
      <c r="AB2482" s="55">
        <f t="shared" si="693"/>
        <v>0</v>
      </c>
      <c r="AC2482" s="55">
        <f t="shared" si="689"/>
        <v>0</v>
      </c>
      <c r="AD2482" s="56">
        <f t="shared" si="690"/>
        <v>0</v>
      </c>
    </row>
    <row r="2483" spans="3:30">
      <c r="C2483" s="43" t="s">
        <v>4630</v>
      </c>
      <c r="D2483" s="44" t="s">
        <v>4631</v>
      </c>
      <c r="E2483" s="44"/>
      <c r="F2483" s="45">
        <v>43308.292766203704</v>
      </c>
      <c r="G2483" s="46">
        <v>2</v>
      </c>
      <c r="H2483" s="47">
        <v>43395</v>
      </c>
      <c r="I2483" s="47">
        <v>43416</v>
      </c>
      <c r="J2483" s="46">
        <v>416680</v>
      </c>
      <c r="K2483" s="46">
        <v>0</v>
      </c>
      <c r="L2483" s="46">
        <v>0</v>
      </c>
      <c r="M2483" s="46">
        <f t="shared" ref="M2483:M2546" si="694">IFERROR(J2483-K2483-L2483,0)</f>
        <v>416680</v>
      </c>
      <c r="N2483" s="46">
        <v>490006</v>
      </c>
      <c r="O2483" s="48">
        <f t="shared" ref="O2483:O2546" si="695">IFERROR(IF(1 - M2483/N2483&lt;0,0,1-M2483/N2483),0)</f>
        <v>0.1496430655951152</v>
      </c>
      <c r="P2483" s="46">
        <v>416680</v>
      </c>
      <c r="Q2483" s="46">
        <v>0</v>
      </c>
      <c r="R2483" s="49">
        <f t="shared" ref="R2483:R2546" si="696">IF(F2483&lt;DATEVALUE("2018-07-01"),1,0)</f>
        <v>0</v>
      </c>
      <c r="S2483" s="50">
        <f t="shared" ref="S2483:S2546" si="697">IF(R2483=1,1%,0)</f>
        <v>0</v>
      </c>
      <c r="T2483" s="49">
        <f t="shared" ref="T2483:T2546" si="698">IFERROR(S2483*M2483,0)</f>
        <v>0</v>
      </c>
      <c r="U2483" s="51">
        <f t="shared" ref="U2483:U2546" si="699">IF(O2483&lt;=0.12,1,0)*(1-R2483)*M2483</f>
        <v>0</v>
      </c>
      <c r="V2483" s="52">
        <f>IF(0&lt;0.8,0,IF(0&lt;1,Sheet3!L561,1))*IF(G2483&lt;3,0.12 - O2483,0.01) *U2483</f>
        <v>0</v>
      </c>
      <c r="W2483" s="52">
        <f t="shared" ref="W2483:W2546" si="700">IF(0&gt;1,IF(0&lt;=1.1,1,IF(0&lt;=1.2,2,IF(0&lt;=1.5,3,5))),0) * 1000000</f>
        <v>0</v>
      </c>
      <c r="X2483" s="53">
        <f t="shared" ref="X2483:X2546" si="701">IF(AND(P2483&gt;=150000000,P2483&lt;300000000),5000000,IF(AND(P2483&gt;=300000000,P2483&lt;500000000),10000000,IF(AND(P2483&gt;=300000000,P2483&lt;500000000),15000000,IF(AND(P2483&gt;=500000000,P2483&lt;3000000000),20000000,IF(P2483&gt;=30000000000,35000000,0))))) * (1-R2483)</f>
        <v>0</v>
      </c>
      <c r="Y2483" s="53">
        <f t="shared" ref="Y2483:Y2546" si="702">IFERROR(Q2483 * (1-R2483),0)</f>
        <v>0</v>
      </c>
      <c r="Z2483" s="54">
        <f t="shared" si="691"/>
        <v>0</v>
      </c>
      <c r="AA2483" s="54">
        <f t="shared" ref="AA2483:AA2546" si="703">IFERROR((1-R2483) * Z2483 * 2%,0)</f>
        <v>0</v>
      </c>
      <c r="AB2483" s="55">
        <f t="shared" si="693"/>
        <v>0</v>
      </c>
      <c r="AC2483" s="55">
        <f t="shared" ref="AC2483:AC2546" si="704">IFERROR(AB2483 * (1-R2483) * 2%,0)</f>
        <v>0</v>
      </c>
      <c r="AD2483" s="56">
        <f t="shared" ref="AD2483:AD2546" si="705">T2483+V2483+W2483+X2483+AA2483+AC2483</f>
        <v>0</v>
      </c>
    </row>
    <row r="2484" spans="3:30">
      <c r="C2484" s="43" t="s">
        <v>4632</v>
      </c>
      <c r="D2484" s="44" t="s">
        <v>4633</v>
      </c>
      <c r="E2484" s="44"/>
      <c r="F2484" s="45">
        <v>43309.22824074074</v>
      </c>
      <c r="G2484" s="46">
        <v>2</v>
      </c>
      <c r="H2484" s="47">
        <v>43390</v>
      </c>
      <c r="I2484" s="47">
        <v>43402</v>
      </c>
      <c r="J2484" s="46">
        <v>1390840</v>
      </c>
      <c r="K2484" s="46">
        <v>0</v>
      </c>
      <c r="L2484" s="46">
        <v>0</v>
      </c>
      <c r="M2484" s="46">
        <f t="shared" si="694"/>
        <v>1390840</v>
      </c>
      <c r="N2484" s="46">
        <v>1389454</v>
      </c>
      <c r="O2484" s="48">
        <f t="shared" si="695"/>
        <v>0</v>
      </c>
      <c r="P2484" s="46">
        <v>1390840</v>
      </c>
      <c r="Q2484" s="46">
        <v>0</v>
      </c>
      <c r="R2484" s="49">
        <f t="shared" si="696"/>
        <v>0</v>
      </c>
      <c r="S2484" s="50">
        <f t="shared" si="697"/>
        <v>0</v>
      </c>
      <c r="T2484" s="49">
        <f t="shared" si="698"/>
        <v>0</v>
      </c>
      <c r="U2484" s="51">
        <f t="shared" si="699"/>
        <v>1390840</v>
      </c>
      <c r="V2484" s="52">
        <f>IF(0&lt;0.8,0,IF(0&lt;1,Sheet3!L561,1))*IF(G2484&lt;3,0.12 - O2484,0.01) *U2484</f>
        <v>0</v>
      </c>
      <c r="W2484" s="52">
        <f t="shared" si="700"/>
        <v>0</v>
      </c>
      <c r="X2484" s="53">
        <f t="shared" si="701"/>
        <v>0</v>
      </c>
      <c r="Y2484" s="53">
        <f t="shared" si="702"/>
        <v>0</v>
      </c>
      <c r="Z2484" s="54">
        <f t="shared" si="691"/>
        <v>0</v>
      </c>
      <c r="AA2484" s="54">
        <f t="shared" si="703"/>
        <v>0</v>
      </c>
      <c r="AB2484" s="55">
        <f t="shared" si="693"/>
        <v>0</v>
      </c>
      <c r="AC2484" s="55">
        <f t="shared" si="704"/>
        <v>0</v>
      </c>
      <c r="AD2484" s="56">
        <f t="shared" si="705"/>
        <v>0</v>
      </c>
    </row>
    <row r="2485" spans="3:30">
      <c r="C2485" s="43" t="s">
        <v>4634</v>
      </c>
      <c r="D2485" s="44" t="s">
        <v>4635</v>
      </c>
      <c r="E2485" s="44"/>
      <c r="F2485" s="45">
        <v>43314.227708333332</v>
      </c>
      <c r="G2485" s="46">
        <v>1</v>
      </c>
      <c r="H2485" s="47">
        <v>43385</v>
      </c>
      <c r="I2485" s="47">
        <v>43403</v>
      </c>
      <c r="J2485" s="46">
        <v>22000</v>
      </c>
      <c r="K2485" s="46">
        <v>0</v>
      </c>
      <c r="L2485" s="46">
        <v>0</v>
      </c>
      <c r="M2485" s="46">
        <f t="shared" si="694"/>
        <v>22000</v>
      </c>
      <c r="N2485" s="46">
        <v>26620</v>
      </c>
      <c r="O2485" s="48">
        <f t="shared" si="695"/>
        <v>0.17355371900826444</v>
      </c>
      <c r="P2485" s="46">
        <v>0</v>
      </c>
      <c r="Q2485" s="46">
        <v>0</v>
      </c>
      <c r="R2485" s="49">
        <f t="shared" si="696"/>
        <v>0</v>
      </c>
      <c r="S2485" s="50">
        <f t="shared" si="697"/>
        <v>0</v>
      </c>
      <c r="T2485" s="49">
        <f t="shared" si="698"/>
        <v>0</v>
      </c>
      <c r="U2485" s="51">
        <f t="shared" si="699"/>
        <v>0</v>
      </c>
      <c r="V2485" s="52">
        <f>IF(0&lt;0.8,0,IF(0&lt;1,Sheet3!L561,1))*IF(G2485&lt;3,0.12 - O2485,0.01) *U2485</f>
        <v>0</v>
      </c>
      <c r="W2485" s="52">
        <f t="shared" si="700"/>
        <v>0</v>
      </c>
      <c r="X2485" s="53">
        <f t="shared" si="701"/>
        <v>0</v>
      </c>
      <c r="Y2485" s="53">
        <f t="shared" si="702"/>
        <v>0</v>
      </c>
      <c r="Z2485" s="54">
        <f t="shared" si="691"/>
        <v>0</v>
      </c>
      <c r="AA2485" s="54">
        <f t="shared" si="703"/>
        <v>0</v>
      </c>
      <c r="AB2485" s="55">
        <f t="shared" si="693"/>
        <v>0</v>
      </c>
      <c r="AC2485" s="55">
        <f t="shared" si="704"/>
        <v>0</v>
      </c>
      <c r="AD2485" s="56">
        <f t="shared" si="705"/>
        <v>0</v>
      </c>
    </row>
    <row r="2486" spans="3:30">
      <c r="C2486" s="43" t="s">
        <v>4636</v>
      </c>
      <c r="D2486" s="44" t="s">
        <v>4637</v>
      </c>
      <c r="E2486" s="44"/>
      <c r="F2486" s="45">
        <v>43322.3433912037</v>
      </c>
      <c r="G2486" s="46">
        <v>1</v>
      </c>
      <c r="H2486" s="47">
        <v>43376</v>
      </c>
      <c r="I2486" s="47">
        <v>43400</v>
      </c>
      <c r="J2486" s="46">
        <v>284000</v>
      </c>
      <c r="K2486" s="46">
        <v>0</v>
      </c>
      <c r="L2486" s="46">
        <v>0</v>
      </c>
      <c r="M2486" s="46">
        <f t="shared" si="694"/>
        <v>284000</v>
      </c>
      <c r="N2486" s="46">
        <v>283503</v>
      </c>
      <c r="O2486" s="48">
        <f t="shared" si="695"/>
        <v>0</v>
      </c>
      <c r="P2486" s="46">
        <v>0</v>
      </c>
      <c r="Q2486" s="46">
        <v>0</v>
      </c>
      <c r="R2486" s="49">
        <f t="shared" si="696"/>
        <v>0</v>
      </c>
      <c r="S2486" s="50">
        <f t="shared" si="697"/>
        <v>0</v>
      </c>
      <c r="T2486" s="49">
        <f t="shared" si="698"/>
        <v>0</v>
      </c>
      <c r="U2486" s="51">
        <f t="shared" si="699"/>
        <v>284000</v>
      </c>
      <c r="V2486" s="52">
        <f>IF(0&lt;0.8,0,IF(0&lt;1,Sheet3!L561,1))*IF(G2486&lt;3,0.12 - O2486,0.01) *U2486</f>
        <v>0</v>
      </c>
      <c r="W2486" s="52">
        <f t="shared" si="700"/>
        <v>0</v>
      </c>
      <c r="X2486" s="53">
        <f t="shared" si="701"/>
        <v>0</v>
      </c>
      <c r="Y2486" s="53">
        <f t="shared" si="702"/>
        <v>0</v>
      </c>
      <c r="Z2486" s="54">
        <f t="shared" si="691"/>
        <v>0</v>
      </c>
      <c r="AA2486" s="54">
        <f t="shared" si="703"/>
        <v>0</v>
      </c>
      <c r="AB2486" s="55">
        <f t="shared" si="693"/>
        <v>0</v>
      </c>
      <c r="AC2486" s="55">
        <f t="shared" si="704"/>
        <v>0</v>
      </c>
      <c r="AD2486" s="56">
        <f t="shared" si="705"/>
        <v>0</v>
      </c>
    </row>
    <row r="2487" spans="3:30">
      <c r="C2487" s="43" t="s">
        <v>4638</v>
      </c>
      <c r="D2487" s="44" t="s">
        <v>4639</v>
      </c>
      <c r="E2487" s="44"/>
      <c r="F2487" s="45">
        <v>43339.203796296293</v>
      </c>
      <c r="G2487" s="46">
        <v>1</v>
      </c>
      <c r="H2487" s="47">
        <v>43388</v>
      </c>
      <c r="I2487" s="47">
        <v>43437</v>
      </c>
      <c r="J2487" s="46">
        <v>5114703</v>
      </c>
      <c r="K2487" s="46">
        <v>0</v>
      </c>
      <c r="L2487" s="46">
        <v>0</v>
      </c>
      <c r="M2487" s="46">
        <f t="shared" si="694"/>
        <v>5114703</v>
      </c>
      <c r="N2487" s="46">
        <v>4409350</v>
      </c>
      <c r="O2487" s="48">
        <f t="shared" si="695"/>
        <v>0</v>
      </c>
      <c r="P2487" s="46">
        <v>0</v>
      </c>
      <c r="Q2487" s="46">
        <v>0</v>
      </c>
      <c r="R2487" s="49">
        <f t="shared" si="696"/>
        <v>0</v>
      </c>
      <c r="S2487" s="50">
        <f t="shared" si="697"/>
        <v>0</v>
      </c>
      <c r="T2487" s="49">
        <f t="shared" si="698"/>
        <v>0</v>
      </c>
      <c r="U2487" s="51">
        <f t="shared" si="699"/>
        <v>5114703</v>
      </c>
      <c r="V2487" s="52">
        <f>IF(0&lt;0.8,0,IF(0&lt;1,Sheet3!L561,1))*IF(G2487&lt;3,0.12 - O2487,0.01) *U2487</f>
        <v>0</v>
      </c>
      <c r="W2487" s="52">
        <f t="shared" si="700"/>
        <v>0</v>
      </c>
      <c r="X2487" s="53">
        <f t="shared" si="701"/>
        <v>0</v>
      </c>
      <c r="Y2487" s="53">
        <f t="shared" si="702"/>
        <v>0</v>
      </c>
      <c r="Z2487" s="54">
        <f t="shared" si="691"/>
        <v>0</v>
      </c>
      <c r="AA2487" s="54">
        <f t="shared" si="703"/>
        <v>0</v>
      </c>
      <c r="AB2487" s="55">
        <f t="shared" si="693"/>
        <v>0</v>
      </c>
      <c r="AC2487" s="55">
        <f t="shared" si="704"/>
        <v>0</v>
      </c>
      <c r="AD2487" s="56">
        <f t="shared" si="705"/>
        <v>0</v>
      </c>
    </row>
    <row r="2488" spans="3:30">
      <c r="C2488" s="43" t="s">
        <v>4640</v>
      </c>
      <c r="D2488" s="44" t="s">
        <v>2834</v>
      </c>
      <c r="E2488" s="44"/>
      <c r="F2488" s="45">
        <v>43344.30327546296</v>
      </c>
      <c r="G2488" s="46">
        <v>0</v>
      </c>
      <c r="H2488" s="47">
        <v>43385</v>
      </c>
      <c r="I2488" s="47">
        <v>43427</v>
      </c>
      <c r="J2488" s="46">
        <v>1102750</v>
      </c>
      <c r="K2488" s="46">
        <v>0</v>
      </c>
      <c r="L2488" s="46">
        <v>0</v>
      </c>
      <c r="M2488" s="46">
        <f t="shared" si="694"/>
        <v>1102750</v>
      </c>
      <c r="N2488" s="46">
        <v>1100132</v>
      </c>
      <c r="O2488" s="48">
        <f t="shared" si="695"/>
        <v>0</v>
      </c>
      <c r="P2488" s="46">
        <v>0</v>
      </c>
      <c r="Q2488" s="46">
        <v>0</v>
      </c>
      <c r="R2488" s="49">
        <f t="shared" si="696"/>
        <v>0</v>
      </c>
      <c r="S2488" s="50">
        <f t="shared" si="697"/>
        <v>0</v>
      </c>
      <c r="T2488" s="49">
        <f t="shared" si="698"/>
        <v>0</v>
      </c>
      <c r="U2488" s="51">
        <f t="shared" si="699"/>
        <v>1102750</v>
      </c>
      <c r="V2488" s="52">
        <f>IF(0&lt;0.8,0,IF(0&lt;1,Sheet3!L561,1))*IF(G2488&lt;3,0.12 - O2488,0.01) *U2488</f>
        <v>0</v>
      </c>
      <c r="W2488" s="52">
        <f t="shared" si="700"/>
        <v>0</v>
      </c>
      <c r="X2488" s="53">
        <f t="shared" si="701"/>
        <v>0</v>
      </c>
      <c r="Y2488" s="53">
        <f t="shared" si="702"/>
        <v>0</v>
      </c>
      <c r="Z2488" s="54">
        <f t="shared" si="691"/>
        <v>0</v>
      </c>
      <c r="AA2488" s="54">
        <f t="shared" si="703"/>
        <v>0</v>
      </c>
      <c r="AB2488" s="55">
        <f t="shared" si="693"/>
        <v>0</v>
      </c>
      <c r="AC2488" s="55">
        <f t="shared" si="704"/>
        <v>0</v>
      </c>
      <c r="AD2488" s="56">
        <f t="shared" si="705"/>
        <v>0</v>
      </c>
    </row>
    <row r="2489" spans="3:30">
      <c r="C2489" s="43" t="s">
        <v>4641</v>
      </c>
      <c r="D2489" s="44" t="s">
        <v>4642</v>
      </c>
      <c r="E2489" s="44"/>
      <c r="F2489" s="45">
        <v>43349.13040509259</v>
      </c>
      <c r="G2489" s="46">
        <v>0</v>
      </c>
      <c r="H2489" s="47">
        <v>43483</v>
      </c>
      <c r="I2489" s="47">
        <v>43496</v>
      </c>
      <c r="J2489" s="46">
        <v>3046511</v>
      </c>
      <c r="K2489" s="46">
        <v>0</v>
      </c>
      <c r="L2489" s="46">
        <v>0</v>
      </c>
      <c r="M2489" s="46">
        <f t="shared" si="694"/>
        <v>3046511</v>
      </c>
      <c r="N2489" s="46">
        <v>3228865</v>
      </c>
      <c r="O2489" s="48">
        <f t="shared" si="695"/>
        <v>5.6476192098461886E-2</v>
      </c>
      <c r="P2489" s="46">
        <v>0</v>
      </c>
      <c r="Q2489" s="46">
        <v>0</v>
      </c>
      <c r="R2489" s="49">
        <f t="shared" si="696"/>
        <v>0</v>
      </c>
      <c r="S2489" s="50">
        <f t="shared" si="697"/>
        <v>0</v>
      </c>
      <c r="T2489" s="49">
        <f t="shared" si="698"/>
        <v>0</v>
      </c>
      <c r="U2489" s="51">
        <f t="shared" si="699"/>
        <v>3046511</v>
      </c>
      <c r="V2489" s="52">
        <f>IF(0&lt;0.8,0,IF(0&lt;1,Sheet3!L561,1))*IF(G2489&lt;3,0.12 - O2489,0.01) *U2489</f>
        <v>0</v>
      </c>
      <c r="W2489" s="52">
        <f t="shared" si="700"/>
        <v>0</v>
      </c>
      <c r="X2489" s="53">
        <f t="shared" si="701"/>
        <v>0</v>
      </c>
      <c r="Y2489" s="53">
        <f t="shared" si="702"/>
        <v>0</v>
      </c>
      <c r="Z2489" s="54">
        <f t="shared" si="691"/>
        <v>0</v>
      </c>
      <c r="AA2489" s="54">
        <f t="shared" si="703"/>
        <v>0</v>
      </c>
      <c r="AB2489" s="55">
        <f t="shared" si="693"/>
        <v>0</v>
      </c>
      <c r="AC2489" s="55">
        <f t="shared" si="704"/>
        <v>0</v>
      </c>
      <c r="AD2489" s="56">
        <f t="shared" si="705"/>
        <v>0</v>
      </c>
    </row>
    <row r="2490" spans="3:30">
      <c r="C2490" s="43" t="s">
        <v>4643</v>
      </c>
      <c r="D2490" s="44" t="s">
        <v>4644</v>
      </c>
      <c r="E2490" s="44"/>
      <c r="F2490" s="45">
        <v>43353.413148148145</v>
      </c>
      <c r="G2490" s="46">
        <v>0</v>
      </c>
      <c r="H2490" s="47">
        <v>43376</v>
      </c>
      <c r="I2490" s="47">
        <v>43395</v>
      </c>
      <c r="J2490" s="46">
        <v>756721</v>
      </c>
      <c r="K2490" s="46">
        <v>0</v>
      </c>
      <c r="L2490" s="46">
        <v>0</v>
      </c>
      <c r="M2490" s="46">
        <f t="shared" si="694"/>
        <v>756721</v>
      </c>
      <c r="N2490" s="46">
        <v>756721</v>
      </c>
      <c r="O2490" s="48">
        <f t="shared" si="695"/>
        <v>0</v>
      </c>
      <c r="P2490" s="46">
        <v>0</v>
      </c>
      <c r="Q2490" s="46">
        <v>0</v>
      </c>
      <c r="R2490" s="49">
        <f t="shared" si="696"/>
        <v>0</v>
      </c>
      <c r="S2490" s="50">
        <f t="shared" si="697"/>
        <v>0</v>
      </c>
      <c r="T2490" s="49">
        <f t="shared" si="698"/>
        <v>0</v>
      </c>
      <c r="U2490" s="51">
        <f t="shared" si="699"/>
        <v>756721</v>
      </c>
      <c r="V2490" s="52">
        <f>IF(0&lt;0.8,0,IF(0&lt;1,Sheet3!L561,1))*IF(G2490&lt;3,0.12 - O2490,0.01) *U2490</f>
        <v>0</v>
      </c>
      <c r="W2490" s="52">
        <f t="shared" si="700"/>
        <v>0</v>
      </c>
      <c r="X2490" s="53">
        <f t="shared" si="701"/>
        <v>0</v>
      </c>
      <c r="Y2490" s="53">
        <f t="shared" si="702"/>
        <v>0</v>
      </c>
      <c r="Z2490" s="54">
        <f t="shared" si="691"/>
        <v>0</v>
      </c>
      <c r="AA2490" s="54">
        <f t="shared" si="703"/>
        <v>0</v>
      </c>
      <c r="AB2490" s="55">
        <f t="shared" si="693"/>
        <v>0</v>
      </c>
      <c r="AC2490" s="55">
        <f t="shared" si="704"/>
        <v>0</v>
      </c>
      <c r="AD2490" s="56">
        <f t="shared" si="705"/>
        <v>0</v>
      </c>
    </row>
    <row r="2491" spans="3:30">
      <c r="C2491" s="43" t="s">
        <v>4645</v>
      </c>
      <c r="D2491" s="44" t="s">
        <v>4646</v>
      </c>
      <c r="E2491" s="44"/>
      <c r="F2491" s="45">
        <v>39309.692372685182</v>
      </c>
      <c r="G2491" s="46">
        <v>133</v>
      </c>
      <c r="H2491" s="47">
        <v>43390</v>
      </c>
      <c r="I2491" s="47">
        <v>43420</v>
      </c>
      <c r="J2491" s="46">
        <v>2611519</v>
      </c>
      <c r="K2491" s="46">
        <v>0</v>
      </c>
      <c r="L2491" s="46">
        <v>0</v>
      </c>
      <c r="M2491" s="46">
        <f t="shared" si="694"/>
        <v>2611519</v>
      </c>
      <c r="N2491" s="46">
        <v>2611519</v>
      </c>
      <c r="O2491" s="48">
        <f t="shared" si="695"/>
        <v>0</v>
      </c>
      <c r="P2491" s="46">
        <v>0</v>
      </c>
      <c r="Q2491" s="46">
        <v>2611519</v>
      </c>
      <c r="R2491" s="49">
        <f t="shared" si="696"/>
        <v>1</v>
      </c>
      <c r="S2491" s="50">
        <f t="shared" si="697"/>
        <v>0.01</v>
      </c>
      <c r="T2491" s="49">
        <f t="shared" si="698"/>
        <v>26115.190000000002</v>
      </c>
      <c r="U2491" s="51">
        <f t="shared" si="699"/>
        <v>0</v>
      </c>
      <c r="V2491" s="52">
        <f>IF(0&lt;0.8,0,IF(0&lt;1,Sheet3!L561,1))*IF(G2491&lt;3,0.12 - O2491,0.01) *U2491</f>
        <v>0</v>
      </c>
      <c r="W2491" s="52">
        <f t="shared" si="700"/>
        <v>0</v>
      </c>
      <c r="X2491" s="53">
        <f t="shared" si="701"/>
        <v>0</v>
      </c>
      <c r="Y2491" s="53">
        <f t="shared" si="702"/>
        <v>0</v>
      </c>
      <c r="Z2491" s="54">
        <f t="shared" si="691"/>
        <v>0</v>
      </c>
      <c r="AA2491" s="54">
        <f t="shared" si="703"/>
        <v>0</v>
      </c>
      <c r="AB2491" s="55">
        <f t="shared" si="693"/>
        <v>0</v>
      </c>
      <c r="AC2491" s="55">
        <f t="shared" si="704"/>
        <v>0</v>
      </c>
      <c r="AD2491" s="56">
        <f t="shared" si="705"/>
        <v>26115.190000000002</v>
      </c>
    </row>
    <row r="2492" spans="3:30">
      <c r="C2492" s="43" t="s">
        <v>4647</v>
      </c>
      <c r="D2492" s="44" t="s">
        <v>4648</v>
      </c>
      <c r="E2492" s="44"/>
      <c r="F2492" s="45">
        <v>39820.47761574074</v>
      </c>
      <c r="G2492" s="46">
        <v>116</v>
      </c>
      <c r="H2492" s="47">
        <v>43395</v>
      </c>
      <c r="I2492" s="47">
        <v>43431</v>
      </c>
      <c r="J2492" s="46">
        <v>16149205</v>
      </c>
      <c r="K2492" s="46">
        <v>1172952</v>
      </c>
      <c r="L2492" s="46">
        <v>0</v>
      </c>
      <c r="M2492" s="46">
        <f t="shared" si="694"/>
        <v>14976253</v>
      </c>
      <c r="N2492" s="46">
        <v>16149205</v>
      </c>
      <c r="O2492" s="48">
        <f t="shared" si="695"/>
        <v>7.26321822033964E-2</v>
      </c>
      <c r="P2492" s="46">
        <v>0</v>
      </c>
      <c r="Q2492" s="46">
        <v>16149205</v>
      </c>
      <c r="R2492" s="49">
        <f t="shared" si="696"/>
        <v>1</v>
      </c>
      <c r="S2492" s="50">
        <f t="shared" si="697"/>
        <v>0.01</v>
      </c>
      <c r="T2492" s="49">
        <f t="shared" si="698"/>
        <v>149762.53</v>
      </c>
      <c r="U2492" s="51">
        <f t="shared" si="699"/>
        <v>0</v>
      </c>
      <c r="V2492" s="52">
        <f>IF(0&lt;0.8,0,IF(0&lt;1,Sheet3!L561,1))*IF(G2492&lt;3,0.12 - O2492,0.01) *U2492</f>
        <v>0</v>
      </c>
      <c r="W2492" s="52">
        <f t="shared" si="700"/>
        <v>0</v>
      </c>
      <c r="X2492" s="53">
        <f t="shared" si="701"/>
        <v>0</v>
      </c>
      <c r="Y2492" s="53">
        <f t="shared" si="702"/>
        <v>0</v>
      </c>
      <c r="Z2492" s="54">
        <f t="shared" si="691"/>
        <v>0</v>
      </c>
      <c r="AA2492" s="54">
        <f t="shared" si="703"/>
        <v>0</v>
      </c>
      <c r="AB2492" s="55">
        <f t="shared" si="693"/>
        <v>0</v>
      </c>
      <c r="AC2492" s="55">
        <f t="shared" si="704"/>
        <v>0</v>
      </c>
      <c r="AD2492" s="56">
        <f t="shared" si="705"/>
        <v>149762.53</v>
      </c>
    </row>
    <row r="2493" spans="3:30">
      <c r="C2493" s="43" t="s">
        <v>4649</v>
      </c>
      <c r="D2493" s="44" t="s">
        <v>4650</v>
      </c>
      <c r="E2493" s="44"/>
      <c r="F2493" s="45">
        <v>40071.372893518514</v>
      </c>
      <c r="G2493" s="46">
        <v>108</v>
      </c>
      <c r="H2493" s="47">
        <v>43413</v>
      </c>
      <c r="I2493" s="47">
        <v>43440</v>
      </c>
      <c r="J2493" s="46">
        <v>3423234</v>
      </c>
      <c r="K2493" s="46">
        <v>0</v>
      </c>
      <c r="L2493" s="46">
        <v>0</v>
      </c>
      <c r="M2493" s="46">
        <f t="shared" si="694"/>
        <v>3423234</v>
      </c>
      <c r="N2493" s="46">
        <v>3423234</v>
      </c>
      <c r="O2493" s="48">
        <f t="shared" si="695"/>
        <v>0</v>
      </c>
      <c r="P2493" s="46">
        <v>0</v>
      </c>
      <c r="Q2493" s="46">
        <v>3423234</v>
      </c>
      <c r="R2493" s="49">
        <f t="shared" si="696"/>
        <v>1</v>
      </c>
      <c r="S2493" s="50">
        <f t="shared" si="697"/>
        <v>0.01</v>
      </c>
      <c r="T2493" s="49">
        <f t="shared" si="698"/>
        <v>34232.340000000004</v>
      </c>
      <c r="U2493" s="51">
        <f t="shared" si="699"/>
        <v>0</v>
      </c>
      <c r="V2493" s="52">
        <f>IF(0&lt;0.8,0,IF(0&lt;1,Sheet3!L561,1))*IF(G2493&lt;3,0.12 - O2493,0.01) *U2493</f>
        <v>0</v>
      </c>
      <c r="W2493" s="52">
        <f t="shared" si="700"/>
        <v>0</v>
      </c>
      <c r="X2493" s="53">
        <f t="shared" si="701"/>
        <v>0</v>
      </c>
      <c r="Y2493" s="53">
        <f t="shared" si="702"/>
        <v>0</v>
      </c>
      <c r="Z2493" s="54">
        <f t="shared" si="691"/>
        <v>0</v>
      </c>
      <c r="AA2493" s="54">
        <f t="shared" si="703"/>
        <v>0</v>
      </c>
      <c r="AB2493" s="55">
        <f t="shared" si="693"/>
        <v>0</v>
      </c>
      <c r="AC2493" s="55">
        <f t="shared" si="704"/>
        <v>0</v>
      </c>
      <c r="AD2493" s="56">
        <f t="shared" si="705"/>
        <v>34232.340000000004</v>
      </c>
    </row>
    <row r="2494" spans="3:30">
      <c r="C2494" s="43" t="s">
        <v>4651</v>
      </c>
      <c r="D2494" s="44" t="s">
        <v>4652</v>
      </c>
      <c r="E2494" s="44"/>
      <c r="F2494" s="45">
        <v>40150.367986111109</v>
      </c>
      <c r="G2494" s="46">
        <v>105</v>
      </c>
      <c r="H2494" s="47">
        <v>43383</v>
      </c>
      <c r="I2494" s="47">
        <v>43398</v>
      </c>
      <c r="J2494" s="46">
        <v>717772</v>
      </c>
      <c r="K2494" s="46">
        <v>0</v>
      </c>
      <c r="L2494" s="46">
        <v>0</v>
      </c>
      <c r="M2494" s="46">
        <f t="shared" si="694"/>
        <v>717772</v>
      </c>
      <c r="N2494" s="46">
        <v>704462</v>
      </c>
      <c r="O2494" s="48">
        <f t="shared" si="695"/>
        <v>0</v>
      </c>
      <c r="P2494" s="46">
        <v>0</v>
      </c>
      <c r="Q2494" s="46">
        <v>717772</v>
      </c>
      <c r="R2494" s="49">
        <f t="shared" si="696"/>
        <v>1</v>
      </c>
      <c r="S2494" s="50">
        <f t="shared" si="697"/>
        <v>0.01</v>
      </c>
      <c r="T2494" s="49">
        <f t="shared" si="698"/>
        <v>7177.72</v>
      </c>
      <c r="U2494" s="51">
        <f t="shared" si="699"/>
        <v>0</v>
      </c>
      <c r="V2494" s="52">
        <f>IF(0&lt;0.8,0,IF(0&lt;1,Sheet3!L561,1))*IF(G2494&lt;3,0.12 - O2494,0.01) *U2494</f>
        <v>0</v>
      </c>
      <c r="W2494" s="52">
        <f t="shared" si="700"/>
        <v>0</v>
      </c>
      <c r="X2494" s="53">
        <f t="shared" si="701"/>
        <v>0</v>
      </c>
      <c r="Y2494" s="53">
        <f t="shared" si="702"/>
        <v>0</v>
      </c>
      <c r="Z2494" s="54">
        <f t="shared" si="691"/>
        <v>0</v>
      </c>
      <c r="AA2494" s="54">
        <f t="shared" si="703"/>
        <v>0</v>
      </c>
      <c r="AB2494" s="55">
        <f t="shared" si="693"/>
        <v>0</v>
      </c>
      <c r="AC2494" s="55">
        <f t="shared" si="704"/>
        <v>0</v>
      </c>
      <c r="AD2494" s="56">
        <f t="shared" si="705"/>
        <v>7177.72</v>
      </c>
    </row>
    <row r="2495" spans="3:30">
      <c r="C2495" s="43" t="s">
        <v>4653</v>
      </c>
      <c r="D2495" s="44" t="s">
        <v>4654</v>
      </c>
      <c r="E2495" s="44"/>
      <c r="F2495" s="45">
        <v>40243.606851851851</v>
      </c>
      <c r="G2495" s="46">
        <v>102</v>
      </c>
      <c r="H2495" s="47">
        <v>43376</v>
      </c>
      <c r="I2495" s="47">
        <v>43437</v>
      </c>
      <c r="J2495" s="46">
        <v>24262606</v>
      </c>
      <c r="K2495" s="46">
        <v>2205681</v>
      </c>
      <c r="L2495" s="46">
        <v>0</v>
      </c>
      <c r="M2495" s="46">
        <f t="shared" si="694"/>
        <v>22056925</v>
      </c>
      <c r="N2495" s="46">
        <v>24262606</v>
      </c>
      <c r="O2495" s="48">
        <f t="shared" si="695"/>
        <v>9.0908660017806842E-2</v>
      </c>
      <c r="P2495" s="46">
        <v>0</v>
      </c>
      <c r="Q2495" s="46">
        <v>24262606</v>
      </c>
      <c r="R2495" s="49">
        <f t="shared" si="696"/>
        <v>1</v>
      </c>
      <c r="S2495" s="50">
        <f t="shared" si="697"/>
        <v>0.01</v>
      </c>
      <c r="T2495" s="49">
        <f t="shared" si="698"/>
        <v>220569.25</v>
      </c>
      <c r="U2495" s="51">
        <f t="shared" si="699"/>
        <v>0</v>
      </c>
      <c r="V2495" s="52">
        <f>IF(0&lt;0.8,0,IF(0&lt;1,Sheet3!L561,1))*IF(G2495&lt;3,0.12 - O2495,0.01) *U2495</f>
        <v>0</v>
      </c>
      <c r="W2495" s="52">
        <f t="shared" si="700"/>
        <v>0</v>
      </c>
      <c r="X2495" s="53">
        <f t="shared" si="701"/>
        <v>0</v>
      </c>
      <c r="Y2495" s="53">
        <f t="shared" si="702"/>
        <v>0</v>
      </c>
      <c r="Z2495" s="54">
        <f t="shared" si="691"/>
        <v>0</v>
      </c>
      <c r="AA2495" s="54">
        <f t="shared" si="703"/>
        <v>0</v>
      </c>
      <c r="AB2495" s="55">
        <f t="shared" si="693"/>
        <v>0</v>
      </c>
      <c r="AC2495" s="55">
        <f t="shared" si="704"/>
        <v>0</v>
      </c>
      <c r="AD2495" s="56">
        <f t="shared" si="705"/>
        <v>220569.25</v>
      </c>
    </row>
    <row r="2496" spans="3:30">
      <c r="C2496" s="43" t="s">
        <v>4655</v>
      </c>
      <c r="D2496" s="44" t="s">
        <v>4656</v>
      </c>
      <c r="E2496" s="44"/>
      <c r="F2496" s="45">
        <v>40297.467083333329</v>
      </c>
      <c r="G2496" s="46">
        <v>101</v>
      </c>
      <c r="H2496" s="47">
        <v>43390</v>
      </c>
      <c r="I2496" s="47">
        <v>43420</v>
      </c>
      <c r="J2496" s="46">
        <v>515242</v>
      </c>
      <c r="K2496" s="46">
        <v>0</v>
      </c>
      <c r="L2496" s="46">
        <v>0</v>
      </c>
      <c r="M2496" s="46">
        <f t="shared" si="694"/>
        <v>515242</v>
      </c>
      <c r="N2496" s="46">
        <v>515242</v>
      </c>
      <c r="O2496" s="48">
        <f t="shared" si="695"/>
        <v>0</v>
      </c>
      <c r="P2496" s="46">
        <v>0</v>
      </c>
      <c r="Q2496" s="46">
        <v>515242</v>
      </c>
      <c r="R2496" s="49">
        <f t="shared" si="696"/>
        <v>1</v>
      </c>
      <c r="S2496" s="50">
        <f t="shared" si="697"/>
        <v>0.01</v>
      </c>
      <c r="T2496" s="49">
        <f t="shared" si="698"/>
        <v>5152.42</v>
      </c>
      <c r="U2496" s="51">
        <f t="shared" si="699"/>
        <v>0</v>
      </c>
      <c r="V2496" s="52">
        <f>IF(0&lt;0.8,0,IF(0&lt;1,Sheet3!L561,1))*IF(G2496&lt;3,0.12 - O2496,0.01) *U2496</f>
        <v>0</v>
      </c>
      <c r="W2496" s="52">
        <f t="shared" si="700"/>
        <v>0</v>
      </c>
      <c r="X2496" s="53">
        <f t="shared" si="701"/>
        <v>0</v>
      </c>
      <c r="Y2496" s="53">
        <f t="shared" si="702"/>
        <v>0</v>
      </c>
      <c r="Z2496" s="54">
        <f t="shared" si="691"/>
        <v>0</v>
      </c>
      <c r="AA2496" s="54">
        <f t="shared" si="703"/>
        <v>0</v>
      </c>
      <c r="AB2496" s="55">
        <f t="shared" si="693"/>
        <v>0</v>
      </c>
      <c r="AC2496" s="55">
        <f t="shared" si="704"/>
        <v>0</v>
      </c>
      <c r="AD2496" s="56">
        <f t="shared" si="705"/>
        <v>5152.42</v>
      </c>
    </row>
    <row r="2497" spans="3:30">
      <c r="C2497" s="43" t="s">
        <v>4657</v>
      </c>
      <c r="D2497" s="44" t="s">
        <v>4658</v>
      </c>
      <c r="E2497" s="44"/>
      <c r="F2497" s="45">
        <v>40323.577349537038</v>
      </c>
      <c r="G2497" s="46">
        <v>100</v>
      </c>
      <c r="H2497" s="47">
        <v>43383</v>
      </c>
      <c r="I2497" s="47">
        <v>43406</v>
      </c>
      <c r="J2497" s="46">
        <v>2555617</v>
      </c>
      <c r="K2497" s="46">
        <v>0</v>
      </c>
      <c r="L2497" s="46">
        <v>0</v>
      </c>
      <c r="M2497" s="46">
        <f t="shared" si="694"/>
        <v>2555617</v>
      </c>
      <c r="N2497" s="46">
        <v>2555617</v>
      </c>
      <c r="O2497" s="48">
        <f t="shared" si="695"/>
        <v>0</v>
      </c>
      <c r="P2497" s="46">
        <v>0</v>
      </c>
      <c r="Q2497" s="46">
        <v>2555617</v>
      </c>
      <c r="R2497" s="49">
        <f t="shared" si="696"/>
        <v>1</v>
      </c>
      <c r="S2497" s="50">
        <f t="shared" si="697"/>
        <v>0.01</v>
      </c>
      <c r="T2497" s="49">
        <f t="shared" si="698"/>
        <v>25556.170000000002</v>
      </c>
      <c r="U2497" s="51">
        <f t="shared" si="699"/>
        <v>0</v>
      </c>
      <c r="V2497" s="52">
        <f>IF(0&lt;0.8,0,IF(0&lt;1,Sheet3!L561,1))*IF(G2497&lt;3,0.12 - O2497,0.01) *U2497</f>
        <v>0</v>
      </c>
      <c r="W2497" s="52">
        <f t="shared" si="700"/>
        <v>0</v>
      </c>
      <c r="X2497" s="53">
        <f t="shared" si="701"/>
        <v>0</v>
      </c>
      <c r="Y2497" s="53">
        <f t="shared" si="702"/>
        <v>0</v>
      </c>
      <c r="Z2497" s="54">
        <f t="shared" si="691"/>
        <v>0</v>
      </c>
      <c r="AA2497" s="54">
        <f t="shared" si="703"/>
        <v>0</v>
      </c>
      <c r="AB2497" s="55">
        <f t="shared" si="693"/>
        <v>0</v>
      </c>
      <c r="AC2497" s="55">
        <f t="shared" si="704"/>
        <v>0</v>
      </c>
      <c r="AD2497" s="56">
        <f t="shared" si="705"/>
        <v>25556.170000000002</v>
      </c>
    </row>
    <row r="2498" spans="3:30">
      <c r="C2498" s="43" t="s">
        <v>4659</v>
      </c>
      <c r="D2498" s="44" t="s">
        <v>4660</v>
      </c>
      <c r="E2498" s="44"/>
      <c r="F2498" s="45">
        <v>40504.3753125</v>
      </c>
      <c r="G2498" s="46">
        <v>94</v>
      </c>
      <c r="H2498" s="47">
        <v>43390</v>
      </c>
      <c r="I2498" s="47">
        <v>43420</v>
      </c>
      <c r="J2498" s="46">
        <v>1323304</v>
      </c>
      <c r="K2498" s="46">
        <v>0</v>
      </c>
      <c r="L2498" s="46">
        <v>0</v>
      </c>
      <c r="M2498" s="46">
        <f t="shared" si="694"/>
        <v>1323304</v>
      </c>
      <c r="N2498" s="46">
        <v>1323304</v>
      </c>
      <c r="O2498" s="48">
        <f t="shared" si="695"/>
        <v>0</v>
      </c>
      <c r="P2498" s="46">
        <v>0</v>
      </c>
      <c r="Q2498" s="46">
        <v>1323304</v>
      </c>
      <c r="R2498" s="49">
        <f t="shared" si="696"/>
        <v>1</v>
      </c>
      <c r="S2498" s="50">
        <f t="shared" si="697"/>
        <v>0.01</v>
      </c>
      <c r="T2498" s="49">
        <f t="shared" si="698"/>
        <v>13233.04</v>
      </c>
      <c r="U2498" s="51">
        <f t="shared" si="699"/>
        <v>0</v>
      </c>
      <c r="V2498" s="52">
        <f>IF(0&lt;0.8,0,IF(0&lt;1,Sheet3!L561,1))*IF(G2498&lt;3,0.12 - O2498,0.01) *U2498</f>
        <v>0</v>
      </c>
      <c r="W2498" s="52">
        <f t="shared" si="700"/>
        <v>0</v>
      </c>
      <c r="X2498" s="53">
        <f t="shared" si="701"/>
        <v>0</v>
      </c>
      <c r="Y2498" s="53">
        <f t="shared" si="702"/>
        <v>0</v>
      </c>
      <c r="Z2498" s="54">
        <f t="shared" si="691"/>
        <v>0</v>
      </c>
      <c r="AA2498" s="54">
        <f t="shared" si="703"/>
        <v>0</v>
      </c>
      <c r="AB2498" s="55">
        <f t="shared" si="693"/>
        <v>0</v>
      </c>
      <c r="AC2498" s="55">
        <f t="shared" si="704"/>
        <v>0</v>
      </c>
      <c r="AD2498" s="56">
        <f t="shared" si="705"/>
        <v>13233.04</v>
      </c>
    </row>
    <row r="2499" spans="3:30">
      <c r="C2499" s="43" t="s">
        <v>4661</v>
      </c>
      <c r="D2499" s="44" t="s">
        <v>4662</v>
      </c>
      <c r="E2499" s="44"/>
      <c r="F2499" s="45">
        <v>40518.423078703701</v>
      </c>
      <c r="G2499" s="46">
        <v>93</v>
      </c>
      <c r="H2499" s="47">
        <v>43383</v>
      </c>
      <c r="I2499" s="47">
        <v>43405</v>
      </c>
      <c r="J2499" s="46">
        <v>2232114</v>
      </c>
      <c r="K2499" s="46">
        <v>0</v>
      </c>
      <c r="L2499" s="46">
        <v>0</v>
      </c>
      <c r="M2499" s="46">
        <f t="shared" si="694"/>
        <v>2232114</v>
      </c>
      <c r="N2499" s="46">
        <v>2232500</v>
      </c>
      <c r="O2499" s="48">
        <f t="shared" si="695"/>
        <v>1.7290033594630216E-4</v>
      </c>
      <c r="P2499" s="46">
        <v>0</v>
      </c>
      <c r="Q2499" s="46">
        <v>2232114</v>
      </c>
      <c r="R2499" s="49">
        <f t="shared" si="696"/>
        <v>1</v>
      </c>
      <c r="S2499" s="50">
        <f t="shared" si="697"/>
        <v>0.01</v>
      </c>
      <c r="T2499" s="49">
        <f t="shared" si="698"/>
        <v>22321.14</v>
      </c>
      <c r="U2499" s="51">
        <f t="shared" si="699"/>
        <v>0</v>
      </c>
      <c r="V2499" s="52">
        <f>IF(0&lt;0.8,0,IF(0&lt;1,Sheet3!L561,1))*IF(G2499&lt;3,0.12 - O2499,0.01) *U2499</f>
        <v>0</v>
      </c>
      <c r="W2499" s="52">
        <f t="shared" si="700"/>
        <v>0</v>
      </c>
      <c r="X2499" s="53">
        <f t="shared" si="701"/>
        <v>0</v>
      </c>
      <c r="Y2499" s="53">
        <f t="shared" si="702"/>
        <v>0</v>
      </c>
      <c r="Z2499" s="54">
        <f t="shared" si="691"/>
        <v>0</v>
      </c>
      <c r="AA2499" s="54">
        <f t="shared" si="703"/>
        <v>0</v>
      </c>
      <c r="AB2499" s="55">
        <f t="shared" si="693"/>
        <v>0</v>
      </c>
      <c r="AC2499" s="55">
        <f t="shared" si="704"/>
        <v>0</v>
      </c>
      <c r="AD2499" s="56">
        <f t="shared" si="705"/>
        <v>22321.14</v>
      </c>
    </row>
    <row r="2500" spans="3:30">
      <c r="C2500" s="43" t="s">
        <v>4663</v>
      </c>
      <c r="D2500" s="44" t="s">
        <v>4664</v>
      </c>
      <c r="E2500" s="44"/>
      <c r="F2500" s="45">
        <v>40518.424340277779</v>
      </c>
      <c r="G2500" s="46">
        <v>93</v>
      </c>
      <c r="H2500" s="47">
        <v>43383</v>
      </c>
      <c r="I2500" s="47">
        <v>43391</v>
      </c>
      <c r="J2500" s="46">
        <v>3272808</v>
      </c>
      <c r="K2500" s="46">
        <v>0</v>
      </c>
      <c r="L2500" s="46">
        <v>0</v>
      </c>
      <c r="M2500" s="46">
        <f t="shared" si="694"/>
        <v>3272808</v>
      </c>
      <c r="N2500" s="46">
        <v>3272808</v>
      </c>
      <c r="O2500" s="48">
        <f t="shared" si="695"/>
        <v>0</v>
      </c>
      <c r="P2500" s="46">
        <v>0</v>
      </c>
      <c r="Q2500" s="46">
        <v>3272808</v>
      </c>
      <c r="R2500" s="49">
        <f t="shared" si="696"/>
        <v>1</v>
      </c>
      <c r="S2500" s="50">
        <f t="shared" si="697"/>
        <v>0.01</v>
      </c>
      <c r="T2500" s="49">
        <f t="shared" si="698"/>
        <v>32728.080000000002</v>
      </c>
      <c r="U2500" s="51">
        <f t="shared" si="699"/>
        <v>0</v>
      </c>
      <c r="V2500" s="52">
        <f>IF(0&lt;0.8,0,IF(0&lt;1,Sheet3!L561,1))*IF(G2500&lt;3,0.12 - O2500,0.01) *U2500</f>
        <v>0</v>
      </c>
      <c r="W2500" s="52">
        <f t="shared" si="700"/>
        <v>0</v>
      </c>
      <c r="X2500" s="53">
        <f t="shared" si="701"/>
        <v>0</v>
      </c>
      <c r="Y2500" s="53">
        <f t="shared" si="702"/>
        <v>0</v>
      </c>
      <c r="Z2500" s="54">
        <f t="shared" ref="Z2500:Z2527" si="706">IF(R2500=1,0,0)</f>
        <v>0</v>
      </c>
      <c r="AA2500" s="54">
        <f t="shared" si="703"/>
        <v>0</v>
      </c>
      <c r="AB2500" s="55">
        <f t="shared" si="693"/>
        <v>0</v>
      </c>
      <c r="AC2500" s="55">
        <f t="shared" si="704"/>
        <v>0</v>
      </c>
      <c r="AD2500" s="56">
        <f t="shared" si="705"/>
        <v>32728.080000000002</v>
      </c>
    </row>
    <row r="2501" spans="3:30">
      <c r="C2501" s="43" t="s">
        <v>4665</v>
      </c>
      <c r="D2501" s="44" t="s">
        <v>4666</v>
      </c>
      <c r="E2501" s="44"/>
      <c r="F2501" s="45">
        <v>40610.64907407407</v>
      </c>
      <c r="G2501" s="46">
        <v>90</v>
      </c>
      <c r="H2501" s="47">
        <v>43383</v>
      </c>
      <c r="I2501" s="47">
        <v>43391</v>
      </c>
      <c r="J2501" s="46">
        <v>915292</v>
      </c>
      <c r="K2501" s="46">
        <v>0</v>
      </c>
      <c r="L2501" s="46">
        <v>0</v>
      </c>
      <c r="M2501" s="46">
        <f t="shared" si="694"/>
        <v>915292</v>
      </c>
      <c r="N2501" s="46">
        <v>915292</v>
      </c>
      <c r="O2501" s="48">
        <f t="shared" si="695"/>
        <v>0</v>
      </c>
      <c r="P2501" s="46">
        <v>0</v>
      </c>
      <c r="Q2501" s="46">
        <v>915292</v>
      </c>
      <c r="R2501" s="49">
        <f t="shared" si="696"/>
        <v>1</v>
      </c>
      <c r="S2501" s="50">
        <f t="shared" si="697"/>
        <v>0.01</v>
      </c>
      <c r="T2501" s="49">
        <f t="shared" si="698"/>
        <v>9152.92</v>
      </c>
      <c r="U2501" s="51">
        <f t="shared" si="699"/>
        <v>0</v>
      </c>
      <c r="V2501" s="52">
        <f>IF(0&lt;0.8,0,IF(0&lt;1,Sheet3!L561,1))*IF(G2501&lt;3,0.12 - O2501,0.01) *U2501</f>
        <v>0</v>
      </c>
      <c r="W2501" s="52">
        <f t="shared" si="700"/>
        <v>0</v>
      </c>
      <c r="X2501" s="53">
        <f t="shared" si="701"/>
        <v>0</v>
      </c>
      <c r="Y2501" s="53">
        <f t="shared" si="702"/>
        <v>0</v>
      </c>
      <c r="Z2501" s="54">
        <f t="shared" si="706"/>
        <v>0</v>
      </c>
      <c r="AA2501" s="54">
        <f t="shared" si="703"/>
        <v>0</v>
      </c>
      <c r="AB2501" s="55">
        <f t="shared" si="693"/>
        <v>0</v>
      </c>
      <c r="AC2501" s="55">
        <f t="shared" si="704"/>
        <v>0</v>
      </c>
      <c r="AD2501" s="56">
        <f t="shared" si="705"/>
        <v>9152.92</v>
      </c>
    </row>
    <row r="2502" spans="3:30">
      <c r="C2502" s="43" t="s">
        <v>4667</v>
      </c>
      <c r="D2502" s="44" t="s">
        <v>4668</v>
      </c>
      <c r="E2502" s="44"/>
      <c r="F2502" s="45">
        <v>40624.652291666665</v>
      </c>
      <c r="G2502" s="46">
        <v>90</v>
      </c>
      <c r="H2502" s="47">
        <v>43390</v>
      </c>
      <c r="I2502" s="47">
        <v>43441</v>
      </c>
      <c r="J2502" s="46">
        <v>3673230</v>
      </c>
      <c r="K2502" s="46">
        <v>0</v>
      </c>
      <c r="L2502" s="46">
        <v>0</v>
      </c>
      <c r="M2502" s="46">
        <f t="shared" si="694"/>
        <v>3673230</v>
      </c>
      <c r="N2502" s="46">
        <v>3626690</v>
      </c>
      <c r="O2502" s="48">
        <f t="shared" si="695"/>
        <v>0</v>
      </c>
      <c r="P2502" s="46">
        <v>0</v>
      </c>
      <c r="Q2502" s="46">
        <v>3686540</v>
      </c>
      <c r="R2502" s="49">
        <f t="shared" si="696"/>
        <v>1</v>
      </c>
      <c r="S2502" s="50">
        <f t="shared" si="697"/>
        <v>0.01</v>
      </c>
      <c r="T2502" s="49">
        <f t="shared" si="698"/>
        <v>36732.300000000003</v>
      </c>
      <c r="U2502" s="51">
        <f t="shared" si="699"/>
        <v>0</v>
      </c>
      <c r="V2502" s="52">
        <f>IF(0&lt;0.8,0,IF(0&lt;1,Sheet3!L561,1))*IF(G2502&lt;3,0.12 - O2502,0.01) *U2502</f>
        <v>0</v>
      </c>
      <c r="W2502" s="52">
        <f t="shared" si="700"/>
        <v>0</v>
      </c>
      <c r="X2502" s="53">
        <f t="shared" si="701"/>
        <v>0</v>
      </c>
      <c r="Y2502" s="53">
        <f t="shared" si="702"/>
        <v>0</v>
      </c>
      <c r="Z2502" s="54">
        <f t="shared" si="706"/>
        <v>0</v>
      </c>
      <c r="AA2502" s="54">
        <f t="shared" si="703"/>
        <v>0</v>
      </c>
      <c r="AB2502" s="55">
        <f t="shared" si="693"/>
        <v>0</v>
      </c>
      <c r="AC2502" s="55">
        <f t="shared" si="704"/>
        <v>0</v>
      </c>
      <c r="AD2502" s="56">
        <f t="shared" si="705"/>
        <v>36732.300000000003</v>
      </c>
    </row>
    <row r="2503" spans="3:30">
      <c r="C2503" s="43" t="s">
        <v>4669</v>
      </c>
      <c r="D2503" s="44" t="s">
        <v>4670</v>
      </c>
      <c r="E2503" s="44"/>
      <c r="F2503" s="45">
        <v>40743.451608796291</v>
      </c>
      <c r="G2503" s="46">
        <v>86</v>
      </c>
      <c r="H2503" s="47">
        <v>43393</v>
      </c>
      <c r="I2503" s="47">
        <v>43441</v>
      </c>
      <c r="J2503" s="46">
        <v>429792</v>
      </c>
      <c r="K2503" s="46">
        <v>0</v>
      </c>
      <c r="L2503" s="46">
        <v>0</v>
      </c>
      <c r="M2503" s="46">
        <f t="shared" si="694"/>
        <v>429792</v>
      </c>
      <c r="N2503" s="46">
        <v>429792</v>
      </c>
      <c r="O2503" s="48">
        <f t="shared" si="695"/>
        <v>0</v>
      </c>
      <c r="P2503" s="46">
        <v>0</v>
      </c>
      <c r="Q2503" s="46">
        <v>429792</v>
      </c>
      <c r="R2503" s="49">
        <f t="shared" si="696"/>
        <v>1</v>
      </c>
      <c r="S2503" s="50">
        <f t="shared" si="697"/>
        <v>0.01</v>
      </c>
      <c r="T2503" s="49">
        <f t="shared" si="698"/>
        <v>4297.92</v>
      </c>
      <c r="U2503" s="51">
        <f t="shared" si="699"/>
        <v>0</v>
      </c>
      <c r="V2503" s="52">
        <f>IF(0&lt;0.8,0,IF(0&lt;1,Sheet3!L561,1))*IF(G2503&lt;3,0.12 - O2503,0.01) *U2503</f>
        <v>0</v>
      </c>
      <c r="W2503" s="52">
        <f t="shared" si="700"/>
        <v>0</v>
      </c>
      <c r="X2503" s="53">
        <f t="shared" si="701"/>
        <v>0</v>
      </c>
      <c r="Y2503" s="53">
        <f t="shared" si="702"/>
        <v>0</v>
      </c>
      <c r="Z2503" s="54">
        <f t="shared" si="706"/>
        <v>0</v>
      </c>
      <c r="AA2503" s="54">
        <f t="shared" si="703"/>
        <v>0</v>
      </c>
      <c r="AB2503" s="55">
        <f t="shared" si="693"/>
        <v>0</v>
      </c>
      <c r="AC2503" s="55">
        <f t="shared" si="704"/>
        <v>0</v>
      </c>
      <c r="AD2503" s="56">
        <f t="shared" si="705"/>
        <v>4297.92</v>
      </c>
    </row>
    <row r="2504" spans="3:30">
      <c r="C2504" s="43" t="s">
        <v>4671</v>
      </c>
      <c r="D2504" s="44" t="s">
        <v>4672</v>
      </c>
      <c r="E2504" s="44"/>
      <c r="F2504" s="45">
        <v>40829.405092592591</v>
      </c>
      <c r="G2504" s="46">
        <v>83</v>
      </c>
      <c r="H2504" s="47">
        <v>43383</v>
      </c>
      <c r="I2504" s="47">
        <v>43391</v>
      </c>
      <c r="J2504" s="46">
        <v>3483773</v>
      </c>
      <c r="K2504" s="46">
        <v>0</v>
      </c>
      <c r="L2504" s="46">
        <v>0</v>
      </c>
      <c r="M2504" s="46">
        <f t="shared" si="694"/>
        <v>3483773</v>
      </c>
      <c r="N2504" s="46">
        <v>3483773</v>
      </c>
      <c r="O2504" s="48">
        <f t="shared" si="695"/>
        <v>0</v>
      </c>
      <c r="P2504" s="46">
        <v>0</v>
      </c>
      <c r="Q2504" s="46">
        <v>3483773</v>
      </c>
      <c r="R2504" s="49">
        <f t="shared" si="696"/>
        <v>1</v>
      </c>
      <c r="S2504" s="50">
        <f t="shared" si="697"/>
        <v>0.01</v>
      </c>
      <c r="T2504" s="49">
        <f t="shared" si="698"/>
        <v>34837.730000000003</v>
      </c>
      <c r="U2504" s="51">
        <f t="shared" si="699"/>
        <v>0</v>
      </c>
      <c r="V2504" s="52">
        <f>IF(0&lt;0.8,0,IF(0&lt;1,Sheet3!L561,1))*IF(G2504&lt;3,0.12 - O2504,0.01) *U2504</f>
        <v>0</v>
      </c>
      <c r="W2504" s="52">
        <f t="shared" si="700"/>
        <v>0</v>
      </c>
      <c r="X2504" s="53">
        <f t="shared" si="701"/>
        <v>0</v>
      </c>
      <c r="Y2504" s="53">
        <f t="shared" si="702"/>
        <v>0</v>
      </c>
      <c r="Z2504" s="54">
        <f t="shared" si="706"/>
        <v>0</v>
      </c>
      <c r="AA2504" s="54">
        <f t="shared" si="703"/>
        <v>0</v>
      </c>
      <c r="AB2504" s="55">
        <f t="shared" si="693"/>
        <v>0</v>
      </c>
      <c r="AC2504" s="55">
        <f t="shared" si="704"/>
        <v>0</v>
      </c>
      <c r="AD2504" s="56">
        <f t="shared" si="705"/>
        <v>34837.730000000003</v>
      </c>
    </row>
    <row r="2505" spans="3:30">
      <c r="C2505" s="43" t="s">
        <v>4673</v>
      </c>
      <c r="D2505" s="44" t="s">
        <v>4674</v>
      </c>
      <c r="E2505" s="44"/>
      <c r="F2505" s="45">
        <v>40987.668599537035</v>
      </c>
      <c r="G2505" s="46">
        <v>78</v>
      </c>
      <c r="H2505" s="47">
        <v>43390</v>
      </c>
      <c r="I2505" s="47">
        <v>43424</v>
      </c>
      <c r="J2505" s="46">
        <v>1475425</v>
      </c>
      <c r="K2505" s="46">
        <v>0</v>
      </c>
      <c r="L2505" s="46">
        <v>0</v>
      </c>
      <c r="M2505" s="46">
        <f t="shared" si="694"/>
        <v>1475425</v>
      </c>
      <c r="N2505" s="46">
        <v>1475425</v>
      </c>
      <c r="O2505" s="48">
        <f t="shared" si="695"/>
        <v>0</v>
      </c>
      <c r="P2505" s="46">
        <v>0</v>
      </c>
      <c r="Q2505" s="46">
        <v>1475425</v>
      </c>
      <c r="R2505" s="49">
        <f t="shared" si="696"/>
        <v>1</v>
      </c>
      <c r="S2505" s="50">
        <f t="shared" si="697"/>
        <v>0.01</v>
      </c>
      <c r="T2505" s="49">
        <f t="shared" si="698"/>
        <v>14754.25</v>
      </c>
      <c r="U2505" s="51">
        <f t="shared" si="699"/>
        <v>0</v>
      </c>
      <c r="V2505" s="52">
        <f>IF(0&lt;0.8,0,IF(0&lt;1,Sheet3!L561,1))*IF(G2505&lt;3,0.12 - O2505,0.01) *U2505</f>
        <v>0</v>
      </c>
      <c r="W2505" s="52">
        <f t="shared" si="700"/>
        <v>0</v>
      </c>
      <c r="X2505" s="53">
        <f t="shared" si="701"/>
        <v>0</v>
      </c>
      <c r="Y2505" s="53">
        <f t="shared" si="702"/>
        <v>0</v>
      </c>
      <c r="Z2505" s="54">
        <f t="shared" si="706"/>
        <v>0</v>
      </c>
      <c r="AA2505" s="54">
        <f t="shared" si="703"/>
        <v>0</v>
      </c>
      <c r="AB2505" s="55">
        <f t="shared" si="693"/>
        <v>0</v>
      </c>
      <c r="AC2505" s="55">
        <f t="shared" si="704"/>
        <v>0</v>
      </c>
      <c r="AD2505" s="56">
        <f t="shared" si="705"/>
        <v>14754.25</v>
      </c>
    </row>
    <row r="2506" spans="3:30">
      <c r="C2506" s="43" t="s">
        <v>4675</v>
      </c>
      <c r="D2506" s="44" t="s">
        <v>4676</v>
      </c>
      <c r="E2506" s="44"/>
      <c r="F2506" s="45">
        <v>41219.420173611106</v>
      </c>
      <c r="G2506" s="46">
        <v>70</v>
      </c>
      <c r="H2506" s="47">
        <v>43376</v>
      </c>
      <c r="I2506" s="47">
        <v>43439</v>
      </c>
      <c r="J2506" s="46">
        <v>712327</v>
      </c>
      <c r="K2506" s="46">
        <v>0</v>
      </c>
      <c r="L2506" s="46">
        <v>0</v>
      </c>
      <c r="M2506" s="46">
        <f t="shared" si="694"/>
        <v>712327</v>
      </c>
      <c r="N2506" s="46">
        <v>712327</v>
      </c>
      <c r="O2506" s="48">
        <f t="shared" si="695"/>
        <v>0</v>
      </c>
      <c r="P2506" s="46">
        <v>0</v>
      </c>
      <c r="Q2506" s="46">
        <v>712327</v>
      </c>
      <c r="R2506" s="49">
        <f t="shared" si="696"/>
        <v>1</v>
      </c>
      <c r="S2506" s="50">
        <f t="shared" si="697"/>
        <v>0.01</v>
      </c>
      <c r="T2506" s="49">
        <f t="shared" si="698"/>
        <v>7123.27</v>
      </c>
      <c r="U2506" s="51">
        <f t="shared" si="699"/>
        <v>0</v>
      </c>
      <c r="V2506" s="52">
        <f>IF(0&lt;0.8,0,IF(0&lt;1,Sheet3!L561,1))*IF(G2506&lt;3,0.12 - O2506,0.01) *U2506</f>
        <v>0</v>
      </c>
      <c r="W2506" s="52">
        <f t="shared" si="700"/>
        <v>0</v>
      </c>
      <c r="X2506" s="53">
        <f t="shared" si="701"/>
        <v>0</v>
      </c>
      <c r="Y2506" s="53">
        <f t="shared" si="702"/>
        <v>0</v>
      </c>
      <c r="Z2506" s="54">
        <f t="shared" si="706"/>
        <v>0</v>
      </c>
      <c r="AA2506" s="54">
        <f t="shared" si="703"/>
        <v>0</v>
      </c>
      <c r="AB2506" s="55">
        <f t="shared" si="693"/>
        <v>0</v>
      </c>
      <c r="AC2506" s="55">
        <f t="shared" si="704"/>
        <v>0</v>
      </c>
      <c r="AD2506" s="56">
        <f t="shared" si="705"/>
        <v>7123.27</v>
      </c>
    </row>
    <row r="2507" spans="3:30">
      <c r="C2507" s="43" t="s">
        <v>4677</v>
      </c>
      <c r="D2507" s="44" t="s">
        <v>4678</v>
      </c>
      <c r="E2507" s="44"/>
      <c r="F2507" s="45">
        <v>41342.436168981483</v>
      </c>
      <c r="G2507" s="46">
        <v>66</v>
      </c>
      <c r="H2507" s="47">
        <v>43390</v>
      </c>
      <c r="I2507" s="47">
        <v>43427</v>
      </c>
      <c r="J2507" s="46">
        <v>1915744</v>
      </c>
      <c r="K2507" s="46">
        <v>0</v>
      </c>
      <c r="L2507" s="46">
        <v>0</v>
      </c>
      <c r="M2507" s="46">
        <f t="shared" si="694"/>
        <v>1915744</v>
      </c>
      <c r="N2507" s="46">
        <v>1915744</v>
      </c>
      <c r="O2507" s="48">
        <f t="shared" si="695"/>
        <v>0</v>
      </c>
      <c r="P2507" s="46">
        <v>0</v>
      </c>
      <c r="Q2507" s="46">
        <v>1915744</v>
      </c>
      <c r="R2507" s="49">
        <f t="shared" si="696"/>
        <v>1</v>
      </c>
      <c r="S2507" s="50">
        <f t="shared" si="697"/>
        <v>0.01</v>
      </c>
      <c r="T2507" s="49">
        <f t="shared" si="698"/>
        <v>19157.439999999999</v>
      </c>
      <c r="U2507" s="51">
        <f t="shared" si="699"/>
        <v>0</v>
      </c>
      <c r="V2507" s="52">
        <f>IF(0&lt;0.8,0,IF(0&lt;1,Sheet3!L561,1))*IF(G2507&lt;3,0.12 - O2507,0.01) *U2507</f>
        <v>0</v>
      </c>
      <c r="W2507" s="52">
        <f t="shared" si="700"/>
        <v>0</v>
      </c>
      <c r="X2507" s="53">
        <f t="shared" si="701"/>
        <v>0</v>
      </c>
      <c r="Y2507" s="53">
        <f t="shared" si="702"/>
        <v>0</v>
      </c>
      <c r="Z2507" s="54">
        <f t="shared" si="706"/>
        <v>0</v>
      </c>
      <c r="AA2507" s="54">
        <f t="shared" si="703"/>
        <v>0</v>
      </c>
      <c r="AB2507" s="55">
        <f t="shared" si="693"/>
        <v>0</v>
      </c>
      <c r="AC2507" s="55">
        <f t="shared" si="704"/>
        <v>0</v>
      </c>
      <c r="AD2507" s="56">
        <f t="shared" si="705"/>
        <v>19157.439999999999</v>
      </c>
    </row>
    <row r="2508" spans="3:30">
      <c r="C2508" s="43" t="s">
        <v>4679</v>
      </c>
      <c r="D2508" s="44" t="s">
        <v>4680</v>
      </c>
      <c r="E2508" s="44"/>
      <c r="F2508" s="45">
        <v>41359.373287037037</v>
      </c>
      <c r="G2508" s="46">
        <v>66</v>
      </c>
      <c r="H2508" s="47">
        <v>43390</v>
      </c>
      <c r="I2508" s="47">
        <v>43420</v>
      </c>
      <c r="J2508" s="46">
        <v>539963</v>
      </c>
      <c r="K2508" s="46">
        <v>0</v>
      </c>
      <c r="L2508" s="46">
        <v>0</v>
      </c>
      <c r="M2508" s="46">
        <f t="shared" si="694"/>
        <v>539963</v>
      </c>
      <c r="N2508" s="46">
        <v>539963</v>
      </c>
      <c r="O2508" s="48">
        <f t="shared" si="695"/>
        <v>0</v>
      </c>
      <c r="P2508" s="46">
        <v>0</v>
      </c>
      <c r="Q2508" s="46">
        <v>539963</v>
      </c>
      <c r="R2508" s="49">
        <f t="shared" si="696"/>
        <v>1</v>
      </c>
      <c r="S2508" s="50">
        <f t="shared" si="697"/>
        <v>0.01</v>
      </c>
      <c r="T2508" s="49">
        <f t="shared" si="698"/>
        <v>5399.63</v>
      </c>
      <c r="U2508" s="51">
        <f t="shared" si="699"/>
        <v>0</v>
      </c>
      <c r="V2508" s="52">
        <f>IF(0&lt;0.8,0,IF(0&lt;1,Sheet3!L561,1))*IF(G2508&lt;3,0.12 - O2508,0.01) *U2508</f>
        <v>0</v>
      </c>
      <c r="W2508" s="52">
        <f t="shared" si="700"/>
        <v>0</v>
      </c>
      <c r="X2508" s="53">
        <f t="shared" si="701"/>
        <v>0</v>
      </c>
      <c r="Y2508" s="53">
        <f t="shared" si="702"/>
        <v>0</v>
      </c>
      <c r="Z2508" s="54">
        <f t="shared" si="706"/>
        <v>0</v>
      </c>
      <c r="AA2508" s="54">
        <f t="shared" si="703"/>
        <v>0</v>
      </c>
      <c r="AB2508" s="55">
        <f t="shared" si="693"/>
        <v>0</v>
      </c>
      <c r="AC2508" s="55">
        <f t="shared" si="704"/>
        <v>0</v>
      </c>
      <c r="AD2508" s="56">
        <f t="shared" si="705"/>
        <v>5399.63</v>
      </c>
    </row>
    <row r="2509" spans="3:30">
      <c r="C2509" s="43" t="s">
        <v>4681</v>
      </c>
      <c r="D2509" s="44" t="s">
        <v>4682</v>
      </c>
      <c r="E2509" s="44"/>
      <c r="F2509" s="45">
        <v>41393.444467592592</v>
      </c>
      <c r="G2509" s="46">
        <v>65</v>
      </c>
      <c r="H2509" s="47">
        <v>43390</v>
      </c>
      <c r="I2509" s="47">
        <v>43398</v>
      </c>
      <c r="J2509" s="46">
        <v>532400</v>
      </c>
      <c r="K2509" s="46">
        <v>0</v>
      </c>
      <c r="L2509" s="46">
        <v>0</v>
      </c>
      <c r="M2509" s="46">
        <f t="shared" si="694"/>
        <v>532400</v>
      </c>
      <c r="N2509" s="46">
        <v>532400</v>
      </c>
      <c r="O2509" s="48">
        <f t="shared" si="695"/>
        <v>0</v>
      </c>
      <c r="P2509" s="46">
        <v>0</v>
      </c>
      <c r="Q2509" s="46">
        <v>532400</v>
      </c>
      <c r="R2509" s="49">
        <f t="shared" si="696"/>
        <v>1</v>
      </c>
      <c r="S2509" s="50">
        <f t="shared" si="697"/>
        <v>0.01</v>
      </c>
      <c r="T2509" s="49">
        <f t="shared" si="698"/>
        <v>5324</v>
      </c>
      <c r="U2509" s="51">
        <f t="shared" si="699"/>
        <v>0</v>
      </c>
      <c r="V2509" s="52">
        <f>IF(0&lt;0.8,0,IF(0&lt;1,Sheet3!L561,1))*IF(G2509&lt;3,0.12 - O2509,0.01) *U2509</f>
        <v>0</v>
      </c>
      <c r="W2509" s="52">
        <f t="shared" si="700"/>
        <v>0</v>
      </c>
      <c r="X2509" s="53">
        <f t="shared" si="701"/>
        <v>0</v>
      </c>
      <c r="Y2509" s="53">
        <f t="shared" si="702"/>
        <v>0</v>
      </c>
      <c r="Z2509" s="54">
        <f t="shared" si="706"/>
        <v>0</v>
      </c>
      <c r="AA2509" s="54">
        <f t="shared" si="703"/>
        <v>0</v>
      </c>
      <c r="AB2509" s="55">
        <f t="shared" si="693"/>
        <v>0</v>
      </c>
      <c r="AC2509" s="55">
        <f t="shared" si="704"/>
        <v>0</v>
      </c>
      <c r="AD2509" s="56">
        <f t="shared" si="705"/>
        <v>5324</v>
      </c>
    </row>
    <row r="2510" spans="3:30">
      <c r="C2510" s="43" t="s">
        <v>4683</v>
      </c>
      <c r="D2510" s="44" t="s">
        <v>4684</v>
      </c>
      <c r="E2510" s="44"/>
      <c r="F2510" s="45">
        <v>41475.439351851848</v>
      </c>
      <c r="G2510" s="46">
        <v>62</v>
      </c>
      <c r="H2510" s="47">
        <v>43390</v>
      </c>
      <c r="I2510" s="47">
        <v>43477</v>
      </c>
      <c r="J2510" s="46">
        <v>536514</v>
      </c>
      <c r="K2510" s="46">
        <v>0</v>
      </c>
      <c r="L2510" s="46">
        <v>0</v>
      </c>
      <c r="M2510" s="46">
        <f t="shared" si="694"/>
        <v>536514</v>
      </c>
      <c r="N2510" s="46">
        <v>536514</v>
      </c>
      <c r="O2510" s="48">
        <f t="shared" si="695"/>
        <v>0</v>
      </c>
      <c r="P2510" s="46">
        <v>0</v>
      </c>
      <c r="Q2510" s="46">
        <v>536514</v>
      </c>
      <c r="R2510" s="49">
        <f t="shared" si="696"/>
        <v>1</v>
      </c>
      <c r="S2510" s="50">
        <f t="shared" si="697"/>
        <v>0.01</v>
      </c>
      <c r="T2510" s="49">
        <f t="shared" si="698"/>
        <v>5365.14</v>
      </c>
      <c r="U2510" s="51">
        <f t="shared" si="699"/>
        <v>0</v>
      </c>
      <c r="V2510" s="52">
        <f>IF(0&lt;0.8,0,IF(0&lt;1,Sheet3!L561,1))*IF(G2510&lt;3,0.12 - O2510,0.01) *U2510</f>
        <v>0</v>
      </c>
      <c r="W2510" s="52">
        <f t="shared" si="700"/>
        <v>0</v>
      </c>
      <c r="X2510" s="53">
        <f t="shared" si="701"/>
        <v>0</v>
      </c>
      <c r="Y2510" s="53">
        <f t="shared" si="702"/>
        <v>0</v>
      </c>
      <c r="Z2510" s="54">
        <f t="shared" si="706"/>
        <v>0</v>
      </c>
      <c r="AA2510" s="54">
        <f t="shared" si="703"/>
        <v>0</v>
      </c>
      <c r="AB2510" s="55">
        <f t="shared" si="693"/>
        <v>0</v>
      </c>
      <c r="AC2510" s="55">
        <f t="shared" si="704"/>
        <v>0</v>
      </c>
      <c r="AD2510" s="56">
        <f t="shared" si="705"/>
        <v>5365.14</v>
      </c>
    </row>
    <row r="2511" spans="3:30">
      <c r="C2511" s="43" t="s">
        <v>4685</v>
      </c>
      <c r="D2511" s="44" t="s">
        <v>4686</v>
      </c>
      <c r="E2511" s="44"/>
      <c r="F2511" s="45">
        <v>41807.613900462959</v>
      </c>
      <c r="G2511" s="46">
        <v>51</v>
      </c>
      <c r="H2511" s="47">
        <v>43402</v>
      </c>
      <c r="I2511" s="47">
        <v>43482</v>
      </c>
      <c r="J2511" s="46">
        <v>59641506</v>
      </c>
      <c r="K2511" s="46">
        <v>2907931</v>
      </c>
      <c r="L2511" s="46">
        <v>0</v>
      </c>
      <c r="M2511" s="46">
        <f t="shared" si="694"/>
        <v>56733575</v>
      </c>
      <c r="N2511" s="46">
        <v>75175896</v>
      </c>
      <c r="O2511" s="48">
        <f t="shared" si="695"/>
        <v>0.24532226393417378</v>
      </c>
      <c r="P2511" s="46">
        <v>0</v>
      </c>
      <c r="Q2511" s="46">
        <v>59641506</v>
      </c>
      <c r="R2511" s="49">
        <f t="shared" si="696"/>
        <v>1</v>
      </c>
      <c r="S2511" s="50">
        <f t="shared" si="697"/>
        <v>0.01</v>
      </c>
      <c r="T2511" s="49">
        <f t="shared" si="698"/>
        <v>567335.75</v>
      </c>
      <c r="U2511" s="51">
        <f t="shared" si="699"/>
        <v>0</v>
      </c>
      <c r="V2511" s="52">
        <f>IF(0&lt;0.8,0,IF(0&lt;1,Sheet3!L561,1))*IF(G2511&lt;3,0.12 - O2511,0.01) *U2511</f>
        <v>0</v>
      </c>
      <c r="W2511" s="52">
        <f t="shared" si="700"/>
        <v>0</v>
      </c>
      <c r="X2511" s="53">
        <f t="shared" si="701"/>
        <v>0</v>
      </c>
      <c r="Y2511" s="53">
        <f t="shared" si="702"/>
        <v>0</v>
      </c>
      <c r="Z2511" s="54">
        <f t="shared" si="706"/>
        <v>0</v>
      </c>
      <c r="AA2511" s="54">
        <f t="shared" si="703"/>
        <v>0</v>
      </c>
      <c r="AB2511" s="55">
        <f t="shared" si="693"/>
        <v>0</v>
      </c>
      <c r="AC2511" s="55">
        <f t="shared" si="704"/>
        <v>0</v>
      </c>
      <c r="AD2511" s="56">
        <f t="shared" si="705"/>
        <v>567335.75</v>
      </c>
    </row>
    <row r="2512" spans="3:30">
      <c r="C2512" s="43" t="s">
        <v>4687</v>
      </c>
      <c r="D2512" s="44" t="s">
        <v>4688</v>
      </c>
      <c r="E2512" s="44"/>
      <c r="F2512" s="45">
        <v>41898.464398148149</v>
      </c>
      <c r="G2512" s="46">
        <v>48</v>
      </c>
      <c r="H2512" s="47">
        <v>43383</v>
      </c>
      <c r="I2512" s="47">
        <v>43388</v>
      </c>
      <c r="J2512" s="46">
        <v>7722528</v>
      </c>
      <c r="K2512" s="46">
        <v>0</v>
      </c>
      <c r="L2512" s="46">
        <v>0</v>
      </c>
      <c r="M2512" s="46">
        <f t="shared" si="694"/>
        <v>7722528</v>
      </c>
      <c r="N2512" s="46">
        <v>7586942</v>
      </c>
      <c r="O2512" s="48">
        <f t="shared" si="695"/>
        <v>0</v>
      </c>
      <c r="P2512" s="46">
        <v>0</v>
      </c>
      <c r="Q2512" s="46">
        <v>7722528</v>
      </c>
      <c r="R2512" s="49">
        <f t="shared" si="696"/>
        <v>1</v>
      </c>
      <c r="S2512" s="50">
        <f t="shared" si="697"/>
        <v>0.01</v>
      </c>
      <c r="T2512" s="49">
        <f t="shared" si="698"/>
        <v>77225.279999999999</v>
      </c>
      <c r="U2512" s="51">
        <f t="shared" si="699"/>
        <v>0</v>
      </c>
      <c r="V2512" s="52">
        <f>IF(0&lt;0.8,0,IF(0&lt;1,Sheet3!L561,1))*IF(G2512&lt;3,0.12 - O2512,0.01) *U2512</f>
        <v>0</v>
      </c>
      <c r="W2512" s="52">
        <f t="shared" si="700"/>
        <v>0</v>
      </c>
      <c r="X2512" s="53">
        <f t="shared" si="701"/>
        <v>0</v>
      </c>
      <c r="Y2512" s="53">
        <f t="shared" si="702"/>
        <v>0</v>
      </c>
      <c r="Z2512" s="54">
        <f t="shared" si="706"/>
        <v>0</v>
      </c>
      <c r="AA2512" s="54">
        <f t="shared" si="703"/>
        <v>0</v>
      </c>
      <c r="AB2512" s="55">
        <f t="shared" ref="AB2512:AB2531" si="707">IF(R2512=0,0,0)</f>
        <v>0</v>
      </c>
      <c r="AC2512" s="55">
        <f t="shared" si="704"/>
        <v>0</v>
      </c>
      <c r="AD2512" s="56">
        <f t="shared" si="705"/>
        <v>77225.279999999999</v>
      </c>
    </row>
    <row r="2513" spans="3:30">
      <c r="C2513" s="43" t="s">
        <v>4689</v>
      </c>
      <c r="D2513" s="44" t="s">
        <v>4690</v>
      </c>
      <c r="E2513" s="44"/>
      <c r="F2513" s="45">
        <v>42383.576053240737</v>
      </c>
      <c r="G2513" s="46">
        <v>32</v>
      </c>
      <c r="H2513" s="47">
        <v>43390</v>
      </c>
      <c r="I2513" s="47">
        <v>43418</v>
      </c>
      <c r="J2513" s="46">
        <v>557568</v>
      </c>
      <c r="K2513" s="46">
        <v>0</v>
      </c>
      <c r="L2513" s="46">
        <v>0</v>
      </c>
      <c r="M2513" s="46">
        <f t="shared" si="694"/>
        <v>557568</v>
      </c>
      <c r="N2513" s="46">
        <v>557568</v>
      </c>
      <c r="O2513" s="48">
        <f t="shared" si="695"/>
        <v>0</v>
      </c>
      <c r="P2513" s="46">
        <v>0</v>
      </c>
      <c r="Q2513" s="46">
        <v>557568</v>
      </c>
      <c r="R2513" s="49">
        <f t="shared" si="696"/>
        <v>1</v>
      </c>
      <c r="S2513" s="50">
        <f t="shared" si="697"/>
        <v>0.01</v>
      </c>
      <c r="T2513" s="49">
        <f t="shared" si="698"/>
        <v>5575.68</v>
      </c>
      <c r="U2513" s="51">
        <f t="shared" si="699"/>
        <v>0</v>
      </c>
      <c r="V2513" s="52">
        <f>IF(0&lt;0.8,0,IF(0&lt;1,Sheet3!L561,1))*IF(G2513&lt;3,0.12 - O2513,0.01) *U2513</f>
        <v>0</v>
      </c>
      <c r="W2513" s="52">
        <f t="shared" si="700"/>
        <v>0</v>
      </c>
      <c r="X2513" s="53">
        <f t="shared" si="701"/>
        <v>0</v>
      </c>
      <c r="Y2513" s="53">
        <f t="shared" si="702"/>
        <v>0</v>
      </c>
      <c r="Z2513" s="54">
        <f t="shared" si="706"/>
        <v>0</v>
      </c>
      <c r="AA2513" s="54">
        <f t="shared" si="703"/>
        <v>0</v>
      </c>
      <c r="AB2513" s="55">
        <f t="shared" si="707"/>
        <v>0</v>
      </c>
      <c r="AC2513" s="55">
        <f t="shared" si="704"/>
        <v>0</v>
      </c>
      <c r="AD2513" s="56">
        <f t="shared" si="705"/>
        <v>5575.68</v>
      </c>
    </row>
    <row r="2514" spans="3:30">
      <c r="C2514" s="43" t="s">
        <v>4691</v>
      </c>
      <c r="D2514" s="44" t="s">
        <v>4692</v>
      </c>
      <c r="E2514" s="44"/>
      <c r="F2514" s="45">
        <v>42389.710775462961</v>
      </c>
      <c r="G2514" s="46">
        <v>32</v>
      </c>
      <c r="H2514" s="47">
        <v>43390</v>
      </c>
      <c r="I2514" s="47">
        <v>43418</v>
      </c>
      <c r="J2514" s="46">
        <v>614559</v>
      </c>
      <c r="K2514" s="46">
        <v>0</v>
      </c>
      <c r="L2514" s="46">
        <v>0</v>
      </c>
      <c r="M2514" s="46">
        <f t="shared" si="694"/>
        <v>614559</v>
      </c>
      <c r="N2514" s="46">
        <v>614559</v>
      </c>
      <c r="O2514" s="48">
        <f t="shared" si="695"/>
        <v>0</v>
      </c>
      <c r="P2514" s="46">
        <v>0</v>
      </c>
      <c r="Q2514" s="46">
        <v>614559</v>
      </c>
      <c r="R2514" s="49">
        <f t="shared" si="696"/>
        <v>1</v>
      </c>
      <c r="S2514" s="50">
        <f t="shared" si="697"/>
        <v>0.01</v>
      </c>
      <c r="T2514" s="49">
        <f t="shared" si="698"/>
        <v>6145.59</v>
      </c>
      <c r="U2514" s="51">
        <f t="shared" si="699"/>
        <v>0</v>
      </c>
      <c r="V2514" s="52">
        <f>IF(0&lt;0.8,0,IF(0&lt;1,Sheet3!L561,1))*IF(G2514&lt;3,0.12 - O2514,0.01) *U2514</f>
        <v>0</v>
      </c>
      <c r="W2514" s="52">
        <f t="shared" si="700"/>
        <v>0</v>
      </c>
      <c r="X2514" s="53">
        <f t="shared" si="701"/>
        <v>0</v>
      </c>
      <c r="Y2514" s="53">
        <f t="shared" si="702"/>
        <v>0</v>
      </c>
      <c r="Z2514" s="54">
        <f t="shared" si="706"/>
        <v>0</v>
      </c>
      <c r="AA2514" s="54">
        <f t="shared" si="703"/>
        <v>0</v>
      </c>
      <c r="AB2514" s="55">
        <f t="shared" si="707"/>
        <v>0</v>
      </c>
      <c r="AC2514" s="55">
        <f t="shared" si="704"/>
        <v>0</v>
      </c>
      <c r="AD2514" s="56">
        <f t="shared" si="705"/>
        <v>6145.59</v>
      </c>
    </row>
    <row r="2515" spans="3:30">
      <c r="C2515" s="43" t="s">
        <v>4693</v>
      </c>
      <c r="D2515" s="44" t="s">
        <v>4694</v>
      </c>
      <c r="E2515" s="44"/>
      <c r="F2515" s="45">
        <v>42523.365902777776</v>
      </c>
      <c r="G2515" s="46">
        <v>27</v>
      </c>
      <c r="H2515" s="47">
        <v>43390</v>
      </c>
      <c r="I2515" s="47">
        <v>43418</v>
      </c>
      <c r="J2515" s="46">
        <v>1187252</v>
      </c>
      <c r="K2515" s="46">
        <v>0</v>
      </c>
      <c r="L2515" s="46">
        <v>0</v>
      </c>
      <c r="M2515" s="46">
        <f t="shared" si="694"/>
        <v>1187252</v>
      </c>
      <c r="N2515" s="46">
        <v>1187252</v>
      </c>
      <c r="O2515" s="48">
        <f t="shared" si="695"/>
        <v>0</v>
      </c>
      <c r="P2515" s="46">
        <v>0</v>
      </c>
      <c r="Q2515" s="46">
        <v>1187252</v>
      </c>
      <c r="R2515" s="49">
        <f t="shared" si="696"/>
        <v>1</v>
      </c>
      <c r="S2515" s="50">
        <f t="shared" si="697"/>
        <v>0.01</v>
      </c>
      <c r="T2515" s="49">
        <f t="shared" si="698"/>
        <v>11872.52</v>
      </c>
      <c r="U2515" s="51">
        <f t="shared" si="699"/>
        <v>0</v>
      </c>
      <c r="V2515" s="52">
        <f>IF(0&lt;0.8,0,IF(0&lt;1,Sheet3!L561,1))*IF(G2515&lt;3,0.12 - O2515,0.01) *U2515</f>
        <v>0</v>
      </c>
      <c r="W2515" s="52">
        <f t="shared" si="700"/>
        <v>0</v>
      </c>
      <c r="X2515" s="53">
        <f t="shared" si="701"/>
        <v>0</v>
      </c>
      <c r="Y2515" s="53">
        <f t="shared" si="702"/>
        <v>0</v>
      </c>
      <c r="Z2515" s="54">
        <f t="shared" si="706"/>
        <v>0</v>
      </c>
      <c r="AA2515" s="54">
        <f t="shared" si="703"/>
        <v>0</v>
      </c>
      <c r="AB2515" s="55">
        <f t="shared" si="707"/>
        <v>0</v>
      </c>
      <c r="AC2515" s="55">
        <f t="shared" si="704"/>
        <v>0</v>
      </c>
      <c r="AD2515" s="56">
        <f t="shared" si="705"/>
        <v>11872.52</v>
      </c>
    </row>
    <row r="2516" spans="3:30">
      <c r="C2516" s="43" t="s">
        <v>4695</v>
      </c>
      <c r="D2516" s="44" t="s">
        <v>4696</v>
      </c>
      <c r="E2516" s="44"/>
      <c r="F2516" s="45">
        <v>42543.141585648147</v>
      </c>
      <c r="G2516" s="46">
        <v>27</v>
      </c>
      <c r="H2516" s="47">
        <v>43390</v>
      </c>
      <c r="I2516" s="47">
        <v>43420</v>
      </c>
      <c r="J2516" s="46">
        <v>838530</v>
      </c>
      <c r="K2516" s="46">
        <v>0</v>
      </c>
      <c r="L2516" s="46">
        <v>0</v>
      </c>
      <c r="M2516" s="46">
        <f t="shared" si="694"/>
        <v>838530</v>
      </c>
      <c r="N2516" s="46">
        <v>838530</v>
      </c>
      <c r="O2516" s="48">
        <f t="shared" si="695"/>
        <v>0</v>
      </c>
      <c r="P2516" s="46">
        <v>0</v>
      </c>
      <c r="Q2516" s="46">
        <v>838530</v>
      </c>
      <c r="R2516" s="49">
        <f t="shared" si="696"/>
        <v>1</v>
      </c>
      <c r="S2516" s="50">
        <f t="shared" si="697"/>
        <v>0.01</v>
      </c>
      <c r="T2516" s="49">
        <f t="shared" si="698"/>
        <v>8385.2999999999993</v>
      </c>
      <c r="U2516" s="51">
        <f t="shared" si="699"/>
        <v>0</v>
      </c>
      <c r="V2516" s="52">
        <f>IF(0&lt;0.8,0,IF(0&lt;1,Sheet3!L561,1))*IF(G2516&lt;3,0.12 - O2516,0.01) *U2516</f>
        <v>0</v>
      </c>
      <c r="W2516" s="52">
        <f t="shared" si="700"/>
        <v>0</v>
      </c>
      <c r="X2516" s="53">
        <f t="shared" si="701"/>
        <v>0</v>
      </c>
      <c r="Y2516" s="53">
        <f t="shared" si="702"/>
        <v>0</v>
      </c>
      <c r="Z2516" s="54">
        <f t="shared" si="706"/>
        <v>0</v>
      </c>
      <c r="AA2516" s="54">
        <f t="shared" si="703"/>
        <v>0</v>
      </c>
      <c r="AB2516" s="55">
        <f t="shared" si="707"/>
        <v>0</v>
      </c>
      <c r="AC2516" s="55">
        <f t="shared" si="704"/>
        <v>0</v>
      </c>
      <c r="AD2516" s="56">
        <f t="shared" si="705"/>
        <v>8385.2999999999993</v>
      </c>
    </row>
    <row r="2517" spans="3:30">
      <c r="C2517" s="43" t="s">
        <v>4697</v>
      </c>
      <c r="D2517" s="44" t="s">
        <v>4698</v>
      </c>
      <c r="E2517" s="44"/>
      <c r="F2517" s="45">
        <v>42592.38108796296</v>
      </c>
      <c r="G2517" s="46">
        <v>25</v>
      </c>
      <c r="H2517" s="47">
        <v>43390</v>
      </c>
      <c r="I2517" s="47">
        <v>43423</v>
      </c>
      <c r="J2517" s="46">
        <v>130438</v>
      </c>
      <c r="K2517" s="46">
        <v>0</v>
      </c>
      <c r="L2517" s="46">
        <v>0</v>
      </c>
      <c r="M2517" s="46">
        <f t="shared" si="694"/>
        <v>130438</v>
      </c>
      <c r="N2517" s="46">
        <v>130438</v>
      </c>
      <c r="O2517" s="48">
        <f t="shared" si="695"/>
        <v>0</v>
      </c>
      <c r="P2517" s="46">
        <v>0</v>
      </c>
      <c r="Q2517" s="46">
        <v>130438</v>
      </c>
      <c r="R2517" s="49">
        <f t="shared" si="696"/>
        <v>1</v>
      </c>
      <c r="S2517" s="50">
        <f t="shared" si="697"/>
        <v>0.01</v>
      </c>
      <c r="T2517" s="49">
        <f t="shared" si="698"/>
        <v>1304.3800000000001</v>
      </c>
      <c r="U2517" s="51">
        <f t="shared" si="699"/>
        <v>0</v>
      </c>
      <c r="V2517" s="52">
        <f>IF(0&lt;0.8,0,IF(0&lt;1,Sheet3!L561,1))*IF(G2517&lt;3,0.12 - O2517,0.01) *U2517</f>
        <v>0</v>
      </c>
      <c r="W2517" s="52">
        <f t="shared" si="700"/>
        <v>0</v>
      </c>
      <c r="X2517" s="53">
        <f t="shared" si="701"/>
        <v>0</v>
      </c>
      <c r="Y2517" s="53">
        <f t="shared" si="702"/>
        <v>0</v>
      </c>
      <c r="Z2517" s="54">
        <f t="shared" si="706"/>
        <v>0</v>
      </c>
      <c r="AA2517" s="54">
        <f t="shared" si="703"/>
        <v>0</v>
      </c>
      <c r="AB2517" s="55">
        <f t="shared" si="707"/>
        <v>0</v>
      </c>
      <c r="AC2517" s="55">
        <f t="shared" si="704"/>
        <v>0</v>
      </c>
      <c r="AD2517" s="56">
        <f t="shared" si="705"/>
        <v>1304.3800000000001</v>
      </c>
    </row>
    <row r="2518" spans="3:30">
      <c r="C2518" s="43" t="s">
        <v>4699</v>
      </c>
      <c r="D2518" s="44" t="s">
        <v>4700</v>
      </c>
      <c r="E2518" s="44"/>
      <c r="F2518" s="45">
        <v>42592.383113425924</v>
      </c>
      <c r="G2518" s="46">
        <v>25</v>
      </c>
      <c r="H2518" s="47">
        <v>43390</v>
      </c>
      <c r="I2518" s="47">
        <v>43423</v>
      </c>
      <c r="J2518" s="46">
        <v>669808</v>
      </c>
      <c r="K2518" s="46">
        <v>0</v>
      </c>
      <c r="L2518" s="46">
        <v>0</v>
      </c>
      <c r="M2518" s="46">
        <f t="shared" si="694"/>
        <v>669808</v>
      </c>
      <c r="N2518" s="46">
        <v>669808</v>
      </c>
      <c r="O2518" s="48">
        <f t="shared" si="695"/>
        <v>0</v>
      </c>
      <c r="P2518" s="46">
        <v>0</v>
      </c>
      <c r="Q2518" s="46">
        <v>669808</v>
      </c>
      <c r="R2518" s="49">
        <f t="shared" si="696"/>
        <v>1</v>
      </c>
      <c r="S2518" s="50">
        <f t="shared" si="697"/>
        <v>0.01</v>
      </c>
      <c r="T2518" s="49">
        <f t="shared" si="698"/>
        <v>6698.08</v>
      </c>
      <c r="U2518" s="51">
        <f t="shared" si="699"/>
        <v>0</v>
      </c>
      <c r="V2518" s="52">
        <f>IF(0&lt;0.8,0,IF(0&lt;1,Sheet3!L561,1))*IF(G2518&lt;3,0.12 - O2518,0.01) *U2518</f>
        <v>0</v>
      </c>
      <c r="W2518" s="52">
        <f t="shared" si="700"/>
        <v>0</v>
      </c>
      <c r="X2518" s="53">
        <f t="shared" si="701"/>
        <v>0</v>
      </c>
      <c r="Y2518" s="53">
        <f t="shared" si="702"/>
        <v>0</v>
      </c>
      <c r="Z2518" s="54">
        <f t="shared" si="706"/>
        <v>0</v>
      </c>
      <c r="AA2518" s="54">
        <f t="shared" si="703"/>
        <v>0</v>
      </c>
      <c r="AB2518" s="55">
        <f t="shared" si="707"/>
        <v>0</v>
      </c>
      <c r="AC2518" s="55">
        <f t="shared" si="704"/>
        <v>0</v>
      </c>
      <c r="AD2518" s="56">
        <f t="shared" si="705"/>
        <v>6698.08</v>
      </c>
    </row>
    <row r="2519" spans="3:30">
      <c r="C2519" s="43" t="s">
        <v>4701</v>
      </c>
      <c r="D2519" s="44" t="s">
        <v>4702</v>
      </c>
      <c r="E2519" s="44"/>
      <c r="F2519" s="45">
        <v>42628.27611111111</v>
      </c>
      <c r="G2519" s="46">
        <v>24</v>
      </c>
      <c r="H2519" s="47">
        <v>43390</v>
      </c>
      <c r="I2519" s="47">
        <v>43427</v>
      </c>
      <c r="J2519" s="46">
        <v>1248954</v>
      </c>
      <c r="K2519" s="46">
        <v>0</v>
      </c>
      <c r="L2519" s="46">
        <v>0</v>
      </c>
      <c r="M2519" s="46">
        <f t="shared" si="694"/>
        <v>1248954</v>
      </c>
      <c r="N2519" s="46">
        <v>1593585</v>
      </c>
      <c r="O2519" s="48">
        <f t="shared" si="695"/>
        <v>0.21626144824405347</v>
      </c>
      <c r="P2519" s="46">
        <v>0</v>
      </c>
      <c r="Q2519" s="46">
        <v>1248954</v>
      </c>
      <c r="R2519" s="49">
        <f t="shared" si="696"/>
        <v>1</v>
      </c>
      <c r="S2519" s="50">
        <f t="shared" si="697"/>
        <v>0.01</v>
      </c>
      <c r="T2519" s="49">
        <f t="shared" si="698"/>
        <v>12489.54</v>
      </c>
      <c r="U2519" s="51">
        <f t="shared" si="699"/>
        <v>0</v>
      </c>
      <c r="V2519" s="52">
        <f>IF(0&lt;0.8,0,IF(0&lt;1,Sheet3!L561,1))*IF(G2519&lt;3,0.12 - O2519,0.01) *U2519</f>
        <v>0</v>
      </c>
      <c r="W2519" s="52">
        <f t="shared" si="700"/>
        <v>0</v>
      </c>
      <c r="X2519" s="53">
        <f t="shared" si="701"/>
        <v>0</v>
      </c>
      <c r="Y2519" s="53">
        <f t="shared" si="702"/>
        <v>0</v>
      </c>
      <c r="Z2519" s="54">
        <f t="shared" si="706"/>
        <v>0</v>
      </c>
      <c r="AA2519" s="54">
        <f t="shared" si="703"/>
        <v>0</v>
      </c>
      <c r="AB2519" s="55">
        <f t="shared" si="707"/>
        <v>0</v>
      </c>
      <c r="AC2519" s="55">
        <f t="shared" si="704"/>
        <v>0</v>
      </c>
      <c r="AD2519" s="56">
        <f t="shared" si="705"/>
        <v>12489.54</v>
      </c>
    </row>
    <row r="2520" spans="3:30">
      <c r="C2520" s="43" t="s">
        <v>4703</v>
      </c>
      <c r="D2520" s="44" t="s">
        <v>4704</v>
      </c>
      <c r="E2520" s="44"/>
      <c r="F2520" s="45">
        <v>42628.274687500001</v>
      </c>
      <c r="G2520" s="46">
        <v>24</v>
      </c>
      <c r="H2520" s="47">
        <v>43390</v>
      </c>
      <c r="I2520" s="47">
        <v>43418</v>
      </c>
      <c r="J2520" s="46">
        <v>837610</v>
      </c>
      <c r="K2520" s="46">
        <v>0</v>
      </c>
      <c r="L2520" s="46">
        <v>0</v>
      </c>
      <c r="M2520" s="46">
        <f t="shared" si="694"/>
        <v>837610</v>
      </c>
      <c r="N2520" s="46">
        <v>837610</v>
      </c>
      <c r="O2520" s="48">
        <f t="shared" si="695"/>
        <v>0</v>
      </c>
      <c r="P2520" s="46">
        <v>0</v>
      </c>
      <c r="Q2520" s="46">
        <v>837610</v>
      </c>
      <c r="R2520" s="49">
        <f t="shared" si="696"/>
        <v>1</v>
      </c>
      <c r="S2520" s="50">
        <f t="shared" si="697"/>
        <v>0.01</v>
      </c>
      <c r="T2520" s="49">
        <f t="shared" si="698"/>
        <v>8376.1</v>
      </c>
      <c r="U2520" s="51">
        <f t="shared" si="699"/>
        <v>0</v>
      </c>
      <c r="V2520" s="52">
        <f>IF(0&lt;0.8,0,IF(0&lt;1,Sheet3!L561,1))*IF(G2520&lt;3,0.12 - O2520,0.01) *U2520</f>
        <v>0</v>
      </c>
      <c r="W2520" s="52">
        <f t="shared" si="700"/>
        <v>0</v>
      </c>
      <c r="X2520" s="53">
        <f t="shared" si="701"/>
        <v>0</v>
      </c>
      <c r="Y2520" s="53">
        <f t="shared" si="702"/>
        <v>0</v>
      </c>
      <c r="Z2520" s="54">
        <f t="shared" si="706"/>
        <v>0</v>
      </c>
      <c r="AA2520" s="54">
        <f t="shared" si="703"/>
        <v>0</v>
      </c>
      <c r="AB2520" s="55">
        <f t="shared" si="707"/>
        <v>0</v>
      </c>
      <c r="AC2520" s="55">
        <f t="shared" si="704"/>
        <v>0</v>
      </c>
      <c r="AD2520" s="56">
        <f t="shared" si="705"/>
        <v>8376.1</v>
      </c>
    </row>
    <row r="2521" spans="3:30">
      <c r="C2521" s="43" t="s">
        <v>4705</v>
      </c>
      <c r="D2521" s="44" t="s">
        <v>4706</v>
      </c>
      <c r="E2521" s="44"/>
      <c r="F2521" s="45">
        <v>42809.158391203702</v>
      </c>
      <c r="G2521" s="46">
        <v>18</v>
      </c>
      <c r="H2521" s="47">
        <v>43390</v>
      </c>
      <c r="I2521" s="47">
        <v>43418</v>
      </c>
      <c r="J2521" s="46">
        <v>607970</v>
      </c>
      <c r="K2521" s="46">
        <v>0</v>
      </c>
      <c r="L2521" s="46">
        <v>0</v>
      </c>
      <c r="M2521" s="46">
        <f t="shared" si="694"/>
        <v>607970</v>
      </c>
      <c r="N2521" s="46">
        <v>756668</v>
      </c>
      <c r="O2521" s="48">
        <f t="shared" si="695"/>
        <v>0.19651683433156941</v>
      </c>
      <c r="P2521" s="46">
        <v>0</v>
      </c>
      <c r="Q2521" s="46">
        <v>607970</v>
      </c>
      <c r="R2521" s="49">
        <f t="shared" si="696"/>
        <v>1</v>
      </c>
      <c r="S2521" s="50">
        <f t="shared" si="697"/>
        <v>0.01</v>
      </c>
      <c r="T2521" s="49">
        <f t="shared" si="698"/>
        <v>6079.7</v>
      </c>
      <c r="U2521" s="51">
        <f t="shared" si="699"/>
        <v>0</v>
      </c>
      <c r="V2521" s="52">
        <f>IF(0&lt;0.8,0,IF(0&lt;1,Sheet3!L561,1))*IF(G2521&lt;3,0.12 - O2521,0.01) *U2521</f>
        <v>0</v>
      </c>
      <c r="W2521" s="52">
        <f t="shared" si="700"/>
        <v>0</v>
      </c>
      <c r="X2521" s="53">
        <f t="shared" si="701"/>
        <v>0</v>
      </c>
      <c r="Y2521" s="53">
        <f t="shared" si="702"/>
        <v>0</v>
      </c>
      <c r="Z2521" s="54">
        <f t="shared" si="706"/>
        <v>0</v>
      </c>
      <c r="AA2521" s="54">
        <f t="shared" si="703"/>
        <v>0</v>
      </c>
      <c r="AB2521" s="55">
        <f t="shared" si="707"/>
        <v>0</v>
      </c>
      <c r="AC2521" s="55">
        <f t="shared" si="704"/>
        <v>0</v>
      </c>
      <c r="AD2521" s="56">
        <f t="shared" si="705"/>
        <v>6079.7</v>
      </c>
    </row>
    <row r="2522" spans="3:30">
      <c r="C2522" s="43" t="s">
        <v>4707</v>
      </c>
      <c r="D2522" s="44" t="s">
        <v>4708</v>
      </c>
      <c r="E2522" s="44"/>
      <c r="F2522" s="45">
        <v>42835.155497685184</v>
      </c>
      <c r="G2522" s="46">
        <v>17</v>
      </c>
      <c r="H2522" s="47">
        <v>43383</v>
      </c>
      <c r="I2522" s="47">
        <v>43389</v>
      </c>
      <c r="J2522" s="46">
        <v>365057</v>
      </c>
      <c r="K2522" s="46">
        <v>0</v>
      </c>
      <c r="L2522" s="46">
        <v>0</v>
      </c>
      <c r="M2522" s="46">
        <f t="shared" si="694"/>
        <v>365057</v>
      </c>
      <c r="N2522" s="46">
        <v>365057</v>
      </c>
      <c r="O2522" s="48">
        <f t="shared" si="695"/>
        <v>0</v>
      </c>
      <c r="P2522" s="46">
        <v>0</v>
      </c>
      <c r="Q2522" s="46">
        <v>365057</v>
      </c>
      <c r="R2522" s="49">
        <f t="shared" si="696"/>
        <v>1</v>
      </c>
      <c r="S2522" s="50">
        <f t="shared" si="697"/>
        <v>0.01</v>
      </c>
      <c r="T2522" s="49">
        <f t="shared" si="698"/>
        <v>3650.57</v>
      </c>
      <c r="U2522" s="51">
        <f t="shared" si="699"/>
        <v>0</v>
      </c>
      <c r="V2522" s="52">
        <f>IF(0&lt;0.8,0,IF(0&lt;1,Sheet3!L561,1))*IF(G2522&lt;3,0.12 - O2522,0.01) *U2522</f>
        <v>0</v>
      </c>
      <c r="W2522" s="52">
        <f t="shared" si="700"/>
        <v>0</v>
      </c>
      <c r="X2522" s="53">
        <f t="shared" si="701"/>
        <v>0</v>
      </c>
      <c r="Y2522" s="53">
        <f t="shared" si="702"/>
        <v>0</v>
      </c>
      <c r="Z2522" s="54">
        <f t="shared" si="706"/>
        <v>0</v>
      </c>
      <c r="AA2522" s="54">
        <f t="shared" si="703"/>
        <v>0</v>
      </c>
      <c r="AB2522" s="55">
        <f t="shared" si="707"/>
        <v>0</v>
      </c>
      <c r="AC2522" s="55">
        <f t="shared" si="704"/>
        <v>0</v>
      </c>
      <c r="AD2522" s="56">
        <f t="shared" si="705"/>
        <v>3650.57</v>
      </c>
    </row>
    <row r="2523" spans="3:30">
      <c r="C2523" s="43" t="s">
        <v>4709</v>
      </c>
      <c r="D2523" s="44" t="s">
        <v>4710</v>
      </c>
      <c r="E2523" s="44"/>
      <c r="F2523" s="45">
        <v>42846.354583333334</v>
      </c>
      <c r="G2523" s="46">
        <v>17</v>
      </c>
      <c r="H2523" s="47">
        <v>43390</v>
      </c>
      <c r="I2523" s="47">
        <v>43420</v>
      </c>
      <c r="J2523" s="46">
        <v>249139</v>
      </c>
      <c r="K2523" s="46">
        <v>0</v>
      </c>
      <c r="L2523" s="46">
        <v>0</v>
      </c>
      <c r="M2523" s="46">
        <f t="shared" si="694"/>
        <v>249139</v>
      </c>
      <c r="N2523" s="46">
        <v>249139</v>
      </c>
      <c r="O2523" s="48">
        <f t="shared" si="695"/>
        <v>0</v>
      </c>
      <c r="P2523" s="46">
        <v>0</v>
      </c>
      <c r="Q2523" s="46">
        <v>249139</v>
      </c>
      <c r="R2523" s="49">
        <f t="shared" si="696"/>
        <v>1</v>
      </c>
      <c r="S2523" s="50">
        <f t="shared" si="697"/>
        <v>0.01</v>
      </c>
      <c r="T2523" s="49">
        <f t="shared" si="698"/>
        <v>2491.39</v>
      </c>
      <c r="U2523" s="51">
        <f t="shared" si="699"/>
        <v>0</v>
      </c>
      <c r="V2523" s="52">
        <f>IF(0&lt;0.8,0,IF(0&lt;1,Sheet3!L561,1))*IF(G2523&lt;3,0.12 - O2523,0.01) *U2523</f>
        <v>0</v>
      </c>
      <c r="W2523" s="52">
        <f t="shared" si="700"/>
        <v>0</v>
      </c>
      <c r="X2523" s="53">
        <f t="shared" si="701"/>
        <v>0</v>
      </c>
      <c r="Y2523" s="53">
        <f t="shared" si="702"/>
        <v>0</v>
      </c>
      <c r="Z2523" s="54">
        <f t="shared" si="706"/>
        <v>0</v>
      </c>
      <c r="AA2523" s="54">
        <f t="shared" si="703"/>
        <v>0</v>
      </c>
      <c r="AB2523" s="55">
        <f t="shared" si="707"/>
        <v>0</v>
      </c>
      <c r="AC2523" s="55">
        <f t="shared" si="704"/>
        <v>0</v>
      </c>
      <c r="AD2523" s="56">
        <f t="shared" si="705"/>
        <v>2491.39</v>
      </c>
    </row>
    <row r="2524" spans="3:30">
      <c r="C2524" s="43" t="s">
        <v>4711</v>
      </c>
      <c r="D2524" s="44" t="s">
        <v>4712</v>
      </c>
      <c r="E2524" s="44"/>
      <c r="F2524" s="45">
        <v>42901.079270833332</v>
      </c>
      <c r="G2524" s="46">
        <v>15</v>
      </c>
      <c r="H2524" s="47">
        <v>43390</v>
      </c>
      <c r="I2524" s="47">
        <v>43420</v>
      </c>
      <c r="J2524" s="46">
        <v>1203321</v>
      </c>
      <c r="K2524" s="46">
        <v>0</v>
      </c>
      <c r="L2524" s="46">
        <v>0</v>
      </c>
      <c r="M2524" s="46">
        <f t="shared" si="694"/>
        <v>1203321</v>
      </c>
      <c r="N2524" s="46">
        <v>1203321</v>
      </c>
      <c r="O2524" s="48">
        <f t="shared" si="695"/>
        <v>0</v>
      </c>
      <c r="P2524" s="46">
        <v>0</v>
      </c>
      <c r="Q2524" s="46">
        <v>1203321</v>
      </c>
      <c r="R2524" s="49">
        <f t="shared" si="696"/>
        <v>1</v>
      </c>
      <c r="S2524" s="50">
        <f t="shared" si="697"/>
        <v>0.01</v>
      </c>
      <c r="T2524" s="49">
        <f t="shared" si="698"/>
        <v>12033.210000000001</v>
      </c>
      <c r="U2524" s="51">
        <f t="shared" si="699"/>
        <v>0</v>
      </c>
      <c r="V2524" s="52">
        <f>IF(0&lt;0.8,0,IF(0&lt;1,Sheet3!L561,1))*IF(G2524&lt;3,0.12 - O2524,0.01) *U2524</f>
        <v>0</v>
      </c>
      <c r="W2524" s="52">
        <f t="shared" si="700"/>
        <v>0</v>
      </c>
      <c r="X2524" s="53">
        <f t="shared" si="701"/>
        <v>0</v>
      </c>
      <c r="Y2524" s="53">
        <f t="shared" si="702"/>
        <v>0</v>
      </c>
      <c r="Z2524" s="54">
        <f t="shared" si="706"/>
        <v>0</v>
      </c>
      <c r="AA2524" s="54">
        <f t="shared" si="703"/>
        <v>0</v>
      </c>
      <c r="AB2524" s="55">
        <f t="shared" si="707"/>
        <v>0</v>
      </c>
      <c r="AC2524" s="55">
        <f t="shared" si="704"/>
        <v>0</v>
      </c>
      <c r="AD2524" s="56">
        <f t="shared" si="705"/>
        <v>12033.210000000001</v>
      </c>
    </row>
    <row r="2525" spans="3:30">
      <c r="C2525" s="43" t="s">
        <v>4713</v>
      </c>
      <c r="D2525" s="44" t="s">
        <v>4714</v>
      </c>
      <c r="E2525" s="44"/>
      <c r="F2525" s="45">
        <v>42908.148159722223</v>
      </c>
      <c r="G2525" s="46">
        <v>15</v>
      </c>
      <c r="H2525" s="47">
        <v>43390</v>
      </c>
      <c r="I2525" s="47">
        <v>43420</v>
      </c>
      <c r="J2525" s="46">
        <v>911178</v>
      </c>
      <c r="K2525" s="46">
        <v>0</v>
      </c>
      <c r="L2525" s="46">
        <v>0</v>
      </c>
      <c r="M2525" s="46">
        <f t="shared" si="694"/>
        <v>911178</v>
      </c>
      <c r="N2525" s="46">
        <v>757266</v>
      </c>
      <c r="O2525" s="48">
        <f t="shared" si="695"/>
        <v>0</v>
      </c>
      <c r="P2525" s="46">
        <v>0</v>
      </c>
      <c r="Q2525" s="46">
        <v>911178</v>
      </c>
      <c r="R2525" s="49">
        <f t="shared" si="696"/>
        <v>1</v>
      </c>
      <c r="S2525" s="50">
        <f t="shared" si="697"/>
        <v>0.01</v>
      </c>
      <c r="T2525" s="49">
        <f t="shared" si="698"/>
        <v>9111.7800000000007</v>
      </c>
      <c r="U2525" s="51">
        <f t="shared" si="699"/>
        <v>0</v>
      </c>
      <c r="V2525" s="52">
        <f>IF(0&lt;0.8,0,IF(0&lt;1,Sheet3!L561,1))*IF(G2525&lt;3,0.12 - O2525,0.01) *U2525</f>
        <v>0</v>
      </c>
      <c r="W2525" s="52">
        <f t="shared" si="700"/>
        <v>0</v>
      </c>
      <c r="X2525" s="53">
        <f t="shared" si="701"/>
        <v>0</v>
      </c>
      <c r="Y2525" s="53">
        <f t="shared" si="702"/>
        <v>0</v>
      </c>
      <c r="Z2525" s="54">
        <f t="shared" si="706"/>
        <v>0</v>
      </c>
      <c r="AA2525" s="54">
        <f t="shared" si="703"/>
        <v>0</v>
      </c>
      <c r="AB2525" s="55">
        <f t="shared" si="707"/>
        <v>0</v>
      </c>
      <c r="AC2525" s="55">
        <f t="shared" si="704"/>
        <v>0</v>
      </c>
      <c r="AD2525" s="56">
        <f t="shared" si="705"/>
        <v>9111.7800000000007</v>
      </c>
    </row>
    <row r="2526" spans="3:30">
      <c r="C2526" s="43" t="s">
        <v>4715</v>
      </c>
      <c r="D2526" s="44" t="s">
        <v>4716</v>
      </c>
      <c r="E2526" s="44"/>
      <c r="F2526" s="45">
        <v>42937.380972222221</v>
      </c>
      <c r="G2526" s="46">
        <v>14</v>
      </c>
      <c r="H2526" s="47">
        <v>43383</v>
      </c>
      <c r="I2526" s="47">
        <v>43403</v>
      </c>
      <c r="J2526" s="46">
        <v>8327900</v>
      </c>
      <c r="K2526" s="46">
        <v>0</v>
      </c>
      <c r="L2526" s="46">
        <v>0</v>
      </c>
      <c r="M2526" s="46">
        <f t="shared" si="694"/>
        <v>8327900</v>
      </c>
      <c r="N2526" s="46">
        <v>8327706</v>
      </c>
      <c r="O2526" s="48">
        <f t="shared" si="695"/>
        <v>0</v>
      </c>
      <c r="P2526" s="46">
        <v>0</v>
      </c>
      <c r="Q2526" s="46">
        <v>8327900</v>
      </c>
      <c r="R2526" s="49">
        <f t="shared" si="696"/>
        <v>1</v>
      </c>
      <c r="S2526" s="50">
        <f t="shared" si="697"/>
        <v>0.01</v>
      </c>
      <c r="T2526" s="49">
        <f t="shared" si="698"/>
        <v>83279</v>
      </c>
      <c r="U2526" s="51">
        <f t="shared" si="699"/>
        <v>0</v>
      </c>
      <c r="V2526" s="52">
        <f>IF(0&lt;0.8,0,IF(0&lt;1,Sheet3!L561,1))*IF(G2526&lt;3,0.12 - O2526,0.01) *U2526</f>
        <v>0</v>
      </c>
      <c r="W2526" s="52">
        <f t="shared" si="700"/>
        <v>0</v>
      </c>
      <c r="X2526" s="53">
        <f t="shared" si="701"/>
        <v>0</v>
      </c>
      <c r="Y2526" s="53">
        <f t="shared" si="702"/>
        <v>0</v>
      </c>
      <c r="Z2526" s="54">
        <f t="shared" si="706"/>
        <v>0</v>
      </c>
      <c r="AA2526" s="54">
        <f t="shared" si="703"/>
        <v>0</v>
      </c>
      <c r="AB2526" s="55">
        <f t="shared" si="707"/>
        <v>0</v>
      </c>
      <c r="AC2526" s="55">
        <f t="shared" si="704"/>
        <v>0</v>
      </c>
      <c r="AD2526" s="56">
        <f t="shared" si="705"/>
        <v>83279</v>
      </c>
    </row>
    <row r="2527" spans="3:30">
      <c r="C2527" s="43" t="s">
        <v>4717</v>
      </c>
      <c r="D2527" s="44" t="s">
        <v>2759</v>
      </c>
      <c r="E2527" s="44"/>
      <c r="F2527" s="45">
        <v>42972.298472222217</v>
      </c>
      <c r="G2527" s="46">
        <v>13</v>
      </c>
      <c r="H2527" s="47">
        <v>43402</v>
      </c>
      <c r="I2527" s="47">
        <v>43425</v>
      </c>
      <c r="J2527" s="46">
        <v>32006012</v>
      </c>
      <c r="K2527" s="46">
        <v>0</v>
      </c>
      <c r="L2527" s="46">
        <v>0</v>
      </c>
      <c r="M2527" s="46">
        <f t="shared" si="694"/>
        <v>32006012</v>
      </c>
      <c r="N2527" s="46">
        <v>34356639</v>
      </c>
      <c r="O2527" s="48">
        <f t="shared" si="695"/>
        <v>6.8418421254768269E-2</v>
      </c>
      <c r="P2527" s="46">
        <v>0</v>
      </c>
      <c r="Q2527" s="46">
        <v>32415494</v>
      </c>
      <c r="R2527" s="49">
        <f t="shared" si="696"/>
        <v>1</v>
      </c>
      <c r="S2527" s="50">
        <f t="shared" si="697"/>
        <v>0.01</v>
      </c>
      <c r="T2527" s="49">
        <f t="shared" si="698"/>
        <v>320060.12</v>
      </c>
      <c r="U2527" s="51">
        <f t="shared" si="699"/>
        <v>0</v>
      </c>
      <c r="V2527" s="52">
        <f>IF(0&lt;0.8,0,IF(0&lt;1,Sheet3!L561,1))*IF(G2527&lt;3,0.12 - O2527,0.01) *U2527</f>
        <v>0</v>
      </c>
      <c r="W2527" s="52">
        <f t="shared" si="700"/>
        <v>0</v>
      </c>
      <c r="X2527" s="53">
        <f t="shared" si="701"/>
        <v>0</v>
      </c>
      <c r="Y2527" s="53">
        <f t="shared" si="702"/>
        <v>0</v>
      </c>
      <c r="Z2527" s="54">
        <f t="shared" si="706"/>
        <v>0</v>
      </c>
      <c r="AA2527" s="54">
        <f t="shared" si="703"/>
        <v>0</v>
      </c>
      <c r="AB2527" s="55">
        <f t="shared" si="707"/>
        <v>0</v>
      </c>
      <c r="AC2527" s="55">
        <f t="shared" si="704"/>
        <v>0</v>
      </c>
      <c r="AD2527" s="56">
        <f t="shared" si="705"/>
        <v>320060.12</v>
      </c>
    </row>
    <row r="2528" spans="3:30">
      <c r="C2528" s="43" t="s">
        <v>4718</v>
      </c>
      <c r="D2528" s="44" t="s">
        <v>4719</v>
      </c>
      <c r="E2528" s="44"/>
      <c r="F2528" s="45">
        <v>42999.414108796293</v>
      </c>
      <c r="G2528" s="46">
        <v>12</v>
      </c>
      <c r="H2528" s="47">
        <v>43404</v>
      </c>
      <c r="I2528" s="47">
        <v>43441</v>
      </c>
      <c r="J2528" s="46">
        <v>1063140170</v>
      </c>
      <c r="K2528" s="46">
        <v>233228766</v>
      </c>
      <c r="L2528" s="46">
        <v>0</v>
      </c>
      <c r="M2528" s="46">
        <f t="shared" si="694"/>
        <v>829911404</v>
      </c>
      <c r="N2528" s="46">
        <v>6447088700</v>
      </c>
      <c r="O2528" s="48">
        <f t="shared" si="695"/>
        <v>0.8712734627026304</v>
      </c>
      <c r="P2528" s="46">
        <v>0</v>
      </c>
      <c r="Q2528" s="46">
        <v>1063140170</v>
      </c>
      <c r="R2528" s="49">
        <f t="shared" si="696"/>
        <v>1</v>
      </c>
      <c r="S2528" s="50">
        <f t="shared" si="697"/>
        <v>0.01</v>
      </c>
      <c r="T2528" s="49">
        <f t="shared" si="698"/>
        <v>8299114.04</v>
      </c>
      <c r="U2528" s="51">
        <f t="shared" si="699"/>
        <v>0</v>
      </c>
      <c r="V2528" s="52">
        <f>IF(0&lt;0.8,0,IF(0&lt;1,Sheet3!L561,1))*IF(G2528&lt;3,0.12 - O2528,0.01) *U2528</f>
        <v>0</v>
      </c>
      <c r="W2528" s="52">
        <f t="shared" si="700"/>
        <v>0</v>
      </c>
      <c r="X2528" s="53">
        <f t="shared" si="701"/>
        <v>0</v>
      </c>
      <c r="Y2528" s="53">
        <f t="shared" si="702"/>
        <v>0</v>
      </c>
      <c r="Z2528" s="54">
        <f>IF(R2528=1,0,990000000)</f>
        <v>0</v>
      </c>
      <c r="AA2528" s="54">
        <f t="shared" si="703"/>
        <v>0</v>
      </c>
      <c r="AB2528" s="55">
        <f t="shared" si="707"/>
        <v>0</v>
      </c>
      <c r="AC2528" s="55">
        <f t="shared" si="704"/>
        <v>0</v>
      </c>
      <c r="AD2528" s="56">
        <f t="shared" si="705"/>
        <v>8299114.04</v>
      </c>
    </row>
    <row r="2529" spans="3:30">
      <c r="C2529" s="43" t="s">
        <v>4720</v>
      </c>
      <c r="D2529" s="44" t="s">
        <v>4721</v>
      </c>
      <c r="E2529" s="44"/>
      <c r="F2529" s="45">
        <v>43003.275196759256</v>
      </c>
      <c r="G2529" s="46">
        <v>12</v>
      </c>
      <c r="H2529" s="47">
        <v>43390</v>
      </c>
      <c r="I2529" s="47">
        <v>43423</v>
      </c>
      <c r="J2529" s="46">
        <v>696960</v>
      </c>
      <c r="K2529" s="46">
        <v>0</v>
      </c>
      <c r="L2529" s="46">
        <v>0</v>
      </c>
      <c r="M2529" s="46">
        <f t="shared" si="694"/>
        <v>696960</v>
      </c>
      <c r="N2529" s="46">
        <v>683650</v>
      </c>
      <c r="O2529" s="48">
        <f t="shared" si="695"/>
        <v>0</v>
      </c>
      <c r="P2529" s="46">
        <v>0</v>
      </c>
      <c r="Q2529" s="46">
        <v>696960</v>
      </c>
      <c r="R2529" s="49">
        <f t="shared" si="696"/>
        <v>1</v>
      </c>
      <c r="S2529" s="50">
        <f t="shared" si="697"/>
        <v>0.01</v>
      </c>
      <c r="T2529" s="49">
        <f t="shared" si="698"/>
        <v>6969.6</v>
      </c>
      <c r="U2529" s="51">
        <f t="shared" si="699"/>
        <v>0</v>
      </c>
      <c r="V2529" s="52">
        <f>IF(0&lt;0.8,0,IF(0&lt;1,Sheet3!L561,1))*IF(G2529&lt;3,0.12 - O2529,0.01) *U2529</f>
        <v>0</v>
      </c>
      <c r="W2529" s="52">
        <f t="shared" si="700"/>
        <v>0</v>
      </c>
      <c r="X2529" s="53">
        <f t="shared" si="701"/>
        <v>0</v>
      </c>
      <c r="Y2529" s="53">
        <f t="shared" si="702"/>
        <v>0</v>
      </c>
      <c r="Z2529" s="54">
        <f>IF(R2529=1,0,0)</f>
        <v>0</v>
      </c>
      <c r="AA2529" s="54">
        <f t="shared" si="703"/>
        <v>0</v>
      </c>
      <c r="AB2529" s="55">
        <f t="shared" si="707"/>
        <v>0</v>
      </c>
      <c r="AC2529" s="55">
        <f t="shared" si="704"/>
        <v>0</v>
      </c>
      <c r="AD2529" s="56">
        <f t="shared" si="705"/>
        <v>6969.6</v>
      </c>
    </row>
    <row r="2530" spans="3:30">
      <c r="C2530" s="43" t="s">
        <v>4722</v>
      </c>
      <c r="D2530" s="44" t="s">
        <v>4723</v>
      </c>
      <c r="E2530" s="44"/>
      <c r="F2530" s="45">
        <v>43042.142280092594</v>
      </c>
      <c r="G2530" s="46">
        <v>10</v>
      </c>
      <c r="H2530" s="47">
        <v>43383</v>
      </c>
      <c r="I2530" s="47">
        <v>43411</v>
      </c>
      <c r="J2530" s="46">
        <v>212960</v>
      </c>
      <c r="K2530" s="46">
        <v>0</v>
      </c>
      <c r="L2530" s="46">
        <v>0</v>
      </c>
      <c r="M2530" s="46">
        <f t="shared" si="694"/>
        <v>212960</v>
      </c>
      <c r="N2530" s="46">
        <v>212960</v>
      </c>
      <c r="O2530" s="48">
        <f t="shared" si="695"/>
        <v>0</v>
      </c>
      <c r="P2530" s="46">
        <v>0</v>
      </c>
      <c r="Q2530" s="46">
        <v>212960</v>
      </c>
      <c r="R2530" s="49">
        <f t="shared" si="696"/>
        <v>1</v>
      </c>
      <c r="S2530" s="50">
        <f t="shared" si="697"/>
        <v>0.01</v>
      </c>
      <c r="T2530" s="49">
        <f t="shared" si="698"/>
        <v>2129.6</v>
      </c>
      <c r="U2530" s="51">
        <f t="shared" si="699"/>
        <v>0</v>
      </c>
      <c r="V2530" s="52">
        <f>IF(0&lt;0.8,0,IF(0&lt;1,Sheet3!L561,1))*IF(G2530&lt;3,0.12 - O2530,0.01) *U2530</f>
        <v>0</v>
      </c>
      <c r="W2530" s="52">
        <f t="shared" si="700"/>
        <v>0</v>
      </c>
      <c r="X2530" s="53">
        <f t="shared" si="701"/>
        <v>0</v>
      </c>
      <c r="Y2530" s="53">
        <f t="shared" si="702"/>
        <v>0</v>
      </c>
      <c r="Z2530" s="54">
        <f>IF(R2530=1,0,0)</f>
        <v>0</v>
      </c>
      <c r="AA2530" s="54">
        <f t="shared" si="703"/>
        <v>0</v>
      </c>
      <c r="AB2530" s="55">
        <f t="shared" si="707"/>
        <v>0</v>
      </c>
      <c r="AC2530" s="55">
        <f t="shared" si="704"/>
        <v>0</v>
      </c>
      <c r="AD2530" s="56">
        <f t="shared" si="705"/>
        <v>2129.6</v>
      </c>
    </row>
    <row r="2531" spans="3:30">
      <c r="C2531" s="43" t="s">
        <v>4724</v>
      </c>
      <c r="D2531" s="44" t="s">
        <v>4725</v>
      </c>
      <c r="E2531" s="44"/>
      <c r="F2531" s="45">
        <v>43081.303078703699</v>
      </c>
      <c r="G2531" s="46">
        <v>9</v>
      </c>
      <c r="H2531" s="47">
        <v>43383</v>
      </c>
      <c r="I2531" s="47">
        <v>43437</v>
      </c>
      <c r="J2531" s="46">
        <v>25512971</v>
      </c>
      <c r="K2531" s="46">
        <v>0</v>
      </c>
      <c r="L2531" s="46">
        <v>0</v>
      </c>
      <c r="M2531" s="46">
        <f t="shared" si="694"/>
        <v>25512971</v>
      </c>
      <c r="N2531" s="46">
        <v>29613156</v>
      </c>
      <c r="O2531" s="48">
        <f t="shared" si="695"/>
        <v>0.1384582244459186</v>
      </c>
      <c r="P2531" s="46">
        <v>0</v>
      </c>
      <c r="Q2531" s="46">
        <v>25512971</v>
      </c>
      <c r="R2531" s="49">
        <f t="shared" si="696"/>
        <v>1</v>
      </c>
      <c r="S2531" s="50">
        <f t="shared" si="697"/>
        <v>0.01</v>
      </c>
      <c r="T2531" s="49">
        <f t="shared" si="698"/>
        <v>255129.71</v>
      </c>
      <c r="U2531" s="51">
        <f t="shared" si="699"/>
        <v>0</v>
      </c>
      <c r="V2531" s="52">
        <f>IF(0&lt;0.8,0,IF(0&lt;1,Sheet3!L561,1))*IF(G2531&lt;3,0.12 - O2531,0.01) *U2531</f>
        <v>0</v>
      </c>
      <c r="W2531" s="52">
        <f t="shared" si="700"/>
        <v>0</v>
      </c>
      <c r="X2531" s="53">
        <f t="shared" si="701"/>
        <v>0</v>
      </c>
      <c r="Y2531" s="53">
        <f t="shared" si="702"/>
        <v>0</v>
      </c>
      <c r="Z2531" s="54">
        <f>IF(R2531=1,0,0)</f>
        <v>0</v>
      </c>
      <c r="AA2531" s="54">
        <f t="shared" si="703"/>
        <v>0</v>
      </c>
      <c r="AB2531" s="55">
        <f t="shared" si="707"/>
        <v>0</v>
      </c>
      <c r="AC2531" s="55">
        <f t="shared" si="704"/>
        <v>0</v>
      </c>
      <c r="AD2531" s="56">
        <f t="shared" si="705"/>
        <v>255129.71</v>
      </c>
    </row>
    <row r="2532" spans="3:30">
      <c r="C2532" s="43" t="s">
        <v>4726</v>
      </c>
      <c r="D2532" s="44" t="s">
        <v>4727</v>
      </c>
      <c r="E2532" s="44"/>
      <c r="F2532" s="45">
        <v>43088.403784722221</v>
      </c>
      <c r="G2532" s="46">
        <v>9</v>
      </c>
      <c r="H2532" s="47" t="s">
        <v>24</v>
      </c>
      <c r="I2532" s="47" t="s">
        <v>24</v>
      </c>
      <c r="J2532" s="46">
        <v>12378708</v>
      </c>
      <c r="K2532" s="46">
        <v>0</v>
      </c>
      <c r="L2532" s="46">
        <v>0</v>
      </c>
      <c r="M2532" s="46">
        <f t="shared" si="694"/>
        <v>12378708</v>
      </c>
      <c r="N2532" s="46">
        <v>12376848</v>
      </c>
      <c r="O2532" s="48">
        <f t="shared" si="695"/>
        <v>0</v>
      </c>
      <c r="P2532" s="46">
        <v>0</v>
      </c>
      <c r="Q2532" s="46">
        <v>0</v>
      </c>
      <c r="R2532" s="49">
        <f t="shared" si="696"/>
        <v>1</v>
      </c>
      <c r="S2532" s="50">
        <f t="shared" si="697"/>
        <v>0.01</v>
      </c>
      <c r="T2532" s="49">
        <f t="shared" si="698"/>
        <v>123787.08</v>
      </c>
      <c r="U2532" s="51">
        <f t="shared" si="699"/>
        <v>0</v>
      </c>
      <c r="V2532" s="52">
        <f>IF(0&lt;0.8,0,IF(0&lt;1,Sheet3!L561,1))*IF(G2532&lt;3,0.12 - O2532,0.01) *U2532</f>
        <v>0</v>
      </c>
      <c r="W2532" s="52">
        <f t="shared" si="700"/>
        <v>0</v>
      </c>
      <c r="X2532" s="53">
        <f t="shared" si="701"/>
        <v>0</v>
      </c>
      <c r="Y2532" s="53">
        <f t="shared" si="702"/>
        <v>0</v>
      </c>
      <c r="Z2532" s="54">
        <f>IF(R2532=1,0,"")</f>
        <v>0</v>
      </c>
      <c r="AA2532" s="54">
        <f t="shared" si="703"/>
        <v>0</v>
      </c>
      <c r="AB2532" s="55">
        <f>IF(R2532=0,"",0)</f>
        <v>0</v>
      </c>
      <c r="AC2532" s="55">
        <f t="shared" si="704"/>
        <v>0</v>
      </c>
      <c r="AD2532" s="56">
        <f t="shared" si="705"/>
        <v>123787.08</v>
      </c>
    </row>
    <row r="2533" spans="3:30">
      <c r="C2533" s="43" t="s">
        <v>4728</v>
      </c>
      <c r="D2533" s="44" t="s">
        <v>4729</v>
      </c>
      <c r="E2533" s="44"/>
      <c r="F2533" s="45">
        <v>43098.159710648149</v>
      </c>
      <c r="G2533" s="46">
        <v>9</v>
      </c>
      <c r="H2533" s="47">
        <v>43404</v>
      </c>
      <c r="I2533" s="47">
        <v>43431</v>
      </c>
      <c r="J2533" s="46">
        <v>11183123</v>
      </c>
      <c r="K2533" s="46">
        <v>433741</v>
      </c>
      <c r="L2533" s="46">
        <v>0</v>
      </c>
      <c r="M2533" s="46">
        <f t="shared" si="694"/>
        <v>10749382</v>
      </c>
      <c r="N2533" s="46">
        <v>11183353</v>
      </c>
      <c r="O2533" s="48">
        <f t="shared" si="695"/>
        <v>3.880508824142459E-2</v>
      </c>
      <c r="P2533" s="46">
        <v>0</v>
      </c>
      <c r="Q2533" s="46">
        <v>11183123</v>
      </c>
      <c r="R2533" s="49">
        <f t="shared" si="696"/>
        <v>1</v>
      </c>
      <c r="S2533" s="50">
        <f t="shared" si="697"/>
        <v>0.01</v>
      </c>
      <c r="T2533" s="49">
        <f t="shared" si="698"/>
        <v>107493.82</v>
      </c>
      <c r="U2533" s="51">
        <f t="shared" si="699"/>
        <v>0</v>
      </c>
      <c r="V2533" s="52">
        <f>IF(0&lt;0.8,0,IF(0&lt;1,Sheet3!L561,1))*IF(G2533&lt;3,0.12 - O2533,0.01) *U2533</f>
        <v>0</v>
      </c>
      <c r="W2533" s="52">
        <f t="shared" si="700"/>
        <v>0</v>
      </c>
      <c r="X2533" s="53">
        <f t="shared" si="701"/>
        <v>0</v>
      </c>
      <c r="Y2533" s="53">
        <f t="shared" si="702"/>
        <v>0</v>
      </c>
      <c r="Z2533" s="54">
        <f t="shared" ref="Z2533:Z2538" si="708">IF(R2533=1,0,0)</f>
        <v>0</v>
      </c>
      <c r="AA2533" s="54">
        <f t="shared" si="703"/>
        <v>0</v>
      </c>
      <c r="AB2533" s="55">
        <f t="shared" ref="AB2533:AB2538" si="709">IF(R2533=0,0,0)</f>
        <v>0</v>
      </c>
      <c r="AC2533" s="55">
        <f t="shared" si="704"/>
        <v>0</v>
      </c>
      <c r="AD2533" s="56">
        <f t="shared" si="705"/>
        <v>107493.82</v>
      </c>
    </row>
    <row r="2534" spans="3:30">
      <c r="C2534" s="43" t="s">
        <v>4730</v>
      </c>
      <c r="D2534" s="44" t="s">
        <v>4731</v>
      </c>
      <c r="E2534" s="44"/>
      <c r="F2534" s="45">
        <v>43196.134710648148</v>
      </c>
      <c r="G2534" s="46">
        <v>5</v>
      </c>
      <c r="H2534" s="47">
        <v>43403</v>
      </c>
      <c r="I2534" s="47">
        <v>43452</v>
      </c>
      <c r="J2534" s="46">
        <v>6862693</v>
      </c>
      <c r="K2534" s="46">
        <v>0</v>
      </c>
      <c r="L2534" s="46">
        <v>0</v>
      </c>
      <c r="M2534" s="46">
        <f t="shared" si="694"/>
        <v>6862693</v>
      </c>
      <c r="N2534" s="46">
        <v>7566880</v>
      </c>
      <c r="O2534" s="48">
        <f t="shared" si="695"/>
        <v>9.3061737466432648E-2</v>
      </c>
      <c r="P2534" s="46">
        <v>0</v>
      </c>
      <c r="Q2534" s="46">
        <v>6862693</v>
      </c>
      <c r="R2534" s="49">
        <f t="shared" si="696"/>
        <v>1</v>
      </c>
      <c r="S2534" s="50">
        <f t="shared" si="697"/>
        <v>0.01</v>
      </c>
      <c r="T2534" s="49">
        <f t="shared" si="698"/>
        <v>68626.930000000008</v>
      </c>
      <c r="U2534" s="51">
        <f t="shared" si="699"/>
        <v>0</v>
      </c>
      <c r="V2534" s="52">
        <f>IF(0&lt;0.8,0,IF(0&lt;1,Sheet3!L561,1))*IF(G2534&lt;3,0.12 - O2534,0.01) *U2534</f>
        <v>0</v>
      </c>
      <c r="W2534" s="52">
        <f t="shared" si="700"/>
        <v>0</v>
      </c>
      <c r="X2534" s="53">
        <f t="shared" si="701"/>
        <v>0</v>
      </c>
      <c r="Y2534" s="53">
        <f t="shared" si="702"/>
        <v>0</v>
      </c>
      <c r="Z2534" s="54">
        <f t="shared" si="708"/>
        <v>0</v>
      </c>
      <c r="AA2534" s="54">
        <f t="shared" si="703"/>
        <v>0</v>
      </c>
      <c r="AB2534" s="55">
        <f t="shared" si="709"/>
        <v>0</v>
      </c>
      <c r="AC2534" s="55">
        <f t="shared" si="704"/>
        <v>0</v>
      </c>
      <c r="AD2534" s="56">
        <f t="shared" si="705"/>
        <v>68626.930000000008</v>
      </c>
    </row>
    <row r="2535" spans="3:30">
      <c r="C2535" s="43" t="s">
        <v>4732</v>
      </c>
      <c r="D2535" s="44" t="s">
        <v>4733</v>
      </c>
      <c r="E2535" s="44"/>
      <c r="F2535" s="45">
        <v>43206.122245370367</v>
      </c>
      <c r="G2535" s="46">
        <v>5</v>
      </c>
      <c r="H2535" s="47">
        <v>43390</v>
      </c>
      <c r="I2535" s="47">
        <v>43423</v>
      </c>
      <c r="J2535" s="46">
        <v>204659</v>
      </c>
      <c r="K2535" s="46">
        <v>0</v>
      </c>
      <c r="L2535" s="46">
        <v>0</v>
      </c>
      <c r="M2535" s="46">
        <f t="shared" si="694"/>
        <v>204659</v>
      </c>
      <c r="N2535" s="46">
        <v>204659</v>
      </c>
      <c r="O2535" s="48">
        <f t="shared" si="695"/>
        <v>0</v>
      </c>
      <c r="P2535" s="46">
        <v>0</v>
      </c>
      <c r="Q2535" s="46">
        <v>204659</v>
      </c>
      <c r="R2535" s="49">
        <f t="shared" si="696"/>
        <v>1</v>
      </c>
      <c r="S2535" s="50">
        <f t="shared" si="697"/>
        <v>0.01</v>
      </c>
      <c r="T2535" s="49">
        <f t="shared" si="698"/>
        <v>2046.5900000000001</v>
      </c>
      <c r="U2535" s="51">
        <f t="shared" si="699"/>
        <v>0</v>
      </c>
      <c r="V2535" s="52">
        <f>IF(0&lt;0.8,0,IF(0&lt;1,Sheet3!L561,1))*IF(G2535&lt;3,0.12 - O2535,0.01) *U2535</f>
        <v>0</v>
      </c>
      <c r="W2535" s="52">
        <f t="shared" si="700"/>
        <v>0</v>
      </c>
      <c r="X2535" s="53">
        <f t="shared" si="701"/>
        <v>0</v>
      </c>
      <c r="Y2535" s="53">
        <f t="shared" si="702"/>
        <v>0</v>
      </c>
      <c r="Z2535" s="54">
        <f t="shared" si="708"/>
        <v>0</v>
      </c>
      <c r="AA2535" s="54">
        <f t="shared" si="703"/>
        <v>0</v>
      </c>
      <c r="AB2535" s="55">
        <f t="shared" si="709"/>
        <v>0</v>
      </c>
      <c r="AC2535" s="55">
        <f t="shared" si="704"/>
        <v>0</v>
      </c>
      <c r="AD2535" s="56">
        <f t="shared" si="705"/>
        <v>2046.5900000000001</v>
      </c>
    </row>
    <row r="2536" spans="3:30">
      <c r="C2536" s="43" t="s">
        <v>4734</v>
      </c>
      <c r="D2536" s="44" t="s">
        <v>4735</v>
      </c>
      <c r="E2536" s="44"/>
      <c r="F2536" s="45">
        <v>43223.214988425927</v>
      </c>
      <c r="G2536" s="46">
        <v>4</v>
      </c>
      <c r="H2536" s="47" t="s">
        <v>24</v>
      </c>
      <c r="I2536" s="47" t="s">
        <v>24</v>
      </c>
      <c r="J2536" s="46">
        <v>52000</v>
      </c>
      <c r="K2536" s="46">
        <v>0</v>
      </c>
      <c r="L2536" s="46">
        <v>0</v>
      </c>
      <c r="M2536" s="46">
        <f t="shared" si="694"/>
        <v>52000</v>
      </c>
      <c r="N2536" s="46">
        <v>51244</v>
      </c>
      <c r="O2536" s="48">
        <f t="shared" si="695"/>
        <v>0</v>
      </c>
      <c r="P2536" s="46">
        <v>0</v>
      </c>
      <c r="Q2536" s="46">
        <v>52000</v>
      </c>
      <c r="R2536" s="49">
        <f t="shared" si="696"/>
        <v>1</v>
      </c>
      <c r="S2536" s="50">
        <f t="shared" si="697"/>
        <v>0.01</v>
      </c>
      <c r="T2536" s="49">
        <f t="shared" si="698"/>
        <v>520</v>
      </c>
      <c r="U2536" s="51">
        <f t="shared" si="699"/>
        <v>0</v>
      </c>
      <c r="V2536" s="52">
        <f>IF(0&lt;0.8,0,IF(0&lt;1,Sheet3!L561,1))*IF(G2536&lt;3,0.12 - O2536,0.01) *U2536</f>
        <v>0</v>
      </c>
      <c r="W2536" s="52">
        <f t="shared" si="700"/>
        <v>0</v>
      </c>
      <c r="X2536" s="53">
        <f t="shared" si="701"/>
        <v>0</v>
      </c>
      <c r="Y2536" s="53">
        <f t="shared" si="702"/>
        <v>0</v>
      </c>
      <c r="Z2536" s="54">
        <f t="shared" si="708"/>
        <v>0</v>
      </c>
      <c r="AA2536" s="54">
        <f t="shared" si="703"/>
        <v>0</v>
      </c>
      <c r="AB2536" s="55">
        <f t="shared" si="709"/>
        <v>0</v>
      </c>
      <c r="AC2536" s="55">
        <f t="shared" si="704"/>
        <v>0</v>
      </c>
      <c r="AD2536" s="56">
        <f t="shared" si="705"/>
        <v>520</v>
      </c>
    </row>
    <row r="2537" spans="3:30">
      <c r="C2537" s="43" t="s">
        <v>4736</v>
      </c>
      <c r="D2537" s="44" t="s">
        <v>4737</v>
      </c>
      <c r="E2537" s="44"/>
      <c r="F2537" s="45">
        <v>43257.399583333332</v>
      </c>
      <c r="G2537" s="46">
        <v>3</v>
      </c>
      <c r="H2537" s="47">
        <v>43424</v>
      </c>
      <c r="I2537" s="47">
        <v>43453</v>
      </c>
      <c r="J2537" s="46">
        <v>683474093</v>
      </c>
      <c r="K2537" s="46">
        <v>89572724</v>
      </c>
      <c r="L2537" s="46">
        <v>0</v>
      </c>
      <c r="M2537" s="46">
        <f t="shared" si="694"/>
        <v>593901369</v>
      </c>
      <c r="N2537" s="46">
        <v>645166762</v>
      </c>
      <c r="O2537" s="48">
        <f t="shared" si="695"/>
        <v>7.9460685235982487E-2</v>
      </c>
      <c r="P2537" s="46">
        <v>0</v>
      </c>
      <c r="Q2537" s="46">
        <v>0</v>
      </c>
      <c r="R2537" s="49">
        <f t="shared" si="696"/>
        <v>1</v>
      </c>
      <c r="S2537" s="50">
        <f t="shared" si="697"/>
        <v>0.01</v>
      </c>
      <c r="T2537" s="49">
        <f t="shared" si="698"/>
        <v>5939013.6900000004</v>
      </c>
      <c r="U2537" s="51">
        <f t="shared" si="699"/>
        <v>0</v>
      </c>
      <c r="V2537" s="52">
        <f>IF(0&lt;0.8,0,IF(0&lt;1,Sheet3!L561,1))*IF(G2537&lt;3,0.12 - O2537,0.01) *U2537</f>
        <v>0</v>
      </c>
      <c r="W2537" s="52">
        <f t="shared" si="700"/>
        <v>0</v>
      </c>
      <c r="X2537" s="53">
        <f t="shared" si="701"/>
        <v>0</v>
      </c>
      <c r="Y2537" s="53">
        <f t="shared" si="702"/>
        <v>0</v>
      </c>
      <c r="Z2537" s="54">
        <f t="shared" si="708"/>
        <v>0</v>
      </c>
      <c r="AA2537" s="54">
        <f t="shared" si="703"/>
        <v>0</v>
      </c>
      <c r="AB2537" s="55">
        <f t="shared" si="709"/>
        <v>0</v>
      </c>
      <c r="AC2537" s="55">
        <f t="shared" si="704"/>
        <v>0</v>
      </c>
      <c r="AD2537" s="56">
        <f t="shared" si="705"/>
        <v>5939013.6900000004</v>
      </c>
    </row>
    <row r="2538" spans="3:30">
      <c r="C2538" s="43" t="s">
        <v>4738</v>
      </c>
      <c r="D2538" s="44" t="s">
        <v>4739</v>
      </c>
      <c r="E2538" s="44"/>
      <c r="F2538" s="45">
        <v>43271.201701388884</v>
      </c>
      <c r="G2538" s="46">
        <v>3</v>
      </c>
      <c r="H2538" s="47">
        <v>43431</v>
      </c>
      <c r="I2538" s="47">
        <v>43440</v>
      </c>
      <c r="J2538" s="46">
        <v>16425000</v>
      </c>
      <c r="K2538" s="46">
        <v>5025000</v>
      </c>
      <c r="L2538" s="46">
        <v>0</v>
      </c>
      <c r="M2538" s="46">
        <f t="shared" si="694"/>
        <v>11400000</v>
      </c>
      <c r="N2538" s="46">
        <v>29232935</v>
      </c>
      <c r="O2538" s="48">
        <f t="shared" si="695"/>
        <v>0.6100288937802516</v>
      </c>
      <c r="P2538" s="46">
        <v>0</v>
      </c>
      <c r="Q2538" s="46">
        <v>0</v>
      </c>
      <c r="R2538" s="49">
        <f t="shared" si="696"/>
        <v>1</v>
      </c>
      <c r="S2538" s="50">
        <f t="shared" si="697"/>
        <v>0.01</v>
      </c>
      <c r="T2538" s="49">
        <f t="shared" si="698"/>
        <v>114000</v>
      </c>
      <c r="U2538" s="51">
        <f t="shared" si="699"/>
        <v>0</v>
      </c>
      <c r="V2538" s="52">
        <f>IF(0&lt;0.8,0,IF(0&lt;1,Sheet3!L561,1))*IF(G2538&lt;3,0.12 - O2538,0.01) *U2538</f>
        <v>0</v>
      </c>
      <c r="W2538" s="52">
        <f t="shared" si="700"/>
        <v>0</v>
      </c>
      <c r="X2538" s="53">
        <f t="shared" si="701"/>
        <v>0</v>
      </c>
      <c r="Y2538" s="53">
        <f t="shared" si="702"/>
        <v>0</v>
      </c>
      <c r="Z2538" s="54">
        <f t="shared" si="708"/>
        <v>0</v>
      </c>
      <c r="AA2538" s="54">
        <f t="shared" si="703"/>
        <v>0</v>
      </c>
      <c r="AB2538" s="55">
        <f t="shared" si="709"/>
        <v>0</v>
      </c>
      <c r="AC2538" s="55">
        <f t="shared" si="704"/>
        <v>0</v>
      </c>
      <c r="AD2538" s="56">
        <f t="shared" si="705"/>
        <v>114000</v>
      </c>
    </row>
    <row r="2539" spans="3:30">
      <c r="C2539" s="43" t="s">
        <v>4740</v>
      </c>
      <c r="D2539" s="44" t="s">
        <v>4741</v>
      </c>
      <c r="E2539" s="44"/>
      <c r="F2539" s="45">
        <v>43304.166539351849</v>
      </c>
      <c r="G2539" s="46">
        <v>2</v>
      </c>
      <c r="H2539" s="47" t="s">
        <v>24</v>
      </c>
      <c r="I2539" s="47" t="s">
        <v>24</v>
      </c>
      <c r="J2539" s="46">
        <v>914986</v>
      </c>
      <c r="K2539" s="46">
        <v>0</v>
      </c>
      <c r="L2539" s="46">
        <v>0</v>
      </c>
      <c r="M2539" s="46">
        <f t="shared" si="694"/>
        <v>914986</v>
      </c>
      <c r="N2539" s="46" t="s">
        <v>24</v>
      </c>
      <c r="O2539" s="48">
        <f t="shared" si="695"/>
        <v>0</v>
      </c>
      <c r="P2539" s="46">
        <v>0</v>
      </c>
      <c r="Q2539" s="46">
        <v>0</v>
      </c>
      <c r="R2539" s="49">
        <f t="shared" si="696"/>
        <v>0</v>
      </c>
      <c r="S2539" s="50">
        <f t="shared" si="697"/>
        <v>0</v>
      </c>
      <c r="T2539" s="49">
        <f t="shared" si="698"/>
        <v>0</v>
      </c>
      <c r="U2539" s="51">
        <f t="shared" si="699"/>
        <v>914986</v>
      </c>
      <c r="V2539" s="52">
        <f>IF(0&lt;0.8,0,IF(0&lt;1,Sheet3!L561,1))*IF(G2539&lt;3,0.12 - O2539,0.01) *U2539</f>
        <v>0</v>
      </c>
      <c r="W2539" s="52">
        <f t="shared" si="700"/>
        <v>0</v>
      </c>
      <c r="X2539" s="53">
        <f t="shared" si="701"/>
        <v>0</v>
      </c>
      <c r="Y2539" s="53">
        <f t="shared" si="702"/>
        <v>0</v>
      </c>
      <c r="Z2539" s="54" t="str">
        <f>IF(R2539=1,0,"")</f>
        <v/>
      </c>
      <c r="AA2539" s="54">
        <f t="shared" si="703"/>
        <v>0</v>
      </c>
      <c r="AB2539" s="55" t="str">
        <f>IF(R2539=0,"",0)</f>
        <v/>
      </c>
      <c r="AC2539" s="55">
        <f t="shared" si="704"/>
        <v>0</v>
      </c>
      <c r="AD2539" s="56">
        <f t="shared" si="705"/>
        <v>0</v>
      </c>
    </row>
    <row r="2540" spans="3:30">
      <c r="C2540" s="43" t="s">
        <v>4742</v>
      </c>
      <c r="D2540" s="44" t="s">
        <v>4743</v>
      </c>
      <c r="E2540" s="44"/>
      <c r="F2540" s="45">
        <v>43329.337268518517</v>
      </c>
      <c r="G2540" s="46">
        <v>1</v>
      </c>
      <c r="H2540" s="47" t="s">
        <v>24</v>
      </c>
      <c r="I2540" s="47" t="s">
        <v>24</v>
      </c>
      <c r="J2540" s="46">
        <v>305318926</v>
      </c>
      <c r="K2540" s="46">
        <v>0</v>
      </c>
      <c r="L2540" s="46">
        <v>0</v>
      </c>
      <c r="M2540" s="46">
        <f t="shared" si="694"/>
        <v>305318926</v>
      </c>
      <c r="N2540" s="46">
        <v>338476497</v>
      </c>
      <c r="O2540" s="48">
        <f t="shared" si="695"/>
        <v>9.7961221218854644E-2</v>
      </c>
      <c r="P2540" s="46">
        <v>0</v>
      </c>
      <c r="Q2540" s="46">
        <v>0</v>
      </c>
      <c r="R2540" s="49">
        <f t="shared" si="696"/>
        <v>0</v>
      </c>
      <c r="S2540" s="50">
        <f t="shared" si="697"/>
        <v>0</v>
      </c>
      <c r="T2540" s="49">
        <f t="shared" si="698"/>
        <v>0</v>
      </c>
      <c r="U2540" s="51">
        <f t="shared" si="699"/>
        <v>305318926</v>
      </c>
      <c r="V2540" s="52">
        <f>IF(0&lt;0.8,0,IF(0&lt;1,Sheet3!L561,1))*IF(G2540&lt;3,0.12 - O2540,0.01) *U2540</f>
        <v>0</v>
      </c>
      <c r="W2540" s="52">
        <f t="shared" si="700"/>
        <v>0</v>
      </c>
      <c r="X2540" s="53">
        <f t="shared" si="701"/>
        <v>0</v>
      </c>
      <c r="Y2540" s="53">
        <f t="shared" si="702"/>
        <v>0</v>
      </c>
      <c r="Z2540" s="54">
        <f t="shared" ref="Z2540:Z2582" si="710">IF(R2540=1,0,0)</f>
        <v>0</v>
      </c>
      <c r="AA2540" s="54">
        <f t="shared" si="703"/>
        <v>0</v>
      </c>
      <c r="AB2540" s="55">
        <f t="shared" ref="AB2540:AB2561" si="711">IF(R2540=0,0,0)</f>
        <v>0</v>
      </c>
      <c r="AC2540" s="55">
        <f t="shared" si="704"/>
        <v>0</v>
      </c>
      <c r="AD2540" s="56">
        <f t="shared" si="705"/>
        <v>0</v>
      </c>
    </row>
    <row r="2541" spans="3:30">
      <c r="C2541" s="43" t="s">
        <v>4744</v>
      </c>
      <c r="D2541" s="44" t="s">
        <v>4745</v>
      </c>
      <c r="E2541" s="44"/>
      <c r="F2541" s="45">
        <v>43329.342361111107</v>
      </c>
      <c r="G2541" s="46">
        <v>1</v>
      </c>
      <c r="H2541" s="47">
        <v>43390</v>
      </c>
      <c r="I2541" s="47">
        <v>43423</v>
      </c>
      <c r="J2541" s="46">
        <v>309320</v>
      </c>
      <c r="K2541" s="46">
        <v>0</v>
      </c>
      <c r="L2541" s="46">
        <v>0</v>
      </c>
      <c r="M2541" s="46">
        <f t="shared" si="694"/>
        <v>309320</v>
      </c>
      <c r="N2541" s="46">
        <v>348777</v>
      </c>
      <c r="O2541" s="48">
        <f t="shared" si="695"/>
        <v>0.11312959283438984</v>
      </c>
      <c r="P2541" s="46">
        <v>0</v>
      </c>
      <c r="Q2541" s="46">
        <v>0</v>
      </c>
      <c r="R2541" s="49">
        <f t="shared" si="696"/>
        <v>0</v>
      </c>
      <c r="S2541" s="50">
        <f t="shared" si="697"/>
        <v>0</v>
      </c>
      <c r="T2541" s="49">
        <f t="shared" si="698"/>
        <v>0</v>
      </c>
      <c r="U2541" s="51">
        <f t="shared" si="699"/>
        <v>309320</v>
      </c>
      <c r="V2541" s="52">
        <f>IF(0&lt;0.8,0,IF(0&lt;1,Sheet3!L561,1))*IF(G2541&lt;3,0.12 - O2541,0.01) *U2541</f>
        <v>0</v>
      </c>
      <c r="W2541" s="52">
        <f t="shared" si="700"/>
        <v>0</v>
      </c>
      <c r="X2541" s="53">
        <f t="shared" si="701"/>
        <v>0</v>
      </c>
      <c r="Y2541" s="53">
        <f t="shared" si="702"/>
        <v>0</v>
      </c>
      <c r="Z2541" s="54">
        <f t="shared" si="710"/>
        <v>0</v>
      </c>
      <c r="AA2541" s="54">
        <f t="shared" si="703"/>
        <v>0</v>
      </c>
      <c r="AB2541" s="55">
        <f t="shared" si="711"/>
        <v>0</v>
      </c>
      <c r="AC2541" s="55">
        <f t="shared" si="704"/>
        <v>0</v>
      </c>
      <c r="AD2541" s="56">
        <f t="shared" si="705"/>
        <v>0</v>
      </c>
    </row>
    <row r="2542" spans="3:30">
      <c r="C2542" s="43" t="s">
        <v>4746</v>
      </c>
      <c r="D2542" s="44" t="s">
        <v>4747</v>
      </c>
      <c r="E2542" s="44"/>
      <c r="F2542" s="45">
        <v>43335.184108796297</v>
      </c>
      <c r="G2542" s="46">
        <v>1</v>
      </c>
      <c r="H2542" s="47">
        <v>43383</v>
      </c>
      <c r="I2542" s="47">
        <v>43406</v>
      </c>
      <c r="J2542" s="46">
        <v>4289297</v>
      </c>
      <c r="K2542" s="46">
        <v>0</v>
      </c>
      <c r="L2542" s="46">
        <v>0</v>
      </c>
      <c r="M2542" s="46">
        <f t="shared" si="694"/>
        <v>4289297</v>
      </c>
      <c r="N2542" s="46">
        <v>4275987</v>
      </c>
      <c r="O2542" s="48">
        <f t="shared" si="695"/>
        <v>0</v>
      </c>
      <c r="P2542" s="46">
        <v>0</v>
      </c>
      <c r="Q2542" s="46">
        <v>0</v>
      </c>
      <c r="R2542" s="49">
        <f t="shared" si="696"/>
        <v>0</v>
      </c>
      <c r="S2542" s="50">
        <f t="shared" si="697"/>
        <v>0</v>
      </c>
      <c r="T2542" s="49">
        <f t="shared" si="698"/>
        <v>0</v>
      </c>
      <c r="U2542" s="51">
        <f t="shared" si="699"/>
        <v>4289297</v>
      </c>
      <c r="V2542" s="52">
        <f>IF(0&lt;0.8,0,IF(0&lt;1,Sheet3!L561,1))*IF(G2542&lt;3,0.12 - O2542,0.01) *U2542</f>
        <v>0</v>
      </c>
      <c r="W2542" s="52">
        <f t="shared" si="700"/>
        <v>0</v>
      </c>
      <c r="X2542" s="53">
        <f t="shared" si="701"/>
        <v>0</v>
      </c>
      <c r="Y2542" s="53">
        <f t="shared" si="702"/>
        <v>0</v>
      </c>
      <c r="Z2542" s="54">
        <f t="shared" si="710"/>
        <v>0</v>
      </c>
      <c r="AA2542" s="54">
        <f t="shared" si="703"/>
        <v>0</v>
      </c>
      <c r="AB2542" s="55">
        <f t="shared" si="711"/>
        <v>0</v>
      </c>
      <c r="AC2542" s="55">
        <f t="shared" si="704"/>
        <v>0</v>
      </c>
      <c r="AD2542" s="56">
        <f t="shared" si="705"/>
        <v>0</v>
      </c>
    </row>
    <row r="2543" spans="3:30">
      <c r="C2543" s="43" t="s">
        <v>4748</v>
      </c>
      <c r="D2543" s="44" t="s">
        <v>4749</v>
      </c>
      <c r="E2543" s="44"/>
      <c r="F2543" s="45">
        <v>43355.179398148146</v>
      </c>
      <c r="G2543" s="46">
        <v>0</v>
      </c>
      <c r="H2543" s="47">
        <v>43390</v>
      </c>
      <c r="I2543" s="47">
        <v>43424</v>
      </c>
      <c r="J2543" s="46">
        <v>1318154</v>
      </c>
      <c r="K2543" s="46">
        <v>0</v>
      </c>
      <c r="L2543" s="46">
        <v>0</v>
      </c>
      <c r="M2543" s="46">
        <f t="shared" si="694"/>
        <v>1318154</v>
      </c>
      <c r="N2543" s="46">
        <v>1318154</v>
      </c>
      <c r="O2543" s="48">
        <f t="shared" si="695"/>
        <v>0</v>
      </c>
      <c r="P2543" s="46">
        <v>0</v>
      </c>
      <c r="Q2543" s="46">
        <v>0</v>
      </c>
      <c r="R2543" s="49">
        <f t="shared" si="696"/>
        <v>0</v>
      </c>
      <c r="S2543" s="50">
        <f t="shared" si="697"/>
        <v>0</v>
      </c>
      <c r="T2543" s="49">
        <f t="shared" si="698"/>
        <v>0</v>
      </c>
      <c r="U2543" s="51">
        <f t="shared" si="699"/>
        <v>1318154</v>
      </c>
      <c r="V2543" s="52">
        <f>IF(0&lt;0.8,0,IF(0&lt;1,Sheet3!L561,1))*IF(G2543&lt;3,0.12 - O2543,0.01) *U2543</f>
        <v>0</v>
      </c>
      <c r="W2543" s="52">
        <f t="shared" si="700"/>
        <v>0</v>
      </c>
      <c r="X2543" s="53">
        <f t="shared" si="701"/>
        <v>0</v>
      </c>
      <c r="Y2543" s="53">
        <f t="shared" si="702"/>
        <v>0</v>
      </c>
      <c r="Z2543" s="54">
        <f t="shared" si="710"/>
        <v>0</v>
      </c>
      <c r="AA2543" s="54">
        <f t="shared" si="703"/>
        <v>0</v>
      </c>
      <c r="AB2543" s="55">
        <f t="shared" si="711"/>
        <v>0</v>
      </c>
      <c r="AC2543" s="55">
        <f t="shared" si="704"/>
        <v>0</v>
      </c>
      <c r="AD2543" s="56">
        <f t="shared" si="705"/>
        <v>0</v>
      </c>
    </row>
    <row r="2544" spans="3:30">
      <c r="C2544" s="43" t="s">
        <v>4750</v>
      </c>
      <c r="D2544" s="44" t="s">
        <v>4751</v>
      </c>
      <c r="E2544" s="44"/>
      <c r="F2544" s="45">
        <v>38960.63826388889</v>
      </c>
      <c r="G2544" s="46">
        <v>145</v>
      </c>
      <c r="H2544" s="47">
        <v>43390</v>
      </c>
      <c r="I2544" s="47">
        <v>43397</v>
      </c>
      <c r="J2544" s="46">
        <v>245025</v>
      </c>
      <c r="K2544" s="46">
        <v>0</v>
      </c>
      <c r="L2544" s="46">
        <v>0</v>
      </c>
      <c r="M2544" s="46">
        <f t="shared" si="694"/>
        <v>245025</v>
      </c>
      <c r="N2544" s="46">
        <v>245025</v>
      </c>
      <c r="O2544" s="48">
        <f t="shared" si="695"/>
        <v>0</v>
      </c>
      <c r="P2544" s="46">
        <v>0</v>
      </c>
      <c r="Q2544" s="46">
        <v>245025</v>
      </c>
      <c r="R2544" s="49">
        <f t="shared" si="696"/>
        <v>1</v>
      </c>
      <c r="S2544" s="50">
        <f t="shared" si="697"/>
        <v>0.01</v>
      </c>
      <c r="T2544" s="49">
        <f t="shared" si="698"/>
        <v>2450.25</v>
      </c>
      <c r="U2544" s="51">
        <f t="shared" si="699"/>
        <v>0</v>
      </c>
      <c r="V2544" s="52">
        <f>IF(0&lt;0.8,0,IF(0&lt;1,Sheet3!L561,1))*IF(G2544&lt;3,0.12 - O2544,0.01) *U2544</f>
        <v>0</v>
      </c>
      <c r="W2544" s="52">
        <f t="shared" si="700"/>
        <v>0</v>
      </c>
      <c r="X2544" s="53">
        <f t="shared" si="701"/>
        <v>0</v>
      </c>
      <c r="Y2544" s="53">
        <f t="shared" si="702"/>
        <v>0</v>
      </c>
      <c r="Z2544" s="54">
        <f t="shared" si="710"/>
        <v>0</v>
      </c>
      <c r="AA2544" s="54">
        <f t="shared" si="703"/>
        <v>0</v>
      </c>
      <c r="AB2544" s="55">
        <f t="shared" si="711"/>
        <v>0</v>
      </c>
      <c r="AC2544" s="55">
        <f t="shared" si="704"/>
        <v>0</v>
      </c>
      <c r="AD2544" s="56">
        <f t="shared" si="705"/>
        <v>2450.25</v>
      </c>
    </row>
    <row r="2545" spans="3:30">
      <c r="C2545" s="43" t="s">
        <v>4752</v>
      </c>
      <c r="D2545" s="44" t="s">
        <v>4753</v>
      </c>
      <c r="E2545" s="44"/>
      <c r="F2545" s="45">
        <v>38960.638275462959</v>
      </c>
      <c r="G2545" s="46">
        <v>145</v>
      </c>
      <c r="H2545" s="47">
        <v>43396</v>
      </c>
      <c r="I2545" s="47">
        <v>43417</v>
      </c>
      <c r="J2545" s="46">
        <v>1341890</v>
      </c>
      <c r="K2545" s="46">
        <v>0</v>
      </c>
      <c r="L2545" s="46">
        <v>0</v>
      </c>
      <c r="M2545" s="46">
        <f t="shared" si="694"/>
        <v>1341890</v>
      </c>
      <c r="N2545" s="46">
        <v>1341890</v>
      </c>
      <c r="O2545" s="48">
        <f t="shared" si="695"/>
        <v>0</v>
      </c>
      <c r="P2545" s="46">
        <v>0</v>
      </c>
      <c r="Q2545" s="46">
        <v>1341890</v>
      </c>
      <c r="R2545" s="49">
        <f t="shared" si="696"/>
        <v>1</v>
      </c>
      <c r="S2545" s="50">
        <f t="shared" si="697"/>
        <v>0.01</v>
      </c>
      <c r="T2545" s="49">
        <f t="shared" si="698"/>
        <v>13418.9</v>
      </c>
      <c r="U2545" s="51">
        <f t="shared" si="699"/>
        <v>0</v>
      </c>
      <c r="V2545" s="52">
        <f>IF(0&lt;0.8,0,IF(0&lt;1,Sheet3!L561,1))*IF(G2545&lt;3,0.12 - O2545,0.01) *U2545</f>
        <v>0</v>
      </c>
      <c r="W2545" s="52">
        <f t="shared" si="700"/>
        <v>0</v>
      </c>
      <c r="X2545" s="53">
        <f t="shared" si="701"/>
        <v>0</v>
      </c>
      <c r="Y2545" s="53">
        <f t="shared" si="702"/>
        <v>0</v>
      </c>
      <c r="Z2545" s="54">
        <f t="shared" si="710"/>
        <v>0</v>
      </c>
      <c r="AA2545" s="54">
        <f t="shared" si="703"/>
        <v>0</v>
      </c>
      <c r="AB2545" s="55">
        <f t="shared" si="711"/>
        <v>0</v>
      </c>
      <c r="AC2545" s="55">
        <f t="shared" si="704"/>
        <v>0</v>
      </c>
      <c r="AD2545" s="56">
        <f t="shared" si="705"/>
        <v>13418.9</v>
      </c>
    </row>
    <row r="2546" spans="3:30">
      <c r="C2546" s="43" t="s">
        <v>4754</v>
      </c>
      <c r="D2546" s="44" t="s">
        <v>4755</v>
      </c>
      <c r="E2546" s="44"/>
      <c r="F2546" s="45">
        <v>38960.638287037036</v>
      </c>
      <c r="G2546" s="46">
        <v>145</v>
      </c>
      <c r="H2546" s="47">
        <v>43390</v>
      </c>
      <c r="I2546" s="47">
        <v>43427</v>
      </c>
      <c r="J2546" s="46">
        <v>1718490</v>
      </c>
      <c r="K2546" s="46">
        <v>0</v>
      </c>
      <c r="L2546" s="46">
        <v>0</v>
      </c>
      <c r="M2546" s="46">
        <f t="shared" si="694"/>
        <v>1718490</v>
      </c>
      <c r="N2546" s="46">
        <v>1718490</v>
      </c>
      <c r="O2546" s="48">
        <f t="shared" si="695"/>
        <v>0</v>
      </c>
      <c r="P2546" s="46">
        <v>0</v>
      </c>
      <c r="Q2546" s="46">
        <v>1718490</v>
      </c>
      <c r="R2546" s="49">
        <f t="shared" si="696"/>
        <v>1</v>
      </c>
      <c r="S2546" s="50">
        <f t="shared" si="697"/>
        <v>0.01</v>
      </c>
      <c r="T2546" s="49">
        <f t="shared" si="698"/>
        <v>17184.900000000001</v>
      </c>
      <c r="U2546" s="51">
        <f t="shared" si="699"/>
        <v>0</v>
      </c>
      <c r="V2546" s="52">
        <f>IF(0&lt;0.8,0,IF(0&lt;1,Sheet3!L561,1))*IF(G2546&lt;3,0.12 - O2546,0.01) *U2546</f>
        <v>0</v>
      </c>
      <c r="W2546" s="52">
        <f t="shared" si="700"/>
        <v>0</v>
      </c>
      <c r="X2546" s="53">
        <f t="shared" si="701"/>
        <v>0</v>
      </c>
      <c r="Y2546" s="53">
        <f t="shared" si="702"/>
        <v>0</v>
      </c>
      <c r="Z2546" s="54">
        <f t="shared" si="710"/>
        <v>0</v>
      </c>
      <c r="AA2546" s="54">
        <f t="shared" si="703"/>
        <v>0</v>
      </c>
      <c r="AB2546" s="55">
        <f t="shared" si="711"/>
        <v>0</v>
      </c>
      <c r="AC2546" s="55">
        <f t="shared" si="704"/>
        <v>0</v>
      </c>
      <c r="AD2546" s="56">
        <f t="shared" si="705"/>
        <v>17184.900000000001</v>
      </c>
    </row>
    <row r="2547" spans="3:30">
      <c r="C2547" s="43" t="s">
        <v>4756</v>
      </c>
      <c r="D2547" s="44" t="s">
        <v>4757</v>
      </c>
      <c r="E2547" s="44"/>
      <c r="F2547" s="45">
        <v>38960.638287037036</v>
      </c>
      <c r="G2547" s="46">
        <v>145</v>
      </c>
      <c r="H2547" s="47">
        <v>43390</v>
      </c>
      <c r="I2547" s="47">
        <v>43398</v>
      </c>
      <c r="J2547" s="46">
        <v>191000</v>
      </c>
      <c r="K2547" s="46">
        <v>0</v>
      </c>
      <c r="L2547" s="46">
        <v>0</v>
      </c>
      <c r="M2547" s="46">
        <f t="shared" ref="M2547:M2610" si="712">IFERROR(J2547-K2547-L2547,0)</f>
        <v>191000</v>
      </c>
      <c r="N2547" s="46">
        <v>186824</v>
      </c>
      <c r="O2547" s="48">
        <f t="shared" ref="O2547:O2610" si="713">IFERROR(IF(1 - M2547/N2547&lt;0,0,1-M2547/N2547),0)</f>
        <v>0</v>
      </c>
      <c r="P2547" s="46">
        <v>0</v>
      </c>
      <c r="Q2547" s="46">
        <v>191000</v>
      </c>
      <c r="R2547" s="49">
        <f t="shared" ref="R2547:R2610" si="714">IF(F2547&lt;DATEVALUE("2018-07-01"),1,0)</f>
        <v>1</v>
      </c>
      <c r="S2547" s="50">
        <f t="shared" ref="S2547:S2610" si="715">IF(R2547=1,1%,0)</f>
        <v>0.01</v>
      </c>
      <c r="T2547" s="49">
        <f t="shared" ref="T2547:T2610" si="716">IFERROR(S2547*M2547,0)</f>
        <v>1910</v>
      </c>
      <c r="U2547" s="51">
        <f t="shared" ref="U2547:U2610" si="717">IF(O2547&lt;=0.12,1,0)*(1-R2547)*M2547</f>
        <v>0</v>
      </c>
      <c r="V2547" s="52">
        <f>IF(0&lt;0.8,0,IF(0&lt;1,Sheet3!L561,1))*IF(G2547&lt;3,0.12 - O2547,0.01) *U2547</f>
        <v>0</v>
      </c>
      <c r="W2547" s="52">
        <f t="shared" ref="W2547:W2610" si="718">IF(0&gt;1,IF(0&lt;=1.1,1,IF(0&lt;=1.2,2,IF(0&lt;=1.5,3,5))),0) * 1000000</f>
        <v>0</v>
      </c>
      <c r="X2547" s="53">
        <f t="shared" ref="X2547:X2610" si="719">IF(AND(P2547&gt;=150000000,P2547&lt;300000000),5000000,IF(AND(P2547&gt;=300000000,P2547&lt;500000000),10000000,IF(AND(P2547&gt;=300000000,P2547&lt;500000000),15000000,IF(AND(P2547&gt;=500000000,P2547&lt;3000000000),20000000,IF(P2547&gt;=30000000000,35000000,0))))) * (1-R2547)</f>
        <v>0</v>
      </c>
      <c r="Y2547" s="53">
        <f t="shared" ref="Y2547:Y2610" si="720">IFERROR(Q2547 * (1-R2547),0)</f>
        <v>0</v>
      </c>
      <c r="Z2547" s="54">
        <f t="shared" si="710"/>
        <v>0</v>
      </c>
      <c r="AA2547" s="54">
        <f t="shared" ref="AA2547:AA2610" si="721">IFERROR((1-R2547) * Z2547 * 2%,0)</f>
        <v>0</v>
      </c>
      <c r="AB2547" s="55">
        <f t="shared" si="711"/>
        <v>0</v>
      </c>
      <c r="AC2547" s="55">
        <f t="shared" ref="AC2547:AC2610" si="722">IFERROR(AB2547 * (1-R2547) * 2%,0)</f>
        <v>0</v>
      </c>
      <c r="AD2547" s="56">
        <f t="shared" ref="AD2547:AD2610" si="723">T2547+V2547+W2547+X2547+AA2547+AC2547</f>
        <v>1910</v>
      </c>
    </row>
    <row r="2548" spans="3:30">
      <c r="C2548" s="43" t="s">
        <v>4758</v>
      </c>
      <c r="D2548" s="44" t="s">
        <v>4759</v>
      </c>
      <c r="E2548" s="44"/>
      <c r="F2548" s="45">
        <v>38960.638298611113</v>
      </c>
      <c r="G2548" s="46">
        <v>145</v>
      </c>
      <c r="H2548" s="47">
        <v>43376</v>
      </c>
      <c r="I2548" s="47">
        <v>43439</v>
      </c>
      <c r="J2548" s="46">
        <v>18754252</v>
      </c>
      <c r="K2548" s="46">
        <v>0</v>
      </c>
      <c r="L2548" s="46">
        <v>0</v>
      </c>
      <c r="M2548" s="46">
        <f t="shared" si="712"/>
        <v>18754252</v>
      </c>
      <c r="N2548" s="46">
        <v>19897361</v>
      </c>
      <c r="O2548" s="48">
        <f t="shared" si="713"/>
        <v>5.7450281974579465E-2</v>
      </c>
      <c r="P2548" s="46">
        <v>0</v>
      </c>
      <c r="Q2548" s="46">
        <v>18754252</v>
      </c>
      <c r="R2548" s="49">
        <f t="shared" si="714"/>
        <v>1</v>
      </c>
      <c r="S2548" s="50">
        <f t="shared" si="715"/>
        <v>0.01</v>
      </c>
      <c r="T2548" s="49">
        <f t="shared" si="716"/>
        <v>187542.52</v>
      </c>
      <c r="U2548" s="51">
        <f t="shared" si="717"/>
        <v>0</v>
      </c>
      <c r="V2548" s="52">
        <f>IF(0&lt;0.8,0,IF(0&lt;1,Sheet3!L561,1))*IF(G2548&lt;3,0.12 - O2548,0.01) *U2548</f>
        <v>0</v>
      </c>
      <c r="W2548" s="52">
        <f t="shared" si="718"/>
        <v>0</v>
      </c>
      <c r="X2548" s="53">
        <f t="shared" si="719"/>
        <v>0</v>
      </c>
      <c r="Y2548" s="53">
        <f t="shared" si="720"/>
        <v>0</v>
      </c>
      <c r="Z2548" s="54">
        <f t="shared" si="710"/>
        <v>0</v>
      </c>
      <c r="AA2548" s="54">
        <f t="shared" si="721"/>
        <v>0</v>
      </c>
      <c r="AB2548" s="55">
        <f t="shared" si="711"/>
        <v>0</v>
      </c>
      <c r="AC2548" s="55">
        <f t="shared" si="722"/>
        <v>0</v>
      </c>
      <c r="AD2548" s="56">
        <f t="shared" si="723"/>
        <v>187542.52</v>
      </c>
    </row>
    <row r="2549" spans="3:30">
      <c r="C2549" s="43" t="s">
        <v>4760</v>
      </c>
      <c r="D2549" s="44" t="s">
        <v>4761</v>
      </c>
      <c r="E2549" s="44"/>
      <c r="F2549" s="45">
        <v>38966.445081018515</v>
      </c>
      <c r="G2549" s="46">
        <v>144</v>
      </c>
      <c r="H2549" s="47">
        <v>43390</v>
      </c>
      <c r="I2549" s="47">
        <v>43397</v>
      </c>
      <c r="J2549" s="46">
        <v>853837</v>
      </c>
      <c r="K2549" s="46">
        <v>0</v>
      </c>
      <c r="L2549" s="46">
        <v>0</v>
      </c>
      <c r="M2549" s="46">
        <f t="shared" si="712"/>
        <v>853837</v>
      </c>
      <c r="N2549" s="46">
        <v>853837</v>
      </c>
      <c r="O2549" s="48">
        <f t="shared" si="713"/>
        <v>0</v>
      </c>
      <c r="P2549" s="46">
        <v>0</v>
      </c>
      <c r="Q2549" s="46">
        <v>853837</v>
      </c>
      <c r="R2549" s="49">
        <f t="shared" si="714"/>
        <v>1</v>
      </c>
      <c r="S2549" s="50">
        <f t="shared" si="715"/>
        <v>0.01</v>
      </c>
      <c r="T2549" s="49">
        <f t="shared" si="716"/>
        <v>8538.3700000000008</v>
      </c>
      <c r="U2549" s="51">
        <f t="shared" si="717"/>
        <v>0</v>
      </c>
      <c r="V2549" s="52">
        <f>IF(0&lt;0.8,0,IF(0&lt;1,Sheet3!L561,1))*IF(G2549&lt;3,0.12 - O2549,0.01) *U2549</f>
        <v>0</v>
      </c>
      <c r="W2549" s="52">
        <f t="shared" si="718"/>
        <v>0</v>
      </c>
      <c r="X2549" s="53">
        <f t="shared" si="719"/>
        <v>0</v>
      </c>
      <c r="Y2549" s="53">
        <f t="shared" si="720"/>
        <v>0</v>
      </c>
      <c r="Z2549" s="54">
        <f t="shared" si="710"/>
        <v>0</v>
      </c>
      <c r="AA2549" s="54">
        <f t="shared" si="721"/>
        <v>0</v>
      </c>
      <c r="AB2549" s="55">
        <f t="shared" si="711"/>
        <v>0</v>
      </c>
      <c r="AC2549" s="55">
        <f t="shared" si="722"/>
        <v>0</v>
      </c>
      <c r="AD2549" s="56">
        <f t="shared" si="723"/>
        <v>8538.3700000000008</v>
      </c>
    </row>
    <row r="2550" spans="3:30">
      <c r="C2550" s="43" t="s">
        <v>4762</v>
      </c>
      <c r="D2550" s="44" t="s">
        <v>4763</v>
      </c>
      <c r="E2550" s="44"/>
      <c r="F2550" s="45">
        <v>38971.762685185182</v>
      </c>
      <c r="G2550" s="46">
        <v>144</v>
      </c>
      <c r="H2550" s="47">
        <v>43378</v>
      </c>
      <c r="I2550" s="47">
        <v>43398</v>
      </c>
      <c r="J2550" s="46">
        <v>807215</v>
      </c>
      <c r="K2550" s="46">
        <v>0</v>
      </c>
      <c r="L2550" s="46">
        <v>0</v>
      </c>
      <c r="M2550" s="46">
        <f t="shared" si="712"/>
        <v>807215</v>
      </c>
      <c r="N2550" s="46">
        <v>807215</v>
      </c>
      <c r="O2550" s="48">
        <f t="shared" si="713"/>
        <v>0</v>
      </c>
      <c r="P2550" s="46">
        <v>0</v>
      </c>
      <c r="Q2550" s="46">
        <v>807215</v>
      </c>
      <c r="R2550" s="49">
        <f t="shared" si="714"/>
        <v>1</v>
      </c>
      <c r="S2550" s="50">
        <f t="shared" si="715"/>
        <v>0.01</v>
      </c>
      <c r="T2550" s="49">
        <f t="shared" si="716"/>
        <v>8072.1500000000005</v>
      </c>
      <c r="U2550" s="51">
        <f t="shared" si="717"/>
        <v>0</v>
      </c>
      <c r="V2550" s="52">
        <f>IF(0&lt;0.8,0,IF(0&lt;1,Sheet3!L561,1))*IF(G2550&lt;3,0.12 - O2550,0.01) *U2550</f>
        <v>0</v>
      </c>
      <c r="W2550" s="52">
        <f t="shared" si="718"/>
        <v>0</v>
      </c>
      <c r="X2550" s="53">
        <f t="shared" si="719"/>
        <v>0</v>
      </c>
      <c r="Y2550" s="53">
        <f t="shared" si="720"/>
        <v>0</v>
      </c>
      <c r="Z2550" s="54">
        <f t="shared" si="710"/>
        <v>0</v>
      </c>
      <c r="AA2550" s="54">
        <f t="shared" si="721"/>
        <v>0</v>
      </c>
      <c r="AB2550" s="55">
        <f t="shared" si="711"/>
        <v>0</v>
      </c>
      <c r="AC2550" s="55">
        <f t="shared" si="722"/>
        <v>0</v>
      </c>
      <c r="AD2550" s="56">
        <f t="shared" si="723"/>
        <v>8072.1500000000005</v>
      </c>
    </row>
    <row r="2551" spans="3:30">
      <c r="C2551" s="43" t="s">
        <v>4764</v>
      </c>
      <c r="D2551" s="44" t="s">
        <v>4765</v>
      </c>
      <c r="E2551" s="44"/>
      <c r="F2551" s="45">
        <v>39122.933553240742</v>
      </c>
      <c r="G2551" s="46">
        <v>139</v>
      </c>
      <c r="H2551" s="47">
        <v>43404</v>
      </c>
      <c r="I2551" s="47">
        <v>43462</v>
      </c>
      <c r="J2551" s="46">
        <v>430639</v>
      </c>
      <c r="K2551" s="46">
        <v>0</v>
      </c>
      <c r="L2551" s="46">
        <v>0</v>
      </c>
      <c r="M2551" s="46">
        <f t="shared" si="712"/>
        <v>430639</v>
      </c>
      <c r="N2551" s="46">
        <v>430639</v>
      </c>
      <c r="O2551" s="48">
        <f t="shared" si="713"/>
        <v>0</v>
      </c>
      <c r="P2551" s="46">
        <v>0</v>
      </c>
      <c r="Q2551" s="46">
        <v>430639</v>
      </c>
      <c r="R2551" s="49">
        <f t="shared" si="714"/>
        <v>1</v>
      </c>
      <c r="S2551" s="50">
        <f t="shared" si="715"/>
        <v>0.01</v>
      </c>
      <c r="T2551" s="49">
        <f t="shared" si="716"/>
        <v>4306.3900000000003</v>
      </c>
      <c r="U2551" s="51">
        <f t="shared" si="717"/>
        <v>0</v>
      </c>
      <c r="V2551" s="52">
        <f>IF(0&lt;0.8,0,IF(0&lt;1,Sheet3!L561,1))*IF(G2551&lt;3,0.12 - O2551,0.01) *U2551</f>
        <v>0</v>
      </c>
      <c r="W2551" s="52">
        <f t="shared" si="718"/>
        <v>0</v>
      </c>
      <c r="X2551" s="53">
        <f t="shared" si="719"/>
        <v>0</v>
      </c>
      <c r="Y2551" s="53">
        <f t="shared" si="720"/>
        <v>0</v>
      </c>
      <c r="Z2551" s="54">
        <f t="shared" si="710"/>
        <v>0</v>
      </c>
      <c r="AA2551" s="54">
        <f t="shared" si="721"/>
        <v>0</v>
      </c>
      <c r="AB2551" s="55">
        <f t="shared" si="711"/>
        <v>0</v>
      </c>
      <c r="AC2551" s="55">
        <f t="shared" si="722"/>
        <v>0</v>
      </c>
      <c r="AD2551" s="56">
        <f t="shared" si="723"/>
        <v>4306.3900000000003</v>
      </c>
    </row>
    <row r="2552" spans="3:30">
      <c r="C2552" s="43" t="s">
        <v>4766</v>
      </c>
      <c r="D2552" s="44" t="s">
        <v>4767</v>
      </c>
      <c r="E2552" s="44"/>
      <c r="F2552" s="45">
        <v>39213.65353009259</v>
      </c>
      <c r="G2552" s="46">
        <v>136</v>
      </c>
      <c r="H2552" s="47">
        <v>43376</v>
      </c>
      <c r="I2552" s="47">
        <v>43420</v>
      </c>
      <c r="J2552" s="46">
        <v>6910642</v>
      </c>
      <c r="K2552" s="46">
        <v>0</v>
      </c>
      <c r="L2552" s="46">
        <v>0</v>
      </c>
      <c r="M2552" s="46">
        <f t="shared" si="712"/>
        <v>6910642</v>
      </c>
      <c r="N2552" s="46">
        <v>6911452</v>
      </c>
      <c r="O2552" s="48">
        <f t="shared" si="713"/>
        <v>1.1719679164379215E-4</v>
      </c>
      <c r="P2552" s="46">
        <v>0</v>
      </c>
      <c r="Q2552" s="46">
        <v>6910642</v>
      </c>
      <c r="R2552" s="49">
        <f t="shared" si="714"/>
        <v>1</v>
      </c>
      <c r="S2552" s="50">
        <f t="shared" si="715"/>
        <v>0.01</v>
      </c>
      <c r="T2552" s="49">
        <f t="shared" si="716"/>
        <v>69106.42</v>
      </c>
      <c r="U2552" s="51">
        <f t="shared" si="717"/>
        <v>0</v>
      </c>
      <c r="V2552" s="52">
        <f>IF(0&lt;0.8,0,IF(0&lt;1,Sheet3!L561,1))*IF(G2552&lt;3,0.12 - O2552,0.01) *U2552</f>
        <v>0</v>
      </c>
      <c r="W2552" s="52">
        <f t="shared" si="718"/>
        <v>0</v>
      </c>
      <c r="X2552" s="53">
        <f t="shared" si="719"/>
        <v>0</v>
      </c>
      <c r="Y2552" s="53">
        <f t="shared" si="720"/>
        <v>0</v>
      </c>
      <c r="Z2552" s="54">
        <f t="shared" si="710"/>
        <v>0</v>
      </c>
      <c r="AA2552" s="54">
        <f t="shared" si="721"/>
        <v>0</v>
      </c>
      <c r="AB2552" s="55">
        <f t="shared" si="711"/>
        <v>0</v>
      </c>
      <c r="AC2552" s="55">
        <f t="shared" si="722"/>
        <v>0</v>
      </c>
      <c r="AD2552" s="56">
        <f t="shared" si="723"/>
        <v>69106.42</v>
      </c>
    </row>
    <row r="2553" spans="3:30">
      <c r="C2553" s="43" t="s">
        <v>4768</v>
      </c>
      <c r="D2553" s="44" t="s">
        <v>4769</v>
      </c>
      <c r="E2553" s="44"/>
      <c r="F2553" s="45">
        <v>39344.709918981483</v>
      </c>
      <c r="G2553" s="46">
        <v>132</v>
      </c>
      <c r="H2553" s="47">
        <v>43372</v>
      </c>
      <c r="I2553" s="47">
        <v>43439</v>
      </c>
      <c r="J2553" s="46">
        <v>17106148</v>
      </c>
      <c r="K2553" s="46">
        <v>0</v>
      </c>
      <c r="L2553" s="46">
        <v>0</v>
      </c>
      <c r="M2553" s="46">
        <f t="shared" si="712"/>
        <v>17106148</v>
      </c>
      <c r="N2553" s="46">
        <v>17102154</v>
      </c>
      <c r="O2553" s="48">
        <f t="shared" si="713"/>
        <v>0</v>
      </c>
      <c r="P2553" s="46">
        <v>0</v>
      </c>
      <c r="Q2553" s="46">
        <v>17106148</v>
      </c>
      <c r="R2553" s="49">
        <f t="shared" si="714"/>
        <v>1</v>
      </c>
      <c r="S2553" s="50">
        <f t="shared" si="715"/>
        <v>0.01</v>
      </c>
      <c r="T2553" s="49">
        <f t="shared" si="716"/>
        <v>171061.48</v>
      </c>
      <c r="U2553" s="51">
        <f t="shared" si="717"/>
        <v>0</v>
      </c>
      <c r="V2553" s="52">
        <f>IF(0&lt;0.8,0,IF(0&lt;1,Sheet3!L561,1))*IF(G2553&lt;3,0.12 - O2553,0.01) *U2553</f>
        <v>0</v>
      </c>
      <c r="W2553" s="52">
        <f t="shared" si="718"/>
        <v>0</v>
      </c>
      <c r="X2553" s="53">
        <f t="shared" si="719"/>
        <v>0</v>
      </c>
      <c r="Y2553" s="53">
        <f t="shared" si="720"/>
        <v>0</v>
      </c>
      <c r="Z2553" s="54">
        <f t="shared" si="710"/>
        <v>0</v>
      </c>
      <c r="AA2553" s="54">
        <f t="shared" si="721"/>
        <v>0</v>
      </c>
      <c r="AB2553" s="55">
        <f t="shared" si="711"/>
        <v>0</v>
      </c>
      <c r="AC2553" s="55">
        <f t="shared" si="722"/>
        <v>0</v>
      </c>
      <c r="AD2553" s="56">
        <f t="shared" si="723"/>
        <v>171061.48</v>
      </c>
    </row>
    <row r="2554" spans="3:30">
      <c r="C2554" s="43" t="s">
        <v>4770</v>
      </c>
      <c r="D2554" s="44" t="s">
        <v>4771</v>
      </c>
      <c r="E2554" s="44"/>
      <c r="F2554" s="45">
        <v>39520.407187500001</v>
      </c>
      <c r="G2554" s="46">
        <v>126</v>
      </c>
      <c r="H2554" s="47">
        <v>43386</v>
      </c>
      <c r="I2554" s="47">
        <v>43397</v>
      </c>
      <c r="J2554" s="46">
        <v>763994</v>
      </c>
      <c r="K2554" s="46">
        <v>0</v>
      </c>
      <c r="L2554" s="46">
        <v>0</v>
      </c>
      <c r="M2554" s="46">
        <f t="shared" si="712"/>
        <v>763994</v>
      </c>
      <c r="N2554" s="46">
        <v>763994</v>
      </c>
      <c r="O2554" s="48">
        <f t="shared" si="713"/>
        <v>0</v>
      </c>
      <c r="P2554" s="46">
        <v>0</v>
      </c>
      <c r="Q2554" s="46">
        <v>763994</v>
      </c>
      <c r="R2554" s="49">
        <f t="shared" si="714"/>
        <v>1</v>
      </c>
      <c r="S2554" s="50">
        <f t="shared" si="715"/>
        <v>0.01</v>
      </c>
      <c r="T2554" s="49">
        <f t="shared" si="716"/>
        <v>7639.9400000000005</v>
      </c>
      <c r="U2554" s="51">
        <f t="shared" si="717"/>
        <v>0</v>
      </c>
      <c r="V2554" s="52">
        <f>IF(0&lt;0.8,0,IF(0&lt;1,Sheet3!L561,1))*IF(G2554&lt;3,0.12 - O2554,0.01) *U2554</f>
        <v>0</v>
      </c>
      <c r="W2554" s="52">
        <f t="shared" si="718"/>
        <v>0</v>
      </c>
      <c r="X2554" s="53">
        <f t="shared" si="719"/>
        <v>0</v>
      </c>
      <c r="Y2554" s="53">
        <f t="shared" si="720"/>
        <v>0</v>
      </c>
      <c r="Z2554" s="54">
        <f t="shared" si="710"/>
        <v>0</v>
      </c>
      <c r="AA2554" s="54">
        <f t="shared" si="721"/>
        <v>0</v>
      </c>
      <c r="AB2554" s="55">
        <f t="shared" si="711"/>
        <v>0</v>
      </c>
      <c r="AC2554" s="55">
        <f t="shared" si="722"/>
        <v>0</v>
      </c>
      <c r="AD2554" s="56">
        <f t="shared" si="723"/>
        <v>7639.9400000000005</v>
      </c>
    </row>
    <row r="2555" spans="3:30">
      <c r="C2555" s="43" t="s">
        <v>4772</v>
      </c>
      <c r="D2555" s="44" t="s">
        <v>4773</v>
      </c>
      <c r="E2555" s="44"/>
      <c r="F2555" s="45">
        <v>39630.749432870369</v>
      </c>
      <c r="G2555" s="46">
        <v>122</v>
      </c>
      <c r="H2555" s="47">
        <v>43376</v>
      </c>
      <c r="I2555" s="47">
        <v>43391</v>
      </c>
      <c r="J2555" s="46">
        <v>3759215</v>
      </c>
      <c r="K2555" s="46">
        <v>0</v>
      </c>
      <c r="L2555" s="46">
        <v>0</v>
      </c>
      <c r="M2555" s="46">
        <f t="shared" si="712"/>
        <v>3759215</v>
      </c>
      <c r="N2555" s="46">
        <v>3758429</v>
      </c>
      <c r="O2555" s="48">
        <f t="shared" si="713"/>
        <v>0</v>
      </c>
      <c r="P2555" s="46">
        <v>0</v>
      </c>
      <c r="Q2555" s="46">
        <v>3759215</v>
      </c>
      <c r="R2555" s="49">
        <f t="shared" si="714"/>
        <v>1</v>
      </c>
      <c r="S2555" s="50">
        <f t="shared" si="715"/>
        <v>0.01</v>
      </c>
      <c r="T2555" s="49">
        <f t="shared" si="716"/>
        <v>37592.15</v>
      </c>
      <c r="U2555" s="51">
        <f t="shared" si="717"/>
        <v>0</v>
      </c>
      <c r="V2555" s="52">
        <f>IF(0&lt;0.8,0,IF(0&lt;1,Sheet3!L561,1))*IF(G2555&lt;3,0.12 - O2555,0.01) *U2555</f>
        <v>0</v>
      </c>
      <c r="W2555" s="52">
        <f t="shared" si="718"/>
        <v>0</v>
      </c>
      <c r="X2555" s="53">
        <f t="shared" si="719"/>
        <v>0</v>
      </c>
      <c r="Y2555" s="53">
        <f t="shared" si="720"/>
        <v>0</v>
      </c>
      <c r="Z2555" s="54">
        <f t="shared" si="710"/>
        <v>0</v>
      </c>
      <c r="AA2555" s="54">
        <f t="shared" si="721"/>
        <v>0</v>
      </c>
      <c r="AB2555" s="55">
        <f t="shared" si="711"/>
        <v>0</v>
      </c>
      <c r="AC2555" s="55">
        <f t="shared" si="722"/>
        <v>0</v>
      </c>
      <c r="AD2555" s="56">
        <f t="shared" si="723"/>
        <v>37592.15</v>
      </c>
    </row>
    <row r="2556" spans="3:30">
      <c r="C2556" s="43" t="s">
        <v>4774</v>
      </c>
      <c r="D2556" s="44" t="s">
        <v>4775</v>
      </c>
      <c r="E2556" s="44"/>
      <c r="F2556" s="45">
        <v>39714.369097222218</v>
      </c>
      <c r="G2556" s="46">
        <v>120</v>
      </c>
      <c r="H2556" s="47">
        <v>43459</v>
      </c>
      <c r="I2556" s="47">
        <v>43509</v>
      </c>
      <c r="J2556" s="46">
        <v>9761308</v>
      </c>
      <c r="K2556" s="46">
        <v>0</v>
      </c>
      <c r="L2556" s="46">
        <v>0</v>
      </c>
      <c r="M2556" s="46">
        <f t="shared" si="712"/>
        <v>9761308</v>
      </c>
      <c r="N2556" s="46">
        <v>9761085</v>
      </c>
      <c r="O2556" s="48">
        <f t="shared" si="713"/>
        <v>0</v>
      </c>
      <c r="P2556" s="46">
        <v>0</v>
      </c>
      <c r="Q2556" s="46">
        <v>9988304</v>
      </c>
      <c r="R2556" s="49">
        <f t="shared" si="714"/>
        <v>1</v>
      </c>
      <c r="S2556" s="50">
        <f t="shared" si="715"/>
        <v>0.01</v>
      </c>
      <c r="T2556" s="49">
        <f t="shared" si="716"/>
        <v>97613.08</v>
      </c>
      <c r="U2556" s="51">
        <f t="shared" si="717"/>
        <v>0</v>
      </c>
      <c r="V2556" s="52">
        <f>IF(0&lt;0.8,0,IF(0&lt;1,Sheet3!L561,1))*IF(G2556&lt;3,0.12 - O2556,0.01) *U2556</f>
        <v>0</v>
      </c>
      <c r="W2556" s="52">
        <f t="shared" si="718"/>
        <v>0</v>
      </c>
      <c r="X2556" s="53">
        <f t="shared" si="719"/>
        <v>0</v>
      </c>
      <c r="Y2556" s="53">
        <f t="shared" si="720"/>
        <v>0</v>
      </c>
      <c r="Z2556" s="54">
        <f t="shared" si="710"/>
        <v>0</v>
      </c>
      <c r="AA2556" s="54">
        <f t="shared" si="721"/>
        <v>0</v>
      </c>
      <c r="AB2556" s="55">
        <f t="shared" si="711"/>
        <v>0</v>
      </c>
      <c r="AC2556" s="55">
        <f t="shared" si="722"/>
        <v>0</v>
      </c>
      <c r="AD2556" s="56">
        <f t="shared" si="723"/>
        <v>97613.08</v>
      </c>
    </row>
    <row r="2557" spans="3:30">
      <c r="C2557" s="43" t="s">
        <v>4776</v>
      </c>
      <c r="D2557" s="44" t="s">
        <v>4777</v>
      </c>
      <c r="E2557" s="44"/>
      <c r="F2557" s="45">
        <v>39723.565636574072</v>
      </c>
      <c r="G2557" s="46">
        <v>119</v>
      </c>
      <c r="H2557" s="47">
        <v>43376</v>
      </c>
      <c r="I2557" s="47">
        <v>43395</v>
      </c>
      <c r="J2557" s="46">
        <v>1111022</v>
      </c>
      <c r="K2557" s="46">
        <v>0</v>
      </c>
      <c r="L2557" s="46">
        <v>0</v>
      </c>
      <c r="M2557" s="46">
        <f t="shared" si="712"/>
        <v>1111022</v>
      </c>
      <c r="N2557" s="46">
        <v>1111022</v>
      </c>
      <c r="O2557" s="48">
        <f t="shared" si="713"/>
        <v>0</v>
      </c>
      <c r="P2557" s="46">
        <v>0</v>
      </c>
      <c r="Q2557" s="46">
        <v>1111022</v>
      </c>
      <c r="R2557" s="49">
        <f t="shared" si="714"/>
        <v>1</v>
      </c>
      <c r="S2557" s="50">
        <f t="shared" si="715"/>
        <v>0.01</v>
      </c>
      <c r="T2557" s="49">
        <f t="shared" si="716"/>
        <v>11110.22</v>
      </c>
      <c r="U2557" s="51">
        <f t="shared" si="717"/>
        <v>0</v>
      </c>
      <c r="V2557" s="52">
        <f>IF(0&lt;0.8,0,IF(0&lt;1,Sheet3!L561,1))*IF(G2557&lt;3,0.12 - O2557,0.01) *U2557</f>
        <v>0</v>
      </c>
      <c r="W2557" s="52">
        <f t="shared" si="718"/>
        <v>0</v>
      </c>
      <c r="X2557" s="53">
        <f t="shared" si="719"/>
        <v>0</v>
      </c>
      <c r="Y2557" s="53">
        <f t="shared" si="720"/>
        <v>0</v>
      </c>
      <c r="Z2557" s="54">
        <f t="shared" si="710"/>
        <v>0</v>
      </c>
      <c r="AA2557" s="54">
        <f t="shared" si="721"/>
        <v>0</v>
      </c>
      <c r="AB2557" s="55">
        <f t="shared" si="711"/>
        <v>0</v>
      </c>
      <c r="AC2557" s="55">
        <f t="shared" si="722"/>
        <v>0</v>
      </c>
      <c r="AD2557" s="56">
        <f t="shared" si="723"/>
        <v>11110.22</v>
      </c>
    </row>
    <row r="2558" spans="3:30">
      <c r="C2558" s="43" t="s">
        <v>4778</v>
      </c>
      <c r="D2558" s="44" t="s">
        <v>4779</v>
      </c>
      <c r="E2558" s="44"/>
      <c r="F2558" s="45">
        <v>39762.387037037035</v>
      </c>
      <c r="G2558" s="46">
        <v>118</v>
      </c>
      <c r="H2558" s="47">
        <v>43378</v>
      </c>
      <c r="I2558" s="47">
        <v>43397</v>
      </c>
      <c r="J2558" s="46">
        <v>4078402</v>
      </c>
      <c r="K2558" s="46">
        <v>0</v>
      </c>
      <c r="L2558" s="46">
        <v>0</v>
      </c>
      <c r="M2558" s="46">
        <f t="shared" si="712"/>
        <v>4078402</v>
      </c>
      <c r="N2558" s="46">
        <v>4078402</v>
      </c>
      <c r="O2558" s="48">
        <f t="shared" si="713"/>
        <v>0</v>
      </c>
      <c r="P2558" s="46">
        <v>0</v>
      </c>
      <c r="Q2558" s="46">
        <v>4078402</v>
      </c>
      <c r="R2558" s="49">
        <f t="shared" si="714"/>
        <v>1</v>
      </c>
      <c r="S2558" s="50">
        <f t="shared" si="715"/>
        <v>0.01</v>
      </c>
      <c r="T2558" s="49">
        <f t="shared" si="716"/>
        <v>40784.020000000004</v>
      </c>
      <c r="U2558" s="51">
        <f t="shared" si="717"/>
        <v>0</v>
      </c>
      <c r="V2558" s="52">
        <f>IF(0&lt;0.8,0,IF(0&lt;1,Sheet3!L561,1))*IF(G2558&lt;3,0.12 - O2558,0.01) *U2558</f>
        <v>0</v>
      </c>
      <c r="W2558" s="52">
        <f t="shared" si="718"/>
        <v>0</v>
      </c>
      <c r="X2558" s="53">
        <f t="shared" si="719"/>
        <v>0</v>
      </c>
      <c r="Y2558" s="53">
        <f t="shared" si="720"/>
        <v>0</v>
      </c>
      <c r="Z2558" s="54">
        <f t="shared" si="710"/>
        <v>0</v>
      </c>
      <c r="AA2558" s="54">
        <f t="shared" si="721"/>
        <v>0</v>
      </c>
      <c r="AB2558" s="55">
        <f t="shared" si="711"/>
        <v>0</v>
      </c>
      <c r="AC2558" s="55">
        <f t="shared" si="722"/>
        <v>0</v>
      </c>
      <c r="AD2558" s="56">
        <f t="shared" si="723"/>
        <v>40784.020000000004</v>
      </c>
    </row>
    <row r="2559" spans="3:30">
      <c r="C2559" s="43" t="s">
        <v>4780</v>
      </c>
      <c r="D2559" s="44" t="s">
        <v>4781</v>
      </c>
      <c r="E2559" s="44"/>
      <c r="F2559" s="45">
        <v>39862.64298611111</v>
      </c>
      <c r="G2559" s="46">
        <v>115</v>
      </c>
      <c r="H2559" s="47">
        <v>43390</v>
      </c>
      <c r="I2559" s="47">
        <v>43395</v>
      </c>
      <c r="J2559" s="46">
        <v>426345</v>
      </c>
      <c r="K2559" s="46">
        <v>0</v>
      </c>
      <c r="L2559" s="46">
        <v>0</v>
      </c>
      <c r="M2559" s="46">
        <f t="shared" si="712"/>
        <v>426345</v>
      </c>
      <c r="N2559" s="46">
        <v>399536</v>
      </c>
      <c r="O2559" s="48">
        <f t="shared" si="713"/>
        <v>0</v>
      </c>
      <c r="P2559" s="46">
        <v>0</v>
      </c>
      <c r="Q2559" s="46">
        <v>426345</v>
      </c>
      <c r="R2559" s="49">
        <f t="shared" si="714"/>
        <v>1</v>
      </c>
      <c r="S2559" s="50">
        <f t="shared" si="715"/>
        <v>0.01</v>
      </c>
      <c r="T2559" s="49">
        <f t="shared" si="716"/>
        <v>4263.45</v>
      </c>
      <c r="U2559" s="51">
        <f t="shared" si="717"/>
        <v>0</v>
      </c>
      <c r="V2559" s="52">
        <f>IF(0&lt;0.8,0,IF(0&lt;1,Sheet3!L561,1))*IF(G2559&lt;3,0.12 - O2559,0.01) *U2559</f>
        <v>0</v>
      </c>
      <c r="W2559" s="52">
        <f t="shared" si="718"/>
        <v>0</v>
      </c>
      <c r="X2559" s="53">
        <f t="shared" si="719"/>
        <v>0</v>
      </c>
      <c r="Y2559" s="53">
        <f t="shared" si="720"/>
        <v>0</v>
      </c>
      <c r="Z2559" s="54">
        <f t="shared" si="710"/>
        <v>0</v>
      </c>
      <c r="AA2559" s="54">
        <f t="shared" si="721"/>
        <v>0</v>
      </c>
      <c r="AB2559" s="55">
        <f t="shared" si="711"/>
        <v>0</v>
      </c>
      <c r="AC2559" s="55">
        <f t="shared" si="722"/>
        <v>0</v>
      </c>
      <c r="AD2559" s="56">
        <f t="shared" si="723"/>
        <v>4263.45</v>
      </c>
    </row>
    <row r="2560" spans="3:30">
      <c r="C2560" s="43" t="s">
        <v>4782</v>
      </c>
      <c r="D2560" s="44" t="s">
        <v>4783</v>
      </c>
      <c r="E2560" s="44"/>
      <c r="F2560" s="45">
        <v>40200.634479166663</v>
      </c>
      <c r="G2560" s="46">
        <v>104</v>
      </c>
      <c r="H2560" s="47">
        <v>43386</v>
      </c>
      <c r="I2560" s="47">
        <v>43402</v>
      </c>
      <c r="J2560" s="46">
        <v>1234578</v>
      </c>
      <c r="K2560" s="46">
        <v>0</v>
      </c>
      <c r="L2560" s="46">
        <v>0</v>
      </c>
      <c r="M2560" s="46">
        <f t="shared" si="712"/>
        <v>1234578</v>
      </c>
      <c r="N2560" s="46">
        <v>1234190</v>
      </c>
      <c r="O2560" s="48">
        <f t="shared" si="713"/>
        <v>0</v>
      </c>
      <c r="P2560" s="46">
        <v>0</v>
      </c>
      <c r="Q2560" s="46">
        <v>1234578</v>
      </c>
      <c r="R2560" s="49">
        <f t="shared" si="714"/>
        <v>1</v>
      </c>
      <c r="S2560" s="50">
        <f t="shared" si="715"/>
        <v>0.01</v>
      </c>
      <c r="T2560" s="49">
        <f t="shared" si="716"/>
        <v>12345.78</v>
      </c>
      <c r="U2560" s="51">
        <f t="shared" si="717"/>
        <v>0</v>
      </c>
      <c r="V2560" s="52">
        <f>IF(0&lt;0.8,0,IF(0&lt;1,Sheet3!L561,1))*IF(G2560&lt;3,0.12 - O2560,0.01) *U2560</f>
        <v>0</v>
      </c>
      <c r="W2560" s="52">
        <f t="shared" si="718"/>
        <v>0</v>
      </c>
      <c r="X2560" s="53">
        <f t="shared" si="719"/>
        <v>0</v>
      </c>
      <c r="Y2560" s="53">
        <f t="shared" si="720"/>
        <v>0</v>
      </c>
      <c r="Z2560" s="54">
        <f t="shared" si="710"/>
        <v>0</v>
      </c>
      <c r="AA2560" s="54">
        <f t="shared" si="721"/>
        <v>0</v>
      </c>
      <c r="AB2560" s="55">
        <f t="shared" si="711"/>
        <v>0</v>
      </c>
      <c r="AC2560" s="55">
        <f t="shared" si="722"/>
        <v>0</v>
      </c>
      <c r="AD2560" s="56">
        <f t="shared" si="723"/>
        <v>12345.78</v>
      </c>
    </row>
    <row r="2561" spans="3:30">
      <c r="C2561" s="43" t="s">
        <v>4784</v>
      </c>
      <c r="D2561" s="44" t="s">
        <v>4785</v>
      </c>
      <c r="E2561" s="44"/>
      <c r="F2561" s="45">
        <v>40352.563854166663</v>
      </c>
      <c r="G2561" s="46">
        <v>99</v>
      </c>
      <c r="H2561" s="47">
        <v>43390</v>
      </c>
      <c r="I2561" s="47">
        <v>43403</v>
      </c>
      <c r="J2561" s="46">
        <v>278610</v>
      </c>
      <c r="K2561" s="46">
        <v>0</v>
      </c>
      <c r="L2561" s="46">
        <v>0</v>
      </c>
      <c r="M2561" s="46">
        <f t="shared" si="712"/>
        <v>278610</v>
      </c>
      <c r="N2561" s="46">
        <v>278610</v>
      </c>
      <c r="O2561" s="48">
        <f t="shared" si="713"/>
        <v>0</v>
      </c>
      <c r="P2561" s="46">
        <v>0</v>
      </c>
      <c r="Q2561" s="46">
        <v>278610</v>
      </c>
      <c r="R2561" s="49">
        <f t="shared" si="714"/>
        <v>1</v>
      </c>
      <c r="S2561" s="50">
        <f t="shared" si="715"/>
        <v>0.01</v>
      </c>
      <c r="T2561" s="49">
        <f t="shared" si="716"/>
        <v>2786.1</v>
      </c>
      <c r="U2561" s="51">
        <f t="shared" si="717"/>
        <v>0</v>
      </c>
      <c r="V2561" s="52">
        <f>IF(0&lt;0.8,0,IF(0&lt;1,Sheet3!L561,1))*IF(G2561&lt;3,0.12 - O2561,0.01) *U2561</f>
        <v>0</v>
      </c>
      <c r="W2561" s="52">
        <f t="shared" si="718"/>
        <v>0</v>
      </c>
      <c r="X2561" s="53">
        <f t="shared" si="719"/>
        <v>0</v>
      </c>
      <c r="Y2561" s="53">
        <f t="shared" si="720"/>
        <v>0</v>
      </c>
      <c r="Z2561" s="54">
        <f t="shared" si="710"/>
        <v>0</v>
      </c>
      <c r="AA2561" s="54">
        <f t="shared" si="721"/>
        <v>0</v>
      </c>
      <c r="AB2561" s="55">
        <f t="shared" si="711"/>
        <v>0</v>
      </c>
      <c r="AC2561" s="55">
        <f t="shared" si="722"/>
        <v>0</v>
      </c>
      <c r="AD2561" s="56">
        <f t="shared" si="723"/>
        <v>2786.1</v>
      </c>
    </row>
    <row r="2562" spans="3:30">
      <c r="C2562" s="43" t="s">
        <v>4786</v>
      </c>
      <c r="D2562" s="44" t="s">
        <v>4787</v>
      </c>
      <c r="E2562" s="44"/>
      <c r="F2562" s="45">
        <v>40446.386516203704</v>
      </c>
      <c r="G2562" s="46">
        <v>96</v>
      </c>
      <c r="H2562" s="47">
        <v>43404</v>
      </c>
      <c r="I2562" s="47">
        <v>43413</v>
      </c>
      <c r="J2562" s="46">
        <v>1466150</v>
      </c>
      <c r="K2562" s="46">
        <v>0</v>
      </c>
      <c r="L2562" s="46">
        <v>0</v>
      </c>
      <c r="M2562" s="46">
        <f t="shared" si="712"/>
        <v>1466150</v>
      </c>
      <c r="N2562" s="46">
        <v>955149</v>
      </c>
      <c r="O2562" s="48">
        <f t="shared" si="713"/>
        <v>0</v>
      </c>
      <c r="P2562" s="46">
        <v>0</v>
      </c>
      <c r="Q2562" s="46">
        <v>1466150</v>
      </c>
      <c r="R2562" s="49">
        <f t="shared" si="714"/>
        <v>1</v>
      </c>
      <c r="S2562" s="50">
        <f t="shared" si="715"/>
        <v>0.01</v>
      </c>
      <c r="T2562" s="49">
        <f t="shared" si="716"/>
        <v>14661.5</v>
      </c>
      <c r="U2562" s="51">
        <f t="shared" si="717"/>
        <v>0</v>
      </c>
      <c r="V2562" s="52">
        <f>IF(0&lt;0.8,0,IF(0&lt;1,Sheet3!L561,1))*IF(G2562&lt;3,0.12 - O2562,0.01) *U2562</f>
        <v>0</v>
      </c>
      <c r="W2562" s="52">
        <f t="shared" si="718"/>
        <v>0</v>
      </c>
      <c r="X2562" s="53">
        <f t="shared" si="719"/>
        <v>0</v>
      </c>
      <c r="Y2562" s="53">
        <f t="shared" si="720"/>
        <v>0</v>
      </c>
      <c r="Z2562" s="54">
        <f t="shared" si="710"/>
        <v>0</v>
      </c>
      <c r="AA2562" s="54">
        <f t="shared" si="721"/>
        <v>0</v>
      </c>
      <c r="AB2562" s="55">
        <f>IF(R2562=0,511000,0)</f>
        <v>0</v>
      </c>
      <c r="AC2562" s="55">
        <f t="shared" si="722"/>
        <v>0</v>
      </c>
      <c r="AD2562" s="56">
        <f t="shared" si="723"/>
        <v>14661.5</v>
      </c>
    </row>
    <row r="2563" spans="3:30">
      <c r="C2563" s="43" t="s">
        <v>4788</v>
      </c>
      <c r="D2563" s="44" t="s">
        <v>4789</v>
      </c>
      <c r="E2563" s="44"/>
      <c r="F2563" s="45">
        <v>40518.419733796298</v>
      </c>
      <c r="G2563" s="46">
        <v>93</v>
      </c>
      <c r="H2563" s="47">
        <v>43390</v>
      </c>
      <c r="I2563" s="47">
        <v>43453</v>
      </c>
      <c r="J2563" s="46">
        <v>3858448</v>
      </c>
      <c r="K2563" s="46">
        <v>0</v>
      </c>
      <c r="L2563" s="46">
        <v>0</v>
      </c>
      <c r="M2563" s="46">
        <f t="shared" si="712"/>
        <v>3858448</v>
      </c>
      <c r="N2563" s="46">
        <v>3858448</v>
      </c>
      <c r="O2563" s="48">
        <f t="shared" si="713"/>
        <v>0</v>
      </c>
      <c r="P2563" s="46">
        <v>0</v>
      </c>
      <c r="Q2563" s="46">
        <v>3858448</v>
      </c>
      <c r="R2563" s="49">
        <f t="shared" si="714"/>
        <v>1</v>
      </c>
      <c r="S2563" s="50">
        <f t="shared" si="715"/>
        <v>0.01</v>
      </c>
      <c r="T2563" s="49">
        <f t="shared" si="716"/>
        <v>38584.480000000003</v>
      </c>
      <c r="U2563" s="51">
        <f t="shared" si="717"/>
        <v>0</v>
      </c>
      <c r="V2563" s="52">
        <f>IF(0&lt;0.8,0,IF(0&lt;1,Sheet3!L561,1))*IF(G2563&lt;3,0.12 - O2563,0.01) *U2563</f>
        <v>0</v>
      </c>
      <c r="W2563" s="52">
        <f t="shared" si="718"/>
        <v>0</v>
      </c>
      <c r="X2563" s="53">
        <f t="shared" si="719"/>
        <v>0</v>
      </c>
      <c r="Y2563" s="53">
        <f t="shared" si="720"/>
        <v>0</v>
      </c>
      <c r="Z2563" s="54">
        <f t="shared" si="710"/>
        <v>0</v>
      </c>
      <c r="AA2563" s="54">
        <f t="shared" si="721"/>
        <v>0</v>
      </c>
      <c r="AB2563" s="55">
        <f t="shared" ref="AB2563:AB2583" si="724">IF(R2563=0,0,0)</f>
        <v>0</v>
      </c>
      <c r="AC2563" s="55">
        <f t="shared" si="722"/>
        <v>0</v>
      </c>
      <c r="AD2563" s="56">
        <f t="shared" si="723"/>
        <v>38584.480000000003</v>
      </c>
    </row>
    <row r="2564" spans="3:30">
      <c r="C2564" s="43" t="s">
        <v>4790</v>
      </c>
      <c r="D2564" s="44" t="s">
        <v>4791</v>
      </c>
      <c r="E2564" s="44"/>
      <c r="F2564" s="45">
        <v>40526.431932870371</v>
      </c>
      <c r="G2564" s="46">
        <v>93</v>
      </c>
      <c r="H2564" s="47">
        <v>43386</v>
      </c>
      <c r="I2564" s="47">
        <v>43390</v>
      </c>
      <c r="J2564" s="46">
        <v>1231223</v>
      </c>
      <c r="K2564" s="46">
        <v>0</v>
      </c>
      <c r="L2564" s="46">
        <v>0</v>
      </c>
      <c r="M2564" s="46">
        <f t="shared" si="712"/>
        <v>1231223</v>
      </c>
      <c r="N2564" s="46">
        <v>1231223</v>
      </c>
      <c r="O2564" s="48">
        <f t="shared" si="713"/>
        <v>0</v>
      </c>
      <c r="P2564" s="46">
        <v>0</v>
      </c>
      <c r="Q2564" s="46">
        <v>1231223</v>
      </c>
      <c r="R2564" s="49">
        <f t="shared" si="714"/>
        <v>1</v>
      </c>
      <c r="S2564" s="50">
        <f t="shared" si="715"/>
        <v>0.01</v>
      </c>
      <c r="T2564" s="49">
        <f t="shared" si="716"/>
        <v>12312.23</v>
      </c>
      <c r="U2564" s="51">
        <f t="shared" si="717"/>
        <v>0</v>
      </c>
      <c r="V2564" s="52">
        <f>IF(0&lt;0.8,0,IF(0&lt;1,Sheet3!L561,1))*IF(G2564&lt;3,0.12 - O2564,0.01) *U2564</f>
        <v>0</v>
      </c>
      <c r="W2564" s="52">
        <f t="shared" si="718"/>
        <v>0</v>
      </c>
      <c r="X2564" s="53">
        <f t="shared" si="719"/>
        <v>0</v>
      </c>
      <c r="Y2564" s="53">
        <f t="shared" si="720"/>
        <v>0</v>
      </c>
      <c r="Z2564" s="54">
        <f t="shared" si="710"/>
        <v>0</v>
      </c>
      <c r="AA2564" s="54">
        <f t="shared" si="721"/>
        <v>0</v>
      </c>
      <c r="AB2564" s="55">
        <f t="shared" si="724"/>
        <v>0</v>
      </c>
      <c r="AC2564" s="55">
        <f t="shared" si="722"/>
        <v>0</v>
      </c>
      <c r="AD2564" s="56">
        <f t="shared" si="723"/>
        <v>12312.23</v>
      </c>
    </row>
    <row r="2565" spans="3:30">
      <c r="C2565" s="43" t="s">
        <v>4792</v>
      </c>
      <c r="D2565" s="44" t="s">
        <v>4793</v>
      </c>
      <c r="E2565" s="44"/>
      <c r="F2565" s="45">
        <v>40612.483275462961</v>
      </c>
      <c r="G2565" s="46">
        <v>90</v>
      </c>
      <c r="H2565" s="47">
        <v>43390</v>
      </c>
      <c r="I2565" s="47">
        <v>43449</v>
      </c>
      <c r="J2565" s="46">
        <v>1102189</v>
      </c>
      <c r="K2565" s="46">
        <v>0</v>
      </c>
      <c r="L2565" s="46">
        <v>0</v>
      </c>
      <c r="M2565" s="46">
        <f t="shared" si="712"/>
        <v>1102189</v>
      </c>
      <c r="N2565" s="46">
        <v>1102189</v>
      </c>
      <c r="O2565" s="48">
        <f t="shared" si="713"/>
        <v>0</v>
      </c>
      <c r="P2565" s="46">
        <v>0</v>
      </c>
      <c r="Q2565" s="46">
        <v>1102189</v>
      </c>
      <c r="R2565" s="49">
        <f t="shared" si="714"/>
        <v>1</v>
      </c>
      <c r="S2565" s="50">
        <f t="shared" si="715"/>
        <v>0.01</v>
      </c>
      <c r="T2565" s="49">
        <f t="shared" si="716"/>
        <v>11021.89</v>
      </c>
      <c r="U2565" s="51">
        <f t="shared" si="717"/>
        <v>0</v>
      </c>
      <c r="V2565" s="52">
        <f>IF(0&lt;0.8,0,IF(0&lt;1,Sheet3!L561,1))*IF(G2565&lt;3,0.12 - O2565,0.01) *U2565</f>
        <v>0</v>
      </c>
      <c r="W2565" s="52">
        <f t="shared" si="718"/>
        <v>0</v>
      </c>
      <c r="X2565" s="53">
        <f t="shared" si="719"/>
        <v>0</v>
      </c>
      <c r="Y2565" s="53">
        <f t="shared" si="720"/>
        <v>0</v>
      </c>
      <c r="Z2565" s="54">
        <f t="shared" si="710"/>
        <v>0</v>
      </c>
      <c r="AA2565" s="54">
        <f t="shared" si="721"/>
        <v>0</v>
      </c>
      <c r="AB2565" s="55">
        <f t="shared" si="724"/>
        <v>0</v>
      </c>
      <c r="AC2565" s="55">
        <f t="shared" si="722"/>
        <v>0</v>
      </c>
      <c r="AD2565" s="56">
        <f t="shared" si="723"/>
        <v>11021.89</v>
      </c>
    </row>
    <row r="2566" spans="3:30">
      <c r="C2566" s="43" t="s">
        <v>4794</v>
      </c>
      <c r="D2566" s="44" t="s">
        <v>4795</v>
      </c>
      <c r="E2566" s="44"/>
      <c r="F2566" s="45">
        <v>40626.723229166666</v>
      </c>
      <c r="G2566" s="46">
        <v>90</v>
      </c>
      <c r="H2566" s="47">
        <v>43396</v>
      </c>
      <c r="I2566" s="47">
        <v>43399</v>
      </c>
      <c r="J2566" s="46">
        <v>408133</v>
      </c>
      <c r="K2566" s="46">
        <v>0</v>
      </c>
      <c r="L2566" s="46">
        <v>0</v>
      </c>
      <c r="M2566" s="46">
        <f t="shared" si="712"/>
        <v>408133</v>
      </c>
      <c r="N2566" s="46">
        <v>408133</v>
      </c>
      <c r="O2566" s="48">
        <f t="shared" si="713"/>
        <v>0</v>
      </c>
      <c r="P2566" s="46">
        <v>0</v>
      </c>
      <c r="Q2566" s="46">
        <v>408133</v>
      </c>
      <c r="R2566" s="49">
        <f t="shared" si="714"/>
        <v>1</v>
      </c>
      <c r="S2566" s="50">
        <f t="shared" si="715"/>
        <v>0.01</v>
      </c>
      <c r="T2566" s="49">
        <f t="shared" si="716"/>
        <v>4081.33</v>
      </c>
      <c r="U2566" s="51">
        <f t="shared" si="717"/>
        <v>0</v>
      </c>
      <c r="V2566" s="52">
        <f>IF(0&lt;0.8,0,IF(0&lt;1,Sheet3!L561,1))*IF(G2566&lt;3,0.12 - O2566,0.01) *U2566</f>
        <v>0</v>
      </c>
      <c r="W2566" s="52">
        <f t="shared" si="718"/>
        <v>0</v>
      </c>
      <c r="X2566" s="53">
        <f t="shared" si="719"/>
        <v>0</v>
      </c>
      <c r="Y2566" s="53">
        <f t="shared" si="720"/>
        <v>0</v>
      </c>
      <c r="Z2566" s="54">
        <f t="shared" si="710"/>
        <v>0</v>
      </c>
      <c r="AA2566" s="54">
        <f t="shared" si="721"/>
        <v>0</v>
      </c>
      <c r="AB2566" s="55">
        <f t="shared" si="724"/>
        <v>0</v>
      </c>
      <c r="AC2566" s="55">
        <f t="shared" si="722"/>
        <v>0</v>
      </c>
      <c r="AD2566" s="56">
        <f t="shared" si="723"/>
        <v>4081.33</v>
      </c>
    </row>
    <row r="2567" spans="3:30">
      <c r="C2567" s="43" t="s">
        <v>4796</v>
      </c>
      <c r="D2567" s="44" t="s">
        <v>4797</v>
      </c>
      <c r="E2567" s="44"/>
      <c r="F2567" s="45">
        <v>40655.411365740736</v>
      </c>
      <c r="G2567" s="46">
        <v>89</v>
      </c>
      <c r="H2567" s="47">
        <v>43399</v>
      </c>
      <c r="I2567" s="47">
        <v>43419</v>
      </c>
      <c r="J2567" s="46">
        <v>19971792</v>
      </c>
      <c r="K2567" s="46">
        <v>907781</v>
      </c>
      <c r="L2567" s="46">
        <v>0</v>
      </c>
      <c r="M2567" s="46">
        <f t="shared" si="712"/>
        <v>19064011</v>
      </c>
      <c r="N2567" s="46">
        <v>19971792</v>
      </c>
      <c r="O2567" s="48">
        <f t="shared" si="713"/>
        <v>4.5453157132820166E-2</v>
      </c>
      <c r="P2567" s="46">
        <v>0</v>
      </c>
      <c r="Q2567" s="46">
        <v>19971792</v>
      </c>
      <c r="R2567" s="49">
        <f t="shared" si="714"/>
        <v>1</v>
      </c>
      <c r="S2567" s="50">
        <f t="shared" si="715"/>
        <v>0.01</v>
      </c>
      <c r="T2567" s="49">
        <f t="shared" si="716"/>
        <v>190640.11000000002</v>
      </c>
      <c r="U2567" s="51">
        <f t="shared" si="717"/>
        <v>0</v>
      </c>
      <c r="V2567" s="52">
        <f>IF(0&lt;0.8,0,IF(0&lt;1,Sheet3!L561,1))*IF(G2567&lt;3,0.12 - O2567,0.01) *U2567</f>
        <v>0</v>
      </c>
      <c r="W2567" s="52">
        <f t="shared" si="718"/>
        <v>0</v>
      </c>
      <c r="X2567" s="53">
        <f t="shared" si="719"/>
        <v>0</v>
      </c>
      <c r="Y2567" s="53">
        <f t="shared" si="720"/>
        <v>0</v>
      </c>
      <c r="Z2567" s="54">
        <f t="shared" si="710"/>
        <v>0</v>
      </c>
      <c r="AA2567" s="54">
        <f t="shared" si="721"/>
        <v>0</v>
      </c>
      <c r="AB2567" s="55">
        <f t="shared" si="724"/>
        <v>0</v>
      </c>
      <c r="AC2567" s="55">
        <f t="shared" si="722"/>
        <v>0</v>
      </c>
      <c r="AD2567" s="56">
        <f t="shared" si="723"/>
        <v>190640.11000000002</v>
      </c>
    </row>
    <row r="2568" spans="3:30">
      <c r="C2568" s="43" t="s">
        <v>4798</v>
      </c>
      <c r="D2568" s="44" t="s">
        <v>4799</v>
      </c>
      <c r="E2568" s="44"/>
      <c r="F2568" s="45">
        <v>40667.591122685182</v>
      </c>
      <c r="G2568" s="46">
        <v>88</v>
      </c>
      <c r="H2568" s="47">
        <v>43376</v>
      </c>
      <c r="I2568" s="47">
        <v>43398</v>
      </c>
      <c r="J2568" s="46">
        <v>3402714</v>
      </c>
      <c r="K2568" s="46">
        <v>0</v>
      </c>
      <c r="L2568" s="46">
        <v>0</v>
      </c>
      <c r="M2568" s="46">
        <f t="shared" si="712"/>
        <v>3402714</v>
      </c>
      <c r="N2568" s="46">
        <v>3402714</v>
      </c>
      <c r="O2568" s="48">
        <f t="shared" si="713"/>
        <v>0</v>
      </c>
      <c r="P2568" s="46">
        <v>0</v>
      </c>
      <c r="Q2568" s="46">
        <v>3402714</v>
      </c>
      <c r="R2568" s="49">
        <f t="shared" si="714"/>
        <v>1</v>
      </c>
      <c r="S2568" s="50">
        <f t="shared" si="715"/>
        <v>0.01</v>
      </c>
      <c r="T2568" s="49">
        <f t="shared" si="716"/>
        <v>34027.14</v>
      </c>
      <c r="U2568" s="51">
        <f t="shared" si="717"/>
        <v>0</v>
      </c>
      <c r="V2568" s="52">
        <f>IF(0&lt;0.8,0,IF(0&lt;1,Sheet3!L561,1))*IF(G2568&lt;3,0.12 - O2568,0.01) *U2568</f>
        <v>0</v>
      </c>
      <c r="W2568" s="52">
        <f t="shared" si="718"/>
        <v>0</v>
      </c>
      <c r="X2568" s="53">
        <f t="shared" si="719"/>
        <v>0</v>
      </c>
      <c r="Y2568" s="53">
        <f t="shared" si="720"/>
        <v>0</v>
      </c>
      <c r="Z2568" s="54">
        <f t="shared" si="710"/>
        <v>0</v>
      </c>
      <c r="AA2568" s="54">
        <f t="shared" si="721"/>
        <v>0</v>
      </c>
      <c r="AB2568" s="55">
        <f t="shared" si="724"/>
        <v>0</v>
      </c>
      <c r="AC2568" s="55">
        <f t="shared" si="722"/>
        <v>0</v>
      </c>
      <c r="AD2568" s="56">
        <f t="shared" si="723"/>
        <v>34027.14</v>
      </c>
    </row>
    <row r="2569" spans="3:30">
      <c r="C2569" s="43" t="s">
        <v>4800</v>
      </c>
      <c r="D2569" s="44" t="s">
        <v>4801</v>
      </c>
      <c r="E2569" s="44"/>
      <c r="F2569" s="45">
        <v>40667.595185185186</v>
      </c>
      <c r="G2569" s="46">
        <v>88</v>
      </c>
      <c r="H2569" s="47">
        <v>43376</v>
      </c>
      <c r="I2569" s="47">
        <v>43416</v>
      </c>
      <c r="J2569" s="46">
        <v>3372104</v>
      </c>
      <c r="K2569" s="46">
        <v>0</v>
      </c>
      <c r="L2569" s="46">
        <v>0</v>
      </c>
      <c r="M2569" s="46">
        <f t="shared" si="712"/>
        <v>3372104</v>
      </c>
      <c r="N2569" s="46">
        <v>3355814</v>
      </c>
      <c r="O2569" s="48">
        <f t="shared" si="713"/>
        <v>0</v>
      </c>
      <c r="P2569" s="46">
        <v>0</v>
      </c>
      <c r="Q2569" s="46">
        <v>3372104</v>
      </c>
      <c r="R2569" s="49">
        <f t="shared" si="714"/>
        <v>1</v>
      </c>
      <c r="S2569" s="50">
        <f t="shared" si="715"/>
        <v>0.01</v>
      </c>
      <c r="T2569" s="49">
        <f t="shared" si="716"/>
        <v>33721.040000000001</v>
      </c>
      <c r="U2569" s="51">
        <f t="shared" si="717"/>
        <v>0</v>
      </c>
      <c r="V2569" s="52">
        <f>IF(0&lt;0.8,0,IF(0&lt;1,Sheet3!L561,1))*IF(G2569&lt;3,0.12 - O2569,0.01) *U2569</f>
        <v>0</v>
      </c>
      <c r="W2569" s="52">
        <f t="shared" si="718"/>
        <v>0</v>
      </c>
      <c r="X2569" s="53">
        <f t="shared" si="719"/>
        <v>0</v>
      </c>
      <c r="Y2569" s="53">
        <f t="shared" si="720"/>
        <v>0</v>
      </c>
      <c r="Z2569" s="54">
        <f t="shared" si="710"/>
        <v>0</v>
      </c>
      <c r="AA2569" s="54">
        <f t="shared" si="721"/>
        <v>0</v>
      </c>
      <c r="AB2569" s="55">
        <f t="shared" si="724"/>
        <v>0</v>
      </c>
      <c r="AC2569" s="55">
        <f t="shared" si="722"/>
        <v>0</v>
      </c>
      <c r="AD2569" s="56">
        <f t="shared" si="723"/>
        <v>33721.040000000001</v>
      </c>
    </row>
    <row r="2570" spans="3:30">
      <c r="C2570" s="43" t="s">
        <v>4802</v>
      </c>
      <c r="D2570" s="44" t="s">
        <v>4803</v>
      </c>
      <c r="E2570" s="44"/>
      <c r="F2570" s="45">
        <v>40676.592187499999</v>
      </c>
      <c r="G2570" s="46">
        <v>88</v>
      </c>
      <c r="H2570" s="47">
        <v>43417</v>
      </c>
      <c r="I2570" s="47">
        <v>43434</v>
      </c>
      <c r="J2570" s="46">
        <v>42048529</v>
      </c>
      <c r="K2570" s="46">
        <v>1146479</v>
      </c>
      <c r="L2570" s="46">
        <v>0</v>
      </c>
      <c r="M2570" s="46">
        <f t="shared" si="712"/>
        <v>40902050</v>
      </c>
      <c r="N2570" s="46">
        <v>38714368</v>
      </c>
      <c r="O2570" s="48">
        <f t="shared" si="713"/>
        <v>0</v>
      </c>
      <c r="P2570" s="46">
        <v>0</v>
      </c>
      <c r="Q2570" s="46">
        <v>42048529</v>
      </c>
      <c r="R2570" s="49">
        <f t="shared" si="714"/>
        <v>1</v>
      </c>
      <c r="S2570" s="50">
        <f t="shared" si="715"/>
        <v>0.01</v>
      </c>
      <c r="T2570" s="49">
        <f t="shared" si="716"/>
        <v>409020.5</v>
      </c>
      <c r="U2570" s="51">
        <f t="shared" si="717"/>
        <v>0</v>
      </c>
      <c r="V2570" s="52">
        <f>IF(0&lt;0.8,0,IF(0&lt;1,Sheet3!L561,1))*IF(G2570&lt;3,0.12 - O2570,0.01) *U2570</f>
        <v>0</v>
      </c>
      <c r="W2570" s="52">
        <f t="shared" si="718"/>
        <v>0</v>
      </c>
      <c r="X2570" s="53">
        <f t="shared" si="719"/>
        <v>0</v>
      </c>
      <c r="Y2570" s="53">
        <f t="shared" si="720"/>
        <v>0</v>
      </c>
      <c r="Z2570" s="54">
        <f t="shared" si="710"/>
        <v>0</v>
      </c>
      <c r="AA2570" s="54">
        <f t="shared" si="721"/>
        <v>0</v>
      </c>
      <c r="AB2570" s="55">
        <f t="shared" si="724"/>
        <v>0</v>
      </c>
      <c r="AC2570" s="55">
        <f t="shared" si="722"/>
        <v>0</v>
      </c>
      <c r="AD2570" s="56">
        <f t="shared" si="723"/>
        <v>409020.5</v>
      </c>
    </row>
    <row r="2571" spans="3:30">
      <c r="C2571" s="43" t="s">
        <v>4804</v>
      </c>
      <c r="D2571" s="44" t="s">
        <v>4805</v>
      </c>
      <c r="E2571" s="44"/>
      <c r="F2571" s="45">
        <v>40815.672719907408</v>
      </c>
      <c r="G2571" s="46">
        <v>84</v>
      </c>
      <c r="H2571" s="47">
        <v>43378</v>
      </c>
      <c r="I2571" s="47">
        <v>43396</v>
      </c>
      <c r="J2571" s="46">
        <v>668767</v>
      </c>
      <c r="K2571" s="46">
        <v>0</v>
      </c>
      <c r="L2571" s="46">
        <v>0</v>
      </c>
      <c r="M2571" s="46">
        <f t="shared" si="712"/>
        <v>668767</v>
      </c>
      <c r="N2571" s="46">
        <v>668767</v>
      </c>
      <c r="O2571" s="48">
        <f t="shared" si="713"/>
        <v>0</v>
      </c>
      <c r="P2571" s="46">
        <v>0</v>
      </c>
      <c r="Q2571" s="46">
        <v>668767</v>
      </c>
      <c r="R2571" s="49">
        <f t="shared" si="714"/>
        <v>1</v>
      </c>
      <c r="S2571" s="50">
        <f t="shared" si="715"/>
        <v>0.01</v>
      </c>
      <c r="T2571" s="49">
        <f t="shared" si="716"/>
        <v>6687.67</v>
      </c>
      <c r="U2571" s="51">
        <f t="shared" si="717"/>
        <v>0</v>
      </c>
      <c r="V2571" s="52">
        <f>IF(0&lt;0.8,0,IF(0&lt;1,Sheet3!L561,1))*IF(G2571&lt;3,0.12 - O2571,0.01) *U2571</f>
        <v>0</v>
      </c>
      <c r="W2571" s="52">
        <f t="shared" si="718"/>
        <v>0</v>
      </c>
      <c r="X2571" s="53">
        <f t="shared" si="719"/>
        <v>0</v>
      </c>
      <c r="Y2571" s="53">
        <f t="shared" si="720"/>
        <v>0</v>
      </c>
      <c r="Z2571" s="54">
        <f t="shared" si="710"/>
        <v>0</v>
      </c>
      <c r="AA2571" s="54">
        <f t="shared" si="721"/>
        <v>0</v>
      </c>
      <c r="AB2571" s="55">
        <f t="shared" si="724"/>
        <v>0</v>
      </c>
      <c r="AC2571" s="55">
        <f t="shared" si="722"/>
        <v>0</v>
      </c>
      <c r="AD2571" s="56">
        <f t="shared" si="723"/>
        <v>6687.67</v>
      </c>
    </row>
    <row r="2572" spans="3:30">
      <c r="C2572" s="43" t="s">
        <v>4806</v>
      </c>
      <c r="D2572" s="44" t="s">
        <v>4807</v>
      </c>
      <c r="E2572" s="44"/>
      <c r="F2572" s="45">
        <v>40829.418553240735</v>
      </c>
      <c r="G2572" s="46">
        <v>83</v>
      </c>
      <c r="H2572" s="47">
        <v>43403</v>
      </c>
      <c r="I2572" s="47">
        <v>43420</v>
      </c>
      <c r="J2572" s="46">
        <v>245671630.40000001</v>
      </c>
      <c r="K2572" s="46">
        <v>0</v>
      </c>
      <c r="L2572" s="46">
        <v>0</v>
      </c>
      <c r="M2572" s="46">
        <f t="shared" si="712"/>
        <v>245671630.40000001</v>
      </c>
      <c r="N2572" s="46">
        <v>282559118.39999998</v>
      </c>
      <c r="O2572" s="48">
        <f t="shared" si="713"/>
        <v>0.13054785918386402</v>
      </c>
      <c r="P2572" s="46">
        <v>0</v>
      </c>
      <c r="Q2572" s="46">
        <v>245795777.40000001</v>
      </c>
      <c r="R2572" s="49">
        <f t="shared" si="714"/>
        <v>1</v>
      </c>
      <c r="S2572" s="50">
        <f t="shared" si="715"/>
        <v>0.01</v>
      </c>
      <c r="T2572" s="49">
        <f t="shared" si="716"/>
        <v>2456716.304</v>
      </c>
      <c r="U2572" s="51">
        <f t="shared" si="717"/>
        <v>0</v>
      </c>
      <c r="V2572" s="52">
        <f>IF(0&lt;0.8,0,IF(0&lt;1,Sheet3!L561,1))*IF(G2572&lt;3,0.12 - O2572,0.01) *U2572</f>
        <v>0</v>
      </c>
      <c r="W2572" s="52">
        <f t="shared" si="718"/>
        <v>0</v>
      </c>
      <c r="X2572" s="53">
        <f t="shared" si="719"/>
        <v>0</v>
      </c>
      <c r="Y2572" s="53">
        <f t="shared" si="720"/>
        <v>0</v>
      </c>
      <c r="Z2572" s="54">
        <f t="shared" si="710"/>
        <v>0</v>
      </c>
      <c r="AA2572" s="54">
        <f t="shared" si="721"/>
        <v>0</v>
      </c>
      <c r="AB2572" s="55">
        <f t="shared" si="724"/>
        <v>0</v>
      </c>
      <c r="AC2572" s="55">
        <f t="shared" si="722"/>
        <v>0</v>
      </c>
      <c r="AD2572" s="56">
        <f t="shared" si="723"/>
        <v>2456716.304</v>
      </c>
    </row>
    <row r="2573" spans="3:30">
      <c r="C2573" s="43" t="s">
        <v>4808</v>
      </c>
      <c r="D2573" s="44" t="s">
        <v>4809</v>
      </c>
      <c r="E2573" s="44"/>
      <c r="F2573" s="45">
        <v>40855.360706018517</v>
      </c>
      <c r="G2573" s="46">
        <v>82</v>
      </c>
      <c r="H2573" s="47">
        <v>43376</v>
      </c>
      <c r="I2573" s="47">
        <v>43399</v>
      </c>
      <c r="J2573" s="46">
        <v>5574000</v>
      </c>
      <c r="K2573" s="46">
        <v>0</v>
      </c>
      <c r="L2573" s="46">
        <v>0</v>
      </c>
      <c r="M2573" s="46">
        <f t="shared" si="712"/>
        <v>5574000</v>
      </c>
      <c r="N2573" s="46">
        <v>5573505</v>
      </c>
      <c r="O2573" s="48">
        <f t="shared" si="713"/>
        <v>0</v>
      </c>
      <c r="P2573" s="46">
        <v>0</v>
      </c>
      <c r="Q2573" s="46">
        <v>5574000</v>
      </c>
      <c r="R2573" s="49">
        <f t="shared" si="714"/>
        <v>1</v>
      </c>
      <c r="S2573" s="50">
        <f t="shared" si="715"/>
        <v>0.01</v>
      </c>
      <c r="T2573" s="49">
        <f t="shared" si="716"/>
        <v>55740</v>
      </c>
      <c r="U2573" s="51">
        <f t="shared" si="717"/>
        <v>0</v>
      </c>
      <c r="V2573" s="52">
        <f>IF(0&lt;0.8,0,IF(0&lt;1,Sheet3!L561,1))*IF(G2573&lt;3,0.12 - O2573,0.01) *U2573</f>
        <v>0</v>
      </c>
      <c r="W2573" s="52">
        <f t="shared" si="718"/>
        <v>0</v>
      </c>
      <c r="X2573" s="53">
        <f t="shared" si="719"/>
        <v>0</v>
      </c>
      <c r="Y2573" s="53">
        <f t="shared" si="720"/>
        <v>0</v>
      </c>
      <c r="Z2573" s="54">
        <f t="shared" si="710"/>
        <v>0</v>
      </c>
      <c r="AA2573" s="54">
        <f t="shared" si="721"/>
        <v>0</v>
      </c>
      <c r="AB2573" s="55">
        <f t="shared" si="724"/>
        <v>0</v>
      </c>
      <c r="AC2573" s="55">
        <f t="shared" si="722"/>
        <v>0</v>
      </c>
      <c r="AD2573" s="56">
        <f t="shared" si="723"/>
        <v>55740</v>
      </c>
    </row>
    <row r="2574" spans="3:30">
      <c r="C2574" s="43" t="s">
        <v>4810</v>
      </c>
      <c r="D2574" s="44" t="s">
        <v>4811</v>
      </c>
      <c r="E2574" s="44"/>
      <c r="F2574" s="45">
        <v>41026.422592592593</v>
      </c>
      <c r="G2574" s="46">
        <v>77</v>
      </c>
      <c r="H2574" s="47">
        <v>43376</v>
      </c>
      <c r="I2574" s="47">
        <v>43405</v>
      </c>
      <c r="J2574" s="46">
        <v>3096489</v>
      </c>
      <c r="K2574" s="46">
        <v>0</v>
      </c>
      <c r="L2574" s="46">
        <v>0</v>
      </c>
      <c r="M2574" s="46">
        <f t="shared" si="712"/>
        <v>3096489</v>
      </c>
      <c r="N2574" s="46">
        <v>3575711</v>
      </c>
      <c r="O2574" s="48">
        <f t="shared" si="713"/>
        <v>0.13402145755068018</v>
      </c>
      <c r="P2574" s="46">
        <v>0</v>
      </c>
      <c r="Q2574" s="46">
        <v>3096489</v>
      </c>
      <c r="R2574" s="49">
        <f t="shared" si="714"/>
        <v>1</v>
      </c>
      <c r="S2574" s="50">
        <f t="shared" si="715"/>
        <v>0.01</v>
      </c>
      <c r="T2574" s="49">
        <f t="shared" si="716"/>
        <v>30964.89</v>
      </c>
      <c r="U2574" s="51">
        <f t="shared" si="717"/>
        <v>0</v>
      </c>
      <c r="V2574" s="52">
        <f>IF(0&lt;0.8,0,IF(0&lt;1,Sheet3!L561,1))*IF(G2574&lt;3,0.12 - O2574,0.01) *U2574</f>
        <v>0</v>
      </c>
      <c r="W2574" s="52">
        <f t="shared" si="718"/>
        <v>0</v>
      </c>
      <c r="X2574" s="53">
        <f t="shared" si="719"/>
        <v>0</v>
      </c>
      <c r="Y2574" s="53">
        <f t="shared" si="720"/>
        <v>0</v>
      </c>
      <c r="Z2574" s="54">
        <f t="shared" si="710"/>
        <v>0</v>
      </c>
      <c r="AA2574" s="54">
        <f t="shared" si="721"/>
        <v>0</v>
      </c>
      <c r="AB2574" s="55">
        <f t="shared" si="724"/>
        <v>0</v>
      </c>
      <c r="AC2574" s="55">
        <f t="shared" si="722"/>
        <v>0</v>
      </c>
      <c r="AD2574" s="56">
        <f t="shared" si="723"/>
        <v>30964.89</v>
      </c>
    </row>
    <row r="2575" spans="3:30">
      <c r="C2575" s="43" t="s">
        <v>4812</v>
      </c>
      <c r="D2575" s="44" t="s">
        <v>4813</v>
      </c>
      <c r="E2575" s="44"/>
      <c r="F2575" s="45">
        <v>41062.371678240735</v>
      </c>
      <c r="G2575" s="46">
        <v>75</v>
      </c>
      <c r="H2575" s="47">
        <v>43376</v>
      </c>
      <c r="I2575" s="47">
        <v>43416</v>
      </c>
      <c r="J2575" s="46">
        <v>3740139</v>
      </c>
      <c r="K2575" s="46">
        <v>0</v>
      </c>
      <c r="L2575" s="46">
        <v>0</v>
      </c>
      <c r="M2575" s="46">
        <f t="shared" si="712"/>
        <v>3740139</v>
      </c>
      <c r="N2575" s="46">
        <v>4380912</v>
      </c>
      <c r="O2575" s="48">
        <f t="shared" si="713"/>
        <v>0.14626475035335107</v>
      </c>
      <c r="P2575" s="46">
        <v>0</v>
      </c>
      <c r="Q2575" s="46">
        <v>3740139</v>
      </c>
      <c r="R2575" s="49">
        <f t="shared" si="714"/>
        <v>1</v>
      </c>
      <c r="S2575" s="50">
        <f t="shared" si="715"/>
        <v>0.01</v>
      </c>
      <c r="T2575" s="49">
        <f t="shared" si="716"/>
        <v>37401.39</v>
      </c>
      <c r="U2575" s="51">
        <f t="shared" si="717"/>
        <v>0</v>
      </c>
      <c r="V2575" s="52">
        <f>IF(0&lt;0.8,0,IF(0&lt;1,Sheet3!L561,1))*IF(G2575&lt;3,0.12 - O2575,0.01) *U2575</f>
        <v>0</v>
      </c>
      <c r="W2575" s="52">
        <f t="shared" si="718"/>
        <v>0</v>
      </c>
      <c r="X2575" s="53">
        <f t="shared" si="719"/>
        <v>0</v>
      </c>
      <c r="Y2575" s="53">
        <f t="shared" si="720"/>
        <v>0</v>
      </c>
      <c r="Z2575" s="54">
        <f t="shared" si="710"/>
        <v>0</v>
      </c>
      <c r="AA2575" s="54">
        <f t="shared" si="721"/>
        <v>0</v>
      </c>
      <c r="AB2575" s="55">
        <f t="shared" si="724"/>
        <v>0</v>
      </c>
      <c r="AC2575" s="55">
        <f t="shared" si="722"/>
        <v>0</v>
      </c>
      <c r="AD2575" s="56">
        <f t="shared" si="723"/>
        <v>37401.39</v>
      </c>
    </row>
    <row r="2576" spans="3:30">
      <c r="C2576" s="43" t="s">
        <v>4814</v>
      </c>
      <c r="D2576" s="44" t="s">
        <v>4815</v>
      </c>
      <c r="E2576" s="44"/>
      <c r="F2576" s="45">
        <v>41065.397152777776</v>
      </c>
      <c r="G2576" s="46">
        <v>75</v>
      </c>
      <c r="H2576" s="47">
        <v>43379</v>
      </c>
      <c r="I2576" s="47">
        <v>43420</v>
      </c>
      <c r="J2576" s="46">
        <v>31320000</v>
      </c>
      <c r="K2576" s="46">
        <v>0</v>
      </c>
      <c r="L2576" s="46">
        <v>0</v>
      </c>
      <c r="M2576" s="46">
        <f t="shared" si="712"/>
        <v>31320000</v>
      </c>
      <c r="N2576" s="46">
        <v>59522078</v>
      </c>
      <c r="O2576" s="48">
        <f t="shared" si="713"/>
        <v>0.47380869330536479</v>
      </c>
      <c r="P2576" s="46">
        <v>0</v>
      </c>
      <c r="Q2576" s="46">
        <v>31320000</v>
      </c>
      <c r="R2576" s="49">
        <f t="shared" si="714"/>
        <v>1</v>
      </c>
      <c r="S2576" s="50">
        <f t="shared" si="715"/>
        <v>0.01</v>
      </c>
      <c r="T2576" s="49">
        <f t="shared" si="716"/>
        <v>313200</v>
      </c>
      <c r="U2576" s="51">
        <f t="shared" si="717"/>
        <v>0</v>
      </c>
      <c r="V2576" s="52">
        <f>IF(0&lt;0.8,0,IF(0&lt;1,Sheet3!L561,1))*IF(G2576&lt;3,0.12 - O2576,0.01) *U2576</f>
        <v>0</v>
      </c>
      <c r="W2576" s="52">
        <f t="shared" si="718"/>
        <v>0</v>
      </c>
      <c r="X2576" s="53">
        <f t="shared" si="719"/>
        <v>0</v>
      </c>
      <c r="Y2576" s="53">
        <f t="shared" si="720"/>
        <v>0</v>
      </c>
      <c r="Z2576" s="54">
        <f t="shared" si="710"/>
        <v>0</v>
      </c>
      <c r="AA2576" s="54">
        <f t="shared" si="721"/>
        <v>0</v>
      </c>
      <c r="AB2576" s="55">
        <f t="shared" si="724"/>
        <v>0</v>
      </c>
      <c r="AC2576" s="55">
        <f t="shared" si="722"/>
        <v>0</v>
      </c>
      <c r="AD2576" s="56">
        <f t="shared" si="723"/>
        <v>313200</v>
      </c>
    </row>
    <row r="2577" spans="3:30">
      <c r="C2577" s="43" t="s">
        <v>4816</v>
      </c>
      <c r="D2577" s="44" t="s">
        <v>4817</v>
      </c>
      <c r="E2577" s="44"/>
      <c r="F2577" s="45">
        <v>41092.408819444441</v>
      </c>
      <c r="G2577" s="46">
        <v>74</v>
      </c>
      <c r="H2577" s="47">
        <v>43390</v>
      </c>
      <c r="I2577" s="47">
        <v>43397</v>
      </c>
      <c r="J2577" s="46">
        <v>811668</v>
      </c>
      <c r="K2577" s="46">
        <v>0</v>
      </c>
      <c r="L2577" s="46">
        <v>0</v>
      </c>
      <c r="M2577" s="46">
        <f t="shared" si="712"/>
        <v>811668</v>
      </c>
      <c r="N2577" s="46">
        <v>811668</v>
      </c>
      <c r="O2577" s="48">
        <f t="shared" si="713"/>
        <v>0</v>
      </c>
      <c r="P2577" s="46">
        <v>0</v>
      </c>
      <c r="Q2577" s="46">
        <v>811668</v>
      </c>
      <c r="R2577" s="49">
        <f t="shared" si="714"/>
        <v>1</v>
      </c>
      <c r="S2577" s="50">
        <f t="shared" si="715"/>
        <v>0.01</v>
      </c>
      <c r="T2577" s="49">
        <f t="shared" si="716"/>
        <v>8116.68</v>
      </c>
      <c r="U2577" s="51">
        <f t="shared" si="717"/>
        <v>0</v>
      </c>
      <c r="V2577" s="52">
        <f>IF(0&lt;0.8,0,IF(0&lt;1,Sheet3!L561,1))*IF(G2577&lt;3,0.12 - O2577,0.01) *U2577</f>
        <v>0</v>
      </c>
      <c r="W2577" s="52">
        <f t="shared" si="718"/>
        <v>0</v>
      </c>
      <c r="X2577" s="53">
        <f t="shared" si="719"/>
        <v>0</v>
      </c>
      <c r="Y2577" s="53">
        <f t="shared" si="720"/>
        <v>0</v>
      </c>
      <c r="Z2577" s="54">
        <f t="shared" si="710"/>
        <v>0</v>
      </c>
      <c r="AA2577" s="54">
        <f t="shared" si="721"/>
        <v>0</v>
      </c>
      <c r="AB2577" s="55">
        <f t="shared" si="724"/>
        <v>0</v>
      </c>
      <c r="AC2577" s="55">
        <f t="shared" si="722"/>
        <v>0</v>
      </c>
      <c r="AD2577" s="56">
        <f t="shared" si="723"/>
        <v>8116.68</v>
      </c>
    </row>
    <row r="2578" spans="3:30">
      <c r="C2578" s="43" t="s">
        <v>4818</v>
      </c>
      <c r="D2578" s="44" t="s">
        <v>4819</v>
      </c>
      <c r="E2578" s="44"/>
      <c r="F2578" s="45">
        <v>41134.61996527778</v>
      </c>
      <c r="G2578" s="46">
        <v>73</v>
      </c>
      <c r="H2578" s="47">
        <v>43398</v>
      </c>
      <c r="I2578" s="47">
        <v>43411</v>
      </c>
      <c r="J2578" s="46">
        <v>2566047</v>
      </c>
      <c r="K2578" s="46">
        <v>116634</v>
      </c>
      <c r="L2578" s="46">
        <v>0</v>
      </c>
      <c r="M2578" s="46">
        <f t="shared" si="712"/>
        <v>2449413</v>
      </c>
      <c r="N2578" s="46">
        <v>2566047</v>
      </c>
      <c r="O2578" s="48">
        <f t="shared" si="713"/>
        <v>4.5452791784406088E-2</v>
      </c>
      <c r="P2578" s="46">
        <v>0</v>
      </c>
      <c r="Q2578" s="46">
        <v>2566047</v>
      </c>
      <c r="R2578" s="49">
        <f t="shared" si="714"/>
        <v>1</v>
      </c>
      <c r="S2578" s="50">
        <f t="shared" si="715"/>
        <v>0.01</v>
      </c>
      <c r="T2578" s="49">
        <f t="shared" si="716"/>
        <v>24494.13</v>
      </c>
      <c r="U2578" s="51">
        <f t="shared" si="717"/>
        <v>0</v>
      </c>
      <c r="V2578" s="52">
        <f>IF(0&lt;0.8,0,IF(0&lt;1,Sheet3!L561,1))*IF(G2578&lt;3,0.12 - O2578,0.01) *U2578</f>
        <v>0</v>
      </c>
      <c r="W2578" s="52">
        <f t="shared" si="718"/>
        <v>0</v>
      </c>
      <c r="X2578" s="53">
        <f t="shared" si="719"/>
        <v>0</v>
      </c>
      <c r="Y2578" s="53">
        <f t="shared" si="720"/>
        <v>0</v>
      </c>
      <c r="Z2578" s="54">
        <f t="shared" si="710"/>
        <v>0</v>
      </c>
      <c r="AA2578" s="54">
        <f t="shared" si="721"/>
        <v>0</v>
      </c>
      <c r="AB2578" s="55">
        <f t="shared" si="724"/>
        <v>0</v>
      </c>
      <c r="AC2578" s="55">
        <f t="shared" si="722"/>
        <v>0</v>
      </c>
      <c r="AD2578" s="56">
        <f t="shared" si="723"/>
        <v>24494.13</v>
      </c>
    </row>
    <row r="2579" spans="3:30">
      <c r="C2579" s="43" t="s">
        <v>4820</v>
      </c>
      <c r="D2579" s="44" t="s">
        <v>4821</v>
      </c>
      <c r="E2579" s="44"/>
      <c r="F2579" s="45">
        <v>41165.482465277775</v>
      </c>
      <c r="G2579" s="46">
        <v>72</v>
      </c>
      <c r="H2579" s="47">
        <v>43390</v>
      </c>
      <c r="I2579" s="47">
        <v>43405</v>
      </c>
      <c r="J2579" s="46">
        <v>888382</v>
      </c>
      <c r="K2579" s="46">
        <v>0</v>
      </c>
      <c r="L2579" s="46">
        <v>0</v>
      </c>
      <c r="M2579" s="46">
        <f t="shared" si="712"/>
        <v>888382</v>
      </c>
      <c r="N2579" s="46">
        <v>888382</v>
      </c>
      <c r="O2579" s="48">
        <f t="shared" si="713"/>
        <v>0</v>
      </c>
      <c r="P2579" s="46">
        <v>0</v>
      </c>
      <c r="Q2579" s="46">
        <v>888382</v>
      </c>
      <c r="R2579" s="49">
        <f t="shared" si="714"/>
        <v>1</v>
      </c>
      <c r="S2579" s="50">
        <f t="shared" si="715"/>
        <v>0.01</v>
      </c>
      <c r="T2579" s="49">
        <f t="shared" si="716"/>
        <v>8883.82</v>
      </c>
      <c r="U2579" s="51">
        <f t="shared" si="717"/>
        <v>0</v>
      </c>
      <c r="V2579" s="52">
        <f>IF(0&lt;0.8,0,IF(0&lt;1,Sheet3!L561,1))*IF(G2579&lt;3,0.12 - O2579,0.01) *U2579</f>
        <v>0</v>
      </c>
      <c r="W2579" s="52">
        <f t="shared" si="718"/>
        <v>0</v>
      </c>
      <c r="X2579" s="53">
        <f t="shared" si="719"/>
        <v>0</v>
      </c>
      <c r="Y2579" s="53">
        <f t="shared" si="720"/>
        <v>0</v>
      </c>
      <c r="Z2579" s="54">
        <f t="shared" si="710"/>
        <v>0</v>
      </c>
      <c r="AA2579" s="54">
        <f t="shared" si="721"/>
        <v>0</v>
      </c>
      <c r="AB2579" s="55">
        <f t="shared" si="724"/>
        <v>0</v>
      </c>
      <c r="AC2579" s="55">
        <f t="shared" si="722"/>
        <v>0</v>
      </c>
      <c r="AD2579" s="56">
        <f t="shared" si="723"/>
        <v>8883.82</v>
      </c>
    </row>
    <row r="2580" spans="3:30">
      <c r="C2580" s="43" t="s">
        <v>4822</v>
      </c>
      <c r="D2580" s="44" t="s">
        <v>4823</v>
      </c>
      <c r="E2580" s="44"/>
      <c r="F2580" s="45">
        <v>41219.418877314813</v>
      </c>
      <c r="G2580" s="46">
        <v>70</v>
      </c>
      <c r="H2580" s="47">
        <v>43390</v>
      </c>
      <c r="I2580" s="47">
        <v>43400</v>
      </c>
      <c r="J2580" s="46">
        <v>256762</v>
      </c>
      <c r="K2580" s="46">
        <v>0</v>
      </c>
      <c r="L2580" s="46">
        <v>0</v>
      </c>
      <c r="M2580" s="46">
        <f t="shared" si="712"/>
        <v>256762</v>
      </c>
      <c r="N2580" s="46">
        <v>256762</v>
      </c>
      <c r="O2580" s="48">
        <f t="shared" si="713"/>
        <v>0</v>
      </c>
      <c r="P2580" s="46">
        <v>0</v>
      </c>
      <c r="Q2580" s="46">
        <v>256762</v>
      </c>
      <c r="R2580" s="49">
        <f t="shared" si="714"/>
        <v>1</v>
      </c>
      <c r="S2580" s="50">
        <f t="shared" si="715"/>
        <v>0.01</v>
      </c>
      <c r="T2580" s="49">
        <f t="shared" si="716"/>
        <v>2567.62</v>
      </c>
      <c r="U2580" s="51">
        <f t="shared" si="717"/>
        <v>0</v>
      </c>
      <c r="V2580" s="52">
        <f>IF(0&lt;0.8,0,IF(0&lt;1,Sheet3!L561,1))*IF(G2580&lt;3,0.12 - O2580,0.01) *U2580</f>
        <v>0</v>
      </c>
      <c r="W2580" s="52">
        <f t="shared" si="718"/>
        <v>0</v>
      </c>
      <c r="X2580" s="53">
        <f t="shared" si="719"/>
        <v>0</v>
      </c>
      <c r="Y2580" s="53">
        <f t="shared" si="720"/>
        <v>0</v>
      </c>
      <c r="Z2580" s="54">
        <f t="shared" si="710"/>
        <v>0</v>
      </c>
      <c r="AA2580" s="54">
        <f t="shared" si="721"/>
        <v>0</v>
      </c>
      <c r="AB2580" s="55">
        <f t="shared" si="724"/>
        <v>0</v>
      </c>
      <c r="AC2580" s="55">
        <f t="shared" si="722"/>
        <v>0</v>
      </c>
      <c r="AD2580" s="56">
        <f t="shared" si="723"/>
        <v>2567.62</v>
      </c>
    </row>
    <row r="2581" spans="3:30">
      <c r="C2581" s="43" t="s">
        <v>4824</v>
      </c>
      <c r="D2581" s="44" t="s">
        <v>4825</v>
      </c>
      <c r="E2581" s="44"/>
      <c r="F2581" s="45">
        <v>41222.463043981479</v>
      </c>
      <c r="G2581" s="46">
        <v>70</v>
      </c>
      <c r="H2581" s="47">
        <v>43390</v>
      </c>
      <c r="I2581" s="47">
        <v>43397</v>
      </c>
      <c r="J2581" s="46">
        <v>153307</v>
      </c>
      <c r="K2581" s="46">
        <v>0</v>
      </c>
      <c r="L2581" s="46">
        <v>0</v>
      </c>
      <c r="M2581" s="46">
        <f t="shared" si="712"/>
        <v>153307</v>
      </c>
      <c r="N2581" s="46">
        <v>153307</v>
      </c>
      <c r="O2581" s="48">
        <f t="shared" si="713"/>
        <v>0</v>
      </c>
      <c r="P2581" s="46">
        <v>0</v>
      </c>
      <c r="Q2581" s="46">
        <v>153307</v>
      </c>
      <c r="R2581" s="49">
        <f t="shared" si="714"/>
        <v>1</v>
      </c>
      <c r="S2581" s="50">
        <f t="shared" si="715"/>
        <v>0.01</v>
      </c>
      <c r="T2581" s="49">
        <f t="shared" si="716"/>
        <v>1533.07</v>
      </c>
      <c r="U2581" s="51">
        <f t="shared" si="717"/>
        <v>0</v>
      </c>
      <c r="V2581" s="52">
        <f>IF(0&lt;0.8,0,IF(0&lt;1,Sheet3!L561,1))*IF(G2581&lt;3,0.12 - O2581,0.01) *U2581</f>
        <v>0</v>
      </c>
      <c r="W2581" s="52">
        <f t="shared" si="718"/>
        <v>0</v>
      </c>
      <c r="X2581" s="53">
        <f t="shared" si="719"/>
        <v>0</v>
      </c>
      <c r="Y2581" s="53">
        <f t="shared" si="720"/>
        <v>0</v>
      </c>
      <c r="Z2581" s="54">
        <f t="shared" si="710"/>
        <v>0</v>
      </c>
      <c r="AA2581" s="54">
        <f t="shared" si="721"/>
        <v>0</v>
      </c>
      <c r="AB2581" s="55">
        <f t="shared" si="724"/>
        <v>0</v>
      </c>
      <c r="AC2581" s="55">
        <f t="shared" si="722"/>
        <v>0</v>
      </c>
      <c r="AD2581" s="56">
        <f t="shared" si="723"/>
        <v>1533.07</v>
      </c>
    </row>
    <row r="2582" spans="3:30">
      <c r="C2582" s="43" t="s">
        <v>4826</v>
      </c>
      <c r="D2582" s="44" t="s">
        <v>4827</v>
      </c>
      <c r="E2582" s="44"/>
      <c r="F2582" s="45">
        <v>41227.457627314812</v>
      </c>
      <c r="G2582" s="46">
        <v>70</v>
      </c>
      <c r="H2582" s="47">
        <v>43378</v>
      </c>
      <c r="I2582" s="47">
        <v>43398</v>
      </c>
      <c r="J2582" s="46">
        <v>6154036</v>
      </c>
      <c r="K2582" s="46">
        <v>0</v>
      </c>
      <c r="L2582" s="46">
        <v>0</v>
      </c>
      <c r="M2582" s="46">
        <f t="shared" si="712"/>
        <v>6154036</v>
      </c>
      <c r="N2582" s="46">
        <v>6154036</v>
      </c>
      <c r="O2582" s="48">
        <f t="shared" si="713"/>
        <v>0</v>
      </c>
      <c r="P2582" s="46">
        <v>0</v>
      </c>
      <c r="Q2582" s="46">
        <v>6154036</v>
      </c>
      <c r="R2582" s="49">
        <f t="shared" si="714"/>
        <v>1</v>
      </c>
      <c r="S2582" s="50">
        <f t="shared" si="715"/>
        <v>0.01</v>
      </c>
      <c r="T2582" s="49">
        <f t="shared" si="716"/>
        <v>61540.36</v>
      </c>
      <c r="U2582" s="51">
        <f t="shared" si="717"/>
        <v>0</v>
      </c>
      <c r="V2582" s="52">
        <f>IF(0&lt;0.8,0,IF(0&lt;1,Sheet3!L561,1))*IF(G2582&lt;3,0.12 - O2582,0.01) *U2582</f>
        <v>0</v>
      </c>
      <c r="W2582" s="52">
        <f t="shared" si="718"/>
        <v>0</v>
      </c>
      <c r="X2582" s="53">
        <f t="shared" si="719"/>
        <v>0</v>
      </c>
      <c r="Y2582" s="53">
        <f t="shared" si="720"/>
        <v>0</v>
      </c>
      <c r="Z2582" s="54">
        <f t="shared" si="710"/>
        <v>0</v>
      </c>
      <c r="AA2582" s="54">
        <f t="shared" si="721"/>
        <v>0</v>
      </c>
      <c r="AB2582" s="55">
        <f t="shared" si="724"/>
        <v>0</v>
      </c>
      <c r="AC2582" s="55">
        <f t="shared" si="722"/>
        <v>0</v>
      </c>
      <c r="AD2582" s="56">
        <f t="shared" si="723"/>
        <v>61540.36</v>
      </c>
    </row>
    <row r="2583" spans="3:30">
      <c r="C2583" s="43" t="s">
        <v>4828</v>
      </c>
      <c r="D2583" s="44" t="s">
        <v>4829</v>
      </c>
      <c r="E2583" s="44"/>
      <c r="F2583" s="45">
        <v>41228.611261574071</v>
      </c>
      <c r="G2583" s="46">
        <v>70</v>
      </c>
      <c r="H2583" s="47">
        <v>43404</v>
      </c>
      <c r="I2583" s="47">
        <v>43423</v>
      </c>
      <c r="J2583" s="46">
        <v>163197936</v>
      </c>
      <c r="K2583" s="46">
        <v>3120497</v>
      </c>
      <c r="L2583" s="46">
        <v>0</v>
      </c>
      <c r="M2583" s="46">
        <f t="shared" si="712"/>
        <v>160077439</v>
      </c>
      <c r="N2583" s="46">
        <v>272497347</v>
      </c>
      <c r="O2583" s="48">
        <f t="shared" si="713"/>
        <v>0.41255413763716386</v>
      </c>
      <c r="P2583" s="46">
        <v>0</v>
      </c>
      <c r="Q2583" s="46">
        <v>163197936</v>
      </c>
      <c r="R2583" s="49">
        <f t="shared" si="714"/>
        <v>1</v>
      </c>
      <c r="S2583" s="50">
        <f t="shared" si="715"/>
        <v>0.01</v>
      </c>
      <c r="T2583" s="49">
        <f t="shared" si="716"/>
        <v>1600774.3900000001</v>
      </c>
      <c r="U2583" s="51">
        <f t="shared" si="717"/>
        <v>0</v>
      </c>
      <c r="V2583" s="52">
        <f>IF(0&lt;0.8,0,IF(0&lt;1,Sheet3!L561,1))*IF(G2583&lt;3,0.12 - O2583,0.01) *U2583</f>
        <v>0</v>
      </c>
      <c r="W2583" s="52">
        <f t="shared" si="718"/>
        <v>0</v>
      </c>
      <c r="X2583" s="53">
        <f t="shared" si="719"/>
        <v>0</v>
      </c>
      <c r="Y2583" s="53">
        <f t="shared" si="720"/>
        <v>0</v>
      </c>
      <c r="Z2583" s="54">
        <f>IF(R2583=1,0,8379000)</f>
        <v>0</v>
      </c>
      <c r="AA2583" s="54">
        <f t="shared" si="721"/>
        <v>0</v>
      </c>
      <c r="AB2583" s="55">
        <f t="shared" si="724"/>
        <v>0</v>
      </c>
      <c r="AC2583" s="55">
        <f t="shared" si="722"/>
        <v>0</v>
      </c>
      <c r="AD2583" s="56">
        <f t="shared" si="723"/>
        <v>1600774.3900000001</v>
      </c>
    </row>
    <row r="2584" spans="3:30">
      <c r="C2584" s="43" t="s">
        <v>4830</v>
      </c>
      <c r="D2584" s="44" t="s">
        <v>24</v>
      </c>
      <c r="E2584" s="44"/>
      <c r="F2584" s="45" t="s">
        <v>24</v>
      </c>
      <c r="G2584" s="46" t="s">
        <v>24</v>
      </c>
      <c r="H2584" s="47" t="s">
        <v>24</v>
      </c>
      <c r="I2584" s="47" t="s">
        <v>24</v>
      </c>
      <c r="J2584" s="46">
        <v>13310</v>
      </c>
      <c r="K2584" s="46">
        <v>0</v>
      </c>
      <c r="L2584" s="46">
        <v>0</v>
      </c>
      <c r="M2584" s="46">
        <f t="shared" si="712"/>
        <v>13310</v>
      </c>
      <c r="N2584" s="46" t="s">
        <v>24</v>
      </c>
      <c r="O2584" s="48">
        <f t="shared" si="713"/>
        <v>0</v>
      </c>
      <c r="P2584" s="46">
        <v>0</v>
      </c>
      <c r="Q2584" s="46">
        <v>0</v>
      </c>
      <c r="R2584" s="49">
        <f t="shared" si="714"/>
        <v>0</v>
      </c>
      <c r="S2584" s="50">
        <f t="shared" si="715"/>
        <v>0</v>
      </c>
      <c r="T2584" s="49">
        <f t="shared" si="716"/>
        <v>0</v>
      </c>
      <c r="U2584" s="51">
        <f t="shared" si="717"/>
        <v>13310</v>
      </c>
      <c r="V2584" s="52">
        <f>IF(0&lt;0.8,0,IF(0&lt;1,Sheet3!L561,1))*IF(G2584&lt;3,0.12 - O2584,0.01) *U2584</f>
        <v>0</v>
      </c>
      <c r="W2584" s="52">
        <f t="shared" si="718"/>
        <v>0</v>
      </c>
      <c r="X2584" s="53">
        <f t="shared" si="719"/>
        <v>0</v>
      </c>
      <c r="Y2584" s="53">
        <f t="shared" si="720"/>
        <v>0</v>
      </c>
      <c r="Z2584" s="54" t="str">
        <f>IF(R2584=1,0,"")</f>
        <v/>
      </c>
      <c r="AA2584" s="54">
        <f t="shared" si="721"/>
        <v>0</v>
      </c>
      <c r="AB2584" s="55" t="str">
        <f>IF(R2584=0,"",0)</f>
        <v/>
      </c>
      <c r="AC2584" s="55">
        <f t="shared" si="722"/>
        <v>0</v>
      </c>
      <c r="AD2584" s="56">
        <f t="shared" si="723"/>
        <v>0</v>
      </c>
    </row>
    <row r="2585" spans="3:30">
      <c r="C2585" s="43" t="s">
        <v>4831</v>
      </c>
      <c r="D2585" s="44" t="s">
        <v>4832</v>
      </c>
      <c r="E2585" s="44"/>
      <c r="F2585" s="45">
        <v>41233.404247685183</v>
      </c>
      <c r="G2585" s="46">
        <v>70</v>
      </c>
      <c r="H2585" s="47">
        <v>43420</v>
      </c>
      <c r="I2585" s="47">
        <v>43446</v>
      </c>
      <c r="J2585" s="46">
        <v>5060942</v>
      </c>
      <c r="K2585" s="46">
        <v>0</v>
      </c>
      <c r="L2585" s="46">
        <v>0</v>
      </c>
      <c r="M2585" s="46">
        <f t="shared" si="712"/>
        <v>5060942</v>
      </c>
      <c r="N2585" s="46">
        <v>4986769</v>
      </c>
      <c r="O2585" s="48">
        <f t="shared" si="713"/>
        <v>0</v>
      </c>
      <c r="P2585" s="46">
        <v>0</v>
      </c>
      <c r="Q2585" s="46">
        <v>5060942</v>
      </c>
      <c r="R2585" s="49">
        <f t="shared" si="714"/>
        <v>1</v>
      </c>
      <c r="S2585" s="50">
        <f t="shared" si="715"/>
        <v>0.01</v>
      </c>
      <c r="T2585" s="49">
        <f t="shared" si="716"/>
        <v>50609.42</v>
      </c>
      <c r="U2585" s="51">
        <f t="shared" si="717"/>
        <v>0</v>
      </c>
      <c r="V2585" s="52">
        <f>IF(0&lt;0.8,0,IF(0&lt;1,Sheet3!L561,1))*IF(G2585&lt;3,0.12 - O2585,0.01) *U2585</f>
        <v>0</v>
      </c>
      <c r="W2585" s="52">
        <f t="shared" si="718"/>
        <v>0</v>
      </c>
      <c r="X2585" s="53">
        <f t="shared" si="719"/>
        <v>0</v>
      </c>
      <c r="Y2585" s="53">
        <f t="shared" si="720"/>
        <v>0</v>
      </c>
      <c r="Z2585" s="54">
        <f t="shared" ref="Z2585:Z2631" si="725">IF(R2585=1,0,0)</f>
        <v>0</v>
      </c>
      <c r="AA2585" s="54">
        <f t="shared" si="721"/>
        <v>0</v>
      </c>
      <c r="AB2585" s="55">
        <f t="shared" ref="AB2585:AB2631" si="726">IF(R2585=0,0,0)</f>
        <v>0</v>
      </c>
      <c r="AC2585" s="55">
        <f t="shared" si="722"/>
        <v>0</v>
      </c>
      <c r="AD2585" s="56">
        <f t="shared" si="723"/>
        <v>50609.42</v>
      </c>
    </row>
    <row r="2586" spans="3:30">
      <c r="C2586" s="43" t="s">
        <v>4833</v>
      </c>
      <c r="D2586" s="44" t="s">
        <v>4834</v>
      </c>
      <c r="E2586" s="44"/>
      <c r="F2586" s="45">
        <v>41250.426666666666</v>
      </c>
      <c r="G2586" s="46">
        <v>69</v>
      </c>
      <c r="H2586" s="47">
        <v>43376</v>
      </c>
      <c r="I2586" s="47">
        <v>43397</v>
      </c>
      <c r="J2586" s="46">
        <v>1483459</v>
      </c>
      <c r="K2586" s="46">
        <v>0</v>
      </c>
      <c r="L2586" s="46">
        <v>0</v>
      </c>
      <c r="M2586" s="46">
        <f t="shared" si="712"/>
        <v>1483459</v>
      </c>
      <c r="N2586" s="46">
        <v>1470149</v>
      </c>
      <c r="O2586" s="48">
        <f t="shared" si="713"/>
        <v>0</v>
      </c>
      <c r="P2586" s="46">
        <v>0</v>
      </c>
      <c r="Q2586" s="46">
        <v>1483459</v>
      </c>
      <c r="R2586" s="49">
        <f t="shared" si="714"/>
        <v>1</v>
      </c>
      <c r="S2586" s="50">
        <f t="shared" si="715"/>
        <v>0.01</v>
      </c>
      <c r="T2586" s="49">
        <f t="shared" si="716"/>
        <v>14834.59</v>
      </c>
      <c r="U2586" s="51">
        <f t="shared" si="717"/>
        <v>0</v>
      </c>
      <c r="V2586" s="52">
        <f>IF(0&lt;0.8,0,IF(0&lt;1,Sheet3!L561,1))*IF(G2586&lt;3,0.12 - O2586,0.01) *U2586</f>
        <v>0</v>
      </c>
      <c r="W2586" s="52">
        <f t="shared" si="718"/>
        <v>0</v>
      </c>
      <c r="X2586" s="53">
        <f t="shared" si="719"/>
        <v>0</v>
      </c>
      <c r="Y2586" s="53">
        <f t="shared" si="720"/>
        <v>0</v>
      </c>
      <c r="Z2586" s="54">
        <f t="shared" si="725"/>
        <v>0</v>
      </c>
      <c r="AA2586" s="54">
        <f t="shared" si="721"/>
        <v>0</v>
      </c>
      <c r="AB2586" s="55">
        <f t="shared" si="726"/>
        <v>0</v>
      </c>
      <c r="AC2586" s="55">
        <f t="shared" si="722"/>
        <v>0</v>
      </c>
      <c r="AD2586" s="56">
        <f t="shared" si="723"/>
        <v>14834.59</v>
      </c>
    </row>
    <row r="2587" spans="3:30">
      <c r="C2587" s="43" t="s">
        <v>4835</v>
      </c>
      <c r="D2587" s="44" t="s">
        <v>4836</v>
      </c>
      <c r="E2587" s="44"/>
      <c r="F2587" s="45">
        <v>41270.567812499998</v>
      </c>
      <c r="G2587" s="46">
        <v>69</v>
      </c>
      <c r="H2587" s="47">
        <v>43396</v>
      </c>
      <c r="I2587" s="47">
        <v>43399</v>
      </c>
      <c r="J2587" s="46">
        <v>1381191</v>
      </c>
      <c r="K2587" s="46">
        <v>0</v>
      </c>
      <c r="L2587" s="46">
        <v>0</v>
      </c>
      <c r="M2587" s="46">
        <f t="shared" si="712"/>
        <v>1381191</v>
      </c>
      <c r="N2587" s="46">
        <v>1381191</v>
      </c>
      <c r="O2587" s="48">
        <f t="shared" si="713"/>
        <v>0</v>
      </c>
      <c r="P2587" s="46">
        <v>0</v>
      </c>
      <c r="Q2587" s="46">
        <v>1381191</v>
      </c>
      <c r="R2587" s="49">
        <f t="shared" si="714"/>
        <v>1</v>
      </c>
      <c r="S2587" s="50">
        <f t="shared" si="715"/>
        <v>0.01</v>
      </c>
      <c r="T2587" s="49">
        <f t="shared" si="716"/>
        <v>13811.91</v>
      </c>
      <c r="U2587" s="51">
        <f t="shared" si="717"/>
        <v>0</v>
      </c>
      <c r="V2587" s="52">
        <f>IF(0&lt;0.8,0,IF(0&lt;1,Sheet3!L561,1))*IF(G2587&lt;3,0.12 - O2587,0.01) *U2587</f>
        <v>0</v>
      </c>
      <c r="W2587" s="52">
        <f t="shared" si="718"/>
        <v>0</v>
      </c>
      <c r="X2587" s="53">
        <f t="shared" si="719"/>
        <v>0</v>
      </c>
      <c r="Y2587" s="53">
        <f t="shared" si="720"/>
        <v>0</v>
      </c>
      <c r="Z2587" s="54">
        <f t="shared" si="725"/>
        <v>0</v>
      </c>
      <c r="AA2587" s="54">
        <f t="shared" si="721"/>
        <v>0</v>
      </c>
      <c r="AB2587" s="55">
        <f t="shared" si="726"/>
        <v>0</v>
      </c>
      <c r="AC2587" s="55">
        <f t="shared" si="722"/>
        <v>0</v>
      </c>
      <c r="AD2587" s="56">
        <f t="shared" si="723"/>
        <v>13811.91</v>
      </c>
    </row>
    <row r="2588" spans="3:30">
      <c r="C2588" s="43" t="s">
        <v>4837</v>
      </c>
      <c r="D2588" s="44" t="s">
        <v>4838</v>
      </c>
      <c r="E2588" s="44"/>
      <c r="F2588" s="45">
        <v>41290.410497685181</v>
      </c>
      <c r="G2588" s="46">
        <v>68</v>
      </c>
      <c r="H2588" s="47">
        <v>43376</v>
      </c>
      <c r="I2588" s="47">
        <v>43391</v>
      </c>
      <c r="J2588" s="46">
        <v>3961152</v>
      </c>
      <c r="K2588" s="46">
        <v>0</v>
      </c>
      <c r="L2588" s="46">
        <v>0</v>
      </c>
      <c r="M2588" s="46">
        <f t="shared" si="712"/>
        <v>3961152</v>
      </c>
      <c r="N2588" s="46">
        <v>3961152</v>
      </c>
      <c r="O2588" s="48">
        <f t="shared" si="713"/>
        <v>0</v>
      </c>
      <c r="P2588" s="46">
        <v>0</v>
      </c>
      <c r="Q2588" s="46">
        <v>3961152</v>
      </c>
      <c r="R2588" s="49">
        <f t="shared" si="714"/>
        <v>1</v>
      </c>
      <c r="S2588" s="50">
        <f t="shared" si="715"/>
        <v>0.01</v>
      </c>
      <c r="T2588" s="49">
        <f t="shared" si="716"/>
        <v>39611.520000000004</v>
      </c>
      <c r="U2588" s="51">
        <f t="shared" si="717"/>
        <v>0</v>
      </c>
      <c r="V2588" s="52">
        <f>IF(0&lt;0.8,0,IF(0&lt;1,Sheet3!L561,1))*IF(G2588&lt;3,0.12 - O2588,0.01) *U2588</f>
        <v>0</v>
      </c>
      <c r="W2588" s="52">
        <f t="shared" si="718"/>
        <v>0</v>
      </c>
      <c r="X2588" s="53">
        <f t="shared" si="719"/>
        <v>0</v>
      </c>
      <c r="Y2588" s="53">
        <f t="shared" si="720"/>
        <v>0</v>
      </c>
      <c r="Z2588" s="54">
        <f t="shared" si="725"/>
        <v>0</v>
      </c>
      <c r="AA2588" s="54">
        <f t="shared" si="721"/>
        <v>0</v>
      </c>
      <c r="AB2588" s="55">
        <f t="shared" si="726"/>
        <v>0</v>
      </c>
      <c r="AC2588" s="55">
        <f t="shared" si="722"/>
        <v>0</v>
      </c>
      <c r="AD2588" s="56">
        <f t="shared" si="723"/>
        <v>39611.520000000004</v>
      </c>
    </row>
    <row r="2589" spans="3:30">
      <c r="C2589" s="43" t="s">
        <v>4839</v>
      </c>
      <c r="D2589" s="44" t="s">
        <v>4840</v>
      </c>
      <c r="E2589" s="44"/>
      <c r="F2589" s="45">
        <v>41302.620509259257</v>
      </c>
      <c r="G2589" s="46">
        <v>68</v>
      </c>
      <c r="H2589" s="47">
        <v>43376</v>
      </c>
      <c r="I2589" s="47">
        <v>43413</v>
      </c>
      <c r="J2589" s="46">
        <v>1240504</v>
      </c>
      <c r="K2589" s="46">
        <v>0</v>
      </c>
      <c r="L2589" s="46">
        <v>0</v>
      </c>
      <c r="M2589" s="46">
        <f t="shared" si="712"/>
        <v>1240504</v>
      </c>
      <c r="N2589" s="46">
        <v>1239718</v>
      </c>
      <c r="O2589" s="48">
        <f t="shared" si="713"/>
        <v>0</v>
      </c>
      <c r="P2589" s="46">
        <v>0</v>
      </c>
      <c r="Q2589" s="46">
        <v>1240504</v>
      </c>
      <c r="R2589" s="49">
        <f t="shared" si="714"/>
        <v>1</v>
      </c>
      <c r="S2589" s="50">
        <f t="shared" si="715"/>
        <v>0.01</v>
      </c>
      <c r="T2589" s="49">
        <f t="shared" si="716"/>
        <v>12405.04</v>
      </c>
      <c r="U2589" s="51">
        <f t="shared" si="717"/>
        <v>0</v>
      </c>
      <c r="V2589" s="52">
        <f>IF(0&lt;0.8,0,IF(0&lt;1,Sheet3!L561,1))*IF(G2589&lt;3,0.12 - O2589,0.01) *U2589</f>
        <v>0</v>
      </c>
      <c r="W2589" s="52">
        <f t="shared" si="718"/>
        <v>0</v>
      </c>
      <c r="X2589" s="53">
        <f t="shared" si="719"/>
        <v>0</v>
      </c>
      <c r="Y2589" s="53">
        <f t="shared" si="720"/>
        <v>0</v>
      </c>
      <c r="Z2589" s="54">
        <f t="shared" si="725"/>
        <v>0</v>
      </c>
      <c r="AA2589" s="54">
        <f t="shared" si="721"/>
        <v>0</v>
      </c>
      <c r="AB2589" s="55">
        <f t="shared" si="726"/>
        <v>0</v>
      </c>
      <c r="AC2589" s="55">
        <f t="shared" si="722"/>
        <v>0</v>
      </c>
      <c r="AD2589" s="56">
        <f t="shared" si="723"/>
        <v>12405.04</v>
      </c>
    </row>
    <row r="2590" spans="3:30">
      <c r="C2590" s="43" t="s">
        <v>4841</v>
      </c>
      <c r="D2590" s="44" t="s">
        <v>4842</v>
      </c>
      <c r="E2590" s="44"/>
      <c r="F2590" s="45">
        <v>41302.621886574074</v>
      </c>
      <c r="G2590" s="46">
        <v>68</v>
      </c>
      <c r="H2590" s="47">
        <v>43390</v>
      </c>
      <c r="I2590" s="47">
        <v>43397</v>
      </c>
      <c r="J2590" s="46">
        <v>551397</v>
      </c>
      <c r="K2590" s="46">
        <v>0</v>
      </c>
      <c r="L2590" s="46">
        <v>0</v>
      </c>
      <c r="M2590" s="46">
        <f t="shared" si="712"/>
        <v>551397</v>
      </c>
      <c r="N2590" s="46">
        <v>538087</v>
      </c>
      <c r="O2590" s="48">
        <f t="shared" si="713"/>
        <v>0</v>
      </c>
      <c r="P2590" s="46">
        <v>0</v>
      </c>
      <c r="Q2590" s="46">
        <v>551397</v>
      </c>
      <c r="R2590" s="49">
        <f t="shared" si="714"/>
        <v>1</v>
      </c>
      <c r="S2590" s="50">
        <f t="shared" si="715"/>
        <v>0.01</v>
      </c>
      <c r="T2590" s="49">
        <f t="shared" si="716"/>
        <v>5513.97</v>
      </c>
      <c r="U2590" s="51">
        <f t="shared" si="717"/>
        <v>0</v>
      </c>
      <c r="V2590" s="52">
        <f>IF(0&lt;0.8,0,IF(0&lt;1,Sheet3!L561,1))*IF(G2590&lt;3,0.12 - O2590,0.01) *U2590</f>
        <v>0</v>
      </c>
      <c r="W2590" s="52">
        <f t="shared" si="718"/>
        <v>0</v>
      </c>
      <c r="X2590" s="53">
        <f t="shared" si="719"/>
        <v>0</v>
      </c>
      <c r="Y2590" s="53">
        <f t="shared" si="720"/>
        <v>0</v>
      </c>
      <c r="Z2590" s="54">
        <f t="shared" si="725"/>
        <v>0</v>
      </c>
      <c r="AA2590" s="54">
        <f t="shared" si="721"/>
        <v>0</v>
      </c>
      <c r="AB2590" s="55">
        <f t="shared" si="726"/>
        <v>0</v>
      </c>
      <c r="AC2590" s="55">
        <f t="shared" si="722"/>
        <v>0</v>
      </c>
      <c r="AD2590" s="56">
        <f t="shared" si="723"/>
        <v>5513.97</v>
      </c>
    </row>
    <row r="2591" spans="3:30">
      <c r="C2591" s="43" t="s">
        <v>4843</v>
      </c>
      <c r="D2591" s="44" t="s">
        <v>4844</v>
      </c>
      <c r="E2591" s="44"/>
      <c r="F2591" s="45">
        <v>41334.60157407407</v>
      </c>
      <c r="G2591" s="46">
        <v>66</v>
      </c>
      <c r="H2591" s="47">
        <v>43390</v>
      </c>
      <c r="I2591" s="47">
        <v>43395</v>
      </c>
      <c r="J2591" s="46">
        <v>125114</v>
      </c>
      <c r="K2591" s="46">
        <v>0</v>
      </c>
      <c r="L2591" s="46">
        <v>0</v>
      </c>
      <c r="M2591" s="46">
        <f t="shared" si="712"/>
        <v>125114</v>
      </c>
      <c r="N2591" s="46">
        <v>125114</v>
      </c>
      <c r="O2591" s="48">
        <f t="shared" si="713"/>
        <v>0</v>
      </c>
      <c r="P2591" s="46">
        <v>0</v>
      </c>
      <c r="Q2591" s="46">
        <v>125114</v>
      </c>
      <c r="R2591" s="49">
        <f t="shared" si="714"/>
        <v>1</v>
      </c>
      <c r="S2591" s="50">
        <f t="shared" si="715"/>
        <v>0.01</v>
      </c>
      <c r="T2591" s="49">
        <f t="shared" si="716"/>
        <v>1251.1400000000001</v>
      </c>
      <c r="U2591" s="51">
        <f t="shared" si="717"/>
        <v>0</v>
      </c>
      <c r="V2591" s="52">
        <f>IF(0&lt;0.8,0,IF(0&lt;1,Sheet3!L561,1))*IF(G2591&lt;3,0.12 - O2591,0.01) *U2591</f>
        <v>0</v>
      </c>
      <c r="W2591" s="52">
        <f t="shared" si="718"/>
        <v>0</v>
      </c>
      <c r="X2591" s="53">
        <f t="shared" si="719"/>
        <v>0</v>
      </c>
      <c r="Y2591" s="53">
        <f t="shared" si="720"/>
        <v>0</v>
      </c>
      <c r="Z2591" s="54">
        <f t="shared" si="725"/>
        <v>0</v>
      </c>
      <c r="AA2591" s="54">
        <f t="shared" si="721"/>
        <v>0</v>
      </c>
      <c r="AB2591" s="55">
        <f t="shared" si="726"/>
        <v>0</v>
      </c>
      <c r="AC2591" s="55">
        <f t="shared" si="722"/>
        <v>0</v>
      </c>
      <c r="AD2591" s="56">
        <f t="shared" si="723"/>
        <v>1251.1400000000001</v>
      </c>
    </row>
    <row r="2592" spans="3:30">
      <c r="C2592" s="43" t="s">
        <v>4845</v>
      </c>
      <c r="D2592" s="44" t="s">
        <v>4846</v>
      </c>
      <c r="E2592" s="44"/>
      <c r="F2592" s="45">
        <v>41335.413043981476</v>
      </c>
      <c r="G2592" s="46">
        <v>66</v>
      </c>
      <c r="H2592" s="47">
        <v>43396</v>
      </c>
      <c r="I2592" s="47">
        <v>43465</v>
      </c>
      <c r="J2592" s="46">
        <v>12530240</v>
      </c>
      <c r="K2592" s="46">
        <v>0</v>
      </c>
      <c r="L2592" s="46">
        <v>0</v>
      </c>
      <c r="M2592" s="46">
        <f t="shared" si="712"/>
        <v>12530240</v>
      </c>
      <c r="N2592" s="46">
        <v>11533611</v>
      </c>
      <c r="O2592" s="48">
        <f t="shared" si="713"/>
        <v>0</v>
      </c>
      <c r="P2592" s="46">
        <v>0</v>
      </c>
      <c r="Q2592" s="46">
        <v>12530240</v>
      </c>
      <c r="R2592" s="49">
        <f t="shared" si="714"/>
        <v>1</v>
      </c>
      <c r="S2592" s="50">
        <f t="shared" si="715"/>
        <v>0.01</v>
      </c>
      <c r="T2592" s="49">
        <f t="shared" si="716"/>
        <v>125302.40000000001</v>
      </c>
      <c r="U2592" s="51">
        <f t="shared" si="717"/>
        <v>0</v>
      </c>
      <c r="V2592" s="52">
        <f>IF(0&lt;0.8,0,IF(0&lt;1,Sheet3!L561,1))*IF(G2592&lt;3,0.12 - O2592,0.01) *U2592</f>
        <v>0</v>
      </c>
      <c r="W2592" s="52">
        <f t="shared" si="718"/>
        <v>0</v>
      </c>
      <c r="X2592" s="53">
        <f t="shared" si="719"/>
        <v>0</v>
      </c>
      <c r="Y2592" s="53">
        <f t="shared" si="720"/>
        <v>0</v>
      </c>
      <c r="Z2592" s="54">
        <f t="shared" si="725"/>
        <v>0</v>
      </c>
      <c r="AA2592" s="54">
        <f t="shared" si="721"/>
        <v>0</v>
      </c>
      <c r="AB2592" s="55">
        <f t="shared" si="726"/>
        <v>0</v>
      </c>
      <c r="AC2592" s="55">
        <f t="shared" si="722"/>
        <v>0</v>
      </c>
      <c r="AD2592" s="56">
        <f t="shared" si="723"/>
        <v>125302.40000000001</v>
      </c>
    </row>
    <row r="2593" spans="3:30">
      <c r="C2593" s="43" t="s">
        <v>4847</v>
      </c>
      <c r="D2593" s="44" t="s">
        <v>4848</v>
      </c>
      <c r="E2593" s="44"/>
      <c r="F2593" s="45">
        <v>41418.587453703702</v>
      </c>
      <c r="G2593" s="46">
        <v>64</v>
      </c>
      <c r="H2593" s="47">
        <v>43404</v>
      </c>
      <c r="I2593" s="47">
        <v>43413</v>
      </c>
      <c r="J2593" s="46">
        <v>28868354</v>
      </c>
      <c r="K2593" s="46">
        <v>0</v>
      </c>
      <c r="L2593" s="46">
        <v>0</v>
      </c>
      <c r="M2593" s="46">
        <f t="shared" si="712"/>
        <v>28868354</v>
      </c>
      <c r="N2593" s="46">
        <v>28868382</v>
      </c>
      <c r="O2593" s="48">
        <f t="shared" si="713"/>
        <v>9.6991927012179957E-7</v>
      </c>
      <c r="P2593" s="46">
        <v>0</v>
      </c>
      <c r="Q2593" s="46">
        <v>28868354</v>
      </c>
      <c r="R2593" s="49">
        <f t="shared" si="714"/>
        <v>1</v>
      </c>
      <c r="S2593" s="50">
        <f t="shared" si="715"/>
        <v>0.01</v>
      </c>
      <c r="T2593" s="49">
        <f t="shared" si="716"/>
        <v>288683.53999999998</v>
      </c>
      <c r="U2593" s="51">
        <f t="shared" si="717"/>
        <v>0</v>
      </c>
      <c r="V2593" s="52">
        <f>IF(0&lt;0.8,0,IF(0&lt;1,Sheet3!L561,1))*IF(G2593&lt;3,0.12 - O2593,0.01) *U2593</f>
        <v>0</v>
      </c>
      <c r="W2593" s="52">
        <f t="shared" si="718"/>
        <v>0</v>
      </c>
      <c r="X2593" s="53">
        <f t="shared" si="719"/>
        <v>0</v>
      </c>
      <c r="Y2593" s="53">
        <f t="shared" si="720"/>
        <v>0</v>
      </c>
      <c r="Z2593" s="54">
        <f t="shared" si="725"/>
        <v>0</v>
      </c>
      <c r="AA2593" s="54">
        <f t="shared" si="721"/>
        <v>0</v>
      </c>
      <c r="AB2593" s="55">
        <f t="shared" si="726"/>
        <v>0</v>
      </c>
      <c r="AC2593" s="55">
        <f t="shared" si="722"/>
        <v>0</v>
      </c>
      <c r="AD2593" s="56">
        <f t="shared" si="723"/>
        <v>288683.53999999998</v>
      </c>
    </row>
    <row r="2594" spans="3:30">
      <c r="C2594" s="43" t="s">
        <v>4849</v>
      </c>
      <c r="D2594" s="44" t="s">
        <v>4850</v>
      </c>
      <c r="E2594" s="44"/>
      <c r="F2594" s="45">
        <v>41424.430081018516</v>
      </c>
      <c r="G2594" s="46">
        <v>64</v>
      </c>
      <c r="H2594" s="47">
        <v>43376</v>
      </c>
      <c r="I2594" s="47">
        <v>43410</v>
      </c>
      <c r="J2594" s="46">
        <v>2110119</v>
      </c>
      <c r="K2594" s="46">
        <v>0</v>
      </c>
      <c r="L2594" s="46">
        <v>0</v>
      </c>
      <c r="M2594" s="46">
        <f t="shared" si="712"/>
        <v>2110119</v>
      </c>
      <c r="N2594" s="46">
        <v>2110119</v>
      </c>
      <c r="O2594" s="48">
        <f t="shared" si="713"/>
        <v>0</v>
      </c>
      <c r="P2594" s="46">
        <v>0</v>
      </c>
      <c r="Q2594" s="46">
        <v>2110119</v>
      </c>
      <c r="R2594" s="49">
        <f t="shared" si="714"/>
        <v>1</v>
      </c>
      <c r="S2594" s="50">
        <f t="shared" si="715"/>
        <v>0.01</v>
      </c>
      <c r="T2594" s="49">
        <f t="shared" si="716"/>
        <v>21101.19</v>
      </c>
      <c r="U2594" s="51">
        <f t="shared" si="717"/>
        <v>0</v>
      </c>
      <c r="V2594" s="52">
        <f>IF(0&lt;0.8,0,IF(0&lt;1,Sheet3!L561,1))*IF(G2594&lt;3,0.12 - O2594,0.01) *U2594</f>
        <v>0</v>
      </c>
      <c r="W2594" s="52">
        <f t="shared" si="718"/>
        <v>0</v>
      </c>
      <c r="X2594" s="53">
        <f t="shared" si="719"/>
        <v>0</v>
      </c>
      <c r="Y2594" s="53">
        <f t="shared" si="720"/>
        <v>0</v>
      </c>
      <c r="Z2594" s="54">
        <f t="shared" si="725"/>
        <v>0</v>
      </c>
      <c r="AA2594" s="54">
        <f t="shared" si="721"/>
        <v>0</v>
      </c>
      <c r="AB2594" s="55">
        <f t="shared" si="726"/>
        <v>0</v>
      </c>
      <c r="AC2594" s="55">
        <f t="shared" si="722"/>
        <v>0</v>
      </c>
      <c r="AD2594" s="56">
        <f t="shared" si="723"/>
        <v>21101.19</v>
      </c>
    </row>
    <row r="2595" spans="3:30">
      <c r="C2595" s="43" t="s">
        <v>4851</v>
      </c>
      <c r="D2595" s="44" t="s">
        <v>4852</v>
      </c>
      <c r="E2595" s="44"/>
      <c r="F2595" s="45">
        <v>41431.390543981477</v>
      </c>
      <c r="G2595" s="46">
        <v>63</v>
      </c>
      <c r="H2595" s="47">
        <v>43376</v>
      </c>
      <c r="I2595" s="47">
        <v>43391</v>
      </c>
      <c r="J2595" s="46">
        <v>4817252</v>
      </c>
      <c r="K2595" s="46">
        <v>0</v>
      </c>
      <c r="L2595" s="46">
        <v>0</v>
      </c>
      <c r="M2595" s="46">
        <f t="shared" si="712"/>
        <v>4817252</v>
      </c>
      <c r="N2595" s="46">
        <v>4817252</v>
      </c>
      <c r="O2595" s="48">
        <f t="shared" si="713"/>
        <v>0</v>
      </c>
      <c r="P2595" s="46">
        <v>0</v>
      </c>
      <c r="Q2595" s="46">
        <v>4817252</v>
      </c>
      <c r="R2595" s="49">
        <f t="shared" si="714"/>
        <v>1</v>
      </c>
      <c r="S2595" s="50">
        <f t="shared" si="715"/>
        <v>0.01</v>
      </c>
      <c r="T2595" s="49">
        <f t="shared" si="716"/>
        <v>48172.520000000004</v>
      </c>
      <c r="U2595" s="51">
        <f t="shared" si="717"/>
        <v>0</v>
      </c>
      <c r="V2595" s="52">
        <f>IF(0&lt;0.8,0,IF(0&lt;1,Sheet3!L561,1))*IF(G2595&lt;3,0.12 - O2595,0.01) *U2595</f>
        <v>0</v>
      </c>
      <c r="W2595" s="52">
        <f t="shared" si="718"/>
        <v>0</v>
      </c>
      <c r="X2595" s="53">
        <f t="shared" si="719"/>
        <v>0</v>
      </c>
      <c r="Y2595" s="53">
        <f t="shared" si="720"/>
        <v>0</v>
      </c>
      <c r="Z2595" s="54">
        <f t="shared" si="725"/>
        <v>0</v>
      </c>
      <c r="AA2595" s="54">
        <f t="shared" si="721"/>
        <v>0</v>
      </c>
      <c r="AB2595" s="55">
        <f t="shared" si="726"/>
        <v>0</v>
      </c>
      <c r="AC2595" s="55">
        <f t="shared" si="722"/>
        <v>0</v>
      </c>
      <c r="AD2595" s="56">
        <f t="shared" si="723"/>
        <v>48172.520000000004</v>
      </c>
    </row>
    <row r="2596" spans="3:30">
      <c r="C2596" s="43" t="s">
        <v>4853</v>
      </c>
      <c r="D2596" s="44" t="s">
        <v>4854</v>
      </c>
      <c r="E2596" s="44"/>
      <c r="F2596" s="45">
        <v>41436.444131944445</v>
      </c>
      <c r="G2596" s="46">
        <v>63</v>
      </c>
      <c r="H2596" s="47">
        <v>43388</v>
      </c>
      <c r="I2596" s="47">
        <v>43424</v>
      </c>
      <c r="J2596" s="46">
        <v>3002010</v>
      </c>
      <c r="K2596" s="46">
        <v>0</v>
      </c>
      <c r="L2596" s="46">
        <v>0</v>
      </c>
      <c r="M2596" s="46">
        <f t="shared" si="712"/>
        <v>3002010</v>
      </c>
      <c r="N2596" s="46">
        <v>3002010</v>
      </c>
      <c r="O2596" s="48">
        <f t="shared" si="713"/>
        <v>0</v>
      </c>
      <c r="P2596" s="46">
        <v>0</v>
      </c>
      <c r="Q2596" s="46">
        <v>3002010</v>
      </c>
      <c r="R2596" s="49">
        <f t="shared" si="714"/>
        <v>1</v>
      </c>
      <c r="S2596" s="50">
        <f t="shared" si="715"/>
        <v>0.01</v>
      </c>
      <c r="T2596" s="49">
        <f t="shared" si="716"/>
        <v>30020.100000000002</v>
      </c>
      <c r="U2596" s="51">
        <f t="shared" si="717"/>
        <v>0</v>
      </c>
      <c r="V2596" s="52">
        <f>IF(0&lt;0.8,0,IF(0&lt;1,Sheet3!L561,1))*IF(G2596&lt;3,0.12 - O2596,0.01) *U2596</f>
        <v>0</v>
      </c>
      <c r="W2596" s="52">
        <f t="shared" si="718"/>
        <v>0</v>
      </c>
      <c r="X2596" s="53">
        <f t="shared" si="719"/>
        <v>0</v>
      </c>
      <c r="Y2596" s="53">
        <f t="shared" si="720"/>
        <v>0</v>
      </c>
      <c r="Z2596" s="54">
        <f t="shared" si="725"/>
        <v>0</v>
      </c>
      <c r="AA2596" s="54">
        <f t="shared" si="721"/>
        <v>0</v>
      </c>
      <c r="AB2596" s="55">
        <f t="shared" si="726"/>
        <v>0</v>
      </c>
      <c r="AC2596" s="55">
        <f t="shared" si="722"/>
        <v>0</v>
      </c>
      <c r="AD2596" s="56">
        <f t="shared" si="723"/>
        <v>30020.100000000002</v>
      </c>
    </row>
    <row r="2597" spans="3:30">
      <c r="C2597" s="43" t="s">
        <v>4855</v>
      </c>
      <c r="D2597" s="44" t="s">
        <v>4856</v>
      </c>
      <c r="E2597" s="44"/>
      <c r="F2597" s="45">
        <v>41442.394895833335</v>
      </c>
      <c r="G2597" s="46">
        <v>63</v>
      </c>
      <c r="H2597" s="47">
        <v>43396</v>
      </c>
      <c r="I2597" s="47">
        <v>43399</v>
      </c>
      <c r="J2597" s="46">
        <v>343000</v>
      </c>
      <c r="K2597" s="46">
        <v>0</v>
      </c>
      <c r="L2597" s="46">
        <v>0</v>
      </c>
      <c r="M2597" s="46">
        <f t="shared" si="712"/>
        <v>343000</v>
      </c>
      <c r="N2597" s="46">
        <v>343277</v>
      </c>
      <c r="O2597" s="48">
        <f t="shared" si="713"/>
        <v>8.0692851545549615E-4</v>
      </c>
      <c r="P2597" s="46">
        <v>0</v>
      </c>
      <c r="Q2597" s="46">
        <v>343000</v>
      </c>
      <c r="R2597" s="49">
        <f t="shared" si="714"/>
        <v>1</v>
      </c>
      <c r="S2597" s="50">
        <f t="shared" si="715"/>
        <v>0.01</v>
      </c>
      <c r="T2597" s="49">
        <f t="shared" si="716"/>
        <v>3430</v>
      </c>
      <c r="U2597" s="51">
        <f t="shared" si="717"/>
        <v>0</v>
      </c>
      <c r="V2597" s="52">
        <f>IF(0&lt;0.8,0,IF(0&lt;1,Sheet3!L561,1))*IF(G2597&lt;3,0.12 - O2597,0.01) *U2597</f>
        <v>0</v>
      </c>
      <c r="W2597" s="52">
        <f t="shared" si="718"/>
        <v>0</v>
      </c>
      <c r="X2597" s="53">
        <f t="shared" si="719"/>
        <v>0</v>
      </c>
      <c r="Y2597" s="53">
        <f t="shared" si="720"/>
        <v>0</v>
      </c>
      <c r="Z2597" s="54">
        <f t="shared" si="725"/>
        <v>0</v>
      </c>
      <c r="AA2597" s="54">
        <f t="shared" si="721"/>
        <v>0</v>
      </c>
      <c r="AB2597" s="55">
        <f t="shared" si="726"/>
        <v>0</v>
      </c>
      <c r="AC2597" s="55">
        <f t="shared" si="722"/>
        <v>0</v>
      </c>
      <c r="AD2597" s="56">
        <f t="shared" si="723"/>
        <v>3430</v>
      </c>
    </row>
    <row r="2598" spans="3:30">
      <c r="C2598" s="43" t="s">
        <v>4857</v>
      </c>
      <c r="D2598" s="44" t="s">
        <v>4858</v>
      </c>
      <c r="E2598" s="44"/>
      <c r="F2598" s="45">
        <v>41454.409074074072</v>
      </c>
      <c r="G2598" s="46">
        <v>63</v>
      </c>
      <c r="H2598" s="47">
        <v>43378</v>
      </c>
      <c r="I2598" s="47">
        <v>43398</v>
      </c>
      <c r="J2598" s="46">
        <v>2584173</v>
      </c>
      <c r="K2598" s="46">
        <v>0</v>
      </c>
      <c r="L2598" s="46">
        <v>0</v>
      </c>
      <c r="M2598" s="46">
        <f t="shared" si="712"/>
        <v>2584173</v>
      </c>
      <c r="N2598" s="46">
        <v>2579781</v>
      </c>
      <c r="O2598" s="48">
        <f t="shared" si="713"/>
        <v>0</v>
      </c>
      <c r="P2598" s="46">
        <v>0</v>
      </c>
      <c r="Q2598" s="46">
        <v>2584173</v>
      </c>
      <c r="R2598" s="49">
        <f t="shared" si="714"/>
        <v>1</v>
      </c>
      <c r="S2598" s="50">
        <f t="shared" si="715"/>
        <v>0.01</v>
      </c>
      <c r="T2598" s="49">
        <f t="shared" si="716"/>
        <v>25841.73</v>
      </c>
      <c r="U2598" s="51">
        <f t="shared" si="717"/>
        <v>0</v>
      </c>
      <c r="V2598" s="52">
        <f>IF(0&lt;0.8,0,IF(0&lt;1,Sheet3!L561,1))*IF(G2598&lt;3,0.12 - O2598,0.01) *U2598</f>
        <v>0</v>
      </c>
      <c r="W2598" s="52">
        <f t="shared" si="718"/>
        <v>0</v>
      </c>
      <c r="X2598" s="53">
        <f t="shared" si="719"/>
        <v>0</v>
      </c>
      <c r="Y2598" s="53">
        <f t="shared" si="720"/>
        <v>0</v>
      </c>
      <c r="Z2598" s="54">
        <f t="shared" si="725"/>
        <v>0</v>
      </c>
      <c r="AA2598" s="54">
        <f t="shared" si="721"/>
        <v>0</v>
      </c>
      <c r="AB2598" s="55">
        <f t="shared" si="726"/>
        <v>0</v>
      </c>
      <c r="AC2598" s="55">
        <f t="shared" si="722"/>
        <v>0</v>
      </c>
      <c r="AD2598" s="56">
        <f t="shared" si="723"/>
        <v>25841.73</v>
      </c>
    </row>
    <row r="2599" spans="3:30">
      <c r="C2599" s="43" t="s">
        <v>4859</v>
      </c>
      <c r="D2599" s="44" t="s">
        <v>4860</v>
      </c>
      <c r="E2599" s="44"/>
      <c r="F2599" s="45">
        <v>41474.43237268518</v>
      </c>
      <c r="G2599" s="46">
        <v>62</v>
      </c>
      <c r="H2599" s="47">
        <v>43376</v>
      </c>
      <c r="I2599" s="47">
        <v>43407</v>
      </c>
      <c r="J2599" s="46">
        <v>1892402</v>
      </c>
      <c r="K2599" s="46">
        <v>0</v>
      </c>
      <c r="L2599" s="46">
        <v>0</v>
      </c>
      <c r="M2599" s="46">
        <f t="shared" si="712"/>
        <v>1892402</v>
      </c>
      <c r="N2599" s="46">
        <v>1900868</v>
      </c>
      <c r="O2599" s="48">
        <f t="shared" si="713"/>
        <v>4.4537548109599978E-3</v>
      </c>
      <c r="P2599" s="46">
        <v>0</v>
      </c>
      <c r="Q2599" s="46">
        <v>1892402</v>
      </c>
      <c r="R2599" s="49">
        <f t="shared" si="714"/>
        <v>1</v>
      </c>
      <c r="S2599" s="50">
        <f t="shared" si="715"/>
        <v>0.01</v>
      </c>
      <c r="T2599" s="49">
        <f t="shared" si="716"/>
        <v>18924.02</v>
      </c>
      <c r="U2599" s="51">
        <f t="shared" si="717"/>
        <v>0</v>
      </c>
      <c r="V2599" s="52">
        <f>IF(0&lt;0.8,0,IF(0&lt;1,Sheet3!L561,1))*IF(G2599&lt;3,0.12 - O2599,0.01) *U2599</f>
        <v>0</v>
      </c>
      <c r="W2599" s="52">
        <f t="shared" si="718"/>
        <v>0</v>
      </c>
      <c r="X2599" s="53">
        <f t="shared" si="719"/>
        <v>0</v>
      </c>
      <c r="Y2599" s="53">
        <f t="shared" si="720"/>
        <v>0</v>
      </c>
      <c r="Z2599" s="54">
        <f t="shared" si="725"/>
        <v>0</v>
      </c>
      <c r="AA2599" s="54">
        <f t="shared" si="721"/>
        <v>0</v>
      </c>
      <c r="AB2599" s="55">
        <f t="shared" si="726"/>
        <v>0</v>
      </c>
      <c r="AC2599" s="55">
        <f t="shared" si="722"/>
        <v>0</v>
      </c>
      <c r="AD2599" s="56">
        <f t="shared" si="723"/>
        <v>18924.02</v>
      </c>
    </row>
    <row r="2600" spans="3:30">
      <c r="C2600" s="43" t="s">
        <v>4861</v>
      </c>
      <c r="D2600" s="44" t="s">
        <v>4862</v>
      </c>
      <c r="E2600" s="44"/>
      <c r="F2600" s="45">
        <v>41495.419641203705</v>
      </c>
      <c r="G2600" s="46">
        <v>61</v>
      </c>
      <c r="H2600" s="47">
        <v>43390</v>
      </c>
      <c r="I2600" s="47">
        <v>43402</v>
      </c>
      <c r="J2600" s="46">
        <v>544306</v>
      </c>
      <c r="K2600" s="46">
        <v>0</v>
      </c>
      <c r="L2600" s="46">
        <v>0</v>
      </c>
      <c r="M2600" s="46">
        <f t="shared" si="712"/>
        <v>544306</v>
      </c>
      <c r="N2600" s="46">
        <v>544306</v>
      </c>
      <c r="O2600" s="48">
        <f t="shared" si="713"/>
        <v>0</v>
      </c>
      <c r="P2600" s="46">
        <v>0</v>
      </c>
      <c r="Q2600" s="46">
        <v>544306</v>
      </c>
      <c r="R2600" s="49">
        <f t="shared" si="714"/>
        <v>1</v>
      </c>
      <c r="S2600" s="50">
        <f t="shared" si="715"/>
        <v>0.01</v>
      </c>
      <c r="T2600" s="49">
        <f t="shared" si="716"/>
        <v>5443.06</v>
      </c>
      <c r="U2600" s="51">
        <f t="shared" si="717"/>
        <v>0</v>
      </c>
      <c r="V2600" s="52">
        <f>IF(0&lt;0.8,0,IF(0&lt;1,Sheet3!L561,1))*IF(G2600&lt;3,0.12 - O2600,0.01) *U2600</f>
        <v>0</v>
      </c>
      <c r="W2600" s="52">
        <f t="shared" si="718"/>
        <v>0</v>
      </c>
      <c r="X2600" s="53">
        <f t="shared" si="719"/>
        <v>0</v>
      </c>
      <c r="Y2600" s="53">
        <f t="shared" si="720"/>
        <v>0</v>
      </c>
      <c r="Z2600" s="54">
        <f t="shared" si="725"/>
        <v>0</v>
      </c>
      <c r="AA2600" s="54">
        <f t="shared" si="721"/>
        <v>0</v>
      </c>
      <c r="AB2600" s="55">
        <f t="shared" si="726"/>
        <v>0</v>
      </c>
      <c r="AC2600" s="55">
        <f t="shared" si="722"/>
        <v>0</v>
      </c>
      <c r="AD2600" s="56">
        <f t="shared" si="723"/>
        <v>5443.06</v>
      </c>
    </row>
    <row r="2601" spans="3:30">
      <c r="C2601" s="43" t="s">
        <v>4863</v>
      </c>
      <c r="D2601" s="44" t="s">
        <v>4864</v>
      </c>
      <c r="E2601" s="44"/>
      <c r="F2601" s="45">
        <v>41528.366875</v>
      </c>
      <c r="G2601" s="46">
        <v>60</v>
      </c>
      <c r="H2601" s="47">
        <v>43396</v>
      </c>
      <c r="I2601" s="47">
        <v>43423</v>
      </c>
      <c r="J2601" s="46">
        <v>15165986</v>
      </c>
      <c r="K2601" s="46">
        <v>1378694</v>
      </c>
      <c r="L2601" s="46">
        <v>0</v>
      </c>
      <c r="M2601" s="46">
        <f t="shared" si="712"/>
        <v>13787292</v>
      </c>
      <c r="N2601" s="46">
        <v>15165986</v>
      </c>
      <c r="O2601" s="48">
        <f t="shared" si="713"/>
        <v>9.0906980924286729E-2</v>
      </c>
      <c r="P2601" s="46">
        <v>0</v>
      </c>
      <c r="Q2601" s="46">
        <v>15165986</v>
      </c>
      <c r="R2601" s="49">
        <f t="shared" si="714"/>
        <v>1</v>
      </c>
      <c r="S2601" s="50">
        <f t="shared" si="715"/>
        <v>0.01</v>
      </c>
      <c r="T2601" s="49">
        <f t="shared" si="716"/>
        <v>137872.92000000001</v>
      </c>
      <c r="U2601" s="51">
        <f t="shared" si="717"/>
        <v>0</v>
      </c>
      <c r="V2601" s="52">
        <f>IF(0&lt;0.8,0,IF(0&lt;1,Sheet3!L561,1))*IF(G2601&lt;3,0.12 - O2601,0.01) *U2601</f>
        <v>0</v>
      </c>
      <c r="W2601" s="52">
        <f t="shared" si="718"/>
        <v>0</v>
      </c>
      <c r="X2601" s="53">
        <f t="shared" si="719"/>
        <v>0</v>
      </c>
      <c r="Y2601" s="53">
        <f t="shared" si="720"/>
        <v>0</v>
      </c>
      <c r="Z2601" s="54">
        <f t="shared" si="725"/>
        <v>0</v>
      </c>
      <c r="AA2601" s="54">
        <f t="shared" si="721"/>
        <v>0</v>
      </c>
      <c r="AB2601" s="55">
        <f t="shared" si="726"/>
        <v>0</v>
      </c>
      <c r="AC2601" s="55">
        <f t="shared" si="722"/>
        <v>0</v>
      </c>
      <c r="AD2601" s="56">
        <f t="shared" si="723"/>
        <v>137872.92000000001</v>
      </c>
    </row>
    <row r="2602" spans="3:30">
      <c r="C2602" s="43" t="s">
        <v>4865</v>
      </c>
      <c r="D2602" s="44" t="s">
        <v>4866</v>
      </c>
      <c r="E2602" s="44"/>
      <c r="F2602" s="45">
        <v>41529.476423611108</v>
      </c>
      <c r="G2602" s="46">
        <v>60</v>
      </c>
      <c r="H2602" s="47">
        <v>43376</v>
      </c>
      <c r="I2602" s="47">
        <v>43409</v>
      </c>
      <c r="J2602" s="46">
        <v>6979698</v>
      </c>
      <c r="K2602" s="46">
        <v>0</v>
      </c>
      <c r="L2602" s="46">
        <v>0</v>
      </c>
      <c r="M2602" s="46">
        <f t="shared" si="712"/>
        <v>6979698</v>
      </c>
      <c r="N2602" s="46">
        <v>7704906</v>
      </c>
      <c r="O2602" s="48">
        <f t="shared" si="713"/>
        <v>9.4122887417445456E-2</v>
      </c>
      <c r="P2602" s="46">
        <v>0</v>
      </c>
      <c r="Q2602" s="46">
        <v>6979698</v>
      </c>
      <c r="R2602" s="49">
        <f t="shared" si="714"/>
        <v>1</v>
      </c>
      <c r="S2602" s="50">
        <f t="shared" si="715"/>
        <v>0.01</v>
      </c>
      <c r="T2602" s="49">
        <f t="shared" si="716"/>
        <v>69796.98</v>
      </c>
      <c r="U2602" s="51">
        <f t="shared" si="717"/>
        <v>0</v>
      </c>
      <c r="V2602" s="52">
        <f>IF(0&lt;0.8,0,IF(0&lt;1,Sheet3!L561,1))*IF(G2602&lt;3,0.12 - O2602,0.01) *U2602</f>
        <v>0</v>
      </c>
      <c r="W2602" s="52">
        <f t="shared" si="718"/>
        <v>0</v>
      </c>
      <c r="X2602" s="53">
        <f t="shared" si="719"/>
        <v>0</v>
      </c>
      <c r="Y2602" s="53">
        <f t="shared" si="720"/>
        <v>0</v>
      </c>
      <c r="Z2602" s="54">
        <f t="shared" si="725"/>
        <v>0</v>
      </c>
      <c r="AA2602" s="54">
        <f t="shared" si="721"/>
        <v>0</v>
      </c>
      <c r="AB2602" s="55">
        <f t="shared" si="726"/>
        <v>0</v>
      </c>
      <c r="AC2602" s="55">
        <f t="shared" si="722"/>
        <v>0</v>
      </c>
      <c r="AD2602" s="56">
        <f t="shared" si="723"/>
        <v>69796.98</v>
      </c>
    </row>
    <row r="2603" spans="3:30">
      <c r="C2603" s="43" t="s">
        <v>4867</v>
      </c>
      <c r="D2603" s="44" t="s">
        <v>4868</v>
      </c>
      <c r="E2603" s="44"/>
      <c r="F2603" s="45">
        <v>41535.425879629627</v>
      </c>
      <c r="G2603" s="46">
        <v>60</v>
      </c>
      <c r="H2603" s="47">
        <v>43390</v>
      </c>
      <c r="I2603" s="47">
        <v>43377</v>
      </c>
      <c r="J2603" s="46">
        <v>987699</v>
      </c>
      <c r="K2603" s="46">
        <v>0</v>
      </c>
      <c r="L2603" s="46">
        <v>0</v>
      </c>
      <c r="M2603" s="46">
        <f t="shared" si="712"/>
        <v>987699</v>
      </c>
      <c r="N2603" s="46">
        <v>987699</v>
      </c>
      <c r="O2603" s="48">
        <f t="shared" si="713"/>
        <v>0</v>
      </c>
      <c r="P2603" s="46">
        <v>0</v>
      </c>
      <c r="Q2603" s="46">
        <v>987699</v>
      </c>
      <c r="R2603" s="49">
        <f t="shared" si="714"/>
        <v>1</v>
      </c>
      <c r="S2603" s="50">
        <f t="shared" si="715"/>
        <v>0.01</v>
      </c>
      <c r="T2603" s="49">
        <f t="shared" si="716"/>
        <v>9876.99</v>
      </c>
      <c r="U2603" s="51">
        <f t="shared" si="717"/>
        <v>0</v>
      </c>
      <c r="V2603" s="52">
        <f>IF(0&lt;0.8,0,IF(0&lt;1,Sheet3!L561,1))*IF(G2603&lt;3,0.12 - O2603,0.01) *U2603</f>
        <v>0</v>
      </c>
      <c r="W2603" s="52">
        <f t="shared" si="718"/>
        <v>0</v>
      </c>
      <c r="X2603" s="53">
        <f t="shared" si="719"/>
        <v>0</v>
      </c>
      <c r="Y2603" s="53">
        <f t="shared" si="720"/>
        <v>0</v>
      </c>
      <c r="Z2603" s="54">
        <f t="shared" si="725"/>
        <v>0</v>
      </c>
      <c r="AA2603" s="54">
        <f t="shared" si="721"/>
        <v>0</v>
      </c>
      <c r="AB2603" s="55">
        <f t="shared" si="726"/>
        <v>0</v>
      </c>
      <c r="AC2603" s="55">
        <f t="shared" si="722"/>
        <v>0</v>
      </c>
      <c r="AD2603" s="56">
        <f t="shared" si="723"/>
        <v>9876.99</v>
      </c>
    </row>
    <row r="2604" spans="3:30">
      <c r="C2604" s="43" t="s">
        <v>4869</v>
      </c>
      <c r="D2604" s="44" t="s">
        <v>4870</v>
      </c>
      <c r="E2604" s="44"/>
      <c r="F2604" s="45">
        <v>41542.417777777773</v>
      </c>
      <c r="G2604" s="46">
        <v>60</v>
      </c>
      <c r="H2604" s="47">
        <v>43390</v>
      </c>
      <c r="I2604" s="47">
        <v>43398</v>
      </c>
      <c r="J2604" s="46">
        <v>991837</v>
      </c>
      <c r="K2604" s="46">
        <v>0</v>
      </c>
      <c r="L2604" s="46">
        <v>0</v>
      </c>
      <c r="M2604" s="46">
        <f t="shared" si="712"/>
        <v>991837</v>
      </c>
      <c r="N2604" s="46">
        <v>991837</v>
      </c>
      <c r="O2604" s="48">
        <f t="shared" si="713"/>
        <v>0</v>
      </c>
      <c r="P2604" s="46">
        <v>0</v>
      </c>
      <c r="Q2604" s="46">
        <v>991837</v>
      </c>
      <c r="R2604" s="49">
        <f t="shared" si="714"/>
        <v>1</v>
      </c>
      <c r="S2604" s="50">
        <f t="shared" si="715"/>
        <v>0.01</v>
      </c>
      <c r="T2604" s="49">
        <f t="shared" si="716"/>
        <v>9918.3700000000008</v>
      </c>
      <c r="U2604" s="51">
        <f t="shared" si="717"/>
        <v>0</v>
      </c>
      <c r="V2604" s="52">
        <f>IF(0&lt;0.8,0,IF(0&lt;1,Sheet3!L561,1))*IF(G2604&lt;3,0.12 - O2604,0.01) *U2604</f>
        <v>0</v>
      </c>
      <c r="W2604" s="52">
        <f t="shared" si="718"/>
        <v>0</v>
      </c>
      <c r="X2604" s="53">
        <f t="shared" si="719"/>
        <v>0</v>
      </c>
      <c r="Y2604" s="53">
        <f t="shared" si="720"/>
        <v>0</v>
      </c>
      <c r="Z2604" s="54">
        <f t="shared" si="725"/>
        <v>0</v>
      </c>
      <c r="AA2604" s="54">
        <f t="shared" si="721"/>
        <v>0</v>
      </c>
      <c r="AB2604" s="55">
        <f t="shared" si="726"/>
        <v>0</v>
      </c>
      <c r="AC2604" s="55">
        <f t="shared" si="722"/>
        <v>0</v>
      </c>
      <c r="AD2604" s="56">
        <f t="shared" si="723"/>
        <v>9918.3700000000008</v>
      </c>
    </row>
    <row r="2605" spans="3:30">
      <c r="C2605" s="43" t="s">
        <v>4871</v>
      </c>
      <c r="D2605" s="44" t="s">
        <v>4872</v>
      </c>
      <c r="E2605" s="44"/>
      <c r="F2605" s="45">
        <v>41543.436678240738</v>
      </c>
      <c r="G2605" s="46">
        <v>60</v>
      </c>
      <c r="H2605" s="47">
        <v>43376</v>
      </c>
      <c r="I2605" s="47">
        <v>43402</v>
      </c>
      <c r="J2605" s="46">
        <v>1527141</v>
      </c>
      <c r="K2605" s="46">
        <v>0</v>
      </c>
      <c r="L2605" s="46">
        <v>0</v>
      </c>
      <c r="M2605" s="46">
        <f t="shared" si="712"/>
        <v>1527141</v>
      </c>
      <c r="N2605" s="46">
        <v>1527141</v>
      </c>
      <c r="O2605" s="48">
        <f t="shared" si="713"/>
        <v>0</v>
      </c>
      <c r="P2605" s="46">
        <v>0</v>
      </c>
      <c r="Q2605" s="46">
        <v>1527141</v>
      </c>
      <c r="R2605" s="49">
        <f t="shared" si="714"/>
        <v>1</v>
      </c>
      <c r="S2605" s="50">
        <f t="shared" si="715"/>
        <v>0.01</v>
      </c>
      <c r="T2605" s="49">
        <f t="shared" si="716"/>
        <v>15271.41</v>
      </c>
      <c r="U2605" s="51">
        <f t="shared" si="717"/>
        <v>0</v>
      </c>
      <c r="V2605" s="52">
        <f>IF(0&lt;0.8,0,IF(0&lt;1,Sheet3!L561,1))*IF(G2605&lt;3,0.12 - O2605,0.01) *U2605</f>
        <v>0</v>
      </c>
      <c r="W2605" s="52">
        <f t="shared" si="718"/>
        <v>0</v>
      </c>
      <c r="X2605" s="53">
        <f t="shared" si="719"/>
        <v>0</v>
      </c>
      <c r="Y2605" s="53">
        <f t="shared" si="720"/>
        <v>0</v>
      </c>
      <c r="Z2605" s="54">
        <f t="shared" si="725"/>
        <v>0</v>
      </c>
      <c r="AA2605" s="54">
        <f t="shared" si="721"/>
        <v>0</v>
      </c>
      <c r="AB2605" s="55">
        <f t="shared" si="726"/>
        <v>0</v>
      </c>
      <c r="AC2605" s="55">
        <f t="shared" si="722"/>
        <v>0</v>
      </c>
      <c r="AD2605" s="56">
        <f t="shared" si="723"/>
        <v>15271.41</v>
      </c>
    </row>
    <row r="2606" spans="3:30">
      <c r="C2606" s="43" t="s">
        <v>4873</v>
      </c>
      <c r="D2606" s="44" t="s">
        <v>4874</v>
      </c>
      <c r="E2606" s="44"/>
      <c r="F2606" s="45">
        <v>41562.376412037032</v>
      </c>
      <c r="G2606" s="46">
        <v>59</v>
      </c>
      <c r="H2606" s="47">
        <v>43390</v>
      </c>
      <c r="I2606" s="47">
        <v>43398</v>
      </c>
      <c r="J2606" s="46">
        <v>608751</v>
      </c>
      <c r="K2606" s="46">
        <v>0</v>
      </c>
      <c r="L2606" s="46">
        <v>0</v>
      </c>
      <c r="M2606" s="46">
        <f t="shared" si="712"/>
        <v>608751</v>
      </c>
      <c r="N2606" s="46">
        <v>608751</v>
      </c>
      <c r="O2606" s="48">
        <f t="shared" si="713"/>
        <v>0</v>
      </c>
      <c r="P2606" s="46">
        <v>0</v>
      </c>
      <c r="Q2606" s="46">
        <v>608751</v>
      </c>
      <c r="R2606" s="49">
        <f t="shared" si="714"/>
        <v>1</v>
      </c>
      <c r="S2606" s="50">
        <f t="shared" si="715"/>
        <v>0.01</v>
      </c>
      <c r="T2606" s="49">
        <f t="shared" si="716"/>
        <v>6087.51</v>
      </c>
      <c r="U2606" s="51">
        <f t="shared" si="717"/>
        <v>0</v>
      </c>
      <c r="V2606" s="52">
        <f>IF(0&lt;0.8,0,IF(0&lt;1,Sheet3!L561,1))*IF(G2606&lt;3,0.12 - O2606,0.01) *U2606</f>
        <v>0</v>
      </c>
      <c r="W2606" s="52">
        <f t="shared" si="718"/>
        <v>0</v>
      </c>
      <c r="X2606" s="53">
        <f t="shared" si="719"/>
        <v>0</v>
      </c>
      <c r="Y2606" s="53">
        <f t="shared" si="720"/>
        <v>0</v>
      </c>
      <c r="Z2606" s="54">
        <f t="shared" si="725"/>
        <v>0</v>
      </c>
      <c r="AA2606" s="54">
        <f t="shared" si="721"/>
        <v>0</v>
      </c>
      <c r="AB2606" s="55">
        <f t="shared" si="726"/>
        <v>0</v>
      </c>
      <c r="AC2606" s="55">
        <f t="shared" si="722"/>
        <v>0</v>
      </c>
      <c r="AD2606" s="56">
        <f t="shared" si="723"/>
        <v>6087.51</v>
      </c>
    </row>
    <row r="2607" spans="3:30">
      <c r="C2607" s="43" t="s">
        <v>4875</v>
      </c>
      <c r="D2607" s="44" t="s">
        <v>4876</v>
      </c>
      <c r="E2607" s="44"/>
      <c r="F2607" s="45">
        <v>41591.462187500001</v>
      </c>
      <c r="G2607" s="46">
        <v>58</v>
      </c>
      <c r="H2607" s="47">
        <v>43376</v>
      </c>
      <c r="I2607" s="47">
        <v>43412</v>
      </c>
      <c r="J2607" s="46">
        <v>5531064</v>
      </c>
      <c r="K2607" s="46">
        <v>0</v>
      </c>
      <c r="L2607" s="46">
        <v>0</v>
      </c>
      <c r="M2607" s="46">
        <f t="shared" si="712"/>
        <v>5531064</v>
      </c>
      <c r="N2607" s="46">
        <v>5530716</v>
      </c>
      <c r="O2607" s="48">
        <f t="shared" si="713"/>
        <v>0</v>
      </c>
      <c r="P2607" s="46">
        <v>0</v>
      </c>
      <c r="Q2607" s="46">
        <v>5531064</v>
      </c>
      <c r="R2607" s="49">
        <f t="shared" si="714"/>
        <v>1</v>
      </c>
      <c r="S2607" s="50">
        <f t="shared" si="715"/>
        <v>0.01</v>
      </c>
      <c r="T2607" s="49">
        <f t="shared" si="716"/>
        <v>55310.64</v>
      </c>
      <c r="U2607" s="51">
        <f t="shared" si="717"/>
        <v>0</v>
      </c>
      <c r="V2607" s="52">
        <f>IF(0&lt;0.8,0,IF(0&lt;1,Sheet3!L561,1))*IF(G2607&lt;3,0.12 - O2607,0.01) *U2607</f>
        <v>0</v>
      </c>
      <c r="W2607" s="52">
        <f t="shared" si="718"/>
        <v>0</v>
      </c>
      <c r="X2607" s="53">
        <f t="shared" si="719"/>
        <v>0</v>
      </c>
      <c r="Y2607" s="53">
        <f t="shared" si="720"/>
        <v>0</v>
      </c>
      <c r="Z2607" s="54">
        <f t="shared" si="725"/>
        <v>0</v>
      </c>
      <c r="AA2607" s="54">
        <f t="shared" si="721"/>
        <v>0</v>
      </c>
      <c r="AB2607" s="55">
        <f t="shared" si="726"/>
        <v>0</v>
      </c>
      <c r="AC2607" s="55">
        <f t="shared" si="722"/>
        <v>0</v>
      </c>
      <c r="AD2607" s="56">
        <f t="shared" si="723"/>
        <v>55310.64</v>
      </c>
    </row>
    <row r="2608" spans="3:30">
      <c r="C2608" s="43" t="s">
        <v>4877</v>
      </c>
      <c r="D2608" s="44" t="s">
        <v>4878</v>
      </c>
      <c r="E2608" s="44"/>
      <c r="F2608" s="45">
        <v>41599.464363425926</v>
      </c>
      <c r="G2608" s="46">
        <v>58</v>
      </c>
      <c r="H2608" s="47">
        <v>43378</v>
      </c>
      <c r="I2608" s="47">
        <v>43391</v>
      </c>
      <c r="J2608" s="46">
        <v>1124644</v>
      </c>
      <c r="K2608" s="46">
        <v>0</v>
      </c>
      <c r="L2608" s="46">
        <v>0</v>
      </c>
      <c r="M2608" s="46">
        <f t="shared" si="712"/>
        <v>1124644</v>
      </c>
      <c r="N2608" s="46">
        <v>1124333</v>
      </c>
      <c r="O2608" s="48">
        <f t="shared" si="713"/>
        <v>0</v>
      </c>
      <c r="P2608" s="46">
        <v>0</v>
      </c>
      <c r="Q2608" s="46">
        <v>1124644</v>
      </c>
      <c r="R2608" s="49">
        <f t="shared" si="714"/>
        <v>1</v>
      </c>
      <c r="S2608" s="50">
        <f t="shared" si="715"/>
        <v>0.01</v>
      </c>
      <c r="T2608" s="49">
        <f t="shared" si="716"/>
        <v>11246.44</v>
      </c>
      <c r="U2608" s="51">
        <f t="shared" si="717"/>
        <v>0</v>
      </c>
      <c r="V2608" s="52">
        <f>IF(0&lt;0.8,0,IF(0&lt;1,Sheet3!L561,1))*IF(G2608&lt;3,0.12 - O2608,0.01) *U2608</f>
        <v>0</v>
      </c>
      <c r="W2608" s="52">
        <f t="shared" si="718"/>
        <v>0</v>
      </c>
      <c r="X2608" s="53">
        <f t="shared" si="719"/>
        <v>0</v>
      </c>
      <c r="Y2608" s="53">
        <f t="shared" si="720"/>
        <v>0</v>
      </c>
      <c r="Z2608" s="54">
        <f t="shared" si="725"/>
        <v>0</v>
      </c>
      <c r="AA2608" s="54">
        <f t="shared" si="721"/>
        <v>0</v>
      </c>
      <c r="AB2608" s="55">
        <f t="shared" si="726"/>
        <v>0</v>
      </c>
      <c r="AC2608" s="55">
        <f t="shared" si="722"/>
        <v>0</v>
      </c>
      <c r="AD2608" s="56">
        <f t="shared" si="723"/>
        <v>11246.44</v>
      </c>
    </row>
    <row r="2609" spans="3:30">
      <c r="C2609" s="43" t="s">
        <v>4879</v>
      </c>
      <c r="D2609" s="44" t="s">
        <v>4880</v>
      </c>
      <c r="E2609" s="44"/>
      <c r="F2609" s="45">
        <v>41599.467453703699</v>
      </c>
      <c r="G2609" s="46">
        <v>58</v>
      </c>
      <c r="H2609" s="47">
        <v>43390</v>
      </c>
      <c r="I2609" s="47">
        <v>43400</v>
      </c>
      <c r="J2609" s="46">
        <v>1058266</v>
      </c>
      <c r="K2609" s="46">
        <v>0</v>
      </c>
      <c r="L2609" s="46">
        <v>0</v>
      </c>
      <c r="M2609" s="46">
        <f t="shared" si="712"/>
        <v>1058266</v>
      </c>
      <c r="N2609" s="46">
        <v>1058266</v>
      </c>
      <c r="O2609" s="48">
        <f t="shared" si="713"/>
        <v>0</v>
      </c>
      <c r="P2609" s="46">
        <v>0</v>
      </c>
      <c r="Q2609" s="46">
        <v>1058266</v>
      </c>
      <c r="R2609" s="49">
        <f t="shared" si="714"/>
        <v>1</v>
      </c>
      <c r="S2609" s="50">
        <f t="shared" si="715"/>
        <v>0.01</v>
      </c>
      <c r="T2609" s="49">
        <f t="shared" si="716"/>
        <v>10582.66</v>
      </c>
      <c r="U2609" s="51">
        <f t="shared" si="717"/>
        <v>0</v>
      </c>
      <c r="V2609" s="52">
        <f>IF(0&lt;0.8,0,IF(0&lt;1,Sheet3!L561,1))*IF(G2609&lt;3,0.12 - O2609,0.01) *U2609</f>
        <v>0</v>
      </c>
      <c r="W2609" s="52">
        <f t="shared" si="718"/>
        <v>0</v>
      </c>
      <c r="X2609" s="53">
        <f t="shared" si="719"/>
        <v>0</v>
      </c>
      <c r="Y2609" s="53">
        <f t="shared" si="720"/>
        <v>0</v>
      </c>
      <c r="Z2609" s="54">
        <f t="shared" si="725"/>
        <v>0</v>
      </c>
      <c r="AA2609" s="54">
        <f t="shared" si="721"/>
        <v>0</v>
      </c>
      <c r="AB2609" s="55">
        <f t="shared" si="726"/>
        <v>0</v>
      </c>
      <c r="AC2609" s="55">
        <f t="shared" si="722"/>
        <v>0</v>
      </c>
      <c r="AD2609" s="56">
        <f t="shared" si="723"/>
        <v>10582.66</v>
      </c>
    </row>
    <row r="2610" spans="3:30">
      <c r="C2610" s="43" t="s">
        <v>4881</v>
      </c>
      <c r="D2610" s="44" t="s">
        <v>4882</v>
      </c>
      <c r="E2610" s="44"/>
      <c r="F2610" s="45">
        <v>41642.403958333329</v>
      </c>
      <c r="G2610" s="46">
        <v>56</v>
      </c>
      <c r="H2610" s="47">
        <v>43378</v>
      </c>
      <c r="I2610" s="47">
        <v>43453</v>
      </c>
      <c r="J2610" s="46">
        <v>8415919</v>
      </c>
      <c r="K2610" s="46">
        <v>0</v>
      </c>
      <c r="L2610" s="46">
        <v>0</v>
      </c>
      <c r="M2610" s="46">
        <f t="shared" si="712"/>
        <v>8415919</v>
      </c>
      <c r="N2610" s="46">
        <v>6701673</v>
      </c>
      <c r="O2610" s="48">
        <f t="shared" si="713"/>
        <v>0</v>
      </c>
      <c r="P2610" s="46">
        <v>0</v>
      </c>
      <c r="Q2610" s="46">
        <v>8415919</v>
      </c>
      <c r="R2610" s="49">
        <f t="shared" si="714"/>
        <v>1</v>
      </c>
      <c r="S2610" s="50">
        <f t="shared" si="715"/>
        <v>0.01</v>
      </c>
      <c r="T2610" s="49">
        <f t="shared" si="716"/>
        <v>84159.19</v>
      </c>
      <c r="U2610" s="51">
        <f t="shared" si="717"/>
        <v>0</v>
      </c>
      <c r="V2610" s="52">
        <f>IF(0&lt;0.8,0,IF(0&lt;1,Sheet3!L561,1))*IF(G2610&lt;3,0.12 - O2610,0.01) *U2610</f>
        <v>0</v>
      </c>
      <c r="W2610" s="52">
        <f t="shared" si="718"/>
        <v>0</v>
      </c>
      <c r="X2610" s="53">
        <f t="shared" si="719"/>
        <v>0</v>
      </c>
      <c r="Y2610" s="53">
        <f t="shared" si="720"/>
        <v>0</v>
      </c>
      <c r="Z2610" s="54">
        <f t="shared" si="725"/>
        <v>0</v>
      </c>
      <c r="AA2610" s="54">
        <f t="shared" si="721"/>
        <v>0</v>
      </c>
      <c r="AB2610" s="55">
        <f t="shared" si="726"/>
        <v>0</v>
      </c>
      <c r="AC2610" s="55">
        <f t="shared" si="722"/>
        <v>0</v>
      </c>
      <c r="AD2610" s="56">
        <f t="shared" si="723"/>
        <v>84159.19</v>
      </c>
    </row>
    <row r="2611" spans="3:30">
      <c r="C2611" s="43" t="s">
        <v>4883</v>
      </c>
      <c r="D2611" s="44" t="s">
        <v>4884</v>
      </c>
      <c r="E2611" s="44"/>
      <c r="F2611" s="45">
        <v>41646.392847222218</v>
      </c>
      <c r="G2611" s="46">
        <v>56</v>
      </c>
      <c r="H2611" s="47">
        <v>43376</v>
      </c>
      <c r="I2611" s="47">
        <v>43407</v>
      </c>
      <c r="J2611" s="46">
        <v>8814681</v>
      </c>
      <c r="K2611" s="46">
        <v>1199944</v>
      </c>
      <c r="L2611" s="46">
        <v>0</v>
      </c>
      <c r="M2611" s="46">
        <f t="shared" ref="M2611:M2674" si="727">IFERROR(J2611-K2611-L2611,0)</f>
        <v>7614737</v>
      </c>
      <c r="N2611" s="46">
        <v>8637295</v>
      </c>
      <c r="O2611" s="48">
        <f t="shared" ref="O2611:O2674" si="728">IFERROR(IF(1 - M2611/N2611&lt;0,0,1-M2611/N2611),0)</f>
        <v>0.11838868534651181</v>
      </c>
      <c r="P2611" s="46">
        <v>0</v>
      </c>
      <c r="Q2611" s="46">
        <v>8814681</v>
      </c>
      <c r="R2611" s="49">
        <f t="shared" ref="R2611:R2674" si="729">IF(F2611&lt;DATEVALUE("2018-07-01"),1,0)</f>
        <v>1</v>
      </c>
      <c r="S2611" s="50">
        <f t="shared" ref="S2611:S2674" si="730">IF(R2611=1,1%,0)</f>
        <v>0.01</v>
      </c>
      <c r="T2611" s="49">
        <f t="shared" ref="T2611:T2674" si="731">IFERROR(S2611*M2611,0)</f>
        <v>76147.37</v>
      </c>
      <c r="U2611" s="51">
        <f t="shared" ref="U2611:U2674" si="732">IF(O2611&lt;=0.12,1,0)*(1-R2611)*M2611</f>
        <v>0</v>
      </c>
      <c r="V2611" s="52">
        <f>IF(0&lt;0.8,0,IF(0&lt;1,Sheet3!L561,1))*IF(G2611&lt;3,0.12 - O2611,0.01) *U2611</f>
        <v>0</v>
      </c>
      <c r="W2611" s="52">
        <f t="shared" ref="W2611:W2674" si="733">IF(0&gt;1,IF(0&lt;=1.1,1,IF(0&lt;=1.2,2,IF(0&lt;=1.5,3,5))),0) * 1000000</f>
        <v>0</v>
      </c>
      <c r="X2611" s="53">
        <f t="shared" ref="X2611:X2674" si="734">IF(AND(P2611&gt;=150000000,P2611&lt;300000000),5000000,IF(AND(P2611&gt;=300000000,P2611&lt;500000000),10000000,IF(AND(P2611&gt;=300000000,P2611&lt;500000000),15000000,IF(AND(P2611&gt;=500000000,P2611&lt;3000000000),20000000,IF(P2611&gt;=30000000000,35000000,0))))) * (1-R2611)</f>
        <v>0</v>
      </c>
      <c r="Y2611" s="53">
        <f t="shared" ref="Y2611:Y2674" si="735">IFERROR(Q2611 * (1-R2611),0)</f>
        <v>0</v>
      </c>
      <c r="Z2611" s="54">
        <f t="shared" si="725"/>
        <v>0</v>
      </c>
      <c r="AA2611" s="54">
        <f t="shared" ref="AA2611:AA2674" si="736">IFERROR((1-R2611) * Z2611 * 2%,0)</f>
        <v>0</v>
      </c>
      <c r="AB2611" s="55">
        <f t="shared" si="726"/>
        <v>0</v>
      </c>
      <c r="AC2611" s="55">
        <f t="shared" ref="AC2611:AC2674" si="737">IFERROR(AB2611 * (1-R2611) * 2%,0)</f>
        <v>0</v>
      </c>
      <c r="AD2611" s="56">
        <f t="shared" ref="AD2611:AD2674" si="738">T2611+V2611+W2611+X2611+AA2611+AC2611</f>
        <v>76147.37</v>
      </c>
    </row>
    <row r="2612" spans="3:30">
      <c r="C2612" s="43" t="s">
        <v>4885</v>
      </c>
      <c r="D2612" s="44" t="s">
        <v>4886</v>
      </c>
      <c r="E2612" s="44"/>
      <c r="F2612" s="45">
        <v>41782.402094907404</v>
      </c>
      <c r="G2612" s="46">
        <v>52</v>
      </c>
      <c r="H2612" s="47">
        <v>43378</v>
      </c>
      <c r="I2612" s="47">
        <v>43393</v>
      </c>
      <c r="J2612" s="46">
        <v>1477749</v>
      </c>
      <c r="K2612" s="46">
        <v>0</v>
      </c>
      <c r="L2612" s="46">
        <v>0</v>
      </c>
      <c r="M2612" s="46">
        <f t="shared" si="727"/>
        <v>1477749</v>
      </c>
      <c r="N2612" s="46">
        <v>1477749</v>
      </c>
      <c r="O2612" s="48">
        <f t="shared" si="728"/>
        <v>0</v>
      </c>
      <c r="P2612" s="46">
        <v>0</v>
      </c>
      <c r="Q2612" s="46">
        <v>1477749</v>
      </c>
      <c r="R2612" s="49">
        <f t="shared" si="729"/>
        <v>1</v>
      </c>
      <c r="S2612" s="50">
        <f t="shared" si="730"/>
        <v>0.01</v>
      </c>
      <c r="T2612" s="49">
        <f t="shared" si="731"/>
        <v>14777.49</v>
      </c>
      <c r="U2612" s="51">
        <f t="shared" si="732"/>
        <v>0</v>
      </c>
      <c r="V2612" s="52">
        <f>IF(0&lt;0.8,0,IF(0&lt;1,Sheet3!L561,1))*IF(G2612&lt;3,0.12 - O2612,0.01) *U2612</f>
        <v>0</v>
      </c>
      <c r="W2612" s="52">
        <f t="shared" si="733"/>
        <v>0</v>
      </c>
      <c r="X2612" s="53">
        <f t="shared" si="734"/>
        <v>0</v>
      </c>
      <c r="Y2612" s="53">
        <f t="shared" si="735"/>
        <v>0</v>
      </c>
      <c r="Z2612" s="54">
        <f t="shared" si="725"/>
        <v>0</v>
      </c>
      <c r="AA2612" s="54">
        <f t="shared" si="736"/>
        <v>0</v>
      </c>
      <c r="AB2612" s="55">
        <f t="shared" si="726"/>
        <v>0</v>
      </c>
      <c r="AC2612" s="55">
        <f t="shared" si="737"/>
        <v>0</v>
      </c>
      <c r="AD2612" s="56">
        <f t="shared" si="738"/>
        <v>14777.49</v>
      </c>
    </row>
    <row r="2613" spans="3:30">
      <c r="C2613" s="43" t="s">
        <v>4887</v>
      </c>
      <c r="D2613" s="44" t="s">
        <v>4888</v>
      </c>
      <c r="E2613" s="44"/>
      <c r="F2613" s="45">
        <v>41809.620706018519</v>
      </c>
      <c r="G2613" s="46">
        <v>51</v>
      </c>
      <c r="H2613" s="47">
        <v>43390</v>
      </c>
      <c r="I2613" s="47">
        <v>43420</v>
      </c>
      <c r="J2613" s="46">
        <v>346060</v>
      </c>
      <c r="K2613" s="46">
        <v>0</v>
      </c>
      <c r="L2613" s="46">
        <v>0</v>
      </c>
      <c r="M2613" s="46">
        <f t="shared" si="727"/>
        <v>346060</v>
      </c>
      <c r="N2613" s="46">
        <v>346060</v>
      </c>
      <c r="O2613" s="48">
        <f t="shared" si="728"/>
        <v>0</v>
      </c>
      <c r="P2613" s="46">
        <v>0</v>
      </c>
      <c r="Q2613" s="46">
        <v>346060</v>
      </c>
      <c r="R2613" s="49">
        <f t="shared" si="729"/>
        <v>1</v>
      </c>
      <c r="S2613" s="50">
        <f t="shared" si="730"/>
        <v>0.01</v>
      </c>
      <c r="T2613" s="49">
        <f t="shared" si="731"/>
        <v>3460.6</v>
      </c>
      <c r="U2613" s="51">
        <f t="shared" si="732"/>
        <v>0</v>
      </c>
      <c r="V2613" s="52">
        <f>IF(0&lt;0.8,0,IF(0&lt;1,Sheet3!L561,1))*IF(G2613&lt;3,0.12 - O2613,0.01) *U2613</f>
        <v>0</v>
      </c>
      <c r="W2613" s="52">
        <f t="shared" si="733"/>
        <v>0</v>
      </c>
      <c r="X2613" s="53">
        <f t="shared" si="734"/>
        <v>0</v>
      </c>
      <c r="Y2613" s="53">
        <f t="shared" si="735"/>
        <v>0</v>
      </c>
      <c r="Z2613" s="54">
        <f t="shared" si="725"/>
        <v>0</v>
      </c>
      <c r="AA2613" s="54">
        <f t="shared" si="736"/>
        <v>0</v>
      </c>
      <c r="AB2613" s="55">
        <f t="shared" si="726"/>
        <v>0</v>
      </c>
      <c r="AC2613" s="55">
        <f t="shared" si="737"/>
        <v>0</v>
      </c>
      <c r="AD2613" s="56">
        <f t="shared" si="738"/>
        <v>3460.6</v>
      </c>
    </row>
    <row r="2614" spans="3:30">
      <c r="C2614" s="43" t="s">
        <v>4889</v>
      </c>
      <c r="D2614" s="44" t="s">
        <v>4890</v>
      </c>
      <c r="E2614" s="44"/>
      <c r="F2614" s="45">
        <v>41849.384756944441</v>
      </c>
      <c r="G2614" s="46">
        <v>50</v>
      </c>
      <c r="H2614" s="47">
        <v>43376</v>
      </c>
      <c r="I2614" s="47">
        <v>43417</v>
      </c>
      <c r="J2614" s="46">
        <v>6894672</v>
      </c>
      <c r="K2614" s="46">
        <v>0</v>
      </c>
      <c r="L2614" s="46">
        <v>0</v>
      </c>
      <c r="M2614" s="46">
        <f t="shared" si="727"/>
        <v>6894672</v>
      </c>
      <c r="N2614" s="46">
        <v>6903512</v>
      </c>
      <c r="O2614" s="48">
        <f t="shared" si="728"/>
        <v>1.2805076604487375E-3</v>
      </c>
      <c r="P2614" s="46">
        <v>0</v>
      </c>
      <c r="Q2614" s="46">
        <v>6894672</v>
      </c>
      <c r="R2614" s="49">
        <f t="shared" si="729"/>
        <v>1</v>
      </c>
      <c r="S2614" s="50">
        <f t="shared" si="730"/>
        <v>0.01</v>
      </c>
      <c r="T2614" s="49">
        <f t="shared" si="731"/>
        <v>68946.720000000001</v>
      </c>
      <c r="U2614" s="51">
        <f t="shared" si="732"/>
        <v>0</v>
      </c>
      <c r="V2614" s="52">
        <f>IF(0&lt;0.8,0,IF(0&lt;1,Sheet3!L561,1))*IF(G2614&lt;3,0.12 - O2614,0.01) *U2614</f>
        <v>0</v>
      </c>
      <c r="W2614" s="52">
        <f t="shared" si="733"/>
        <v>0</v>
      </c>
      <c r="X2614" s="53">
        <f t="shared" si="734"/>
        <v>0</v>
      </c>
      <c r="Y2614" s="53">
        <f t="shared" si="735"/>
        <v>0</v>
      </c>
      <c r="Z2614" s="54">
        <f t="shared" si="725"/>
        <v>0</v>
      </c>
      <c r="AA2614" s="54">
        <f t="shared" si="736"/>
        <v>0</v>
      </c>
      <c r="AB2614" s="55">
        <f t="shared" si="726"/>
        <v>0</v>
      </c>
      <c r="AC2614" s="55">
        <f t="shared" si="737"/>
        <v>0</v>
      </c>
      <c r="AD2614" s="56">
        <f t="shared" si="738"/>
        <v>68946.720000000001</v>
      </c>
    </row>
    <row r="2615" spans="3:30">
      <c r="C2615" s="43" t="s">
        <v>4891</v>
      </c>
      <c r="D2615" s="44" t="s">
        <v>4892</v>
      </c>
      <c r="E2615" s="44"/>
      <c r="F2615" s="45">
        <v>41852.582592592589</v>
      </c>
      <c r="G2615" s="46">
        <v>49</v>
      </c>
      <c r="H2615" s="47">
        <v>43399</v>
      </c>
      <c r="I2615" s="47">
        <v>43411</v>
      </c>
      <c r="J2615" s="46">
        <v>1104046</v>
      </c>
      <c r="K2615" s="46">
        <v>0</v>
      </c>
      <c r="L2615" s="46">
        <v>0</v>
      </c>
      <c r="M2615" s="46">
        <f t="shared" si="727"/>
        <v>1104046</v>
      </c>
      <c r="N2615" s="46">
        <v>1497659</v>
      </c>
      <c r="O2615" s="48">
        <f t="shared" si="728"/>
        <v>0.26281883926848504</v>
      </c>
      <c r="P2615" s="46">
        <v>0</v>
      </c>
      <c r="Q2615" s="46">
        <v>1104046</v>
      </c>
      <c r="R2615" s="49">
        <f t="shared" si="729"/>
        <v>1</v>
      </c>
      <c r="S2615" s="50">
        <f t="shared" si="730"/>
        <v>0.01</v>
      </c>
      <c r="T2615" s="49">
        <f t="shared" si="731"/>
        <v>11040.460000000001</v>
      </c>
      <c r="U2615" s="51">
        <f t="shared" si="732"/>
        <v>0</v>
      </c>
      <c r="V2615" s="52">
        <f>IF(0&lt;0.8,0,IF(0&lt;1,Sheet3!L561,1))*IF(G2615&lt;3,0.12 - O2615,0.01) *U2615</f>
        <v>0</v>
      </c>
      <c r="W2615" s="52">
        <f t="shared" si="733"/>
        <v>0</v>
      </c>
      <c r="X2615" s="53">
        <f t="shared" si="734"/>
        <v>0</v>
      </c>
      <c r="Y2615" s="53">
        <f t="shared" si="735"/>
        <v>0</v>
      </c>
      <c r="Z2615" s="54">
        <f t="shared" si="725"/>
        <v>0</v>
      </c>
      <c r="AA2615" s="54">
        <f t="shared" si="736"/>
        <v>0</v>
      </c>
      <c r="AB2615" s="55">
        <f t="shared" si="726"/>
        <v>0</v>
      </c>
      <c r="AC2615" s="55">
        <f t="shared" si="737"/>
        <v>0</v>
      </c>
      <c r="AD2615" s="56">
        <f t="shared" si="738"/>
        <v>11040.460000000001</v>
      </c>
    </row>
    <row r="2616" spans="3:30">
      <c r="C2616" s="43" t="s">
        <v>4893</v>
      </c>
      <c r="D2616" s="44" t="s">
        <v>4894</v>
      </c>
      <c r="E2616" s="44"/>
      <c r="F2616" s="45">
        <v>41870.60869212963</v>
      </c>
      <c r="G2616" s="46">
        <v>49</v>
      </c>
      <c r="H2616" s="47">
        <v>43397</v>
      </c>
      <c r="I2616" s="47">
        <v>43462</v>
      </c>
      <c r="J2616" s="46">
        <v>44972498</v>
      </c>
      <c r="K2616" s="46">
        <v>0</v>
      </c>
      <c r="L2616" s="46">
        <v>0</v>
      </c>
      <c r="M2616" s="46">
        <f t="shared" si="727"/>
        <v>44972498</v>
      </c>
      <c r="N2616" s="46">
        <v>44972498</v>
      </c>
      <c r="O2616" s="48">
        <f t="shared" si="728"/>
        <v>0</v>
      </c>
      <c r="P2616" s="46">
        <v>0</v>
      </c>
      <c r="Q2616" s="46">
        <v>44972498</v>
      </c>
      <c r="R2616" s="49">
        <f t="shared" si="729"/>
        <v>1</v>
      </c>
      <c r="S2616" s="50">
        <f t="shared" si="730"/>
        <v>0.01</v>
      </c>
      <c r="T2616" s="49">
        <f t="shared" si="731"/>
        <v>449724.98</v>
      </c>
      <c r="U2616" s="51">
        <f t="shared" si="732"/>
        <v>0</v>
      </c>
      <c r="V2616" s="52">
        <f>IF(0&lt;0.8,0,IF(0&lt;1,Sheet3!L561,1))*IF(G2616&lt;3,0.12 - O2616,0.01) *U2616</f>
        <v>0</v>
      </c>
      <c r="W2616" s="52">
        <f t="shared" si="733"/>
        <v>0</v>
      </c>
      <c r="X2616" s="53">
        <f t="shared" si="734"/>
        <v>0</v>
      </c>
      <c r="Y2616" s="53">
        <f t="shared" si="735"/>
        <v>0</v>
      </c>
      <c r="Z2616" s="54">
        <f t="shared" si="725"/>
        <v>0</v>
      </c>
      <c r="AA2616" s="54">
        <f t="shared" si="736"/>
        <v>0</v>
      </c>
      <c r="AB2616" s="55">
        <f t="shared" si="726"/>
        <v>0</v>
      </c>
      <c r="AC2616" s="55">
        <f t="shared" si="737"/>
        <v>0</v>
      </c>
      <c r="AD2616" s="56">
        <f t="shared" si="738"/>
        <v>449724.98</v>
      </c>
    </row>
    <row r="2617" spans="3:30">
      <c r="C2617" s="43" t="s">
        <v>4895</v>
      </c>
      <c r="D2617" s="44" t="s">
        <v>4896</v>
      </c>
      <c r="E2617" s="44"/>
      <c r="F2617" s="45">
        <v>41885.587500000001</v>
      </c>
      <c r="G2617" s="46">
        <v>48</v>
      </c>
      <c r="H2617" s="47">
        <v>43459</v>
      </c>
      <c r="I2617" s="47">
        <v>43509</v>
      </c>
      <c r="J2617" s="46">
        <v>7683196</v>
      </c>
      <c r="K2617" s="46">
        <v>0</v>
      </c>
      <c r="L2617" s="46">
        <v>0</v>
      </c>
      <c r="M2617" s="46">
        <f t="shared" si="727"/>
        <v>7683196</v>
      </c>
      <c r="N2617" s="46">
        <v>7679797</v>
      </c>
      <c r="O2617" s="48">
        <f t="shared" si="728"/>
        <v>0</v>
      </c>
      <c r="P2617" s="46">
        <v>0</v>
      </c>
      <c r="Q2617" s="46">
        <v>7683196</v>
      </c>
      <c r="R2617" s="49">
        <f t="shared" si="729"/>
        <v>1</v>
      </c>
      <c r="S2617" s="50">
        <f t="shared" si="730"/>
        <v>0.01</v>
      </c>
      <c r="T2617" s="49">
        <f t="shared" si="731"/>
        <v>76831.960000000006</v>
      </c>
      <c r="U2617" s="51">
        <f t="shared" si="732"/>
        <v>0</v>
      </c>
      <c r="V2617" s="52">
        <f>IF(0&lt;0.8,0,IF(0&lt;1,Sheet3!L561,1))*IF(G2617&lt;3,0.12 - O2617,0.01) *U2617</f>
        <v>0</v>
      </c>
      <c r="W2617" s="52">
        <f t="shared" si="733"/>
        <v>0</v>
      </c>
      <c r="X2617" s="53">
        <f t="shared" si="734"/>
        <v>0</v>
      </c>
      <c r="Y2617" s="53">
        <f t="shared" si="735"/>
        <v>0</v>
      </c>
      <c r="Z2617" s="54">
        <f t="shared" si="725"/>
        <v>0</v>
      </c>
      <c r="AA2617" s="54">
        <f t="shared" si="736"/>
        <v>0</v>
      </c>
      <c r="AB2617" s="55">
        <f t="shared" si="726"/>
        <v>0</v>
      </c>
      <c r="AC2617" s="55">
        <f t="shared" si="737"/>
        <v>0</v>
      </c>
      <c r="AD2617" s="56">
        <f t="shared" si="738"/>
        <v>76831.960000000006</v>
      </c>
    </row>
    <row r="2618" spans="3:30">
      <c r="C2618" s="43" t="s">
        <v>4897</v>
      </c>
      <c r="D2618" s="44" t="s">
        <v>4898</v>
      </c>
      <c r="E2618" s="44"/>
      <c r="F2618" s="45">
        <v>42007.628379629627</v>
      </c>
      <c r="G2618" s="46">
        <v>44</v>
      </c>
      <c r="H2618" s="47">
        <v>43397</v>
      </c>
      <c r="I2618" s="47">
        <v>43462</v>
      </c>
      <c r="J2618" s="46">
        <v>4008779</v>
      </c>
      <c r="K2618" s="46">
        <v>0</v>
      </c>
      <c r="L2618" s="46">
        <v>0</v>
      </c>
      <c r="M2618" s="46">
        <f t="shared" si="727"/>
        <v>4008779</v>
      </c>
      <c r="N2618" s="46">
        <v>4008779</v>
      </c>
      <c r="O2618" s="48">
        <f t="shared" si="728"/>
        <v>0</v>
      </c>
      <c r="P2618" s="46">
        <v>0</v>
      </c>
      <c r="Q2618" s="46">
        <v>4008779</v>
      </c>
      <c r="R2618" s="49">
        <f t="shared" si="729"/>
        <v>1</v>
      </c>
      <c r="S2618" s="50">
        <f t="shared" si="730"/>
        <v>0.01</v>
      </c>
      <c r="T2618" s="49">
        <f t="shared" si="731"/>
        <v>40087.79</v>
      </c>
      <c r="U2618" s="51">
        <f t="shared" si="732"/>
        <v>0</v>
      </c>
      <c r="V2618" s="52">
        <f>IF(0&lt;0.8,0,IF(0&lt;1,Sheet3!L561,1))*IF(G2618&lt;3,0.12 - O2618,0.01) *U2618</f>
        <v>0</v>
      </c>
      <c r="W2618" s="52">
        <f t="shared" si="733"/>
        <v>0</v>
      </c>
      <c r="X2618" s="53">
        <f t="shared" si="734"/>
        <v>0</v>
      </c>
      <c r="Y2618" s="53">
        <f t="shared" si="735"/>
        <v>0</v>
      </c>
      <c r="Z2618" s="54">
        <f t="shared" si="725"/>
        <v>0</v>
      </c>
      <c r="AA2618" s="54">
        <f t="shared" si="736"/>
        <v>0</v>
      </c>
      <c r="AB2618" s="55">
        <f t="shared" si="726"/>
        <v>0</v>
      </c>
      <c r="AC2618" s="55">
        <f t="shared" si="737"/>
        <v>0</v>
      </c>
      <c r="AD2618" s="56">
        <f t="shared" si="738"/>
        <v>40087.79</v>
      </c>
    </row>
    <row r="2619" spans="3:30">
      <c r="C2619" s="43" t="s">
        <v>4899</v>
      </c>
      <c r="D2619" s="44" t="s">
        <v>4900</v>
      </c>
      <c r="E2619" s="44"/>
      <c r="F2619" s="45">
        <v>42042.352650462963</v>
      </c>
      <c r="G2619" s="46">
        <v>43</v>
      </c>
      <c r="H2619" s="47">
        <v>43376</v>
      </c>
      <c r="I2619" s="47">
        <v>43404</v>
      </c>
      <c r="J2619" s="46">
        <v>5326764</v>
      </c>
      <c r="K2619" s="46">
        <v>0</v>
      </c>
      <c r="L2619" s="46">
        <v>0</v>
      </c>
      <c r="M2619" s="46">
        <f t="shared" si="727"/>
        <v>5326764</v>
      </c>
      <c r="N2619" s="46">
        <v>5326764</v>
      </c>
      <c r="O2619" s="48">
        <f t="shared" si="728"/>
        <v>0</v>
      </c>
      <c r="P2619" s="46">
        <v>0</v>
      </c>
      <c r="Q2619" s="46">
        <v>5326764</v>
      </c>
      <c r="R2619" s="49">
        <f t="shared" si="729"/>
        <v>1</v>
      </c>
      <c r="S2619" s="50">
        <f t="shared" si="730"/>
        <v>0.01</v>
      </c>
      <c r="T2619" s="49">
        <f t="shared" si="731"/>
        <v>53267.64</v>
      </c>
      <c r="U2619" s="51">
        <f t="shared" si="732"/>
        <v>0</v>
      </c>
      <c r="V2619" s="52">
        <f>IF(0&lt;0.8,0,IF(0&lt;1,Sheet3!L561,1))*IF(G2619&lt;3,0.12 - O2619,0.01) *U2619</f>
        <v>0</v>
      </c>
      <c r="W2619" s="52">
        <f t="shared" si="733"/>
        <v>0</v>
      </c>
      <c r="X2619" s="53">
        <f t="shared" si="734"/>
        <v>0</v>
      </c>
      <c r="Y2619" s="53">
        <f t="shared" si="735"/>
        <v>0</v>
      </c>
      <c r="Z2619" s="54">
        <f t="shared" si="725"/>
        <v>0</v>
      </c>
      <c r="AA2619" s="54">
        <f t="shared" si="736"/>
        <v>0</v>
      </c>
      <c r="AB2619" s="55">
        <f t="shared" si="726"/>
        <v>0</v>
      </c>
      <c r="AC2619" s="55">
        <f t="shared" si="737"/>
        <v>0</v>
      </c>
      <c r="AD2619" s="56">
        <f t="shared" si="738"/>
        <v>53267.64</v>
      </c>
    </row>
    <row r="2620" spans="3:30">
      <c r="C2620" s="43" t="s">
        <v>4901</v>
      </c>
      <c r="D2620" s="44" t="s">
        <v>4902</v>
      </c>
      <c r="E2620" s="44"/>
      <c r="F2620" s="45">
        <v>42065.524201388886</v>
      </c>
      <c r="G2620" s="46">
        <v>42</v>
      </c>
      <c r="H2620" s="47">
        <v>43430</v>
      </c>
      <c r="I2620" s="47">
        <v>43473</v>
      </c>
      <c r="J2620" s="46">
        <v>12505500</v>
      </c>
      <c r="K2620" s="46">
        <v>2273727</v>
      </c>
      <c r="L2620" s="46">
        <v>0</v>
      </c>
      <c r="M2620" s="46">
        <f t="shared" si="727"/>
        <v>10231773</v>
      </c>
      <c r="N2620" s="46">
        <v>12953815</v>
      </c>
      <c r="O2620" s="48">
        <f t="shared" si="728"/>
        <v>0.2101343889811611</v>
      </c>
      <c r="P2620" s="46">
        <v>0</v>
      </c>
      <c r="Q2620" s="46">
        <v>12505500</v>
      </c>
      <c r="R2620" s="49">
        <f t="shared" si="729"/>
        <v>1</v>
      </c>
      <c r="S2620" s="50">
        <f t="shared" si="730"/>
        <v>0.01</v>
      </c>
      <c r="T2620" s="49">
        <f t="shared" si="731"/>
        <v>102317.73</v>
      </c>
      <c r="U2620" s="51">
        <f t="shared" si="732"/>
        <v>0</v>
      </c>
      <c r="V2620" s="52">
        <f>IF(0&lt;0.8,0,IF(0&lt;1,Sheet3!L561,1))*IF(G2620&lt;3,0.12 - O2620,0.01) *U2620</f>
        <v>0</v>
      </c>
      <c r="W2620" s="52">
        <f t="shared" si="733"/>
        <v>0</v>
      </c>
      <c r="X2620" s="53">
        <f t="shared" si="734"/>
        <v>0</v>
      </c>
      <c r="Y2620" s="53">
        <f t="shared" si="735"/>
        <v>0</v>
      </c>
      <c r="Z2620" s="54">
        <f t="shared" si="725"/>
        <v>0</v>
      </c>
      <c r="AA2620" s="54">
        <f t="shared" si="736"/>
        <v>0</v>
      </c>
      <c r="AB2620" s="55">
        <f t="shared" si="726"/>
        <v>0</v>
      </c>
      <c r="AC2620" s="55">
        <f t="shared" si="737"/>
        <v>0</v>
      </c>
      <c r="AD2620" s="56">
        <f t="shared" si="738"/>
        <v>102317.73</v>
      </c>
    </row>
    <row r="2621" spans="3:30">
      <c r="C2621" s="43" t="s">
        <v>4903</v>
      </c>
      <c r="D2621" s="44" t="s">
        <v>4904</v>
      </c>
      <c r="E2621" s="44"/>
      <c r="F2621" s="45">
        <v>42192.552395833329</v>
      </c>
      <c r="G2621" s="46">
        <v>38</v>
      </c>
      <c r="H2621" s="47">
        <v>43396</v>
      </c>
      <c r="I2621" s="47">
        <v>43402</v>
      </c>
      <c r="J2621" s="46">
        <v>1156863</v>
      </c>
      <c r="K2621" s="46">
        <v>0</v>
      </c>
      <c r="L2621" s="46">
        <v>0</v>
      </c>
      <c r="M2621" s="46">
        <f t="shared" si="727"/>
        <v>1156863</v>
      </c>
      <c r="N2621" s="46">
        <v>1153445</v>
      </c>
      <c r="O2621" s="48">
        <f t="shared" si="728"/>
        <v>0</v>
      </c>
      <c r="P2621" s="46">
        <v>0</v>
      </c>
      <c r="Q2621" s="46">
        <v>1156863</v>
      </c>
      <c r="R2621" s="49">
        <f t="shared" si="729"/>
        <v>1</v>
      </c>
      <c r="S2621" s="50">
        <f t="shared" si="730"/>
        <v>0.01</v>
      </c>
      <c r="T2621" s="49">
        <f t="shared" si="731"/>
        <v>11568.630000000001</v>
      </c>
      <c r="U2621" s="51">
        <f t="shared" si="732"/>
        <v>0</v>
      </c>
      <c r="V2621" s="52">
        <f>IF(0&lt;0.8,0,IF(0&lt;1,Sheet3!L561,1))*IF(G2621&lt;3,0.12 - O2621,0.01) *U2621</f>
        <v>0</v>
      </c>
      <c r="W2621" s="52">
        <f t="shared" si="733"/>
        <v>0</v>
      </c>
      <c r="X2621" s="53">
        <f t="shared" si="734"/>
        <v>0</v>
      </c>
      <c r="Y2621" s="53">
        <f t="shared" si="735"/>
        <v>0</v>
      </c>
      <c r="Z2621" s="54">
        <f t="shared" si="725"/>
        <v>0</v>
      </c>
      <c r="AA2621" s="54">
        <f t="shared" si="736"/>
        <v>0</v>
      </c>
      <c r="AB2621" s="55">
        <f t="shared" si="726"/>
        <v>0</v>
      </c>
      <c r="AC2621" s="55">
        <f t="shared" si="737"/>
        <v>0</v>
      </c>
      <c r="AD2621" s="56">
        <f t="shared" si="738"/>
        <v>11568.630000000001</v>
      </c>
    </row>
    <row r="2622" spans="3:30">
      <c r="C2622" s="43" t="s">
        <v>4905</v>
      </c>
      <c r="D2622" s="44" t="s">
        <v>4906</v>
      </c>
      <c r="E2622" s="44"/>
      <c r="F2622" s="45">
        <v>42203.420891203699</v>
      </c>
      <c r="G2622" s="46">
        <v>38</v>
      </c>
      <c r="H2622" s="47">
        <v>43412</v>
      </c>
      <c r="I2622" s="47">
        <v>43420</v>
      </c>
      <c r="J2622" s="46">
        <v>5824500</v>
      </c>
      <c r="K2622" s="46">
        <v>0</v>
      </c>
      <c r="L2622" s="46">
        <v>0</v>
      </c>
      <c r="M2622" s="46">
        <f t="shared" si="727"/>
        <v>5824500</v>
      </c>
      <c r="N2622" s="46">
        <v>14629989</v>
      </c>
      <c r="O2622" s="48">
        <f t="shared" si="728"/>
        <v>0.60187939990932326</v>
      </c>
      <c r="P2622" s="46">
        <v>0</v>
      </c>
      <c r="Q2622" s="46">
        <v>5860500</v>
      </c>
      <c r="R2622" s="49">
        <f t="shared" si="729"/>
        <v>1</v>
      </c>
      <c r="S2622" s="50">
        <f t="shared" si="730"/>
        <v>0.01</v>
      </c>
      <c r="T2622" s="49">
        <f t="shared" si="731"/>
        <v>58245</v>
      </c>
      <c r="U2622" s="51">
        <f t="shared" si="732"/>
        <v>0</v>
      </c>
      <c r="V2622" s="52">
        <f>IF(0&lt;0.8,0,IF(0&lt;1,Sheet3!L561,1))*IF(G2622&lt;3,0.12 - O2622,0.01) *U2622</f>
        <v>0</v>
      </c>
      <c r="W2622" s="52">
        <f t="shared" si="733"/>
        <v>0</v>
      </c>
      <c r="X2622" s="53">
        <f t="shared" si="734"/>
        <v>0</v>
      </c>
      <c r="Y2622" s="53">
        <f t="shared" si="735"/>
        <v>0</v>
      </c>
      <c r="Z2622" s="54">
        <f t="shared" si="725"/>
        <v>0</v>
      </c>
      <c r="AA2622" s="54">
        <f t="shared" si="736"/>
        <v>0</v>
      </c>
      <c r="AB2622" s="55">
        <f t="shared" si="726"/>
        <v>0</v>
      </c>
      <c r="AC2622" s="55">
        <f t="shared" si="737"/>
        <v>0</v>
      </c>
      <c r="AD2622" s="56">
        <f t="shared" si="738"/>
        <v>58245</v>
      </c>
    </row>
    <row r="2623" spans="3:30">
      <c r="C2623" s="43" t="s">
        <v>4907</v>
      </c>
      <c r="D2623" s="44" t="s">
        <v>4908</v>
      </c>
      <c r="E2623" s="44"/>
      <c r="F2623" s="45">
        <v>42276.70921296296</v>
      </c>
      <c r="G2623" s="46">
        <v>36</v>
      </c>
      <c r="H2623" s="47">
        <v>43378</v>
      </c>
      <c r="I2623" s="47">
        <v>43423</v>
      </c>
      <c r="J2623" s="46">
        <v>218235</v>
      </c>
      <c r="K2623" s="46">
        <v>0</v>
      </c>
      <c r="L2623" s="46">
        <v>0</v>
      </c>
      <c r="M2623" s="46">
        <f t="shared" si="727"/>
        <v>218235</v>
      </c>
      <c r="N2623" s="46">
        <v>218235</v>
      </c>
      <c r="O2623" s="48">
        <f t="shared" si="728"/>
        <v>0</v>
      </c>
      <c r="P2623" s="46">
        <v>0</v>
      </c>
      <c r="Q2623" s="46">
        <v>218235</v>
      </c>
      <c r="R2623" s="49">
        <f t="shared" si="729"/>
        <v>1</v>
      </c>
      <c r="S2623" s="50">
        <f t="shared" si="730"/>
        <v>0.01</v>
      </c>
      <c r="T2623" s="49">
        <f t="shared" si="731"/>
        <v>2182.35</v>
      </c>
      <c r="U2623" s="51">
        <f t="shared" si="732"/>
        <v>0</v>
      </c>
      <c r="V2623" s="52">
        <f>IF(0&lt;0.8,0,IF(0&lt;1,Sheet3!L561,1))*IF(G2623&lt;3,0.12 - O2623,0.01) *U2623</f>
        <v>0</v>
      </c>
      <c r="W2623" s="52">
        <f t="shared" si="733"/>
        <v>0</v>
      </c>
      <c r="X2623" s="53">
        <f t="shared" si="734"/>
        <v>0</v>
      </c>
      <c r="Y2623" s="53">
        <f t="shared" si="735"/>
        <v>0</v>
      </c>
      <c r="Z2623" s="54">
        <f t="shared" si="725"/>
        <v>0</v>
      </c>
      <c r="AA2623" s="54">
        <f t="shared" si="736"/>
        <v>0</v>
      </c>
      <c r="AB2623" s="55">
        <f t="shared" si="726"/>
        <v>0</v>
      </c>
      <c r="AC2623" s="55">
        <f t="shared" si="737"/>
        <v>0</v>
      </c>
      <c r="AD2623" s="56">
        <f t="shared" si="738"/>
        <v>2182.35</v>
      </c>
    </row>
    <row r="2624" spans="3:30">
      <c r="C2624" s="43" t="s">
        <v>4909</v>
      </c>
      <c r="D2624" s="44" t="s">
        <v>4910</v>
      </c>
      <c r="E2624" s="44"/>
      <c r="F2624" s="45">
        <v>42311.689675925925</v>
      </c>
      <c r="G2624" s="46">
        <v>34</v>
      </c>
      <c r="H2624" s="47">
        <v>43378</v>
      </c>
      <c r="I2624" s="47">
        <v>43416</v>
      </c>
      <c r="J2624" s="46">
        <v>1109209</v>
      </c>
      <c r="K2624" s="46">
        <v>0</v>
      </c>
      <c r="L2624" s="46">
        <v>0</v>
      </c>
      <c r="M2624" s="46">
        <f t="shared" si="727"/>
        <v>1109209</v>
      </c>
      <c r="N2624" s="46">
        <v>1109101</v>
      </c>
      <c r="O2624" s="48">
        <f t="shared" si="728"/>
        <v>0</v>
      </c>
      <c r="P2624" s="46">
        <v>0</v>
      </c>
      <c r="Q2624" s="46">
        <v>1109209</v>
      </c>
      <c r="R2624" s="49">
        <f t="shared" si="729"/>
        <v>1</v>
      </c>
      <c r="S2624" s="50">
        <f t="shared" si="730"/>
        <v>0.01</v>
      </c>
      <c r="T2624" s="49">
        <f t="shared" si="731"/>
        <v>11092.09</v>
      </c>
      <c r="U2624" s="51">
        <f t="shared" si="732"/>
        <v>0</v>
      </c>
      <c r="V2624" s="52">
        <f>IF(0&lt;0.8,0,IF(0&lt;1,Sheet3!L561,1))*IF(G2624&lt;3,0.12 - O2624,0.01) *U2624</f>
        <v>0</v>
      </c>
      <c r="W2624" s="52">
        <f t="shared" si="733"/>
        <v>0</v>
      </c>
      <c r="X2624" s="53">
        <f t="shared" si="734"/>
        <v>0</v>
      </c>
      <c r="Y2624" s="53">
        <f t="shared" si="735"/>
        <v>0</v>
      </c>
      <c r="Z2624" s="54">
        <f t="shared" si="725"/>
        <v>0</v>
      </c>
      <c r="AA2624" s="54">
        <f t="shared" si="736"/>
        <v>0</v>
      </c>
      <c r="AB2624" s="55">
        <f t="shared" si="726"/>
        <v>0</v>
      </c>
      <c r="AC2624" s="55">
        <f t="shared" si="737"/>
        <v>0</v>
      </c>
      <c r="AD2624" s="56">
        <f t="shared" si="738"/>
        <v>11092.09</v>
      </c>
    </row>
    <row r="2625" spans="3:30">
      <c r="C2625" s="43" t="s">
        <v>4911</v>
      </c>
      <c r="D2625" s="44" t="s">
        <v>4912</v>
      </c>
      <c r="E2625" s="44"/>
      <c r="F2625" s="45">
        <v>42338.619791666664</v>
      </c>
      <c r="G2625" s="46">
        <v>34</v>
      </c>
      <c r="H2625" s="47">
        <v>43378</v>
      </c>
      <c r="I2625" s="47">
        <v>43398</v>
      </c>
      <c r="J2625" s="46">
        <v>2434068</v>
      </c>
      <c r="K2625" s="46">
        <v>0</v>
      </c>
      <c r="L2625" s="46">
        <v>0</v>
      </c>
      <c r="M2625" s="46">
        <f t="shared" si="727"/>
        <v>2434068</v>
      </c>
      <c r="N2625" s="46">
        <v>2433068</v>
      </c>
      <c r="O2625" s="48">
        <f t="shared" si="728"/>
        <v>0</v>
      </c>
      <c r="P2625" s="46">
        <v>0</v>
      </c>
      <c r="Q2625" s="46">
        <v>2434068</v>
      </c>
      <c r="R2625" s="49">
        <f t="shared" si="729"/>
        <v>1</v>
      </c>
      <c r="S2625" s="50">
        <f t="shared" si="730"/>
        <v>0.01</v>
      </c>
      <c r="T2625" s="49">
        <f t="shared" si="731"/>
        <v>24340.68</v>
      </c>
      <c r="U2625" s="51">
        <f t="shared" si="732"/>
        <v>0</v>
      </c>
      <c r="V2625" s="52">
        <f>IF(0&lt;0.8,0,IF(0&lt;1,Sheet3!L561,1))*IF(G2625&lt;3,0.12 - O2625,0.01) *U2625</f>
        <v>0</v>
      </c>
      <c r="W2625" s="52">
        <f t="shared" si="733"/>
        <v>0</v>
      </c>
      <c r="X2625" s="53">
        <f t="shared" si="734"/>
        <v>0</v>
      </c>
      <c r="Y2625" s="53">
        <f t="shared" si="735"/>
        <v>0</v>
      </c>
      <c r="Z2625" s="54">
        <f t="shared" si="725"/>
        <v>0</v>
      </c>
      <c r="AA2625" s="54">
        <f t="shared" si="736"/>
        <v>0</v>
      </c>
      <c r="AB2625" s="55">
        <f t="shared" si="726"/>
        <v>0</v>
      </c>
      <c r="AC2625" s="55">
        <f t="shared" si="737"/>
        <v>0</v>
      </c>
      <c r="AD2625" s="56">
        <f t="shared" si="738"/>
        <v>24340.68</v>
      </c>
    </row>
    <row r="2626" spans="3:30">
      <c r="C2626" s="43" t="s">
        <v>4913</v>
      </c>
      <c r="D2626" s="44" t="s">
        <v>4914</v>
      </c>
      <c r="E2626" s="44"/>
      <c r="F2626" s="45">
        <v>42389.391539351847</v>
      </c>
      <c r="G2626" s="46">
        <v>32</v>
      </c>
      <c r="H2626" s="47">
        <v>43385</v>
      </c>
      <c r="I2626" s="47">
        <v>43453</v>
      </c>
      <c r="J2626" s="46">
        <v>1412561</v>
      </c>
      <c r="K2626" s="46">
        <v>0</v>
      </c>
      <c r="L2626" s="46">
        <v>0</v>
      </c>
      <c r="M2626" s="46">
        <f t="shared" si="727"/>
        <v>1412561</v>
      </c>
      <c r="N2626" s="46">
        <v>1412561</v>
      </c>
      <c r="O2626" s="48">
        <f t="shared" si="728"/>
        <v>0</v>
      </c>
      <c r="P2626" s="46">
        <v>0</v>
      </c>
      <c r="Q2626" s="46">
        <v>1412561</v>
      </c>
      <c r="R2626" s="49">
        <f t="shared" si="729"/>
        <v>1</v>
      </c>
      <c r="S2626" s="50">
        <f t="shared" si="730"/>
        <v>0.01</v>
      </c>
      <c r="T2626" s="49">
        <f t="shared" si="731"/>
        <v>14125.61</v>
      </c>
      <c r="U2626" s="51">
        <f t="shared" si="732"/>
        <v>0</v>
      </c>
      <c r="V2626" s="52">
        <f>IF(0&lt;0.8,0,IF(0&lt;1,Sheet3!L561,1))*IF(G2626&lt;3,0.12 - O2626,0.01) *U2626</f>
        <v>0</v>
      </c>
      <c r="W2626" s="52">
        <f t="shared" si="733"/>
        <v>0</v>
      </c>
      <c r="X2626" s="53">
        <f t="shared" si="734"/>
        <v>0</v>
      </c>
      <c r="Y2626" s="53">
        <f t="shared" si="735"/>
        <v>0</v>
      </c>
      <c r="Z2626" s="54">
        <f t="shared" si="725"/>
        <v>0</v>
      </c>
      <c r="AA2626" s="54">
        <f t="shared" si="736"/>
        <v>0</v>
      </c>
      <c r="AB2626" s="55">
        <f t="shared" si="726"/>
        <v>0</v>
      </c>
      <c r="AC2626" s="55">
        <f t="shared" si="737"/>
        <v>0</v>
      </c>
      <c r="AD2626" s="56">
        <f t="shared" si="738"/>
        <v>14125.61</v>
      </c>
    </row>
    <row r="2627" spans="3:30">
      <c r="C2627" s="43" t="s">
        <v>4915</v>
      </c>
      <c r="D2627" s="44" t="s">
        <v>4916</v>
      </c>
      <c r="E2627" s="44"/>
      <c r="F2627" s="45">
        <v>42389.390520833331</v>
      </c>
      <c r="G2627" s="46">
        <v>32</v>
      </c>
      <c r="H2627" s="47">
        <v>43396</v>
      </c>
      <c r="I2627" s="47">
        <v>43407</v>
      </c>
      <c r="J2627" s="46">
        <v>917495</v>
      </c>
      <c r="K2627" s="46">
        <v>0</v>
      </c>
      <c r="L2627" s="46">
        <v>0</v>
      </c>
      <c r="M2627" s="46">
        <f t="shared" si="727"/>
        <v>917495</v>
      </c>
      <c r="N2627" s="46">
        <v>917495</v>
      </c>
      <c r="O2627" s="48">
        <f t="shared" si="728"/>
        <v>0</v>
      </c>
      <c r="P2627" s="46">
        <v>0</v>
      </c>
      <c r="Q2627" s="46">
        <v>917495</v>
      </c>
      <c r="R2627" s="49">
        <f t="shared" si="729"/>
        <v>1</v>
      </c>
      <c r="S2627" s="50">
        <f t="shared" si="730"/>
        <v>0.01</v>
      </c>
      <c r="T2627" s="49">
        <f t="shared" si="731"/>
        <v>9174.9500000000007</v>
      </c>
      <c r="U2627" s="51">
        <f t="shared" si="732"/>
        <v>0</v>
      </c>
      <c r="V2627" s="52">
        <f>IF(0&lt;0.8,0,IF(0&lt;1,Sheet3!L561,1))*IF(G2627&lt;3,0.12 - O2627,0.01) *U2627</f>
        <v>0</v>
      </c>
      <c r="W2627" s="52">
        <f t="shared" si="733"/>
        <v>0</v>
      </c>
      <c r="X2627" s="53">
        <f t="shared" si="734"/>
        <v>0</v>
      </c>
      <c r="Y2627" s="53">
        <f t="shared" si="735"/>
        <v>0</v>
      </c>
      <c r="Z2627" s="54">
        <f t="shared" si="725"/>
        <v>0</v>
      </c>
      <c r="AA2627" s="54">
        <f t="shared" si="736"/>
        <v>0</v>
      </c>
      <c r="AB2627" s="55">
        <f t="shared" si="726"/>
        <v>0</v>
      </c>
      <c r="AC2627" s="55">
        <f t="shared" si="737"/>
        <v>0</v>
      </c>
      <c r="AD2627" s="56">
        <f t="shared" si="738"/>
        <v>9174.9500000000007</v>
      </c>
    </row>
    <row r="2628" spans="3:30">
      <c r="C2628" s="43" t="s">
        <v>4917</v>
      </c>
      <c r="D2628" s="44" t="s">
        <v>4918</v>
      </c>
      <c r="E2628" s="44"/>
      <c r="F2628" s="45">
        <v>42464.613657407404</v>
      </c>
      <c r="G2628" s="46">
        <v>29</v>
      </c>
      <c r="H2628" s="47">
        <v>43376</v>
      </c>
      <c r="I2628" s="47">
        <v>43409</v>
      </c>
      <c r="J2628" s="46">
        <v>6221707</v>
      </c>
      <c r="K2628" s="46">
        <v>0</v>
      </c>
      <c r="L2628" s="46">
        <v>0</v>
      </c>
      <c r="M2628" s="46">
        <f t="shared" si="727"/>
        <v>6221707</v>
      </c>
      <c r="N2628" s="46">
        <v>5932514</v>
      </c>
      <c r="O2628" s="48">
        <f t="shared" si="728"/>
        <v>0</v>
      </c>
      <c r="P2628" s="46">
        <v>0</v>
      </c>
      <c r="Q2628" s="46">
        <v>6221707</v>
      </c>
      <c r="R2628" s="49">
        <f t="shared" si="729"/>
        <v>1</v>
      </c>
      <c r="S2628" s="50">
        <f t="shared" si="730"/>
        <v>0.01</v>
      </c>
      <c r="T2628" s="49">
        <f t="shared" si="731"/>
        <v>62217.07</v>
      </c>
      <c r="U2628" s="51">
        <f t="shared" si="732"/>
        <v>0</v>
      </c>
      <c r="V2628" s="52">
        <f>IF(0&lt;0.8,0,IF(0&lt;1,Sheet3!L561,1))*IF(G2628&lt;3,0.12 - O2628,0.01) *U2628</f>
        <v>0</v>
      </c>
      <c r="W2628" s="52">
        <f t="shared" si="733"/>
        <v>0</v>
      </c>
      <c r="X2628" s="53">
        <f t="shared" si="734"/>
        <v>0</v>
      </c>
      <c r="Y2628" s="53">
        <f t="shared" si="735"/>
        <v>0</v>
      </c>
      <c r="Z2628" s="54">
        <f t="shared" si="725"/>
        <v>0</v>
      </c>
      <c r="AA2628" s="54">
        <f t="shared" si="736"/>
        <v>0</v>
      </c>
      <c r="AB2628" s="55">
        <f t="shared" si="726"/>
        <v>0</v>
      </c>
      <c r="AC2628" s="55">
        <f t="shared" si="737"/>
        <v>0</v>
      </c>
      <c r="AD2628" s="56">
        <f t="shared" si="738"/>
        <v>62217.07</v>
      </c>
    </row>
    <row r="2629" spans="3:30">
      <c r="C2629" s="43" t="s">
        <v>4919</v>
      </c>
      <c r="D2629" s="44" t="s">
        <v>4920</v>
      </c>
      <c r="E2629" s="44"/>
      <c r="F2629" s="45">
        <v>42502.357928240737</v>
      </c>
      <c r="G2629" s="46">
        <v>28</v>
      </c>
      <c r="H2629" s="47">
        <v>43390</v>
      </c>
      <c r="I2629" s="47">
        <v>43407</v>
      </c>
      <c r="J2629" s="46">
        <v>649092</v>
      </c>
      <c r="K2629" s="46">
        <v>0</v>
      </c>
      <c r="L2629" s="46">
        <v>0</v>
      </c>
      <c r="M2629" s="46">
        <f t="shared" si="727"/>
        <v>649092</v>
      </c>
      <c r="N2629" s="46">
        <v>649092</v>
      </c>
      <c r="O2629" s="48">
        <f t="shared" si="728"/>
        <v>0</v>
      </c>
      <c r="P2629" s="46">
        <v>0</v>
      </c>
      <c r="Q2629" s="46">
        <v>649092</v>
      </c>
      <c r="R2629" s="49">
        <f t="shared" si="729"/>
        <v>1</v>
      </c>
      <c r="S2629" s="50">
        <f t="shared" si="730"/>
        <v>0.01</v>
      </c>
      <c r="T2629" s="49">
        <f t="shared" si="731"/>
        <v>6490.92</v>
      </c>
      <c r="U2629" s="51">
        <f t="shared" si="732"/>
        <v>0</v>
      </c>
      <c r="V2629" s="52">
        <f>IF(0&lt;0.8,0,IF(0&lt;1,Sheet3!L561,1))*IF(G2629&lt;3,0.12 - O2629,0.01) *U2629</f>
        <v>0</v>
      </c>
      <c r="W2629" s="52">
        <f t="shared" si="733"/>
        <v>0</v>
      </c>
      <c r="X2629" s="53">
        <f t="shared" si="734"/>
        <v>0</v>
      </c>
      <c r="Y2629" s="53">
        <f t="shared" si="735"/>
        <v>0</v>
      </c>
      <c r="Z2629" s="54">
        <f t="shared" si="725"/>
        <v>0</v>
      </c>
      <c r="AA2629" s="54">
        <f t="shared" si="736"/>
        <v>0</v>
      </c>
      <c r="AB2629" s="55">
        <f t="shared" si="726"/>
        <v>0</v>
      </c>
      <c r="AC2629" s="55">
        <f t="shared" si="737"/>
        <v>0</v>
      </c>
      <c r="AD2629" s="56">
        <f t="shared" si="738"/>
        <v>6490.92</v>
      </c>
    </row>
    <row r="2630" spans="3:30">
      <c r="C2630" s="43" t="s">
        <v>4921</v>
      </c>
      <c r="D2630" s="44" t="s">
        <v>4922</v>
      </c>
      <c r="E2630" s="44"/>
      <c r="F2630" s="45">
        <v>42515.138425925921</v>
      </c>
      <c r="G2630" s="46">
        <v>28</v>
      </c>
      <c r="H2630" s="47">
        <v>43391</v>
      </c>
      <c r="I2630" s="47">
        <v>43406</v>
      </c>
      <c r="J2630" s="46">
        <v>782362</v>
      </c>
      <c r="K2630" s="46">
        <v>0</v>
      </c>
      <c r="L2630" s="46">
        <v>0</v>
      </c>
      <c r="M2630" s="46">
        <f t="shared" si="727"/>
        <v>782362</v>
      </c>
      <c r="N2630" s="46">
        <v>782362</v>
      </c>
      <c r="O2630" s="48">
        <f t="shared" si="728"/>
        <v>0</v>
      </c>
      <c r="P2630" s="46">
        <v>0</v>
      </c>
      <c r="Q2630" s="46">
        <v>782362</v>
      </c>
      <c r="R2630" s="49">
        <f t="shared" si="729"/>
        <v>1</v>
      </c>
      <c r="S2630" s="50">
        <f t="shared" si="730"/>
        <v>0.01</v>
      </c>
      <c r="T2630" s="49">
        <f t="shared" si="731"/>
        <v>7823.62</v>
      </c>
      <c r="U2630" s="51">
        <f t="shared" si="732"/>
        <v>0</v>
      </c>
      <c r="V2630" s="52">
        <f>IF(0&lt;0.8,0,IF(0&lt;1,Sheet3!L561,1))*IF(G2630&lt;3,0.12 - O2630,0.01) *U2630</f>
        <v>0</v>
      </c>
      <c r="W2630" s="52">
        <f t="shared" si="733"/>
        <v>0</v>
      </c>
      <c r="X2630" s="53">
        <f t="shared" si="734"/>
        <v>0</v>
      </c>
      <c r="Y2630" s="53">
        <f t="shared" si="735"/>
        <v>0</v>
      </c>
      <c r="Z2630" s="54">
        <f t="shared" si="725"/>
        <v>0</v>
      </c>
      <c r="AA2630" s="54">
        <f t="shared" si="736"/>
        <v>0</v>
      </c>
      <c r="AB2630" s="55">
        <f t="shared" si="726"/>
        <v>0</v>
      </c>
      <c r="AC2630" s="55">
        <f t="shared" si="737"/>
        <v>0</v>
      </c>
      <c r="AD2630" s="56">
        <f t="shared" si="738"/>
        <v>7823.62</v>
      </c>
    </row>
    <row r="2631" spans="3:30">
      <c r="C2631" s="43" t="s">
        <v>4923</v>
      </c>
      <c r="D2631" s="44" t="s">
        <v>4924</v>
      </c>
      <c r="E2631" s="44"/>
      <c r="F2631" s="45">
        <v>42516.263472222221</v>
      </c>
      <c r="G2631" s="46">
        <v>28</v>
      </c>
      <c r="H2631" s="47">
        <v>43378</v>
      </c>
      <c r="I2631" s="47">
        <v>43388</v>
      </c>
      <c r="J2631" s="46">
        <v>292239</v>
      </c>
      <c r="K2631" s="46">
        <v>0</v>
      </c>
      <c r="L2631" s="46">
        <v>0</v>
      </c>
      <c r="M2631" s="46">
        <f t="shared" si="727"/>
        <v>292239</v>
      </c>
      <c r="N2631" s="46">
        <v>292239</v>
      </c>
      <c r="O2631" s="48">
        <f t="shared" si="728"/>
        <v>0</v>
      </c>
      <c r="P2631" s="46">
        <v>0</v>
      </c>
      <c r="Q2631" s="46">
        <v>292239</v>
      </c>
      <c r="R2631" s="49">
        <f t="shared" si="729"/>
        <v>1</v>
      </c>
      <c r="S2631" s="50">
        <f t="shared" si="730"/>
        <v>0.01</v>
      </c>
      <c r="T2631" s="49">
        <f t="shared" si="731"/>
        <v>2922.39</v>
      </c>
      <c r="U2631" s="51">
        <f t="shared" si="732"/>
        <v>0</v>
      </c>
      <c r="V2631" s="52">
        <f>IF(0&lt;0.8,0,IF(0&lt;1,Sheet3!L561,1))*IF(G2631&lt;3,0.12 - O2631,0.01) *U2631</f>
        <v>0</v>
      </c>
      <c r="W2631" s="52">
        <f t="shared" si="733"/>
        <v>0</v>
      </c>
      <c r="X2631" s="53">
        <f t="shared" si="734"/>
        <v>0</v>
      </c>
      <c r="Y2631" s="53">
        <f t="shared" si="735"/>
        <v>0</v>
      </c>
      <c r="Z2631" s="54">
        <f t="shared" si="725"/>
        <v>0</v>
      </c>
      <c r="AA2631" s="54">
        <f t="shared" si="736"/>
        <v>0</v>
      </c>
      <c r="AB2631" s="55">
        <f t="shared" si="726"/>
        <v>0</v>
      </c>
      <c r="AC2631" s="55">
        <f t="shared" si="737"/>
        <v>0</v>
      </c>
      <c r="AD2631" s="56">
        <f t="shared" si="738"/>
        <v>2922.39</v>
      </c>
    </row>
    <row r="2632" spans="3:30">
      <c r="C2632" s="43" t="s">
        <v>4925</v>
      </c>
      <c r="D2632" s="44" t="s">
        <v>24</v>
      </c>
      <c r="E2632" s="44"/>
      <c r="F2632" s="45" t="s">
        <v>24</v>
      </c>
      <c r="G2632" s="46" t="s">
        <v>24</v>
      </c>
      <c r="H2632" s="47" t="s">
        <v>24</v>
      </c>
      <c r="I2632" s="47" t="s">
        <v>24</v>
      </c>
      <c r="J2632" s="46">
        <v>4128425</v>
      </c>
      <c r="K2632" s="46">
        <v>0</v>
      </c>
      <c r="L2632" s="46">
        <v>0</v>
      </c>
      <c r="M2632" s="46">
        <f t="shared" si="727"/>
        <v>4128425</v>
      </c>
      <c r="N2632" s="46" t="s">
        <v>24</v>
      </c>
      <c r="O2632" s="48">
        <f t="shared" si="728"/>
        <v>0</v>
      </c>
      <c r="P2632" s="46">
        <v>0</v>
      </c>
      <c r="Q2632" s="46">
        <v>0</v>
      </c>
      <c r="R2632" s="49">
        <f t="shared" si="729"/>
        <v>0</v>
      </c>
      <c r="S2632" s="50">
        <f t="shared" si="730"/>
        <v>0</v>
      </c>
      <c r="T2632" s="49">
        <f t="shared" si="731"/>
        <v>0</v>
      </c>
      <c r="U2632" s="51">
        <f t="shared" si="732"/>
        <v>4128425</v>
      </c>
      <c r="V2632" s="52">
        <f>IF(0&lt;0.8,0,IF(0&lt;1,Sheet3!L561,1))*IF(G2632&lt;3,0.12 - O2632,0.01) *U2632</f>
        <v>0</v>
      </c>
      <c r="W2632" s="52">
        <f t="shared" si="733"/>
        <v>0</v>
      </c>
      <c r="X2632" s="53">
        <f t="shared" si="734"/>
        <v>0</v>
      </c>
      <c r="Y2632" s="53">
        <f t="shared" si="735"/>
        <v>0</v>
      </c>
      <c r="Z2632" s="54" t="str">
        <f>IF(R2632=1,0,"")</f>
        <v/>
      </c>
      <c r="AA2632" s="54">
        <f t="shared" si="736"/>
        <v>0</v>
      </c>
      <c r="AB2632" s="55" t="str">
        <f>IF(R2632=0,"",0)</f>
        <v/>
      </c>
      <c r="AC2632" s="55">
        <f t="shared" si="737"/>
        <v>0</v>
      </c>
      <c r="AD2632" s="56">
        <f t="shared" si="738"/>
        <v>0</v>
      </c>
    </row>
    <row r="2633" spans="3:30">
      <c r="C2633" s="43" t="s">
        <v>4926</v>
      </c>
      <c r="D2633" s="44" t="s">
        <v>4927</v>
      </c>
      <c r="E2633" s="44"/>
      <c r="F2633" s="45">
        <v>42564.175763888888</v>
      </c>
      <c r="G2633" s="46">
        <v>26</v>
      </c>
      <c r="H2633" s="47">
        <v>43378</v>
      </c>
      <c r="I2633" s="47">
        <v>43391</v>
      </c>
      <c r="J2633" s="46">
        <v>105512</v>
      </c>
      <c r="K2633" s="46">
        <v>0</v>
      </c>
      <c r="L2633" s="46">
        <v>0</v>
      </c>
      <c r="M2633" s="46">
        <f t="shared" si="727"/>
        <v>105512</v>
      </c>
      <c r="N2633" s="46">
        <v>105512</v>
      </c>
      <c r="O2633" s="48">
        <f t="shared" si="728"/>
        <v>0</v>
      </c>
      <c r="P2633" s="46">
        <v>0</v>
      </c>
      <c r="Q2633" s="46">
        <v>105512</v>
      </c>
      <c r="R2633" s="49">
        <f t="shared" si="729"/>
        <v>1</v>
      </c>
      <c r="S2633" s="50">
        <f t="shared" si="730"/>
        <v>0.01</v>
      </c>
      <c r="T2633" s="49">
        <f t="shared" si="731"/>
        <v>1055.1200000000001</v>
      </c>
      <c r="U2633" s="51">
        <f t="shared" si="732"/>
        <v>0</v>
      </c>
      <c r="V2633" s="52">
        <f>IF(0&lt;0.8,0,IF(0&lt;1,Sheet3!L561,1))*IF(G2633&lt;3,0.12 - O2633,0.01) *U2633</f>
        <v>0</v>
      </c>
      <c r="W2633" s="52">
        <f t="shared" si="733"/>
        <v>0</v>
      </c>
      <c r="X2633" s="53">
        <f t="shared" si="734"/>
        <v>0</v>
      </c>
      <c r="Y2633" s="53">
        <f t="shared" si="735"/>
        <v>0</v>
      </c>
      <c r="Z2633" s="54">
        <f>IF(R2633=1,0,0)</f>
        <v>0</v>
      </c>
      <c r="AA2633" s="54">
        <f t="shared" si="736"/>
        <v>0</v>
      </c>
      <c r="AB2633" s="55">
        <f t="shared" ref="AB2633:AB2641" si="739">IF(R2633=0,0,0)</f>
        <v>0</v>
      </c>
      <c r="AC2633" s="55">
        <f t="shared" si="737"/>
        <v>0</v>
      </c>
      <c r="AD2633" s="56">
        <f t="shared" si="738"/>
        <v>1055.1200000000001</v>
      </c>
    </row>
    <row r="2634" spans="3:30">
      <c r="C2634" s="43" t="s">
        <v>4928</v>
      </c>
      <c r="D2634" s="44" t="s">
        <v>4929</v>
      </c>
      <c r="E2634" s="44"/>
      <c r="F2634" s="45">
        <v>42613.04886574074</v>
      </c>
      <c r="G2634" s="46">
        <v>25</v>
      </c>
      <c r="H2634" s="47">
        <v>43378</v>
      </c>
      <c r="I2634" s="47">
        <v>43395</v>
      </c>
      <c r="J2634" s="46">
        <v>3949282</v>
      </c>
      <c r="K2634" s="46">
        <v>0</v>
      </c>
      <c r="L2634" s="46">
        <v>0</v>
      </c>
      <c r="M2634" s="46">
        <f t="shared" si="727"/>
        <v>3949282</v>
      </c>
      <c r="N2634" s="46">
        <v>3947713</v>
      </c>
      <c r="O2634" s="48">
        <f t="shared" si="728"/>
        <v>0</v>
      </c>
      <c r="P2634" s="46">
        <v>0</v>
      </c>
      <c r="Q2634" s="46">
        <v>3949282</v>
      </c>
      <c r="R2634" s="49">
        <f t="shared" si="729"/>
        <v>1</v>
      </c>
      <c r="S2634" s="50">
        <f t="shared" si="730"/>
        <v>0.01</v>
      </c>
      <c r="T2634" s="49">
        <f t="shared" si="731"/>
        <v>39492.82</v>
      </c>
      <c r="U2634" s="51">
        <f t="shared" si="732"/>
        <v>0</v>
      </c>
      <c r="V2634" s="52">
        <f>IF(0&lt;0.8,0,IF(0&lt;1,Sheet3!L561,1))*IF(G2634&lt;3,0.12 - O2634,0.01) *U2634</f>
        <v>0</v>
      </c>
      <c r="W2634" s="52">
        <f t="shared" si="733"/>
        <v>0</v>
      </c>
      <c r="X2634" s="53">
        <f t="shared" si="734"/>
        <v>0</v>
      </c>
      <c r="Y2634" s="53">
        <f t="shared" si="735"/>
        <v>0</v>
      </c>
      <c r="Z2634" s="54">
        <f>IF(R2634=1,0,0)</f>
        <v>0</v>
      </c>
      <c r="AA2634" s="54">
        <f t="shared" si="736"/>
        <v>0</v>
      </c>
      <c r="AB2634" s="55">
        <f t="shared" si="739"/>
        <v>0</v>
      </c>
      <c r="AC2634" s="55">
        <f t="shared" si="737"/>
        <v>0</v>
      </c>
      <c r="AD2634" s="56">
        <f t="shared" si="738"/>
        <v>39492.82</v>
      </c>
    </row>
    <row r="2635" spans="3:30">
      <c r="C2635" s="43" t="s">
        <v>4930</v>
      </c>
      <c r="D2635" s="44" t="s">
        <v>4931</v>
      </c>
      <c r="E2635" s="44"/>
      <c r="F2635" s="45">
        <v>42618.179351851853</v>
      </c>
      <c r="G2635" s="46">
        <v>24</v>
      </c>
      <c r="H2635" s="47">
        <v>43397</v>
      </c>
      <c r="I2635" s="47">
        <v>43412</v>
      </c>
      <c r="J2635" s="46">
        <v>792141450</v>
      </c>
      <c r="K2635" s="46">
        <v>0</v>
      </c>
      <c r="L2635" s="46">
        <v>0</v>
      </c>
      <c r="M2635" s="46">
        <f t="shared" si="727"/>
        <v>792141450</v>
      </c>
      <c r="N2635" s="46">
        <v>3390239469</v>
      </c>
      <c r="O2635" s="48">
        <f t="shared" si="728"/>
        <v>0.766346460996853</v>
      </c>
      <c r="P2635" s="46">
        <v>0</v>
      </c>
      <c r="Q2635" s="46">
        <v>792141450</v>
      </c>
      <c r="R2635" s="49">
        <f t="shared" si="729"/>
        <v>1</v>
      </c>
      <c r="S2635" s="50">
        <f t="shared" si="730"/>
        <v>0.01</v>
      </c>
      <c r="T2635" s="49">
        <f t="shared" si="731"/>
        <v>7921414.5</v>
      </c>
      <c r="U2635" s="51">
        <f t="shared" si="732"/>
        <v>0</v>
      </c>
      <c r="V2635" s="52">
        <f>IF(0&lt;0.8,0,IF(0&lt;1,Sheet3!L561,1))*IF(G2635&lt;3,0.12 - O2635,0.01) *U2635</f>
        <v>0</v>
      </c>
      <c r="W2635" s="52">
        <f t="shared" si="733"/>
        <v>0</v>
      </c>
      <c r="X2635" s="53">
        <f t="shared" si="734"/>
        <v>0</v>
      </c>
      <c r="Y2635" s="53">
        <f t="shared" si="735"/>
        <v>0</v>
      </c>
      <c r="Z2635" s="54">
        <f>IF(R2635=1,0,1980000)</f>
        <v>0</v>
      </c>
      <c r="AA2635" s="54">
        <f t="shared" si="736"/>
        <v>0</v>
      </c>
      <c r="AB2635" s="55">
        <f t="shared" si="739"/>
        <v>0</v>
      </c>
      <c r="AC2635" s="55">
        <f t="shared" si="737"/>
        <v>0</v>
      </c>
      <c r="AD2635" s="56">
        <f t="shared" si="738"/>
        <v>7921414.5</v>
      </c>
    </row>
    <row r="2636" spans="3:30">
      <c r="C2636" s="43" t="s">
        <v>4932</v>
      </c>
      <c r="D2636" s="44" t="s">
        <v>4933</v>
      </c>
      <c r="E2636" s="44"/>
      <c r="F2636" s="45">
        <v>42641.331273148149</v>
      </c>
      <c r="G2636" s="46">
        <v>24</v>
      </c>
      <c r="H2636" s="47">
        <v>43385</v>
      </c>
      <c r="I2636" s="47">
        <v>43416</v>
      </c>
      <c r="J2636" s="46">
        <v>3968386</v>
      </c>
      <c r="K2636" s="46">
        <v>0</v>
      </c>
      <c r="L2636" s="46">
        <v>0</v>
      </c>
      <c r="M2636" s="46">
        <f t="shared" si="727"/>
        <v>3968386</v>
      </c>
      <c r="N2636" s="46">
        <v>3940583</v>
      </c>
      <c r="O2636" s="48">
        <f t="shared" si="728"/>
        <v>0</v>
      </c>
      <c r="P2636" s="46">
        <v>0</v>
      </c>
      <c r="Q2636" s="46">
        <v>3968386</v>
      </c>
      <c r="R2636" s="49">
        <f t="shared" si="729"/>
        <v>1</v>
      </c>
      <c r="S2636" s="50">
        <f t="shared" si="730"/>
        <v>0.01</v>
      </c>
      <c r="T2636" s="49">
        <f t="shared" si="731"/>
        <v>39683.86</v>
      </c>
      <c r="U2636" s="51">
        <f t="shared" si="732"/>
        <v>0</v>
      </c>
      <c r="V2636" s="52">
        <f>IF(0&lt;0.8,0,IF(0&lt;1,Sheet3!L561,1))*IF(G2636&lt;3,0.12 - O2636,0.01) *U2636</f>
        <v>0</v>
      </c>
      <c r="W2636" s="52">
        <f t="shared" si="733"/>
        <v>0</v>
      </c>
      <c r="X2636" s="53">
        <f t="shared" si="734"/>
        <v>0</v>
      </c>
      <c r="Y2636" s="53">
        <f t="shared" si="735"/>
        <v>0</v>
      </c>
      <c r="Z2636" s="54">
        <f t="shared" ref="Z2636:Z2651" si="740">IF(R2636=1,0,0)</f>
        <v>0</v>
      </c>
      <c r="AA2636" s="54">
        <f t="shared" si="736"/>
        <v>0</v>
      </c>
      <c r="AB2636" s="55">
        <f t="shared" si="739"/>
        <v>0</v>
      </c>
      <c r="AC2636" s="55">
        <f t="shared" si="737"/>
        <v>0</v>
      </c>
      <c r="AD2636" s="56">
        <f t="shared" si="738"/>
        <v>39683.86</v>
      </c>
    </row>
    <row r="2637" spans="3:30">
      <c r="C2637" s="43" t="s">
        <v>4934</v>
      </c>
      <c r="D2637" s="44" t="s">
        <v>4935</v>
      </c>
      <c r="E2637" s="44"/>
      <c r="F2637" s="45">
        <v>42674.18341435185</v>
      </c>
      <c r="G2637" s="46">
        <v>23</v>
      </c>
      <c r="H2637" s="47">
        <v>43386</v>
      </c>
      <c r="I2637" s="47">
        <v>43399</v>
      </c>
      <c r="J2637" s="46">
        <v>1182460</v>
      </c>
      <c r="K2637" s="46">
        <v>0</v>
      </c>
      <c r="L2637" s="46">
        <v>0</v>
      </c>
      <c r="M2637" s="46">
        <f t="shared" si="727"/>
        <v>1182460</v>
      </c>
      <c r="N2637" s="46">
        <v>1182460</v>
      </c>
      <c r="O2637" s="48">
        <f t="shared" si="728"/>
        <v>0</v>
      </c>
      <c r="P2637" s="46">
        <v>0</v>
      </c>
      <c r="Q2637" s="46">
        <v>1182460</v>
      </c>
      <c r="R2637" s="49">
        <f t="shared" si="729"/>
        <v>1</v>
      </c>
      <c r="S2637" s="50">
        <f t="shared" si="730"/>
        <v>0.01</v>
      </c>
      <c r="T2637" s="49">
        <f t="shared" si="731"/>
        <v>11824.6</v>
      </c>
      <c r="U2637" s="51">
        <f t="shared" si="732"/>
        <v>0</v>
      </c>
      <c r="V2637" s="52">
        <f>IF(0&lt;0.8,0,IF(0&lt;1,Sheet3!L561,1))*IF(G2637&lt;3,0.12 - O2637,0.01) *U2637</f>
        <v>0</v>
      </c>
      <c r="W2637" s="52">
        <f t="shared" si="733"/>
        <v>0</v>
      </c>
      <c r="X2637" s="53">
        <f t="shared" si="734"/>
        <v>0</v>
      </c>
      <c r="Y2637" s="53">
        <f t="shared" si="735"/>
        <v>0</v>
      </c>
      <c r="Z2637" s="54">
        <f t="shared" si="740"/>
        <v>0</v>
      </c>
      <c r="AA2637" s="54">
        <f t="shared" si="736"/>
        <v>0</v>
      </c>
      <c r="AB2637" s="55">
        <f t="shared" si="739"/>
        <v>0</v>
      </c>
      <c r="AC2637" s="55">
        <f t="shared" si="737"/>
        <v>0</v>
      </c>
      <c r="AD2637" s="56">
        <f t="shared" si="738"/>
        <v>11824.6</v>
      </c>
    </row>
    <row r="2638" spans="3:30">
      <c r="C2638" s="43" t="s">
        <v>4936</v>
      </c>
      <c r="D2638" s="44" t="s">
        <v>4937</v>
      </c>
      <c r="E2638" s="44"/>
      <c r="F2638" s="45">
        <v>42704.144699074073</v>
      </c>
      <c r="G2638" s="46">
        <v>22</v>
      </c>
      <c r="H2638" s="47">
        <v>43376</v>
      </c>
      <c r="I2638" s="47">
        <v>43409</v>
      </c>
      <c r="J2638" s="46">
        <v>9919866</v>
      </c>
      <c r="K2638" s="46">
        <v>0</v>
      </c>
      <c r="L2638" s="46">
        <v>0</v>
      </c>
      <c r="M2638" s="46">
        <f t="shared" si="727"/>
        <v>9919866</v>
      </c>
      <c r="N2638" s="46">
        <v>9919251</v>
      </c>
      <c r="O2638" s="48">
        <f t="shared" si="728"/>
        <v>0</v>
      </c>
      <c r="P2638" s="46">
        <v>0</v>
      </c>
      <c r="Q2638" s="46">
        <v>9919866</v>
      </c>
      <c r="R2638" s="49">
        <f t="shared" si="729"/>
        <v>1</v>
      </c>
      <c r="S2638" s="50">
        <f t="shared" si="730"/>
        <v>0.01</v>
      </c>
      <c r="T2638" s="49">
        <f t="shared" si="731"/>
        <v>99198.66</v>
      </c>
      <c r="U2638" s="51">
        <f t="shared" si="732"/>
        <v>0</v>
      </c>
      <c r="V2638" s="52">
        <f>IF(0&lt;0.8,0,IF(0&lt;1,Sheet3!L561,1))*IF(G2638&lt;3,0.12 - O2638,0.01) *U2638</f>
        <v>0</v>
      </c>
      <c r="W2638" s="52">
        <f t="shared" si="733"/>
        <v>0</v>
      </c>
      <c r="X2638" s="53">
        <f t="shared" si="734"/>
        <v>0</v>
      </c>
      <c r="Y2638" s="53">
        <f t="shared" si="735"/>
        <v>0</v>
      </c>
      <c r="Z2638" s="54">
        <f t="shared" si="740"/>
        <v>0</v>
      </c>
      <c r="AA2638" s="54">
        <f t="shared" si="736"/>
        <v>0</v>
      </c>
      <c r="AB2638" s="55">
        <f t="shared" si="739"/>
        <v>0</v>
      </c>
      <c r="AC2638" s="55">
        <f t="shared" si="737"/>
        <v>0</v>
      </c>
      <c r="AD2638" s="56">
        <f t="shared" si="738"/>
        <v>99198.66</v>
      </c>
    </row>
    <row r="2639" spans="3:30">
      <c r="C2639" s="43" t="s">
        <v>4938</v>
      </c>
      <c r="D2639" s="44" t="s">
        <v>4939</v>
      </c>
      <c r="E2639" s="44"/>
      <c r="F2639" s="45">
        <v>42720.15725694444</v>
      </c>
      <c r="G2639" s="46">
        <v>21</v>
      </c>
      <c r="H2639" s="47">
        <v>43376</v>
      </c>
      <c r="I2639" s="47">
        <v>43399</v>
      </c>
      <c r="J2639" s="46">
        <v>4050959</v>
      </c>
      <c r="K2639" s="46">
        <v>0</v>
      </c>
      <c r="L2639" s="46">
        <v>0</v>
      </c>
      <c r="M2639" s="46">
        <f t="shared" si="727"/>
        <v>4050959</v>
      </c>
      <c r="N2639" s="46">
        <v>4050959</v>
      </c>
      <c r="O2639" s="48">
        <f t="shared" si="728"/>
        <v>0</v>
      </c>
      <c r="P2639" s="46">
        <v>0</v>
      </c>
      <c r="Q2639" s="46">
        <v>4050959</v>
      </c>
      <c r="R2639" s="49">
        <f t="shared" si="729"/>
        <v>1</v>
      </c>
      <c r="S2639" s="50">
        <f t="shared" si="730"/>
        <v>0.01</v>
      </c>
      <c r="T2639" s="49">
        <f t="shared" si="731"/>
        <v>40509.590000000004</v>
      </c>
      <c r="U2639" s="51">
        <f t="shared" si="732"/>
        <v>0</v>
      </c>
      <c r="V2639" s="52">
        <f>IF(0&lt;0.8,0,IF(0&lt;1,Sheet3!L561,1))*IF(G2639&lt;3,0.12 - O2639,0.01) *U2639</f>
        <v>0</v>
      </c>
      <c r="W2639" s="52">
        <f t="shared" si="733"/>
        <v>0</v>
      </c>
      <c r="X2639" s="53">
        <f t="shared" si="734"/>
        <v>0</v>
      </c>
      <c r="Y2639" s="53">
        <f t="shared" si="735"/>
        <v>0</v>
      </c>
      <c r="Z2639" s="54">
        <f t="shared" si="740"/>
        <v>0</v>
      </c>
      <c r="AA2639" s="54">
        <f t="shared" si="736"/>
        <v>0</v>
      </c>
      <c r="AB2639" s="55">
        <f t="shared" si="739"/>
        <v>0</v>
      </c>
      <c r="AC2639" s="55">
        <f t="shared" si="737"/>
        <v>0</v>
      </c>
      <c r="AD2639" s="56">
        <f t="shared" si="738"/>
        <v>40509.590000000004</v>
      </c>
    </row>
    <row r="2640" spans="3:30">
      <c r="C2640" s="43" t="s">
        <v>4940</v>
      </c>
      <c r="D2640" s="44" t="s">
        <v>4941</v>
      </c>
      <c r="E2640" s="44"/>
      <c r="F2640" s="45">
        <v>42732.391793981478</v>
      </c>
      <c r="G2640" s="46">
        <v>21</v>
      </c>
      <c r="H2640" s="47">
        <v>43378</v>
      </c>
      <c r="I2640" s="47">
        <v>43383</v>
      </c>
      <c r="J2640" s="46">
        <v>2960615</v>
      </c>
      <c r="K2640" s="46">
        <v>0</v>
      </c>
      <c r="L2640" s="46">
        <v>0</v>
      </c>
      <c r="M2640" s="46">
        <f t="shared" si="727"/>
        <v>2960615</v>
      </c>
      <c r="N2640" s="46">
        <v>2959829</v>
      </c>
      <c r="O2640" s="48">
        <f t="shared" si="728"/>
        <v>0</v>
      </c>
      <c r="P2640" s="46">
        <v>0</v>
      </c>
      <c r="Q2640" s="46">
        <v>2960615</v>
      </c>
      <c r="R2640" s="49">
        <f t="shared" si="729"/>
        <v>1</v>
      </c>
      <c r="S2640" s="50">
        <f t="shared" si="730"/>
        <v>0.01</v>
      </c>
      <c r="T2640" s="49">
        <f t="shared" si="731"/>
        <v>29606.15</v>
      </c>
      <c r="U2640" s="51">
        <f t="shared" si="732"/>
        <v>0</v>
      </c>
      <c r="V2640" s="52">
        <f>IF(0&lt;0.8,0,IF(0&lt;1,Sheet3!L561,1))*IF(G2640&lt;3,0.12 - O2640,0.01) *U2640</f>
        <v>0</v>
      </c>
      <c r="W2640" s="52">
        <f t="shared" si="733"/>
        <v>0</v>
      </c>
      <c r="X2640" s="53">
        <f t="shared" si="734"/>
        <v>0</v>
      </c>
      <c r="Y2640" s="53">
        <f t="shared" si="735"/>
        <v>0</v>
      </c>
      <c r="Z2640" s="54">
        <f t="shared" si="740"/>
        <v>0</v>
      </c>
      <c r="AA2640" s="54">
        <f t="shared" si="736"/>
        <v>0</v>
      </c>
      <c r="AB2640" s="55">
        <f t="shared" si="739"/>
        <v>0</v>
      </c>
      <c r="AC2640" s="55">
        <f t="shared" si="737"/>
        <v>0</v>
      </c>
      <c r="AD2640" s="56">
        <f t="shared" si="738"/>
        <v>29606.15</v>
      </c>
    </row>
    <row r="2641" spans="3:30">
      <c r="C2641" s="43" t="s">
        <v>4942</v>
      </c>
      <c r="D2641" s="44" t="s">
        <v>4943</v>
      </c>
      <c r="E2641" s="44"/>
      <c r="F2641" s="45">
        <v>42746.103483796294</v>
      </c>
      <c r="G2641" s="46">
        <v>20</v>
      </c>
      <c r="H2641" s="47">
        <v>43378</v>
      </c>
      <c r="I2641" s="47">
        <v>43383</v>
      </c>
      <c r="J2641" s="46">
        <v>6034391</v>
      </c>
      <c r="K2641" s="46">
        <v>0</v>
      </c>
      <c r="L2641" s="46">
        <v>0</v>
      </c>
      <c r="M2641" s="46">
        <f t="shared" si="727"/>
        <v>6034391</v>
      </c>
      <c r="N2641" s="46">
        <v>6034391</v>
      </c>
      <c r="O2641" s="48">
        <f t="shared" si="728"/>
        <v>0</v>
      </c>
      <c r="P2641" s="46">
        <v>0</v>
      </c>
      <c r="Q2641" s="46">
        <v>6034391</v>
      </c>
      <c r="R2641" s="49">
        <f t="shared" si="729"/>
        <v>1</v>
      </c>
      <c r="S2641" s="50">
        <f t="shared" si="730"/>
        <v>0.01</v>
      </c>
      <c r="T2641" s="49">
        <f t="shared" si="731"/>
        <v>60343.91</v>
      </c>
      <c r="U2641" s="51">
        <f t="shared" si="732"/>
        <v>0</v>
      </c>
      <c r="V2641" s="52">
        <f>IF(0&lt;0.8,0,IF(0&lt;1,Sheet3!L561,1))*IF(G2641&lt;3,0.12 - O2641,0.01) *U2641</f>
        <v>0</v>
      </c>
      <c r="W2641" s="52">
        <f t="shared" si="733"/>
        <v>0</v>
      </c>
      <c r="X2641" s="53">
        <f t="shared" si="734"/>
        <v>0</v>
      </c>
      <c r="Y2641" s="53">
        <f t="shared" si="735"/>
        <v>0</v>
      </c>
      <c r="Z2641" s="54">
        <f t="shared" si="740"/>
        <v>0</v>
      </c>
      <c r="AA2641" s="54">
        <f t="shared" si="736"/>
        <v>0</v>
      </c>
      <c r="AB2641" s="55">
        <f t="shared" si="739"/>
        <v>0</v>
      </c>
      <c r="AC2641" s="55">
        <f t="shared" si="737"/>
        <v>0</v>
      </c>
      <c r="AD2641" s="56">
        <f t="shared" si="738"/>
        <v>60343.91</v>
      </c>
    </row>
    <row r="2642" spans="3:30">
      <c r="C2642" s="43" t="s">
        <v>4944</v>
      </c>
      <c r="D2642" s="44" t="s">
        <v>4945</v>
      </c>
      <c r="E2642" s="44"/>
      <c r="F2642" s="45">
        <v>42753.338541666664</v>
      </c>
      <c r="G2642" s="46">
        <v>20</v>
      </c>
      <c r="H2642" s="47">
        <v>43378</v>
      </c>
      <c r="I2642" s="47">
        <v>43390</v>
      </c>
      <c r="J2642" s="46">
        <v>2260964</v>
      </c>
      <c r="K2642" s="46">
        <v>0</v>
      </c>
      <c r="L2642" s="46">
        <v>0</v>
      </c>
      <c r="M2642" s="46">
        <f t="shared" si="727"/>
        <v>2260964</v>
      </c>
      <c r="N2642" s="46">
        <v>1774343</v>
      </c>
      <c r="O2642" s="48">
        <f t="shared" si="728"/>
        <v>0</v>
      </c>
      <c r="P2642" s="46">
        <v>0</v>
      </c>
      <c r="Q2642" s="46">
        <v>2260964</v>
      </c>
      <c r="R2642" s="49">
        <f t="shared" si="729"/>
        <v>1</v>
      </c>
      <c r="S2642" s="50">
        <f t="shared" si="730"/>
        <v>0.01</v>
      </c>
      <c r="T2642" s="49">
        <f t="shared" si="731"/>
        <v>22609.64</v>
      </c>
      <c r="U2642" s="51">
        <f t="shared" si="732"/>
        <v>0</v>
      </c>
      <c r="V2642" s="52">
        <f>IF(0&lt;0.8,0,IF(0&lt;1,Sheet3!L561,1))*IF(G2642&lt;3,0.12 - O2642,0.01) *U2642</f>
        <v>0</v>
      </c>
      <c r="W2642" s="52">
        <f t="shared" si="733"/>
        <v>0</v>
      </c>
      <c r="X2642" s="53">
        <f t="shared" si="734"/>
        <v>0</v>
      </c>
      <c r="Y2642" s="53">
        <f t="shared" si="735"/>
        <v>0</v>
      </c>
      <c r="Z2642" s="54">
        <f t="shared" si="740"/>
        <v>0</v>
      </c>
      <c r="AA2642" s="54">
        <f t="shared" si="736"/>
        <v>0</v>
      </c>
      <c r="AB2642" s="55">
        <f>IF(R2642=0,460000,0)</f>
        <v>0</v>
      </c>
      <c r="AC2642" s="55">
        <f t="shared" si="737"/>
        <v>0</v>
      </c>
      <c r="AD2642" s="56">
        <f t="shared" si="738"/>
        <v>22609.64</v>
      </c>
    </row>
    <row r="2643" spans="3:30">
      <c r="C2643" s="43" t="s">
        <v>4946</v>
      </c>
      <c r="D2643" s="44" t="s">
        <v>4947</v>
      </c>
      <c r="E2643" s="44"/>
      <c r="F2643" s="45">
        <v>42755.14267361111</v>
      </c>
      <c r="G2643" s="46">
        <v>20</v>
      </c>
      <c r="H2643" s="47">
        <v>43382</v>
      </c>
      <c r="I2643" s="47">
        <v>43405</v>
      </c>
      <c r="J2643" s="46">
        <v>11006750</v>
      </c>
      <c r="K2643" s="46">
        <v>0</v>
      </c>
      <c r="L2643" s="46">
        <v>0</v>
      </c>
      <c r="M2643" s="46">
        <f t="shared" si="727"/>
        <v>11006750</v>
      </c>
      <c r="N2643" s="46">
        <v>11914769</v>
      </c>
      <c r="O2643" s="48">
        <f t="shared" si="728"/>
        <v>7.6209534570078508E-2</v>
      </c>
      <c r="P2643" s="46">
        <v>0</v>
      </c>
      <c r="Q2643" s="46">
        <v>11006750</v>
      </c>
      <c r="R2643" s="49">
        <f t="shared" si="729"/>
        <v>1</v>
      </c>
      <c r="S2643" s="50">
        <f t="shared" si="730"/>
        <v>0.01</v>
      </c>
      <c r="T2643" s="49">
        <f t="shared" si="731"/>
        <v>110067.5</v>
      </c>
      <c r="U2643" s="51">
        <f t="shared" si="732"/>
        <v>0</v>
      </c>
      <c r="V2643" s="52">
        <f>IF(0&lt;0.8,0,IF(0&lt;1,Sheet3!L561,1))*IF(G2643&lt;3,0.12 - O2643,0.01) *U2643</f>
        <v>0</v>
      </c>
      <c r="W2643" s="52">
        <f t="shared" si="733"/>
        <v>0</v>
      </c>
      <c r="X2643" s="53">
        <f t="shared" si="734"/>
        <v>0</v>
      </c>
      <c r="Y2643" s="53">
        <f t="shared" si="735"/>
        <v>0</v>
      </c>
      <c r="Z2643" s="54">
        <f t="shared" si="740"/>
        <v>0</v>
      </c>
      <c r="AA2643" s="54">
        <f t="shared" si="736"/>
        <v>0</v>
      </c>
      <c r="AB2643" s="55">
        <f t="shared" ref="AB2643:AB2651" si="741">IF(R2643=0,0,0)</f>
        <v>0</v>
      </c>
      <c r="AC2643" s="55">
        <f t="shared" si="737"/>
        <v>0</v>
      </c>
      <c r="AD2643" s="56">
        <f t="shared" si="738"/>
        <v>110067.5</v>
      </c>
    </row>
    <row r="2644" spans="3:30">
      <c r="C2644" s="43" t="s">
        <v>4948</v>
      </c>
      <c r="D2644" s="44" t="s">
        <v>4949</v>
      </c>
      <c r="E2644" s="44"/>
      <c r="F2644" s="45">
        <v>42810.126585648148</v>
      </c>
      <c r="G2644" s="46">
        <v>18</v>
      </c>
      <c r="H2644" s="47">
        <v>43386</v>
      </c>
      <c r="I2644" s="47">
        <v>43412</v>
      </c>
      <c r="J2644" s="46">
        <v>107028404</v>
      </c>
      <c r="K2644" s="46">
        <v>0</v>
      </c>
      <c r="L2644" s="46">
        <v>0</v>
      </c>
      <c r="M2644" s="46">
        <f t="shared" si="727"/>
        <v>107028404</v>
      </c>
      <c r="N2644" s="46">
        <v>147810023</v>
      </c>
      <c r="O2644" s="48">
        <f t="shared" si="728"/>
        <v>0.2759056400390385</v>
      </c>
      <c r="P2644" s="46">
        <v>0</v>
      </c>
      <c r="Q2644" s="46">
        <v>107028404</v>
      </c>
      <c r="R2644" s="49">
        <f t="shared" si="729"/>
        <v>1</v>
      </c>
      <c r="S2644" s="50">
        <f t="shared" si="730"/>
        <v>0.01</v>
      </c>
      <c r="T2644" s="49">
        <f t="shared" si="731"/>
        <v>1070284.04</v>
      </c>
      <c r="U2644" s="51">
        <f t="shared" si="732"/>
        <v>0</v>
      </c>
      <c r="V2644" s="52">
        <f>IF(0&lt;0.8,0,IF(0&lt;1,Sheet3!L561,1))*IF(G2644&lt;3,0.12 - O2644,0.01) *U2644</f>
        <v>0</v>
      </c>
      <c r="W2644" s="52">
        <f t="shared" si="733"/>
        <v>0</v>
      </c>
      <c r="X2644" s="53">
        <f t="shared" si="734"/>
        <v>0</v>
      </c>
      <c r="Y2644" s="53">
        <f t="shared" si="735"/>
        <v>0</v>
      </c>
      <c r="Z2644" s="54">
        <f t="shared" si="740"/>
        <v>0</v>
      </c>
      <c r="AA2644" s="54">
        <f t="shared" si="736"/>
        <v>0</v>
      </c>
      <c r="AB2644" s="55">
        <f t="shared" si="741"/>
        <v>0</v>
      </c>
      <c r="AC2644" s="55">
        <f t="shared" si="737"/>
        <v>0</v>
      </c>
      <c r="AD2644" s="56">
        <f t="shared" si="738"/>
        <v>1070284.04</v>
      </c>
    </row>
    <row r="2645" spans="3:30">
      <c r="C2645" s="43" t="s">
        <v>4950</v>
      </c>
      <c r="D2645" s="44" t="s">
        <v>4951</v>
      </c>
      <c r="E2645" s="44"/>
      <c r="F2645" s="45">
        <v>42756.319594907407</v>
      </c>
      <c r="G2645" s="46">
        <v>20</v>
      </c>
      <c r="H2645" s="47">
        <v>43404</v>
      </c>
      <c r="I2645" s="47">
        <v>43454</v>
      </c>
      <c r="J2645" s="46">
        <v>10779723</v>
      </c>
      <c r="K2645" s="46">
        <v>366300</v>
      </c>
      <c r="L2645" s="46">
        <v>0</v>
      </c>
      <c r="M2645" s="46">
        <f t="shared" si="727"/>
        <v>10413423</v>
      </c>
      <c r="N2645" s="46">
        <v>34069847</v>
      </c>
      <c r="O2645" s="48">
        <f t="shared" si="728"/>
        <v>0.69435075537615409</v>
      </c>
      <c r="P2645" s="46">
        <v>0</v>
      </c>
      <c r="Q2645" s="46">
        <v>10779723</v>
      </c>
      <c r="R2645" s="49">
        <f t="shared" si="729"/>
        <v>1</v>
      </c>
      <c r="S2645" s="50">
        <f t="shared" si="730"/>
        <v>0.01</v>
      </c>
      <c r="T2645" s="49">
        <f t="shared" si="731"/>
        <v>104134.23</v>
      </c>
      <c r="U2645" s="51">
        <f t="shared" si="732"/>
        <v>0</v>
      </c>
      <c r="V2645" s="52">
        <f>IF(0&lt;0.8,0,IF(0&lt;1,Sheet3!L561,1))*IF(G2645&lt;3,0.12 - O2645,0.01) *U2645</f>
        <v>0</v>
      </c>
      <c r="W2645" s="52">
        <f t="shared" si="733"/>
        <v>0</v>
      </c>
      <c r="X2645" s="53">
        <f t="shared" si="734"/>
        <v>0</v>
      </c>
      <c r="Y2645" s="53">
        <f t="shared" si="735"/>
        <v>0</v>
      </c>
      <c r="Z2645" s="54">
        <f t="shared" si="740"/>
        <v>0</v>
      </c>
      <c r="AA2645" s="54">
        <f t="shared" si="736"/>
        <v>0</v>
      </c>
      <c r="AB2645" s="55">
        <f t="shared" si="741"/>
        <v>0</v>
      </c>
      <c r="AC2645" s="55">
        <f t="shared" si="737"/>
        <v>0</v>
      </c>
      <c r="AD2645" s="56">
        <f t="shared" si="738"/>
        <v>104134.23</v>
      </c>
    </row>
    <row r="2646" spans="3:30">
      <c r="C2646" s="43" t="s">
        <v>4952</v>
      </c>
      <c r="D2646" s="44" t="s">
        <v>4953</v>
      </c>
      <c r="E2646" s="44"/>
      <c r="F2646" s="45">
        <v>42775.101018518515</v>
      </c>
      <c r="G2646" s="46">
        <v>19</v>
      </c>
      <c r="H2646" s="47">
        <v>43378</v>
      </c>
      <c r="I2646" s="47">
        <v>43402</v>
      </c>
      <c r="J2646" s="46">
        <v>2659326</v>
      </c>
      <c r="K2646" s="46">
        <v>0</v>
      </c>
      <c r="L2646" s="46">
        <v>0</v>
      </c>
      <c r="M2646" s="46">
        <f t="shared" si="727"/>
        <v>2659326</v>
      </c>
      <c r="N2646" s="46">
        <v>2659326</v>
      </c>
      <c r="O2646" s="48">
        <f t="shared" si="728"/>
        <v>0</v>
      </c>
      <c r="P2646" s="46">
        <v>0</v>
      </c>
      <c r="Q2646" s="46">
        <v>2659326</v>
      </c>
      <c r="R2646" s="49">
        <f t="shared" si="729"/>
        <v>1</v>
      </c>
      <c r="S2646" s="50">
        <f t="shared" si="730"/>
        <v>0.01</v>
      </c>
      <c r="T2646" s="49">
        <f t="shared" si="731"/>
        <v>26593.260000000002</v>
      </c>
      <c r="U2646" s="51">
        <f t="shared" si="732"/>
        <v>0</v>
      </c>
      <c r="V2646" s="52">
        <f>IF(0&lt;0.8,0,IF(0&lt;1,Sheet3!L561,1))*IF(G2646&lt;3,0.12 - O2646,0.01) *U2646</f>
        <v>0</v>
      </c>
      <c r="W2646" s="52">
        <f t="shared" si="733"/>
        <v>0</v>
      </c>
      <c r="X2646" s="53">
        <f t="shared" si="734"/>
        <v>0</v>
      </c>
      <c r="Y2646" s="53">
        <f t="shared" si="735"/>
        <v>0</v>
      </c>
      <c r="Z2646" s="54">
        <f t="shared" si="740"/>
        <v>0</v>
      </c>
      <c r="AA2646" s="54">
        <f t="shared" si="736"/>
        <v>0</v>
      </c>
      <c r="AB2646" s="55">
        <f t="shared" si="741"/>
        <v>0</v>
      </c>
      <c r="AC2646" s="55">
        <f t="shared" si="737"/>
        <v>0</v>
      </c>
      <c r="AD2646" s="56">
        <f t="shared" si="738"/>
        <v>26593.260000000002</v>
      </c>
    </row>
    <row r="2647" spans="3:30">
      <c r="C2647" s="43" t="s">
        <v>4954</v>
      </c>
      <c r="D2647" s="44" t="s">
        <v>4955</v>
      </c>
      <c r="E2647" s="44"/>
      <c r="F2647" s="45">
        <v>42780.134155092594</v>
      </c>
      <c r="G2647" s="46">
        <v>19</v>
      </c>
      <c r="H2647" s="47">
        <v>43376</v>
      </c>
      <c r="I2647" s="47">
        <v>43397</v>
      </c>
      <c r="J2647" s="46">
        <v>2063050</v>
      </c>
      <c r="K2647" s="46">
        <v>0</v>
      </c>
      <c r="L2647" s="46">
        <v>0</v>
      </c>
      <c r="M2647" s="46">
        <f t="shared" si="727"/>
        <v>2063050</v>
      </c>
      <c r="N2647" s="46">
        <v>2063050</v>
      </c>
      <c r="O2647" s="48">
        <f t="shared" si="728"/>
        <v>0</v>
      </c>
      <c r="P2647" s="46">
        <v>0</v>
      </c>
      <c r="Q2647" s="46">
        <v>2063050</v>
      </c>
      <c r="R2647" s="49">
        <f t="shared" si="729"/>
        <v>1</v>
      </c>
      <c r="S2647" s="50">
        <f t="shared" si="730"/>
        <v>0.01</v>
      </c>
      <c r="T2647" s="49">
        <f t="shared" si="731"/>
        <v>20630.5</v>
      </c>
      <c r="U2647" s="51">
        <f t="shared" si="732"/>
        <v>0</v>
      </c>
      <c r="V2647" s="52">
        <f>IF(0&lt;0.8,0,IF(0&lt;1,Sheet3!L561,1))*IF(G2647&lt;3,0.12 - O2647,0.01) *U2647</f>
        <v>0</v>
      </c>
      <c r="W2647" s="52">
        <f t="shared" si="733"/>
        <v>0</v>
      </c>
      <c r="X2647" s="53">
        <f t="shared" si="734"/>
        <v>0</v>
      </c>
      <c r="Y2647" s="53">
        <f t="shared" si="735"/>
        <v>0</v>
      </c>
      <c r="Z2647" s="54">
        <f t="shared" si="740"/>
        <v>0</v>
      </c>
      <c r="AA2647" s="54">
        <f t="shared" si="736"/>
        <v>0</v>
      </c>
      <c r="AB2647" s="55">
        <f t="shared" si="741"/>
        <v>0</v>
      </c>
      <c r="AC2647" s="55">
        <f t="shared" si="737"/>
        <v>0</v>
      </c>
      <c r="AD2647" s="56">
        <f t="shared" si="738"/>
        <v>20630.5</v>
      </c>
    </row>
    <row r="2648" spans="3:30">
      <c r="C2648" s="43" t="s">
        <v>4956</v>
      </c>
      <c r="D2648" s="44" t="s">
        <v>4957</v>
      </c>
      <c r="E2648" s="44"/>
      <c r="F2648" s="45">
        <v>42789.253437499996</v>
      </c>
      <c r="G2648" s="46">
        <v>19</v>
      </c>
      <c r="H2648" s="47">
        <v>43390</v>
      </c>
      <c r="I2648" s="47">
        <v>43400</v>
      </c>
      <c r="J2648" s="46">
        <v>1018160</v>
      </c>
      <c r="K2648" s="46">
        <v>0</v>
      </c>
      <c r="L2648" s="46">
        <v>0</v>
      </c>
      <c r="M2648" s="46">
        <f t="shared" si="727"/>
        <v>1018160</v>
      </c>
      <c r="N2648" s="46">
        <v>1188649</v>
      </c>
      <c r="O2648" s="48">
        <f t="shared" si="728"/>
        <v>0.14343090348790943</v>
      </c>
      <c r="P2648" s="46">
        <v>0</v>
      </c>
      <c r="Q2648" s="46">
        <v>1018160</v>
      </c>
      <c r="R2648" s="49">
        <f t="shared" si="729"/>
        <v>1</v>
      </c>
      <c r="S2648" s="50">
        <f t="shared" si="730"/>
        <v>0.01</v>
      </c>
      <c r="T2648" s="49">
        <f t="shared" si="731"/>
        <v>10181.6</v>
      </c>
      <c r="U2648" s="51">
        <f t="shared" si="732"/>
        <v>0</v>
      </c>
      <c r="V2648" s="52">
        <f>IF(0&lt;0.8,0,IF(0&lt;1,Sheet3!L561,1))*IF(G2648&lt;3,0.12 - O2648,0.01) *U2648</f>
        <v>0</v>
      </c>
      <c r="W2648" s="52">
        <f t="shared" si="733"/>
        <v>0</v>
      </c>
      <c r="X2648" s="53">
        <f t="shared" si="734"/>
        <v>0</v>
      </c>
      <c r="Y2648" s="53">
        <f t="shared" si="735"/>
        <v>0</v>
      </c>
      <c r="Z2648" s="54">
        <f t="shared" si="740"/>
        <v>0</v>
      </c>
      <c r="AA2648" s="54">
        <f t="shared" si="736"/>
        <v>0</v>
      </c>
      <c r="AB2648" s="55">
        <f t="shared" si="741"/>
        <v>0</v>
      </c>
      <c r="AC2648" s="55">
        <f t="shared" si="737"/>
        <v>0</v>
      </c>
      <c r="AD2648" s="56">
        <f t="shared" si="738"/>
        <v>10181.6</v>
      </c>
    </row>
    <row r="2649" spans="3:30">
      <c r="C2649" s="43" t="s">
        <v>4958</v>
      </c>
      <c r="D2649" s="44" t="s">
        <v>4959</v>
      </c>
      <c r="E2649" s="44"/>
      <c r="F2649" s="45">
        <v>42795.366597222222</v>
      </c>
      <c r="G2649" s="46">
        <v>18</v>
      </c>
      <c r="H2649" s="47">
        <v>43376</v>
      </c>
      <c r="I2649" s="47">
        <v>43412</v>
      </c>
      <c r="J2649" s="46">
        <v>4902777</v>
      </c>
      <c r="K2649" s="46">
        <v>148130</v>
      </c>
      <c r="L2649" s="46">
        <v>0</v>
      </c>
      <c r="M2649" s="46">
        <f t="shared" si="727"/>
        <v>4754647</v>
      </c>
      <c r="N2649" s="46">
        <v>4902777</v>
      </c>
      <c r="O2649" s="48">
        <f t="shared" si="728"/>
        <v>3.021348921233824E-2</v>
      </c>
      <c r="P2649" s="46">
        <v>0</v>
      </c>
      <c r="Q2649" s="46">
        <v>4902777</v>
      </c>
      <c r="R2649" s="49">
        <f t="shared" si="729"/>
        <v>1</v>
      </c>
      <c r="S2649" s="50">
        <f t="shared" si="730"/>
        <v>0.01</v>
      </c>
      <c r="T2649" s="49">
        <f t="shared" si="731"/>
        <v>47546.47</v>
      </c>
      <c r="U2649" s="51">
        <f t="shared" si="732"/>
        <v>0</v>
      </c>
      <c r="V2649" s="52">
        <f>IF(0&lt;0.8,0,IF(0&lt;1,Sheet3!L561,1))*IF(G2649&lt;3,0.12 - O2649,0.01) *U2649</f>
        <v>0</v>
      </c>
      <c r="W2649" s="52">
        <f t="shared" si="733"/>
        <v>0</v>
      </c>
      <c r="X2649" s="53">
        <f t="shared" si="734"/>
        <v>0</v>
      </c>
      <c r="Y2649" s="53">
        <f t="shared" si="735"/>
        <v>0</v>
      </c>
      <c r="Z2649" s="54">
        <f t="shared" si="740"/>
        <v>0</v>
      </c>
      <c r="AA2649" s="54">
        <f t="shared" si="736"/>
        <v>0</v>
      </c>
      <c r="AB2649" s="55">
        <f t="shared" si="741"/>
        <v>0</v>
      </c>
      <c r="AC2649" s="55">
        <f t="shared" si="737"/>
        <v>0</v>
      </c>
      <c r="AD2649" s="56">
        <f t="shared" si="738"/>
        <v>47546.47</v>
      </c>
    </row>
    <row r="2650" spans="3:30">
      <c r="C2650" s="43" t="s">
        <v>4960</v>
      </c>
      <c r="D2650" s="44" t="s">
        <v>4961</v>
      </c>
      <c r="E2650" s="44"/>
      <c r="F2650" s="45">
        <v>42810.147557870368</v>
      </c>
      <c r="G2650" s="46">
        <v>18</v>
      </c>
      <c r="H2650" s="47">
        <v>43376</v>
      </c>
      <c r="I2650" s="47">
        <v>43446</v>
      </c>
      <c r="J2650" s="46">
        <v>1610631</v>
      </c>
      <c r="K2650" s="46">
        <v>0</v>
      </c>
      <c r="L2650" s="46">
        <v>0</v>
      </c>
      <c r="M2650" s="46">
        <f t="shared" si="727"/>
        <v>1610631</v>
      </c>
      <c r="N2650" s="46">
        <v>1610631</v>
      </c>
      <c r="O2650" s="48">
        <f t="shared" si="728"/>
        <v>0</v>
      </c>
      <c r="P2650" s="46">
        <v>0</v>
      </c>
      <c r="Q2650" s="46">
        <v>1610631</v>
      </c>
      <c r="R2650" s="49">
        <f t="shared" si="729"/>
        <v>1</v>
      </c>
      <c r="S2650" s="50">
        <f t="shared" si="730"/>
        <v>0.01</v>
      </c>
      <c r="T2650" s="49">
        <f t="shared" si="731"/>
        <v>16106.31</v>
      </c>
      <c r="U2650" s="51">
        <f t="shared" si="732"/>
        <v>0</v>
      </c>
      <c r="V2650" s="52">
        <f>IF(0&lt;0.8,0,IF(0&lt;1,Sheet3!L561,1))*IF(G2650&lt;3,0.12 - O2650,0.01) *U2650</f>
        <v>0</v>
      </c>
      <c r="W2650" s="52">
        <f t="shared" si="733"/>
        <v>0</v>
      </c>
      <c r="X2650" s="53">
        <f t="shared" si="734"/>
        <v>0</v>
      </c>
      <c r="Y2650" s="53">
        <f t="shared" si="735"/>
        <v>0</v>
      </c>
      <c r="Z2650" s="54">
        <f t="shared" si="740"/>
        <v>0</v>
      </c>
      <c r="AA2650" s="54">
        <f t="shared" si="736"/>
        <v>0</v>
      </c>
      <c r="AB2650" s="55">
        <f t="shared" si="741"/>
        <v>0</v>
      </c>
      <c r="AC2650" s="55">
        <f t="shared" si="737"/>
        <v>0</v>
      </c>
      <c r="AD2650" s="56">
        <f t="shared" si="738"/>
        <v>16106.31</v>
      </c>
    </row>
    <row r="2651" spans="3:30">
      <c r="C2651" s="43" t="s">
        <v>4962</v>
      </c>
      <c r="D2651" s="44" t="s">
        <v>4963</v>
      </c>
      <c r="E2651" s="44"/>
      <c r="F2651" s="45">
        <v>42822.328958333332</v>
      </c>
      <c r="G2651" s="46">
        <v>18</v>
      </c>
      <c r="H2651" s="47">
        <v>43376</v>
      </c>
      <c r="I2651" s="47">
        <v>43397</v>
      </c>
      <c r="J2651" s="46">
        <v>2091582</v>
      </c>
      <c r="K2651" s="46">
        <v>0</v>
      </c>
      <c r="L2651" s="46">
        <v>0</v>
      </c>
      <c r="M2651" s="46">
        <f t="shared" si="727"/>
        <v>2091582</v>
      </c>
      <c r="N2651" s="46">
        <v>2091582</v>
      </c>
      <c r="O2651" s="48">
        <f t="shared" si="728"/>
        <v>0</v>
      </c>
      <c r="P2651" s="46">
        <v>0</v>
      </c>
      <c r="Q2651" s="46">
        <v>2091582</v>
      </c>
      <c r="R2651" s="49">
        <f t="shared" si="729"/>
        <v>1</v>
      </c>
      <c r="S2651" s="50">
        <f t="shared" si="730"/>
        <v>0.01</v>
      </c>
      <c r="T2651" s="49">
        <f t="shared" si="731"/>
        <v>20915.82</v>
      </c>
      <c r="U2651" s="51">
        <f t="shared" si="732"/>
        <v>0</v>
      </c>
      <c r="V2651" s="52">
        <f>IF(0&lt;0.8,0,IF(0&lt;1,Sheet3!L561,1))*IF(G2651&lt;3,0.12 - O2651,0.01) *U2651</f>
        <v>0</v>
      </c>
      <c r="W2651" s="52">
        <f t="shared" si="733"/>
        <v>0</v>
      </c>
      <c r="X2651" s="53">
        <f t="shared" si="734"/>
        <v>0</v>
      </c>
      <c r="Y2651" s="53">
        <f t="shared" si="735"/>
        <v>0</v>
      </c>
      <c r="Z2651" s="54">
        <f t="shared" si="740"/>
        <v>0</v>
      </c>
      <c r="AA2651" s="54">
        <f t="shared" si="736"/>
        <v>0</v>
      </c>
      <c r="AB2651" s="55">
        <f t="shared" si="741"/>
        <v>0</v>
      </c>
      <c r="AC2651" s="55">
        <f t="shared" si="737"/>
        <v>0</v>
      </c>
      <c r="AD2651" s="56">
        <f t="shared" si="738"/>
        <v>20915.82</v>
      </c>
    </row>
    <row r="2652" spans="3:30">
      <c r="C2652" s="43" t="s">
        <v>4964</v>
      </c>
      <c r="D2652" s="44" t="s">
        <v>24</v>
      </c>
      <c r="E2652" s="44"/>
      <c r="F2652" s="45" t="s">
        <v>24</v>
      </c>
      <c r="G2652" s="46" t="s">
        <v>24</v>
      </c>
      <c r="H2652" s="47" t="s">
        <v>24</v>
      </c>
      <c r="I2652" s="47" t="s">
        <v>24</v>
      </c>
      <c r="J2652" s="46">
        <v>173030</v>
      </c>
      <c r="K2652" s="46">
        <v>0</v>
      </c>
      <c r="L2652" s="46">
        <v>0</v>
      </c>
      <c r="M2652" s="46">
        <f t="shared" si="727"/>
        <v>173030</v>
      </c>
      <c r="N2652" s="46" t="s">
        <v>24</v>
      </c>
      <c r="O2652" s="48">
        <f t="shared" si="728"/>
        <v>0</v>
      </c>
      <c r="P2652" s="46">
        <v>0</v>
      </c>
      <c r="Q2652" s="46">
        <v>0</v>
      </c>
      <c r="R2652" s="49">
        <f t="shared" si="729"/>
        <v>0</v>
      </c>
      <c r="S2652" s="50">
        <f t="shared" si="730"/>
        <v>0</v>
      </c>
      <c r="T2652" s="49">
        <f t="shared" si="731"/>
        <v>0</v>
      </c>
      <c r="U2652" s="51">
        <f t="shared" si="732"/>
        <v>173030</v>
      </c>
      <c r="V2652" s="52">
        <f>IF(0&lt;0.8,0,IF(0&lt;1,Sheet3!L561,1))*IF(G2652&lt;3,0.12 - O2652,0.01) *U2652</f>
        <v>0</v>
      </c>
      <c r="W2652" s="52">
        <f t="shared" si="733"/>
        <v>0</v>
      </c>
      <c r="X2652" s="53">
        <f t="shared" si="734"/>
        <v>0</v>
      </c>
      <c r="Y2652" s="53">
        <f t="shared" si="735"/>
        <v>0</v>
      </c>
      <c r="Z2652" s="54" t="str">
        <f>IF(R2652=1,0,"")</f>
        <v/>
      </c>
      <c r="AA2652" s="54">
        <f t="shared" si="736"/>
        <v>0</v>
      </c>
      <c r="AB2652" s="55" t="str">
        <f>IF(R2652=0,"",0)</f>
        <v/>
      </c>
      <c r="AC2652" s="55">
        <f t="shared" si="737"/>
        <v>0</v>
      </c>
      <c r="AD2652" s="56">
        <f t="shared" si="738"/>
        <v>0</v>
      </c>
    </row>
    <row r="2653" spans="3:30">
      <c r="C2653" s="43" t="s">
        <v>4965</v>
      </c>
      <c r="D2653" s="44" t="s">
        <v>4966</v>
      </c>
      <c r="E2653" s="44"/>
      <c r="F2653" s="45">
        <v>42879.149351851847</v>
      </c>
      <c r="G2653" s="46">
        <v>16</v>
      </c>
      <c r="H2653" s="47">
        <v>43378</v>
      </c>
      <c r="I2653" s="47">
        <v>43391</v>
      </c>
      <c r="J2653" s="46">
        <v>111804</v>
      </c>
      <c r="K2653" s="46">
        <v>0</v>
      </c>
      <c r="L2653" s="46">
        <v>0</v>
      </c>
      <c r="M2653" s="46">
        <f t="shared" si="727"/>
        <v>111804</v>
      </c>
      <c r="N2653" s="46">
        <v>111804</v>
      </c>
      <c r="O2653" s="48">
        <f t="shared" si="728"/>
        <v>0</v>
      </c>
      <c r="P2653" s="46">
        <v>0</v>
      </c>
      <c r="Q2653" s="46">
        <v>111804</v>
      </c>
      <c r="R2653" s="49">
        <f t="shared" si="729"/>
        <v>1</v>
      </c>
      <c r="S2653" s="50">
        <f t="shared" si="730"/>
        <v>0.01</v>
      </c>
      <c r="T2653" s="49">
        <f t="shared" si="731"/>
        <v>1118.04</v>
      </c>
      <c r="U2653" s="51">
        <f t="shared" si="732"/>
        <v>0</v>
      </c>
      <c r="V2653" s="52">
        <f>IF(0&lt;0.8,0,IF(0&lt;1,Sheet3!L561,1))*IF(G2653&lt;3,0.12 - O2653,0.01) *U2653</f>
        <v>0</v>
      </c>
      <c r="W2653" s="52">
        <f t="shared" si="733"/>
        <v>0</v>
      </c>
      <c r="X2653" s="53">
        <f t="shared" si="734"/>
        <v>0</v>
      </c>
      <c r="Y2653" s="53">
        <f t="shared" si="735"/>
        <v>0</v>
      </c>
      <c r="Z2653" s="54">
        <f>IF(R2653=1,0,0)</f>
        <v>0</v>
      </c>
      <c r="AA2653" s="54">
        <f t="shared" si="736"/>
        <v>0</v>
      </c>
      <c r="AB2653" s="55">
        <f>IF(R2653=0,0,0)</f>
        <v>0</v>
      </c>
      <c r="AC2653" s="55">
        <f t="shared" si="737"/>
        <v>0</v>
      </c>
      <c r="AD2653" s="56">
        <f t="shared" si="738"/>
        <v>1118.04</v>
      </c>
    </row>
    <row r="2654" spans="3:30">
      <c r="C2654" s="43" t="s">
        <v>4967</v>
      </c>
      <c r="D2654" s="44" t="s">
        <v>4968</v>
      </c>
      <c r="E2654" s="44"/>
      <c r="F2654" s="45">
        <v>42919.082488425927</v>
      </c>
      <c r="G2654" s="46">
        <v>14</v>
      </c>
      <c r="H2654" s="47">
        <v>43390</v>
      </c>
      <c r="I2654" s="47">
        <v>43398</v>
      </c>
      <c r="J2654" s="46">
        <v>526225</v>
      </c>
      <c r="K2654" s="46">
        <v>0</v>
      </c>
      <c r="L2654" s="46">
        <v>0</v>
      </c>
      <c r="M2654" s="46">
        <f t="shared" si="727"/>
        <v>526225</v>
      </c>
      <c r="N2654" s="46">
        <v>524535</v>
      </c>
      <c r="O2654" s="48">
        <f t="shared" si="728"/>
        <v>0</v>
      </c>
      <c r="P2654" s="46">
        <v>0</v>
      </c>
      <c r="Q2654" s="46">
        <v>526225</v>
      </c>
      <c r="R2654" s="49">
        <f t="shared" si="729"/>
        <v>1</v>
      </c>
      <c r="S2654" s="50">
        <f t="shared" si="730"/>
        <v>0.01</v>
      </c>
      <c r="T2654" s="49">
        <f t="shared" si="731"/>
        <v>5262.25</v>
      </c>
      <c r="U2654" s="51">
        <f t="shared" si="732"/>
        <v>0</v>
      </c>
      <c r="V2654" s="52">
        <f>IF(0&lt;0.8,0,IF(0&lt;1,Sheet3!L561,1))*IF(G2654&lt;3,0.12 - O2654,0.01) *U2654</f>
        <v>0</v>
      </c>
      <c r="W2654" s="52">
        <f t="shared" si="733"/>
        <v>0</v>
      </c>
      <c r="X2654" s="53">
        <f t="shared" si="734"/>
        <v>0</v>
      </c>
      <c r="Y2654" s="53">
        <f t="shared" si="735"/>
        <v>0</v>
      </c>
      <c r="Z2654" s="54">
        <f>IF(R2654=1,0,0)</f>
        <v>0</v>
      </c>
      <c r="AA2654" s="54">
        <f t="shared" si="736"/>
        <v>0</v>
      </c>
      <c r="AB2654" s="55">
        <f>IF(R2654=0,0,0)</f>
        <v>0</v>
      </c>
      <c r="AC2654" s="55">
        <f t="shared" si="737"/>
        <v>0</v>
      </c>
      <c r="AD2654" s="56">
        <f t="shared" si="738"/>
        <v>5262.25</v>
      </c>
    </row>
    <row r="2655" spans="3:30">
      <c r="C2655" s="43" t="s">
        <v>4969</v>
      </c>
      <c r="D2655" s="44" t="s">
        <v>4970</v>
      </c>
      <c r="E2655" s="44"/>
      <c r="F2655" s="45">
        <v>42962.173009259255</v>
      </c>
      <c r="G2655" s="46">
        <v>13</v>
      </c>
      <c r="H2655" s="47">
        <v>43390</v>
      </c>
      <c r="I2655" s="47">
        <v>43413</v>
      </c>
      <c r="J2655" s="46">
        <v>1160463</v>
      </c>
      <c r="K2655" s="46">
        <v>0</v>
      </c>
      <c r="L2655" s="46">
        <v>0</v>
      </c>
      <c r="M2655" s="46">
        <f t="shared" si="727"/>
        <v>1160463</v>
      </c>
      <c r="N2655" s="46">
        <v>1160463</v>
      </c>
      <c r="O2655" s="48">
        <f t="shared" si="728"/>
        <v>0</v>
      </c>
      <c r="P2655" s="46">
        <v>0</v>
      </c>
      <c r="Q2655" s="46">
        <v>1160463</v>
      </c>
      <c r="R2655" s="49">
        <f t="shared" si="729"/>
        <v>1</v>
      </c>
      <c r="S2655" s="50">
        <f t="shared" si="730"/>
        <v>0.01</v>
      </c>
      <c r="T2655" s="49">
        <f t="shared" si="731"/>
        <v>11604.630000000001</v>
      </c>
      <c r="U2655" s="51">
        <f t="shared" si="732"/>
        <v>0</v>
      </c>
      <c r="V2655" s="52">
        <f>IF(0&lt;0.8,0,IF(0&lt;1,Sheet3!L561,1))*IF(G2655&lt;3,0.12 - O2655,0.01) *U2655</f>
        <v>0</v>
      </c>
      <c r="W2655" s="52">
        <f t="shared" si="733"/>
        <v>0</v>
      </c>
      <c r="X2655" s="53">
        <f t="shared" si="734"/>
        <v>0</v>
      </c>
      <c r="Y2655" s="53">
        <f t="shared" si="735"/>
        <v>0</v>
      </c>
      <c r="Z2655" s="54">
        <f>IF(R2655=1,0,0)</f>
        <v>0</v>
      </c>
      <c r="AA2655" s="54">
        <f t="shared" si="736"/>
        <v>0</v>
      </c>
      <c r="AB2655" s="55">
        <f>IF(R2655=0,0,0)</f>
        <v>0</v>
      </c>
      <c r="AC2655" s="55">
        <f t="shared" si="737"/>
        <v>0</v>
      </c>
      <c r="AD2655" s="56">
        <f t="shared" si="738"/>
        <v>11604.630000000001</v>
      </c>
    </row>
    <row r="2656" spans="3:30">
      <c r="C2656" s="43" t="s">
        <v>4971</v>
      </c>
      <c r="D2656" s="44" t="s">
        <v>4972</v>
      </c>
      <c r="E2656" s="44"/>
      <c r="F2656" s="45">
        <v>43001.146701388891</v>
      </c>
      <c r="G2656" s="46">
        <v>12</v>
      </c>
      <c r="H2656" s="47">
        <v>43416</v>
      </c>
      <c r="I2656" s="47">
        <v>43431</v>
      </c>
      <c r="J2656" s="46">
        <v>138082437</v>
      </c>
      <c r="K2656" s="46">
        <v>12296679</v>
      </c>
      <c r="L2656" s="46">
        <v>0</v>
      </c>
      <c r="M2656" s="46">
        <f t="shared" si="727"/>
        <v>125785758</v>
      </c>
      <c r="N2656" s="46">
        <v>168700836</v>
      </c>
      <c r="O2656" s="48">
        <f t="shared" si="728"/>
        <v>0.25438568662457606</v>
      </c>
      <c r="P2656" s="46">
        <v>0</v>
      </c>
      <c r="Q2656" s="46">
        <v>138309697</v>
      </c>
      <c r="R2656" s="49">
        <f t="shared" si="729"/>
        <v>1</v>
      </c>
      <c r="S2656" s="50">
        <f t="shared" si="730"/>
        <v>0.01</v>
      </c>
      <c r="T2656" s="49">
        <f t="shared" si="731"/>
        <v>1257857.58</v>
      </c>
      <c r="U2656" s="51">
        <f t="shared" si="732"/>
        <v>0</v>
      </c>
      <c r="V2656" s="52">
        <f>IF(0&lt;0.8,0,IF(0&lt;1,Sheet3!L561,1))*IF(G2656&lt;3,0.12 - O2656,0.01) *U2656</f>
        <v>0</v>
      </c>
      <c r="W2656" s="52">
        <f t="shared" si="733"/>
        <v>0</v>
      </c>
      <c r="X2656" s="53">
        <f t="shared" si="734"/>
        <v>0</v>
      </c>
      <c r="Y2656" s="53">
        <f t="shared" si="735"/>
        <v>0</v>
      </c>
      <c r="Z2656" s="54">
        <f>IF(R2656=1,0,0)</f>
        <v>0</v>
      </c>
      <c r="AA2656" s="54">
        <f t="shared" si="736"/>
        <v>0</v>
      </c>
      <c r="AB2656" s="55">
        <f>IF(R2656=0,0,0)</f>
        <v>0</v>
      </c>
      <c r="AC2656" s="55">
        <f t="shared" si="737"/>
        <v>0</v>
      </c>
      <c r="AD2656" s="56">
        <f t="shared" si="738"/>
        <v>1257857.58</v>
      </c>
    </row>
    <row r="2657" spans="3:30">
      <c r="C2657" s="43" t="s">
        <v>4973</v>
      </c>
      <c r="D2657" s="44" t="s">
        <v>24</v>
      </c>
      <c r="E2657" s="44"/>
      <c r="F2657" s="45" t="s">
        <v>24</v>
      </c>
      <c r="G2657" s="46" t="s">
        <v>24</v>
      </c>
      <c r="H2657" s="47" t="s">
        <v>24</v>
      </c>
      <c r="I2657" s="47" t="s">
        <v>24</v>
      </c>
      <c r="J2657" s="46">
        <v>92081</v>
      </c>
      <c r="K2657" s="46">
        <v>0</v>
      </c>
      <c r="L2657" s="46">
        <v>0</v>
      </c>
      <c r="M2657" s="46">
        <f t="shared" si="727"/>
        <v>92081</v>
      </c>
      <c r="N2657" s="46" t="s">
        <v>24</v>
      </c>
      <c r="O2657" s="48">
        <f t="shared" si="728"/>
        <v>0</v>
      </c>
      <c r="P2657" s="46">
        <v>0</v>
      </c>
      <c r="Q2657" s="46">
        <v>0</v>
      </c>
      <c r="R2657" s="49">
        <f t="shared" si="729"/>
        <v>0</v>
      </c>
      <c r="S2657" s="50">
        <f t="shared" si="730"/>
        <v>0</v>
      </c>
      <c r="T2657" s="49">
        <f t="shared" si="731"/>
        <v>0</v>
      </c>
      <c r="U2657" s="51">
        <f t="shared" si="732"/>
        <v>92081</v>
      </c>
      <c r="V2657" s="52">
        <f>IF(0&lt;0.8,0,IF(0&lt;1,Sheet3!L561,1))*IF(G2657&lt;3,0.12 - O2657,0.01) *U2657</f>
        <v>0</v>
      </c>
      <c r="W2657" s="52">
        <f t="shared" si="733"/>
        <v>0</v>
      </c>
      <c r="X2657" s="53">
        <f t="shared" si="734"/>
        <v>0</v>
      </c>
      <c r="Y2657" s="53">
        <f t="shared" si="735"/>
        <v>0</v>
      </c>
      <c r="Z2657" s="54" t="str">
        <f>IF(R2657=1,0,"")</f>
        <v/>
      </c>
      <c r="AA2657" s="54">
        <f t="shared" si="736"/>
        <v>0</v>
      </c>
      <c r="AB2657" s="55" t="str">
        <f>IF(R2657=0,"",0)</f>
        <v/>
      </c>
      <c r="AC2657" s="55">
        <f t="shared" si="737"/>
        <v>0</v>
      </c>
      <c r="AD2657" s="56">
        <f t="shared" si="738"/>
        <v>0</v>
      </c>
    </row>
    <row r="2658" spans="3:30">
      <c r="C2658" s="43" t="s">
        <v>4974</v>
      </c>
      <c r="D2658" s="44" t="s">
        <v>4975</v>
      </c>
      <c r="E2658" s="44"/>
      <c r="F2658" s="45">
        <v>43007.321851851848</v>
      </c>
      <c r="G2658" s="46">
        <v>12</v>
      </c>
      <c r="H2658" s="47">
        <v>43376</v>
      </c>
      <c r="I2658" s="47">
        <v>43462</v>
      </c>
      <c r="J2658" s="46">
        <v>11573793</v>
      </c>
      <c r="K2658" s="46">
        <v>0</v>
      </c>
      <c r="L2658" s="46">
        <v>0</v>
      </c>
      <c r="M2658" s="46">
        <f t="shared" si="727"/>
        <v>11573793</v>
      </c>
      <c r="N2658" s="46">
        <v>12807124</v>
      </c>
      <c r="O2658" s="48">
        <f t="shared" si="728"/>
        <v>9.6300387190754178E-2</v>
      </c>
      <c r="P2658" s="46">
        <v>0</v>
      </c>
      <c r="Q2658" s="46">
        <v>11573793</v>
      </c>
      <c r="R2658" s="49">
        <f t="shared" si="729"/>
        <v>1</v>
      </c>
      <c r="S2658" s="50">
        <f t="shared" si="730"/>
        <v>0.01</v>
      </c>
      <c r="T2658" s="49">
        <f t="shared" si="731"/>
        <v>115737.93000000001</v>
      </c>
      <c r="U2658" s="51">
        <f t="shared" si="732"/>
        <v>0</v>
      </c>
      <c r="V2658" s="52">
        <f>IF(0&lt;0.8,0,IF(0&lt;1,Sheet3!L561,1))*IF(G2658&lt;3,0.12 - O2658,0.01) *U2658</f>
        <v>0</v>
      </c>
      <c r="W2658" s="52">
        <f t="shared" si="733"/>
        <v>0</v>
      </c>
      <c r="X2658" s="53">
        <f t="shared" si="734"/>
        <v>0</v>
      </c>
      <c r="Y2658" s="53">
        <f t="shared" si="735"/>
        <v>0</v>
      </c>
      <c r="Z2658" s="54">
        <f t="shared" ref="Z2658:Z2665" si="742">IF(R2658=1,0,0)</f>
        <v>0</v>
      </c>
      <c r="AA2658" s="54">
        <f t="shared" si="736"/>
        <v>0</v>
      </c>
      <c r="AB2658" s="55">
        <f t="shared" ref="AB2658:AB2667" si="743">IF(R2658=0,0,0)</f>
        <v>0</v>
      </c>
      <c r="AC2658" s="55">
        <f t="shared" si="737"/>
        <v>0</v>
      </c>
      <c r="AD2658" s="56">
        <f t="shared" si="738"/>
        <v>115737.93000000001</v>
      </c>
    </row>
    <row r="2659" spans="3:30">
      <c r="C2659" s="43" t="s">
        <v>4976</v>
      </c>
      <c r="D2659" s="44" t="s">
        <v>4977</v>
      </c>
      <c r="E2659" s="44"/>
      <c r="F2659" s="45">
        <v>43060.133414351847</v>
      </c>
      <c r="G2659" s="46">
        <v>10</v>
      </c>
      <c r="H2659" s="47">
        <v>43420</v>
      </c>
      <c r="I2659" s="47">
        <v>43446</v>
      </c>
      <c r="J2659" s="46">
        <v>5824318</v>
      </c>
      <c r="K2659" s="46">
        <v>0</v>
      </c>
      <c r="L2659" s="46">
        <v>0</v>
      </c>
      <c r="M2659" s="46">
        <f t="shared" si="727"/>
        <v>5824318</v>
      </c>
      <c r="N2659" s="46">
        <v>8386877</v>
      </c>
      <c r="O2659" s="48">
        <f t="shared" si="728"/>
        <v>0.30554388719424408</v>
      </c>
      <c r="P2659" s="46">
        <v>0</v>
      </c>
      <c r="Q2659" s="46">
        <v>5942511</v>
      </c>
      <c r="R2659" s="49">
        <f t="shared" si="729"/>
        <v>1</v>
      </c>
      <c r="S2659" s="50">
        <f t="shared" si="730"/>
        <v>0.01</v>
      </c>
      <c r="T2659" s="49">
        <f t="shared" si="731"/>
        <v>58243.18</v>
      </c>
      <c r="U2659" s="51">
        <f t="shared" si="732"/>
        <v>0</v>
      </c>
      <c r="V2659" s="52">
        <f>IF(0&lt;0.8,0,IF(0&lt;1,Sheet3!L561,1))*IF(G2659&lt;3,0.12 - O2659,0.01) *U2659</f>
        <v>0</v>
      </c>
      <c r="W2659" s="52">
        <f t="shared" si="733"/>
        <v>0</v>
      </c>
      <c r="X2659" s="53">
        <f t="shared" si="734"/>
        <v>0</v>
      </c>
      <c r="Y2659" s="53">
        <f t="shared" si="735"/>
        <v>0</v>
      </c>
      <c r="Z2659" s="54">
        <f t="shared" si="742"/>
        <v>0</v>
      </c>
      <c r="AA2659" s="54">
        <f t="shared" si="736"/>
        <v>0</v>
      </c>
      <c r="AB2659" s="55">
        <f t="shared" si="743"/>
        <v>0</v>
      </c>
      <c r="AC2659" s="55">
        <f t="shared" si="737"/>
        <v>0</v>
      </c>
      <c r="AD2659" s="56">
        <f t="shared" si="738"/>
        <v>58243.18</v>
      </c>
    </row>
    <row r="2660" spans="3:30">
      <c r="C2660" s="43" t="s">
        <v>4978</v>
      </c>
      <c r="D2660" s="44" t="s">
        <v>4979</v>
      </c>
      <c r="E2660" s="44"/>
      <c r="F2660" s="45">
        <v>43110.267905092594</v>
      </c>
      <c r="G2660" s="46">
        <v>8</v>
      </c>
      <c r="H2660" s="47">
        <v>43390</v>
      </c>
      <c r="I2660" s="47">
        <v>43418</v>
      </c>
      <c r="J2660" s="46">
        <v>590601</v>
      </c>
      <c r="K2660" s="46">
        <v>0</v>
      </c>
      <c r="L2660" s="46">
        <v>0</v>
      </c>
      <c r="M2660" s="46">
        <f t="shared" si="727"/>
        <v>590601</v>
      </c>
      <c r="N2660" s="46">
        <v>590601</v>
      </c>
      <c r="O2660" s="48">
        <f t="shared" si="728"/>
        <v>0</v>
      </c>
      <c r="P2660" s="46">
        <v>0</v>
      </c>
      <c r="Q2660" s="46">
        <v>590601</v>
      </c>
      <c r="R2660" s="49">
        <f t="shared" si="729"/>
        <v>1</v>
      </c>
      <c r="S2660" s="50">
        <f t="shared" si="730"/>
        <v>0.01</v>
      </c>
      <c r="T2660" s="49">
        <f t="shared" si="731"/>
        <v>5906.01</v>
      </c>
      <c r="U2660" s="51">
        <f t="shared" si="732"/>
        <v>0</v>
      </c>
      <c r="V2660" s="52">
        <f>IF(0&lt;0.8,0,IF(0&lt;1,Sheet3!L561,1))*IF(G2660&lt;3,0.12 - O2660,0.01) *U2660</f>
        <v>0</v>
      </c>
      <c r="W2660" s="52">
        <f t="shared" si="733"/>
        <v>0</v>
      </c>
      <c r="X2660" s="53">
        <f t="shared" si="734"/>
        <v>0</v>
      </c>
      <c r="Y2660" s="53">
        <f t="shared" si="735"/>
        <v>0</v>
      </c>
      <c r="Z2660" s="54">
        <f t="shared" si="742"/>
        <v>0</v>
      </c>
      <c r="AA2660" s="54">
        <f t="shared" si="736"/>
        <v>0</v>
      </c>
      <c r="AB2660" s="55">
        <f t="shared" si="743"/>
        <v>0</v>
      </c>
      <c r="AC2660" s="55">
        <f t="shared" si="737"/>
        <v>0</v>
      </c>
      <c r="AD2660" s="56">
        <f t="shared" si="738"/>
        <v>5906.01</v>
      </c>
    </row>
    <row r="2661" spans="3:30">
      <c r="C2661" s="43" t="s">
        <v>4980</v>
      </c>
      <c r="D2661" s="44" t="s">
        <v>4981</v>
      </c>
      <c r="E2661" s="44"/>
      <c r="F2661" s="45">
        <v>43164.41606481481</v>
      </c>
      <c r="G2661" s="46">
        <v>6</v>
      </c>
      <c r="H2661" s="47">
        <v>43376</v>
      </c>
      <c r="I2661" s="47">
        <v>43399</v>
      </c>
      <c r="J2661" s="46">
        <v>1939993</v>
      </c>
      <c r="K2661" s="46">
        <v>0</v>
      </c>
      <c r="L2661" s="46">
        <v>0</v>
      </c>
      <c r="M2661" s="46">
        <f t="shared" si="727"/>
        <v>1939993</v>
      </c>
      <c r="N2661" s="46">
        <v>1939993</v>
      </c>
      <c r="O2661" s="48">
        <f t="shared" si="728"/>
        <v>0</v>
      </c>
      <c r="P2661" s="46">
        <v>0</v>
      </c>
      <c r="Q2661" s="46">
        <v>1939993</v>
      </c>
      <c r="R2661" s="49">
        <f t="shared" si="729"/>
        <v>1</v>
      </c>
      <c r="S2661" s="50">
        <f t="shared" si="730"/>
        <v>0.01</v>
      </c>
      <c r="T2661" s="49">
        <f t="shared" si="731"/>
        <v>19399.93</v>
      </c>
      <c r="U2661" s="51">
        <f t="shared" si="732"/>
        <v>0</v>
      </c>
      <c r="V2661" s="52">
        <f>IF(0&lt;0.8,0,IF(0&lt;1,Sheet3!L561,1))*IF(G2661&lt;3,0.12 - O2661,0.01) *U2661</f>
        <v>0</v>
      </c>
      <c r="W2661" s="52">
        <f t="shared" si="733"/>
        <v>0</v>
      </c>
      <c r="X2661" s="53">
        <f t="shared" si="734"/>
        <v>0</v>
      </c>
      <c r="Y2661" s="53">
        <f t="shared" si="735"/>
        <v>0</v>
      </c>
      <c r="Z2661" s="54">
        <f t="shared" si="742"/>
        <v>0</v>
      </c>
      <c r="AA2661" s="54">
        <f t="shared" si="736"/>
        <v>0</v>
      </c>
      <c r="AB2661" s="55">
        <f t="shared" si="743"/>
        <v>0</v>
      </c>
      <c r="AC2661" s="55">
        <f t="shared" si="737"/>
        <v>0</v>
      </c>
      <c r="AD2661" s="56">
        <f t="shared" si="738"/>
        <v>19399.93</v>
      </c>
    </row>
    <row r="2662" spans="3:30">
      <c r="C2662" s="43" t="s">
        <v>4982</v>
      </c>
      <c r="D2662" s="44" t="s">
        <v>4983</v>
      </c>
      <c r="E2662" s="44"/>
      <c r="F2662" s="45">
        <v>43188.137407407405</v>
      </c>
      <c r="G2662" s="46">
        <v>6</v>
      </c>
      <c r="H2662" s="47">
        <v>43376</v>
      </c>
      <c r="I2662" s="47">
        <v>43397</v>
      </c>
      <c r="J2662" s="46">
        <v>5315200</v>
      </c>
      <c r="K2662" s="46">
        <v>0</v>
      </c>
      <c r="L2662" s="46">
        <v>0</v>
      </c>
      <c r="M2662" s="46">
        <f t="shared" si="727"/>
        <v>5315200</v>
      </c>
      <c r="N2662" s="46">
        <v>5462787</v>
      </c>
      <c r="O2662" s="48">
        <f t="shared" si="728"/>
        <v>2.7016795639295488E-2</v>
      </c>
      <c r="P2662" s="46">
        <v>0</v>
      </c>
      <c r="Q2662" s="46">
        <v>5315200</v>
      </c>
      <c r="R2662" s="49">
        <f t="shared" si="729"/>
        <v>1</v>
      </c>
      <c r="S2662" s="50">
        <f t="shared" si="730"/>
        <v>0.01</v>
      </c>
      <c r="T2662" s="49">
        <f t="shared" si="731"/>
        <v>53152</v>
      </c>
      <c r="U2662" s="51">
        <f t="shared" si="732"/>
        <v>0</v>
      </c>
      <c r="V2662" s="52">
        <f>IF(0&lt;0.8,0,IF(0&lt;1,Sheet3!L561,1))*IF(G2662&lt;3,0.12 - O2662,0.01) *U2662</f>
        <v>0</v>
      </c>
      <c r="W2662" s="52">
        <f t="shared" si="733"/>
        <v>0</v>
      </c>
      <c r="X2662" s="53">
        <f t="shared" si="734"/>
        <v>0</v>
      </c>
      <c r="Y2662" s="53">
        <f t="shared" si="735"/>
        <v>0</v>
      </c>
      <c r="Z2662" s="54">
        <f t="shared" si="742"/>
        <v>0</v>
      </c>
      <c r="AA2662" s="54">
        <f t="shared" si="736"/>
        <v>0</v>
      </c>
      <c r="AB2662" s="55">
        <f t="shared" si="743"/>
        <v>0</v>
      </c>
      <c r="AC2662" s="55">
        <f t="shared" si="737"/>
        <v>0</v>
      </c>
      <c r="AD2662" s="56">
        <f t="shared" si="738"/>
        <v>53152</v>
      </c>
    </row>
    <row r="2663" spans="3:30">
      <c r="C2663" s="43" t="s">
        <v>4984</v>
      </c>
      <c r="D2663" s="44" t="s">
        <v>4985</v>
      </c>
      <c r="E2663" s="44"/>
      <c r="F2663" s="45">
        <v>43188.140787037039</v>
      </c>
      <c r="G2663" s="46">
        <v>6</v>
      </c>
      <c r="H2663" s="47">
        <v>43402</v>
      </c>
      <c r="I2663" s="47">
        <v>43431</v>
      </c>
      <c r="J2663" s="46">
        <v>22554046</v>
      </c>
      <c r="K2663" s="46">
        <v>0</v>
      </c>
      <c r="L2663" s="46">
        <v>0</v>
      </c>
      <c r="M2663" s="46">
        <f t="shared" si="727"/>
        <v>22554046</v>
      </c>
      <c r="N2663" s="46">
        <v>24752486</v>
      </c>
      <c r="O2663" s="48">
        <f t="shared" si="728"/>
        <v>8.8816937417922404E-2</v>
      </c>
      <c r="P2663" s="46">
        <v>0</v>
      </c>
      <c r="Q2663" s="46">
        <v>22554046</v>
      </c>
      <c r="R2663" s="49">
        <f t="shared" si="729"/>
        <v>1</v>
      </c>
      <c r="S2663" s="50">
        <f t="shared" si="730"/>
        <v>0.01</v>
      </c>
      <c r="T2663" s="49">
        <f t="shared" si="731"/>
        <v>225540.46</v>
      </c>
      <c r="U2663" s="51">
        <f t="shared" si="732"/>
        <v>0</v>
      </c>
      <c r="V2663" s="52">
        <f>IF(0&lt;0.8,0,IF(0&lt;1,Sheet3!L561,1))*IF(G2663&lt;3,0.12 - O2663,0.01) *U2663</f>
        <v>0</v>
      </c>
      <c r="W2663" s="52">
        <f t="shared" si="733"/>
        <v>0</v>
      </c>
      <c r="X2663" s="53">
        <f t="shared" si="734"/>
        <v>0</v>
      </c>
      <c r="Y2663" s="53">
        <f t="shared" si="735"/>
        <v>0</v>
      </c>
      <c r="Z2663" s="54">
        <f t="shared" si="742"/>
        <v>0</v>
      </c>
      <c r="AA2663" s="54">
        <f t="shared" si="736"/>
        <v>0</v>
      </c>
      <c r="AB2663" s="55">
        <f t="shared" si="743"/>
        <v>0</v>
      </c>
      <c r="AC2663" s="55">
        <f t="shared" si="737"/>
        <v>0</v>
      </c>
      <c r="AD2663" s="56">
        <f t="shared" si="738"/>
        <v>225540.46</v>
      </c>
    </row>
    <row r="2664" spans="3:30">
      <c r="C2664" s="43" t="s">
        <v>4986</v>
      </c>
      <c r="D2664" s="44" t="s">
        <v>4987</v>
      </c>
      <c r="E2664" s="44"/>
      <c r="F2664" s="45">
        <v>43192.342418981483</v>
      </c>
      <c r="G2664" s="46">
        <v>5</v>
      </c>
      <c r="H2664" s="47">
        <v>43388</v>
      </c>
      <c r="I2664" s="47">
        <v>43420</v>
      </c>
      <c r="J2664" s="46">
        <v>104487075</v>
      </c>
      <c r="K2664" s="46">
        <v>30735320</v>
      </c>
      <c r="L2664" s="46">
        <v>0</v>
      </c>
      <c r="M2664" s="46">
        <f t="shared" si="727"/>
        <v>73751755</v>
      </c>
      <c r="N2664" s="46">
        <v>168783472</v>
      </c>
      <c r="O2664" s="48">
        <f t="shared" si="728"/>
        <v>0.56303923526350963</v>
      </c>
      <c r="P2664" s="46">
        <v>0</v>
      </c>
      <c r="Q2664" s="46">
        <v>104487075</v>
      </c>
      <c r="R2664" s="49">
        <f t="shared" si="729"/>
        <v>1</v>
      </c>
      <c r="S2664" s="50">
        <f t="shared" si="730"/>
        <v>0.01</v>
      </c>
      <c r="T2664" s="49">
        <f t="shared" si="731"/>
        <v>737517.55</v>
      </c>
      <c r="U2664" s="51">
        <f t="shared" si="732"/>
        <v>0</v>
      </c>
      <c r="V2664" s="52">
        <f>IF(0&lt;0.8,0,IF(0&lt;1,Sheet3!L561,1))*IF(G2664&lt;3,0.12 - O2664,0.01) *U2664</f>
        <v>0</v>
      </c>
      <c r="W2664" s="52">
        <f t="shared" si="733"/>
        <v>0</v>
      </c>
      <c r="X2664" s="53">
        <f t="shared" si="734"/>
        <v>0</v>
      </c>
      <c r="Y2664" s="53">
        <f t="shared" si="735"/>
        <v>0</v>
      </c>
      <c r="Z2664" s="54">
        <f t="shared" si="742"/>
        <v>0</v>
      </c>
      <c r="AA2664" s="54">
        <f t="shared" si="736"/>
        <v>0</v>
      </c>
      <c r="AB2664" s="55">
        <f t="shared" si="743"/>
        <v>0</v>
      </c>
      <c r="AC2664" s="55">
        <f t="shared" si="737"/>
        <v>0</v>
      </c>
      <c r="AD2664" s="56">
        <f t="shared" si="738"/>
        <v>737517.55</v>
      </c>
    </row>
    <row r="2665" spans="3:30">
      <c r="C2665" s="43" t="s">
        <v>4988</v>
      </c>
      <c r="D2665" s="44" t="s">
        <v>3345</v>
      </c>
      <c r="E2665" s="44"/>
      <c r="F2665" s="45">
        <v>43192.220601851848</v>
      </c>
      <c r="G2665" s="46">
        <v>5</v>
      </c>
      <c r="H2665" s="47">
        <v>43390</v>
      </c>
      <c r="I2665" s="47">
        <v>43496</v>
      </c>
      <c r="J2665" s="46">
        <v>162800</v>
      </c>
      <c r="K2665" s="46">
        <v>0</v>
      </c>
      <c r="L2665" s="46">
        <v>0</v>
      </c>
      <c r="M2665" s="46">
        <f t="shared" si="727"/>
        <v>162800</v>
      </c>
      <c r="N2665" s="46">
        <v>196867</v>
      </c>
      <c r="O2665" s="48">
        <f t="shared" si="728"/>
        <v>0.17304576185952958</v>
      </c>
      <c r="P2665" s="46">
        <v>0</v>
      </c>
      <c r="Q2665" s="46">
        <v>162800</v>
      </c>
      <c r="R2665" s="49">
        <f t="shared" si="729"/>
        <v>1</v>
      </c>
      <c r="S2665" s="50">
        <f t="shared" si="730"/>
        <v>0.01</v>
      </c>
      <c r="T2665" s="49">
        <f t="shared" si="731"/>
        <v>1628</v>
      </c>
      <c r="U2665" s="51">
        <f t="shared" si="732"/>
        <v>0</v>
      </c>
      <c r="V2665" s="52">
        <f>IF(0&lt;0.8,0,IF(0&lt;1,Sheet3!L561,1))*IF(G2665&lt;3,0.12 - O2665,0.01) *U2665</f>
        <v>0</v>
      </c>
      <c r="W2665" s="52">
        <f t="shared" si="733"/>
        <v>0</v>
      </c>
      <c r="X2665" s="53">
        <f t="shared" si="734"/>
        <v>0</v>
      </c>
      <c r="Y2665" s="53">
        <f t="shared" si="735"/>
        <v>0</v>
      </c>
      <c r="Z2665" s="54">
        <f t="shared" si="742"/>
        <v>0</v>
      </c>
      <c r="AA2665" s="54">
        <f t="shared" si="736"/>
        <v>0</v>
      </c>
      <c r="AB2665" s="55">
        <f t="shared" si="743"/>
        <v>0</v>
      </c>
      <c r="AC2665" s="55">
        <f t="shared" si="737"/>
        <v>0</v>
      </c>
      <c r="AD2665" s="56">
        <f t="shared" si="738"/>
        <v>1628</v>
      </c>
    </row>
    <row r="2666" spans="3:30">
      <c r="C2666" s="43" t="s">
        <v>4989</v>
      </c>
      <c r="D2666" s="44" t="s">
        <v>4990</v>
      </c>
      <c r="E2666" s="44"/>
      <c r="F2666" s="45">
        <v>43234.077060185184</v>
      </c>
      <c r="G2666" s="46">
        <v>4</v>
      </c>
      <c r="H2666" s="47">
        <v>43486</v>
      </c>
      <c r="I2666" s="47">
        <v>43497</v>
      </c>
      <c r="J2666" s="46">
        <v>527601142</v>
      </c>
      <c r="K2666" s="46">
        <v>263722502</v>
      </c>
      <c r="L2666" s="46">
        <v>0</v>
      </c>
      <c r="M2666" s="46">
        <f t="shared" si="727"/>
        <v>263878640</v>
      </c>
      <c r="N2666" s="46">
        <v>1540475241</v>
      </c>
      <c r="O2666" s="48">
        <f t="shared" si="728"/>
        <v>0.82870309565721867</v>
      </c>
      <c r="P2666" s="46">
        <v>0</v>
      </c>
      <c r="Q2666" s="46">
        <v>602608142</v>
      </c>
      <c r="R2666" s="49">
        <f t="shared" si="729"/>
        <v>1</v>
      </c>
      <c r="S2666" s="50">
        <f t="shared" si="730"/>
        <v>0.01</v>
      </c>
      <c r="T2666" s="49">
        <f t="shared" si="731"/>
        <v>2638786.4</v>
      </c>
      <c r="U2666" s="51">
        <f t="shared" si="732"/>
        <v>0</v>
      </c>
      <c r="V2666" s="52">
        <f>IF(0&lt;0.8,0,IF(0&lt;1,Sheet3!L561,1))*IF(G2666&lt;3,0.12 - O2666,0.01) *U2666</f>
        <v>0</v>
      </c>
      <c r="W2666" s="52">
        <f t="shared" si="733"/>
        <v>0</v>
      </c>
      <c r="X2666" s="53">
        <f t="shared" si="734"/>
        <v>0</v>
      </c>
      <c r="Y2666" s="53">
        <f t="shared" si="735"/>
        <v>0</v>
      </c>
      <c r="Z2666" s="54">
        <f>IF(R2666=1,0,600000)</f>
        <v>0</v>
      </c>
      <c r="AA2666" s="54">
        <f t="shared" si="736"/>
        <v>0</v>
      </c>
      <c r="AB2666" s="55">
        <f t="shared" si="743"/>
        <v>0</v>
      </c>
      <c r="AC2666" s="55">
        <f t="shared" si="737"/>
        <v>0</v>
      </c>
      <c r="AD2666" s="56">
        <f t="shared" si="738"/>
        <v>2638786.4</v>
      </c>
    </row>
    <row r="2667" spans="3:30">
      <c r="C2667" s="43" t="s">
        <v>4991</v>
      </c>
      <c r="D2667" s="44" t="s">
        <v>4992</v>
      </c>
      <c r="E2667" s="44"/>
      <c r="F2667" s="45">
        <v>43250.452557870369</v>
      </c>
      <c r="G2667" s="46">
        <v>4</v>
      </c>
      <c r="H2667" s="47">
        <v>43398</v>
      </c>
      <c r="I2667" s="47">
        <v>43463</v>
      </c>
      <c r="J2667" s="46">
        <v>114587</v>
      </c>
      <c r="K2667" s="46">
        <v>0</v>
      </c>
      <c r="L2667" s="46">
        <v>0</v>
      </c>
      <c r="M2667" s="46">
        <f t="shared" si="727"/>
        <v>114587</v>
      </c>
      <c r="N2667" s="46">
        <v>114587</v>
      </c>
      <c r="O2667" s="48">
        <f t="shared" si="728"/>
        <v>0</v>
      </c>
      <c r="P2667" s="46">
        <v>0</v>
      </c>
      <c r="Q2667" s="46">
        <v>114587</v>
      </c>
      <c r="R2667" s="49">
        <f t="shared" si="729"/>
        <v>1</v>
      </c>
      <c r="S2667" s="50">
        <f t="shared" si="730"/>
        <v>0.01</v>
      </c>
      <c r="T2667" s="49">
        <f t="shared" si="731"/>
        <v>1145.8700000000001</v>
      </c>
      <c r="U2667" s="51">
        <f t="shared" si="732"/>
        <v>0</v>
      </c>
      <c r="V2667" s="52">
        <f>IF(0&lt;0.8,0,IF(0&lt;1,Sheet3!L561,1))*IF(G2667&lt;3,0.12 - O2667,0.01) *U2667</f>
        <v>0</v>
      </c>
      <c r="W2667" s="52">
        <f t="shared" si="733"/>
        <v>0</v>
      </c>
      <c r="X2667" s="53">
        <f t="shared" si="734"/>
        <v>0</v>
      </c>
      <c r="Y2667" s="53">
        <f t="shared" si="735"/>
        <v>0</v>
      </c>
      <c r="Z2667" s="54">
        <f>IF(R2667=1,0,0)</f>
        <v>0</v>
      </c>
      <c r="AA2667" s="54">
        <f t="shared" si="736"/>
        <v>0</v>
      </c>
      <c r="AB2667" s="55">
        <f t="shared" si="743"/>
        <v>0</v>
      </c>
      <c r="AC2667" s="55">
        <f t="shared" si="737"/>
        <v>0</v>
      </c>
      <c r="AD2667" s="56">
        <f t="shared" si="738"/>
        <v>1145.8700000000001</v>
      </c>
    </row>
    <row r="2668" spans="3:30">
      <c r="C2668" s="43" t="s">
        <v>4993</v>
      </c>
      <c r="D2668" s="44" t="s">
        <v>2689</v>
      </c>
      <c r="E2668" s="44"/>
      <c r="F2668" s="45">
        <v>43298.16674768518</v>
      </c>
      <c r="G2668" s="46">
        <v>2</v>
      </c>
      <c r="H2668" s="47" t="s">
        <v>24</v>
      </c>
      <c r="I2668" s="47" t="s">
        <v>24</v>
      </c>
      <c r="J2668" s="46">
        <v>5396793</v>
      </c>
      <c r="K2668" s="46">
        <v>0</v>
      </c>
      <c r="L2668" s="46">
        <v>0</v>
      </c>
      <c r="M2668" s="46">
        <f t="shared" si="727"/>
        <v>5396793</v>
      </c>
      <c r="N2668" s="46" t="s">
        <v>24</v>
      </c>
      <c r="O2668" s="48">
        <f t="shared" si="728"/>
        <v>0</v>
      </c>
      <c r="P2668" s="46">
        <v>0</v>
      </c>
      <c r="Q2668" s="46">
        <v>0</v>
      </c>
      <c r="R2668" s="49">
        <f t="shared" si="729"/>
        <v>0</v>
      </c>
      <c r="S2668" s="50">
        <f t="shared" si="730"/>
        <v>0</v>
      </c>
      <c r="T2668" s="49">
        <f t="shared" si="731"/>
        <v>0</v>
      </c>
      <c r="U2668" s="51">
        <f t="shared" si="732"/>
        <v>5396793</v>
      </c>
      <c r="V2668" s="52">
        <f>IF(0&lt;0.8,0,IF(0&lt;1,Sheet3!L561,1))*IF(G2668&lt;3,0.12 - O2668,0.01) *U2668</f>
        <v>0</v>
      </c>
      <c r="W2668" s="52">
        <f t="shared" si="733"/>
        <v>0</v>
      </c>
      <c r="X2668" s="53">
        <f t="shared" si="734"/>
        <v>0</v>
      </c>
      <c r="Y2668" s="53">
        <f t="shared" si="735"/>
        <v>0</v>
      </c>
      <c r="Z2668" s="54" t="str">
        <f>IF(R2668=1,0,"")</f>
        <v/>
      </c>
      <c r="AA2668" s="54">
        <f t="shared" si="736"/>
        <v>0</v>
      </c>
      <c r="AB2668" s="55" t="str">
        <f>IF(R2668=0,"",0)</f>
        <v/>
      </c>
      <c r="AC2668" s="55">
        <f t="shared" si="737"/>
        <v>0</v>
      </c>
      <c r="AD2668" s="56">
        <f t="shared" si="738"/>
        <v>0</v>
      </c>
    </row>
    <row r="2669" spans="3:30">
      <c r="C2669" s="43" t="s">
        <v>4994</v>
      </c>
      <c r="D2669" s="44" t="s">
        <v>4995</v>
      </c>
      <c r="E2669" s="44"/>
      <c r="F2669" s="45">
        <v>43319.342372685183</v>
      </c>
      <c r="G2669" s="46">
        <v>1</v>
      </c>
      <c r="H2669" s="47">
        <v>43390</v>
      </c>
      <c r="I2669" s="47">
        <v>43405</v>
      </c>
      <c r="J2669" s="46">
        <v>627470</v>
      </c>
      <c r="K2669" s="46">
        <v>0</v>
      </c>
      <c r="L2669" s="46">
        <v>0</v>
      </c>
      <c r="M2669" s="46">
        <f t="shared" si="727"/>
        <v>627470</v>
      </c>
      <c r="N2669" s="46">
        <v>626780</v>
      </c>
      <c r="O2669" s="48">
        <f t="shared" si="728"/>
        <v>0</v>
      </c>
      <c r="P2669" s="46">
        <v>0</v>
      </c>
      <c r="Q2669" s="46">
        <v>0</v>
      </c>
      <c r="R2669" s="49">
        <f t="shared" si="729"/>
        <v>0</v>
      </c>
      <c r="S2669" s="50">
        <f t="shared" si="730"/>
        <v>0</v>
      </c>
      <c r="T2669" s="49">
        <f t="shared" si="731"/>
        <v>0</v>
      </c>
      <c r="U2669" s="51">
        <f t="shared" si="732"/>
        <v>627470</v>
      </c>
      <c r="V2669" s="52">
        <f>IF(0&lt;0.8,0,IF(0&lt;1,Sheet3!L561,1))*IF(G2669&lt;3,0.12 - O2669,0.01) *U2669</f>
        <v>0</v>
      </c>
      <c r="W2669" s="52">
        <f t="shared" si="733"/>
        <v>0</v>
      </c>
      <c r="X2669" s="53">
        <f t="shared" si="734"/>
        <v>0</v>
      </c>
      <c r="Y2669" s="53">
        <f t="shared" si="735"/>
        <v>0</v>
      </c>
      <c r="Z2669" s="54">
        <f>IF(R2669=1,0,0)</f>
        <v>0</v>
      </c>
      <c r="AA2669" s="54">
        <f t="shared" si="736"/>
        <v>0</v>
      </c>
      <c r="AB2669" s="55">
        <f>IF(R2669=0,0,0)</f>
        <v>0</v>
      </c>
      <c r="AC2669" s="55">
        <f t="shared" si="737"/>
        <v>0</v>
      </c>
      <c r="AD2669" s="56">
        <f t="shared" si="738"/>
        <v>0</v>
      </c>
    </row>
    <row r="2670" spans="3:30">
      <c r="C2670" s="43" t="s">
        <v>4996</v>
      </c>
      <c r="D2670" s="44" t="s">
        <v>4997</v>
      </c>
      <c r="E2670" s="44"/>
      <c r="F2670" s="45">
        <v>43321.083472222221</v>
      </c>
      <c r="G2670" s="46">
        <v>1</v>
      </c>
      <c r="H2670" s="47">
        <v>43390</v>
      </c>
      <c r="I2670" s="47">
        <v>43395</v>
      </c>
      <c r="J2670" s="46">
        <v>79860</v>
      </c>
      <c r="K2670" s="46">
        <v>0</v>
      </c>
      <c r="L2670" s="46">
        <v>0</v>
      </c>
      <c r="M2670" s="46">
        <f t="shared" si="727"/>
        <v>79860</v>
      </c>
      <c r="N2670" s="46">
        <v>79860</v>
      </c>
      <c r="O2670" s="48">
        <f t="shared" si="728"/>
        <v>0</v>
      </c>
      <c r="P2670" s="46">
        <v>0</v>
      </c>
      <c r="Q2670" s="46">
        <v>0</v>
      </c>
      <c r="R2670" s="49">
        <f t="shared" si="729"/>
        <v>0</v>
      </c>
      <c r="S2670" s="50">
        <f t="shared" si="730"/>
        <v>0</v>
      </c>
      <c r="T2670" s="49">
        <f t="shared" si="731"/>
        <v>0</v>
      </c>
      <c r="U2670" s="51">
        <f t="shared" si="732"/>
        <v>79860</v>
      </c>
      <c r="V2670" s="52">
        <f>IF(0&lt;0.8,0,IF(0&lt;1,Sheet3!L561,1))*IF(G2670&lt;3,0.12 - O2670,0.01) *U2670</f>
        <v>0</v>
      </c>
      <c r="W2670" s="52">
        <f t="shared" si="733"/>
        <v>0</v>
      </c>
      <c r="X2670" s="53">
        <f t="shared" si="734"/>
        <v>0</v>
      </c>
      <c r="Y2670" s="53">
        <f t="shared" si="735"/>
        <v>0</v>
      </c>
      <c r="Z2670" s="54">
        <f>IF(R2670=1,0,0)</f>
        <v>0</v>
      </c>
      <c r="AA2670" s="54">
        <f t="shared" si="736"/>
        <v>0</v>
      </c>
      <c r="AB2670" s="55">
        <f>IF(R2670=0,0,0)</f>
        <v>0</v>
      </c>
      <c r="AC2670" s="55">
        <f t="shared" si="737"/>
        <v>0</v>
      </c>
      <c r="AD2670" s="56">
        <f t="shared" si="738"/>
        <v>0</v>
      </c>
    </row>
    <row r="2671" spans="3:30">
      <c r="C2671" s="43" t="s">
        <v>4998</v>
      </c>
      <c r="D2671" s="44" t="s">
        <v>4999</v>
      </c>
      <c r="E2671" s="44"/>
      <c r="F2671" s="45">
        <v>43334.209953703699</v>
      </c>
      <c r="G2671" s="46">
        <v>1</v>
      </c>
      <c r="H2671" s="47">
        <v>43388</v>
      </c>
      <c r="I2671" s="47">
        <v>43399</v>
      </c>
      <c r="J2671" s="46">
        <v>26546739</v>
      </c>
      <c r="K2671" s="46">
        <v>2475000</v>
      </c>
      <c r="L2671" s="46">
        <v>0</v>
      </c>
      <c r="M2671" s="46">
        <f t="shared" si="727"/>
        <v>24071739</v>
      </c>
      <c r="N2671" s="46">
        <v>26610339</v>
      </c>
      <c r="O2671" s="48">
        <f t="shared" si="728"/>
        <v>9.5399010136623996E-2</v>
      </c>
      <c r="P2671" s="46">
        <v>0</v>
      </c>
      <c r="Q2671" s="46">
        <v>0</v>
      </c>
      <c r="R2671" s="49">
        <f t="shared" si="729"/>
        <v>0</v>
      </c>
      <c r="S2671" s="50">
        <f t="shared" si="730"/>
        <v>0</v>
      </c>
      <c r="T2671" s="49">
        <f t="shared" si="731"/>
        <v>0</v>
      </c>
      <c r="U2671" s="51">
        <f t="shared" si="732"/>
        <v>24071739</v>
      </c>
      <c r="V2671" s="52">
        <f>IF(0&lt;0.8,0,IF(0&lt;1,Sheet3!L561,1))*IF(G2671&lt;3,0.12 - O2671,0.01) *U2671</f>
        <v>0</v>
      </c>
      <c r="W2671" s="52">
        <f t="shared" si="733"/>
        <v>0</v>
      </c>
      <c r="X2671" s="53">
        <f t="shared" si="734"/>
        <v>0</v>
      </c>
      <c r="Y2671" s="53">
        <f t="shared" si="735"/>
        <v>0</v>
      </c>
      <c r="Z2671" s="54">
        <f>IF(R2671=1,0,0)</f>
        <v>0</v>
      </c>
      <c r="AA2671" s="54">
        <f t="shared" si="736"/>
        <v>0</v>
      </c>
      <c r="AB2671" s="55">
        <f>IF(R2671=0,0,0)</f>
        <v>0</v>
      </c>
      <c r="AC2671" s="55">
        <f t="shared" si="737"/>
        <v>0</v>
      </c>
      <c r="AD2671" s="56">
        <f t="shared" si="738"/>
        <v>0</v>
      </c>
    </row>
    <row r="2672" spans="3:30">
      <c r="C2672" s="43" t="s">
        <v>5000</v>
      </c>
      <c r="D2672" s="44" t="s">
        <v>5001</v>
      </c>
      <c r="E2672" s="44"/>
      <c r="F2672" s="45">
        <v>43339.135474537034</v>
      </c>
      <c r="G2672" s="46">
        <v>1</v>
      </c>
      <c r="H2672" s="47">
        <v>43386</v>
      </c>
      <c r="I2672" s="47">
        <v>43411</v>
      </c>
      <c r="J2672" s="46">
        <v>686730</v>
      </c>
      <c r="K2672" s="46">
        <v>0</v>
      </c>
      <c r="L2672" s="46">
        <v>0</v>
      </c>
      <c r="M2672" s="46">
        <f t="shared" si="727"/>
        <v>686730</v>
      </c>
      <c r="N2672" s="46">
        <v>735823</v>
      </c>
      <c r="O2672" s="48">
        <f t="shared" si="728"/>
        <v>6.6718490723992052E-2</v>
      </c>
      <c r="P2672" s="46">
        <v>0</v>
      </c>
      <c r="Q2672" s="46">
        <v>0</v>
      </c>
      <c r="R2672" s="49">
        <f t="shared" si="729"/>
        <v>0</v>
      </c>
      <c r="S2672" s="50">
        <f t="shared" si="730"/>
        <v>0</v>
      </c>
      <c r="T2672" s="49">
        <f t="shared" si="731"/>
        <v>0</v>
      </c>
      <c r="U2672" s="51">
        <f t="shared" si="732"/>
        <v>686730</v>
      </c>
      <c r="V2672" s="52">
        <f>IF(0&lt;0.8,0,IF(0&lt;1,Sheet3!L561,1))*IF(G2672&lt;3,0.12 - O2672,0.01) *U2672</f>
        <v>0</v>
      </c>
      <c r="W2672" s="52">
        <f t="shared" si="733"/>
        <v>0</v>
      </c>
      <c r="X2672" s="53">
        <f t="shared" si="734"/>
        <v>0</v>
      </c>
      <c r="Y2672" s="53">
        <f t="shared" si="735"/>
        <v>0</v>
      </c>
      <c r="Z2672" s="54">
        <f>IF(R2672=1,0,0)</f>
        <v>0</v>
      </c>
      <c r="AA2672" s="54">
        <f t="shared" si="736"/>
        <v>0</v>
      </c>
      <c r="AB2672" s="55">
        <f>IF(R2672=0,0,0)</f>
        <v>0</v>
      </c>
      <c r="AC2672" s="55">
        <f t="shared" si="737"/>
        <v>0</v>
      </c>
      <c r="AD2672" s="56">
        <f t="shared" si="738"/>
        <v>0</v>
      </c>
    </row>
    <row r="2673" spans="3:30">
      <c r="C2673" s="43" t="s">
        <v>5002</v>
      </c>
      <c r="D2673" s="44" t="s">
        <v>24</v>
      </c>
      <c r="E2673" s="44"/>
      <c r="F2673" s="45" t="s">
        <v>24</v>
      </c>
      <c r="G2673" s="46" t="s">
        <v>24</v>
      </c>
      <c r="H2673" s="47" t="s">
        <v>24</v>
      </c>
      <c r="I2673" s="47" t="s">
        <v>24</v>
      </c>
      <c r="J2673" s="46">
        <v>33130163</v>
      </c>
      <c r="K2673" s="46">
        <v>0</v>
      </c>
      <c r="L2673" s="46">
        <v>0</v>
      </c>
      <c r="M2673" s="46">
        <f t="shared" si="727"/>
        <v>33130163</v>
      </c>
      <c r="N2673" s="46" t="s">
        <v>24</v>
      </c>
      <c r="O2673" s="48">
        <f t="shared" si="728"/>
        <v>0</v>
      </c>
      <c r="P2673" s="46">
        <v>0</v>
      </c>
      <c r="Q2673" s="46">
        <v>0</v>
      </c>
      <c r="R2673" s="49">
        <f t="shared" si="729"/>
        <v>0</v>
      </c>
      <c r="S2673" s="50">
        <f t="shared" si="730"/>
        <v>0</v>
      </c>
      <c r="T2673" s="49">
        <f t="shared" si="731"/>
        <v>0</v>
      </c>
      <c r="U2673" s="51">
        <f t="shared" si="732"/>
        <v>33130163</v>
      </c>
      <c r="V2673" s="52">
        <f>IF(0&lt;0.8,0,IF(0&lt;1,Sheet3!L561,1))*IF(G2673&lt;3,0.12 - O2673,0.01) *U2673</f>
        <v>0</v>
      </c>
      <c r="W2673" s="52">
        <f t="shared" si="733"/>
        <v>0</v>
      </c>
      <c r="X2673" s="53">
        <f t="shared" si="734"/>
        <v>0</v>
      </c>
      <c r="Y2673" s="53">
        <f t="shared" si="735"/>
        <v>0</v>
      </c>
      <c r="Z2673" s="54" t="str">
        <f>IF(R2673=1,0,"")</f>
        <v/>
      </c>
      <c r="AA2673" s="54">
        <f t="shared" si="736"/>
        <v>0</v>
      </c>
      <c r="AB2673" s="55" t="str">
        <f>IF(R2673=0,"",0)</f>
        <v/>
      </c>
      <c r="AC2673" s="55">
        <f t="shared" si="737"/>
        <v>0</v>
      </c>
      <c r="AD2673" s="56">
        <f t="shared" si="738"/>
        <v>0</v>
      </c>
    </row>
    <row r="2674" spans="3:30">
      <c r="C2674" s="43" t="s">
        <v>5003</v>
      </c>
      <c r="D2674" s="44" t="s">
        <v>5004</v>
      </c>
      <c r="E2674" s="44"/>
      <c r="F2674" s="45">
        <v>43343.16914351852</v>
      </c>
      <c r="G2674" s="46">
        <v>1</v>
      </c>
      <c r="H2674" s="47">
        <v>43390</v>
      </c>
      <c r="I2674" s="47">
        <v>43397</v>
      </c>
      <c r="J2674" s="46">
        <v>777425</v>
      </c>
      <c r="K2674" s="46">
        <v>0</v>
      </c>
      <c r="L2674" s="46">
        <v>0</v>
      </c>
      <c r="M2674" s="46">
        <f t="shared" si="727"/>
        <v>777425</v>
      </c>
      <c r="N2674" s="46">
        <v>777425</v>
      </c>
      <c r="O2674" s="48">
        <f t="shared" si="728"/>
        <v>0</v>
      </c>
      <c r="P2674" s="46">
        <v>0</v>
      </c>
      <c r="Q2674" s="46">
        <v>0</v>
      </c>
      <c r="R2674" s="49">
        <f t="shared" si="729"/>
        <v>0</v>
      </c>
      <c r="S2674" s="50">
        <f t="shared" si="730"/>
        <v>0</v>
      </c>
      <c r="T2674" s="49">
        <f t="shared" si="731"/>
        <v>0</v>
      </c>
      <c r="U2674" s="51">
        <f t="shared" si="732"/>
        <v>777425</v>
      </c>
      <c r="V2674" s="52">
        <f>IF(0&lt;0.8,0,IF(0&lt;1,Sheet3!L561,1))*IF(G2674&lt;3,0.12 - O2674,0.01) *U2674</f>
        <v>0</v>
      </c>
      <c r="W2674" s="52">
        <f t="shared" si="733"/>
        <v>0</v>
      </c>
      <c r="X2674" s="53">
        <f t="shared" si="734"/>
        <v>0</v>
      </c>
      <c r="Y2674" s="53">
        <f t="shared" si="735"/>
        <v>0</v>
      </c>
      <c r="Z2674" s="54">
        <f>IF(R2674=1,0,0)</f>
        <v>0</v>
      </c>
      <c r="AA2674" s="54">
        <f t="shared" si="736"/>
        <v>0</v>
      </c>
      <c r="AB2674" s="55">
        <f t="shared" ref="AB2674:AB2699" si="744">IF(R2674=0,0,0)</f>
        <v>0</v>
      </c>
      <c r="AC2674" s="55">
        <f t="shared" si="737"/>
        <v>0</v>
      </c>
      <c r="AD2674" s="56">
        <f t="shared" si="738"/>
        <v>0</v>
      </c>
    </row>
    <row r="2675" spans="3:30">
      <c r="C2675" s="43" t="s">
        <v>5005</v>
      </c>
      <c r="D2675" s="44" t="s">
        <v>5006</v>
      </c>
      <c r="E2675" s="44"/>
      <c r="F2675" s="45">
        <v>43351.10356481481</v>
      </c>
      <c r="G2675" s="46">
        <v>0</v>
      </c>
      <c r="H2675" s="47">
        <v>43388</v>
      </c>
      <c r="I2675" s="47">
        <v>43420</v>
      </c>
      <c r="J2675" s="46">
        <v>191116200</v>
      </c>
      <c r="K2675" s="46">
        <v>0</v>
      </c>
      <c r="L2675" s="46">
        <v>0</v>
      </c>
      <c r="M2675" s="46">
        <f t="shared" ref="M2675:M2738" si="745">IFERROR(J2675-K2675-L2675,0)</f>
        <v>191116200</v>
      </c>
      <c r="N2675" s="46">
        <v>325321409</v>
      </c>
      <c r="O2675" s="48">
        <f t="shared" ref="O2675:O2738" si="746">IFERROR(IF(1 - M2675/N2675&lt;0,0,1-M2675/N2675),0)</f>
        <v>0.4125311316354221</v>
      </c>
      <c r="P2675" s="46">
        <v>0</v>
      </c>
      <c r="Q2675" s="46">
        <v>0</v>
      </c>
      <c r="R2675" s="49">
        <f t="shared" ref="R2675:R2738" si="747">IF(F2675&lt;DATEVALUE("2018-07-01"),1,0)</f>
        <v>0</v>
      </c>
      <c r="S2675" s="50">
        <f t="shared" ref="S2675:S2738" si="748">IF(R2675=1,1%,0)</f>
        <v>0</v>
      </c>
      <c r="T2675" s="49">
        <f t="shared" ref="T2675:T2738" si="749">IFERROR(S2675*M2675,0)</f>
        <v>0</v>
      </c>
      <c r="U2675" s="51">
        <f t="shared" ref="U2675:U2738" si="750">IF(O2675&lt;=0.12,1,0)*(1-R2675)*M2675</f>
        <v>0</v>
      </c>
      <c r="V2675" s="52">
        <f>IF(0&lt;0.8,0,IF(0&lt;1,Sheet3!L561,1))*IF(G2675&lt;3,0.12 - O2675,0.01) *U2675</f>
        <v>0</v>
      </c>
      <c r="W2675" s="52">
        <f t="shared" ref="W2675:W2738" si="751">IF(0&gt;1,IF(0&lt;=1.1,1,IF(0&lt;=1.2,2,IF(0&lt;=1.5,3,5))),0) * 1000000</f>
        <v>0</v>
      </c>
      <c r="X2675" s="53">
        <f t="shared" ref="X2675:X2738" si="752">IF(AND(P2675&gt;=150000000,P2675&lt;300000000),5000000,IF(AND(P2675&gt;=300000000,P2675&lt;500000000),10000000,IF(AND(P2675&gt;=300000000,P2675&lt;500000000),15000000,IF(AND(P2675&gt;=500000000,P2675&lt;3000000000),20000000,IF(P2675&gt;=30000000000,35000000,0))))) * (1-R2675)</f>
        <v>0</v>
      </c>
      <c r="Y2675" s="53">
        <f t="shared" ref="Y2675:Y2738" si="753">IFERROR(Q2675 * (1-R2675),0)</f>
        <v>0</v>
      </c>
      <c r="Z2675" s="54">
        <f>IF(R2675=1,0,0)</f>
        <v>0</v>
      </c>
      <c r="AA2675" s="54">
        <f t="shared" ref="AA2675:AA2738" si="754">IFERROR((1-R2675) * Z2675 * 2%,0)</f>
        <v>0</v>
      </c>
      <c r="AB2675" s="55">
        <f t="shared" si="744"/>
        <v>0</v>
      </c>
      <c r="AC2675" s="55">
        <f t="shared" ref="AC2675:AC2738" si="755">IFERROR(AB2675 * (1-R2675) * 2%,0)</f>
        <v>0</v>
      </c>
      <c r="AD2675" s="56">
        <f t="shared" ref="AD2675:AD2738" si="756">T2675+V2675+W2675+X2675+AA2675+AC2675</f>
        <v>0</v>
      </c>
    </row>
    <row r="2676" spans="3:30">
      <c r="C2676" s="43" t="s">
        <v>5007</v>
      </c>
      <c r="D2676" s="44" t="s">
        <v>5008</v>
      </c>
      <c r="E2676" s="44"/>
      <c r="F2676" s="45">
        <v>43351.113078703704</v>
      </c>
      <c r="G2676" s="46">
        <v>0</v>
      </c>
      <c r="H2676" s="47">
        <v>43386</v>
      </c>
      <c r="I2676" s="47">
        <v>43397</v>
      </c>
      <c r="J2676" s="46">
        <v>1385329</v>
      </c>
      <c r="K2676" s="46">
        <v>0</v>
      </c>
      <c r="L2676" s="46">
        <v>0</v>
      </c>
      <c r="M2676" s="46">
        <f t="shared" si="745"/>
        <v>1385329</v>
      </c>
      <c r="N2676" s="46">
        <v>1385329</v>
      </c>
      <c r="O2676" s="48">
        <f t="shared" si="746"/>
        <v>0</v>
      </c>
      <c r="P2676" s="46">
        <v>0</v>
      </c>
      <c r="Q2676" s="46">
        <v>0</v>
      </c>
      <c r="R2676" s="49">
        <f t="shared" si="747"/>
        <v>0</v>
      </c>
      <c r="S2676" s="50">
        <f t="shared" si="748"/>
        <v>0</v>
      </c>
      <c r="T2676" s="49">
        <f t="shared" si="749"/>
        <v>0</v>
      </c>
      <c r="U2676" s="51">
        <f t="shared" si="750"/>
        <v>1385329</v>
      </c>
      <c r="V2676" s="52">
        <f>IF(0&lt;0.8,0,IF(0&lt;1,Sheet3!L561,1))*IF(G2676&lt;3,0.12 - O2676,0.01) *U2676</f>
        <v>0</v>
      </c>
      <c r="W2676" s="52">
        <f t="shared" si="751"/>
        <v>0</v>
      </c>
      <c r="X2676" s="53">
        <f t="shared" si="752"/>
        <v>0</v>
      </c>
      <c r="Y2676" s="53">
        <f t="shared" si="753"/>
        <v>0</v>
      </c>
      <c r="Z2676" s="54">
        <f>IF(R2676=1,0,0)</f>
        <v>0</v>
      </c>
      <c r="AA2676" s="54">
        <f t="shared" si="754"/>
        <v>0</v>
      </c>
      <c r="AB2676" s="55">
        <f t="shared" si="744"/>
        <v>0</v>
      </c>
      <c r="AC2676" s="55">
        <f t="shared" si="755"/>
        <v>0</v>
      </c>
      <c r="AD2676" s="56">
        <f t="shared" si="756"/>
        <v>0</v>
      </c>
    </row>
    <row r="2677" spans="3:30">
      <c r="C2677" s="43" t="s">
        <v>5009</v>
      </c>
      <c r="D2677" s="44" t="s">
        <v>5010</v>
      </c>
      <c r="E2677" s="44"/>
      <c r="F2677" s="45">
        <v>43356.334976851853</v>
      </c>
      <c r="G2677" s="46">
        <v>0</v>
      </c>
      <c r="H2677" s="47">
        <v>43362</v>
      </c>
      <c r="I2677" s="47">
        <v>43354</v>
      </c>
      <c r="J2677" s="46">
        <v>22000000</v>
      </c>
      <c r="K2677" s="46">
        <v>0</v>
      </c>
      <c r="L2677" s="46">
        <v>0</v>
      </c>
      <c r="M2677" s="46">
        <f t="shared" si="745"/>
        <v>22000000</v>
      </c>
      <c r="N2677" s="46">
        <v>39181187</v>
      </c>
      <c r="O2677" s="48">
        <f t="shared" si="746"/>
        <v>0.43850603607287342</v>
      </c>
      <c r="P2677" s="46">
        <v>0</v>
      </c>
      <c r="Q2677" s="46">
        <v>0</v>
      </c>
      <c r="R2677" s="49">
        <f t="shared" si="747"/>
        <v>0</v>
      </c>
      <c r="S2677" s="50">
        <f t="shared" si="748"/>
        <v>0</v>
      </c>
      <c r="T2677" s="49">
        <f t="shared" si="749"/>
        <v>0</v>
      </c>
      <c r="U2677" s="51">
        <f t="shared" si="750"/>
        <v>0</v>
      </c>
      <c r="V2677" s="52">
        <f>IF(0&lt;0.8,0,IF(0&lt;1,Sheet3!L561,1))*IF(G2677&lt;3,0.12 - O2677,0.01) *U2677</f>
        <v>0</v>
      </c>
      <c r="W2677" s="52">
        <f t="shared" si="751"/>
        <v>0</v>
      </c>
      <c r="X2677" s="53">
        <f t="shared" si="752"/>
        <v>0</v>
      </c>
      <c r="Y2677" s="53">
        <f t="shared" si="753"/>
        <v>0</v>
      </c>
      <c r="Z2677" s="54">
        <f>IF(R2677=1,0,22000000)</f>
        <v>22000000</v>
      </c>
      <c r="AA2677" s="54">
        <f t="shared" si="754"/>
        <v>440000</v>
      </c>
      <c r="AB2677" s="55">
        <f t="shared" si="744"/>
        <v>0</v>
      </c>
      <c r="AC2677" s="55">
        <f t="shared" si="755"/>
        <v>0</v>
      </c>
      <c r="AD2677" s="56">
        <f t="shared" si="756"/>
        <v>440000</v>
      </c>
    </row>
    <row r="2678" spans="3:30">
      <c r="C2678" s="43" t="s">
        <v>5011</v>
      </c>
      <c r="D2678" s="44" t="s">
        <v>5012</v>
      </c>
      <c r="E2678" s="44"/>
      <c r="F2678" s="45">
        <v>43361.32708333333</v>
      </c>
      <c r="G2678" s="46">
        <v>0</v>
      </c>
      <c r="H2678" s="47">
        <v>43390</v>
      </c>
      <c r="I2678" s="47">
        <v>43397</v>
      </c>
      <c r="J2678" s="46">
        <v>401067</v>
      </c>
      <c r="K2678" s="46">
        <v>0</v>
      </c>
      <c r="L2678" s="46">
        <v>0</v>
      </c>
      <c r="M2678" s="46">
        <f t="shared" si="745"/>
        <v>401067</v>
      </c>
      <c r="N2678" s="46">
        <v>401067</v>
      </c>
      <c r="O2678" s="48">
        <f t="shared" si="746"/>
        <v>0</v>
      </c>
      <c r="P2678" s="46">
        <v>0</v>
      </c>
      <c r="Q2678" s="46">
        <v>0</v>
      </c>
      <c r="R2678" s="49">
        <f t="shared" si="747"/>
        <v>0</v>
      </c>
      <c r="S2678" s="50">
        <f t="shared" si="748"/>
        <v>0</v>
      </c>
      <c r="T2678" s="49">
        <f t="shared" si="749"/>
        <v>0</v>
      </c>
      <c r="U2678" s="51">
        <f t="shared" si="750"/>
        <v>401067</v>
      </c>
      <c r="V2678" s="52">
        <f>IF(0&lt;0.8,0,IF(0&lt;1,Sheet3!L561,1))*IF(G2678&lt;3,0.12 - O2678,0.01) *U2678</f>
        <v>0</v>
      </c>
      <c r="W2678" s="52">
        <f t="shared" si="751"/>
        <v>0</v>
      </c>
      <c r="X2678" s="53">
        <f t="shared" si="752"/>
        <v>0</v>
      </c>
      <c r="Y2678" s="53">
        <f t="shared" si="753"/>
        <v>0</v>
      </c>
      <c r="Z2678" s="54">
        <f t="shared" ref="Z2678:Z2699" si="757">IF(R2678=1,0,0)</f>
        <v>0</v>
      </c>
      <c r="AA2678" s="54">
        <f t="shared" si="754"/>
        <v>0</v>
      </c>
      <c r="AB2678" s="55">
        <f t="shared" si="744"/>
        <v>0</v>
      </c>
      <c r="AC2678" s="55">
        <f t="shared" si="755"/>
        <v>0</v>
      </c>
      <c r="AD2678" s="56">
        <f t="shared" si="756"/>
        <v>0</v>
      </c>
    </row>
    <row r="2679" spans="3:30">
      <c r="C2679" s="43" t="s">
        <v>5013</v>
      </c>
      <c r="D2679" s="44" t="s">
        <v>5014</v>
      </c>
      <c r="E2679" s="44"/>
      <c r="F2679" s="45">
        <v>39275.117534722223</v>
      </c>
      <c r="G2679" s="46">
        <v>134</v>
      </c>
      <c r="H2679" s="47">
        <v>43391</v>
      </c>
      <c r="I2679" s="47">
        <v>43403</v>
      </c>
      <c r="J2679" s="46">
        <v>188324</v>
      </c>
      <c r="K2679" s="46">
        <v>0</v>
      </c>
      <c r="L2679" s="46">
        <v>0</v>
      </c>
      <c r="M2679" s="46">
        <f t="shared" si="745"/>
        <v>188324</v>
      </c>
      <c r="N2679" s="46">
        <v>188324</v>
      </c>
      <c r="O2679" s="48">
        <f t="shared" si="746"/>
        <v>0</v>
      </c>
      <c r="P2679" s="46">
        <v>0</v>
      </c>
      <c r="Q2679" s="46">
        <v>188324</v>
      </c>
      <c r="R2679" s="49">
        <f t="shared" si="747"/>
        <v>1</v>
      </c>
      <c r="S2679" s="50">
        <f t="shared" si="748"/>
        <v>0.01</v>
      </c>
      <c r="T2679" s="49">
        <f t="shared" si="749"/>
        <v>1883.24</v>
      </c>
      <c r="U2679" s="51">
        <f t="shared" si="750"/>
        <v>0</v>
      </c>
      <c r="V2679" s="52">
        <f>IF(0&lt;0.8,0,IF(0&lt;1,Sheet3!L561,1))*IF(G2679&lt;3,0.12 - O2679,0.01) *U2679</f>
        <v>0</v>
      </c>
      <c r="W2679" s="52">
        <f t="shared" si="751"/>
        <v>0</v>
      </c>
      <c r="X2679" s="53">
        <f t="shared" si="752"/>
        <v>0</v>
      </c>
      <c r="Y2679" s="53">
        <f t="shared" si="753"/>
        <v>0</v>
      </c>
      <c r="Z2679" s="54">
        <f t="shared" si="757"/>
        <v>0</v>
      </c>
      <c r="AA2679" s="54">
        <f t="shared" si="754"/>
        <v>0</v>
      </c>
      <c r="AB2679" s="55">
        <f t="shared" si="744"/>
        <v>0</v>
      </c>
      <c r="AC2679" s="55">
        <f t="shared" si="755"/>
        <v>0</v>
      </c>
      <c r="AD2679" s="56">
        <f t="shared" si="756"/>
        <v>1883.24</v>
      </c>
    </row>
    <row r="2680" spans="3:30">
      <c r="C2680" s="43" t="s">
        <v>5015</v>
      </c>
      <c r="D2680" s="44" t="s">
        <v>5016</v>
      </c>
      <c r="E2680" s="44"/>
      <c r="F2680" s="45">
        <v>40303.419618055552</v>
      </c>
      <c r="G2680" s="46">
        <v>100</v>
      </c>
      <c r="H2680" s="47">
        <v>43390</v>
      </c>
      <c r="I2680" s="47">
        <v>43416</v>
      </c>
      <c r="J2680" s="46">
        <v>740732</v>
      </c>
      <c r="K2680" s="46">
        <v>0</v>
      </c>
      <c r="L2680" s="46">
        <v>0</v>
      </c>
      <c r="M2680" s="46">
        <f t="shared" si="745"/>
        <v>740732</v>
      </c>
      <c r="N2680" s="46">
        <v>739576</v>
      </c>
      <c r="O2680" s="48">
        <f t="shared" si="746"/>
        <v>0</v>
      </c>
      <c r="P2680" s="46">
        <v>0</v>
      </c>
      <c r="Q2680" s="46">
        <v>740732</v>
      </c>
      <c r="R2680" s="49">
        <f t="shared" si="747"/>
        <v>1</v>
      </c>
      <c r="S2680" s="50">
        <f t="shared" si="748"/>
        <v>0.01</v>
      </c>
      <c r="T2680" s="49">
        <f t="shared" si="749"/>
        <v>7407.32</v>
      </c>
      <c r="U2680" s="51">
        <f t="shared" si="750"/>
        <v>0</v>
      </c>
      <c r="V2680" s="52">
        <f>IF(0&lt;0.8,0,IF(0&lt;1,Sheet3!L561,1))*IF(G2680&lt;3,0.12 - O2680,0.01) *U2680</f>
        <v>0</v>
      </c>
      <c r="W2680" s="52">
        <f t="shared" si="751"/>
        <v>0</v>
      </c>
      <c r="X2680" s="53">
        <f t="shared" si="752"/>
        <v>0</v>
      </c>
      <c r="Y2680" s="53">
        <f t="shared" si="753"/>
        <v>0</v>
      </c>
      <c r="Z2680" s="54">
        <f t="shared" si="757"/>
        <v>0</v>
      </c>
      <c r="AA2680" s="54">
        <f t="shared" si="754"/>
        <v>0</v>
      </c>
      <c r="AB2680" s="55">
        <f t="shared" si="744"/>
        <v>0</v>
      </c>
      <c r="AC2680" s="55">
        <f t="shared" si="755"/>
        <v>0</v>
      </c>
      <c r="AD2680" s="56">
        <f t="shared" si="756"/>
        <v>7407.32</v>
      </c>
    </row>
    <row r="2681" spans="3:30">
      <c r="C2681" s="43" t="s">
        <v>5017</v>
      </c>
      <c r="D2681" s="44" t="s">
        <v>5018</v>
      </c>
      <c r="E2681" s="44"/>
      <c r="F2681" s="45">
        <v>40303.493564814817</v>
      </c>
      <c r="G2681" s="46">
        <v>100</v>
      </c>
      <c r="H2681" s="47">
        <v>43391</v>
      </c>
      <c r="I2681" s="47">
        <v>43406</v>
      </c>
      <c r="J2681" s="46">
        <v>3950325</v>
      </c>
      <c r="K2681" s="46">
        <v>0</v>
      </c>
      <c r="L2681" s="46">
        <v>0</v>
      </c>
      <c r="M2681" s="46">
        <f t="shared" si="745"/>
        <v>3950325</v>
      </c>
      <c r="N2681" s="46">
        <v>3949635</v>
      </c>
      <c r="O2681" s="48">
        <f t="shared" si="746"/>
        <v>0</v>
      </c>
      <c r="P2681" s="46">
        <v>0</v>
      </c>
      <c r="Q2681" s="46">
        <v>3950325</v>
      </c>
      <c r="R2681" s="49">
        <f t="shared" si="747"/>
        <v>1</v>
      </c>
      <c r="S2681" s="50">
        <f t="shared" si="748"/>
        <v>0.01</v>
      </c>
      <c r="T2681" s="49">
        <f t="shared" si="749"/>
        <v>39503.25</v>
      </c>
      <c r="U2681" s="51">
        <f t="shared" si="750"/>
        <v>0</v>
      </c>
      <c r="V2681" s="52">
        <f>IF(0&lt;0.8,0,IF(0&lt;1,Sheet3!L561,1))*IF(G2681&lt;3,0.12 - O2681,0.01) *U2681</f>
        <v>0</v>
      </c>
      <c r="W2681" s="52">
        <f t="shared" si="751"/>
        <v>0</v>
      </c>
      <c r="X2681" s="53">
        <f t="shared" si="752"/>
        <v>0</v>
      </c>
      <c r="Y2681" s="53">
        <f t="shared" si="753"/>
        <v>0</v>
      </c>
      <c r="Z2681" s="54">
        <f t="shared" si="757"/>
        <v>0</v>
      </c>
      <c r="AA2681" s="54">
        <f t="shared" si="754"/>
        <v>0</v>
      </c>
      <c r="AB2681" s="55">
        <f t="shared" si="744"/>
        <v>0</v>
      </c>
      <c r="AC2681" s="55">
        <f t="shared" si="755"/>
        <v>0</v>
      </c>
      <c r="AD2681" s="56">
        <f t="shared" si="756"/>
        <v>39503.25</v>
      </c>
    </row>
    <row r="2682" spans="3:30">
      <c r="C2682" s="43" t="s">
        <v>5019</v>
      </c>
      <c r="D2682" s="44" t="s">
        <v>5020</v>
      </c>
      <c r="E2682" s="44"/>
      <c r="F2682" s="45">
        <v>40526.445960648147</v>
      </c>
      <c r="G2682" s="46">
        <v>93</v>
      </c>
      <c r="H2682" s="47">
        <v>43391</v>
      </c>
      <c r="I2682" s="47">
        <v>43397</v>
      </c>
      <c r="J2682" s="46">
        <v>3774051</v>
      </c>
      <c r="K2682" s="46">
        <v>0</v>
      </c>
      <c r="L2682" s="46">
        <v>0</v>
      </c>
      <c r="M2682" s="46">
        <f t="shared" si="745"/>
        <v>3774051</v>
      </c>
      <c r="N2682" s="46">
        <v>3774051</v>
      </c>
      <c r="O2682" s="48">
        <f t="shared" si="746"/>
        <v>0</v>
      </c>
      <c r="P2682" s="46">
        <v>0</v>
      </c>
      <c r="Q2682" s="46">
        <v>3774051</v>
      </c>
      <c r="R2682" s="49">
        <f t="shared" si="747"/>
        <v>1</v>
      </c>
      <c r="S2682" s="50">
        <f t="shared" si="748"/>
        <v>0.01</v>
      </c>
      <c r="T2682" s="49">
        <f t="shared" si="749"/>
        <v>37740.51</v>
      </c>
      <c r="U2682" s="51">
        <f t="shared" si="750"/>
        <v>0</v>
      </c>
      <c r="V2682" s="52">
        <f>IF(0&lt;0.8,0,IF(0&lt;1,Sheet3!L561,1))*IF(G2682&lt;3,0.12 - O2682,0.01) *U2682</f>
        <v>0</v>
      </c>
      <c r="W2682" s="52">
        <f t="shared" si="751"/>
        <v>0</v>
      </c>
      <c r="X2682" s="53">
        <f t="shared" si="752"/>
        <v>0</v>
      </c>
      <c r="Y2682" s="53">
        <f t="shared" si="753"/>
        <v>0</v>
      </c>
      <c r="Z2682" s="54">
        <f t="shared" si="757"/>
        <v>0</v>
      </c>
      <c r="AA2682" s="54">
        <f t="shared" si="754"/>
        <v>0</v>
      </c>
      <c r="AB2682" s="55">
        <f t="shared" si="744"/>
        <v>0</v>
      </c>
      <c r="AC2682" s="55">
        <f t="shared" si="755"/>
        <v>0</v>
      </c>
      <c r="AD2682" s="56">
        <f t="shared" si="756"/>
        <v>37740.51</v>
      </c>
    </row>
    <row r="2683" spans="3:30">
      <c r="C2683" s="43" t="s">
        <v>5021</v>
      </c>
      <c r="D2683" s="44" t="s">
        <v>5022</v>
      </c>
      <c r="E2683" s="44"/>
      <c r="F2683" s="45">
        <v>40815.655972222223</v>
      </c>
      <c r="G2683" s="46">
        <v>84</v>
      </c>
      <c r="H2683" s="47">
        <v>43376</v>
      </c>
      <c r="I2683" s="47">
        <v>43439</v>
      </c>
      <c r="J2683" s="46">
        <v>1467972</v>
      </c>
      <c r="K2683" s="46">
        <v>0</v>
      </c>
      <c r="L2683" s="46">
        <v>0</v>
      </c>
      <c r="M2683" s="46">
        <f t="shared" si="745"/>
        <v>1467972</v>
      </c>
      <c r="N2683" s="46">
        <v>1336082</v>
      </c>
      <c r="O2683" s="48">
        <f t="shared" si="746"/>
        <v>0</v>
      </c>
      <c r="P2683" s="46">
        <v>0</v>
      </c>
      <c r="Q2683" s="46">
        <v>1467972</v>
      </c>
      <c r="R2683" s="49">
        <f t="shared" si="747"/>
        <v>1</v>
      </c>
      <c r="S2683" s="50">
        <f t="shared" si="748"/>
        <v>0.01</v>
      </c>
      <c r="T2683" s="49">
        <f t="shared" si="749"/>
        <v>14679.720000000001</v>
      </c>
      <c r="U2683" s="51">
        <f t="shared" si="750"/>
        <v>0</v>
      </c>
      <c r="V2683" s="52">
        <f>IF(0&lt;0.8,0,IF(0&lt;1,Sheet3!L561,1))*IF(G2683&lt;3,0.12 - O2683,0.01) *U2683</f>
        <v>0</v>
      </c>
      <c r="W2683" s="52">
        <f t="shared" si="751"/>
        <v>0</v>
      </c>
      <c r="X2683" s="53">
        <f t="shared" si="752"/>
        <v>0</v>
      </c>
      <c r="Y2683" s="53">
        <f t="shared" si="753"/>
        <v>0</v>
      </c>
      <c r="Z2683" s="54">
        <f t="shared" si="757"/>
        <v>0</v>
      </c>
      <c r="AA2683" s="54">
        <f t="shared" si="754"/>
        <v>0</v>
      </c>
      <c r="AB2683" s="55">
        <f t="shared" si="744"/>
        <v>0</v>
      </c>
      <c r="AC2683" s="55">
        <f t="shared" si="755"/>
        <v>0</v>
      </c>
      <c r="AD2683" s="56">
        <f t="shared" si="756"/>
        <v>14679.720000000001</v>
      </c>
    </row>
    <row r="2684" spans="3:30">
      <c r="C2684" s="43" t="s">
        <v>5023</v>
      </c>
      <c r="D2684" s="44" t="s">
        <v>5024</v>
      </c>
      <c r="E2684" s="44"/>
      <c r="F2684" s="45">
        <v>40836.666805555556</v>
      </c>
      <c r="G2684" s="46">
        <v>83</v>
      </c>
      <c r="H2684" s="47">
        <v>43396</v>
      </c>
      <c r="I2684" s="47">
        <v>43399</v>
      </c>
      <c r="J2684" s="46">
        <v>284302</v>
      </c>
      <c r="K2684" s="46">
        <v>0</v>
      </c>
      <c r="L2684" s="46">
        <v>0</v>
      </c>
      <c r="M2684" s="46">
        <f t="shared" si="745"/>
        <v>284302</v>
      </c>
      <c r="N2684" s="46">
        <v>284302</v>
      </c>
      <c r="O2684" s="48">
        <f t="shared" si="746"/>
        <v>0</v>
      </c>
      <c r="P2684" s="46">
        <v>0</v>
      </c>
      <c r="Q2684" s="46">
        <v>284302</v>
      </c>
      <c r="R2684" s="49">
        <f t="shared" si="747"/>
        <v>1</v>
      </c>
      <c r="S2684" s="50">
        <f t="shared" si="748"/>
        <v>0.01</v>
      </c>
      <c r="T2684" s="49">
        <f t="shared" si="749"/>
        <v>2843.02</v>
      </c>
      <c r="U2684" s="51">
        <f t="shared" si="750"/>
        <v>0</v>
      </c>
      <c r="V2684" s="52">
        <f>IF(0&lt;0.8,0,IF(0&lt;1,Sheet3!L561,1))*IF(G2684&lt;3,0.12 - O2684,0.01) *U2684</f>
        <v>0</v>
      </c>
      <c r="W2684" s="52">
        <f t="shared" si="751"/>
        <v>0</v>
      </c>
      <c r="X2684" s="53">
        <f t="shared" si="752"/>
        <v>0</v>
      </c>
      <c r="Y2684" s="53">
        <f t="shared" si="753"/>
        <v>0</v>
      </c>
      <c r="Z2684" s="54">
        <f t="shared" si="757"/>
        <v>0</v>
      </c>
      <c r="AA2684" s="54">
        <f t="shared" si="754"/>
        <v>0</v>
      </c>
      <c r="AB2684" s="55">
        <f t="shared" si="744"/>
        <v>0</v>
      </c>
      <c r="AC2684" s="55">
        <f t="shared" si="755"/>
        <v>0</v>
      </c>
      <c r="AD2684" s="56">
        <f t="shared" si="756"/>
        <v>2843.02</v>
      </c>
    </row>
    <row r="2685" spans="3:30">
      <c r="C2685" s="43" t="s">
        <v>5025</v>
      </c>
      <c r="D2685" s="44" t="s">
        <v>5026</v>
      </c>
      <c r="E2685" s="44"/>
      <c r="F2685" s="45">
        <v>40836.664918981478</v>
      </c>
      <c r="G2685" s="46">
        <v>83</v>
      </c>
      <c r="H2685" s="47">
        <v>43391</v>
      </c>
      <c r="I2685" s="47">
        <v>43395</v>
      </c>
      <c r="J2685" s="46">
        <v>1015367</v>
      </c>
      <c r="K2685" s="46">
        <v>0</v>
      </c>
      <c r="L2685" s="46">
        <v>0</v>
      </c>
      <c r="M2685" s="46">
        <f t="shared" si="745"/>
        <v>1015367</v>
      </c>
      <c r="N2685" s="46">
        <v>1015311</v>
      </c>
      <c r="O2685" s="48">
        <f t="shared" si="746"/>
        <v>0</v>
      </c>
      <c r="P2685" s="46">
        <v>0</v>
      </c>
      <c r="Q2685" s="46">
        <v>1015367</v>
      </c>
      <c r="R2685" s="49">
        <f t="shared" si="747"/>
        <v>1</v>
      </c>
      <c r="S2685" s="50">
        <f t="shared" si="748"/>
        <v>0.01</v>
      </c>
      <c r="T2685" s="49">
        <f t="shared" si="749"/>
        <v>10153.67</v>
      </c>
      <c r="U2685" s="51">
        <f t="shared" si="750"/>
        <v>0</v>
      </c>
      <c r="V2685" s="52">
        <f>IF(0&lt;0.8,0,IF(0&lt;1,Sheet3!L561,1))*IF(G2685&lt;3,0.12 - O2685,0.01) *U2685</f>
        <v>0</v>
      </c>
      <c r="W2685" s="52">
        <f t="shared" si="751"/>
        <v>0</v>
      </c>
      <c r="X2685" s="53">
        <f t="shared" si="752"/>
        <v>0</v>
      </c>
      <c r="Y2685" s="53">
        <f t="shared" si="753"/>
        <v>0</v>
      </c>
      <c r="Z2685" s="54">
        <f t="shared" si="757"/>
        <v>0</v>
      </c>
      <c r="AA2685" s="54">
        <f t="shared" si="754"/>
        <v>0</v>
      </c>
      <c r="AB2685" s="55">
        <f t="shared" si="744"/>
        <v>0</v>
      </c>
      <c r="AC2685" s="55">
        <f t="shared" si="755"/>
        <v>0</v>
      </c>
      <c r="AD2685" s="56">
        <f t="shared" si="756"/>
        <v>10153.67</v>
      </c>
    </row>
    <row r="2686" spans="3:30">
      <c r="C2686" s="43" t="s">
        <v>5027</v>
      </c>
      <c r="D2686" s="44" t="s">
        <v>5028</v>
      </c>
      <c r="E2686" s="44"/>
      <c r="F2686" s="45">
        <v>41122.402627314812</v>
      </c>
      <c r="G2686" s="46">
        <v>73</v>
      </c>
      <c r="H2686" s="47">
        <v>43391</v>
      </c>
      <c r="I2686" s="47">
        <v>43444</v>
      </c>
      <c r="J2686" s="46">
        <v>4596270</v>
      </c>
      <c r="K2686" s="46">
        <v>0</v>
      </c>
      <c r="L2686" s="46">
        <v>0</v>
      </c>
      <c r="M2686" s="46">
        <f t="shared" si="745"/>
        <v>4596270</v>
      </c>
      <c r="N2686" s="46">
        <v>4596270</v>
      </c>
      <c r="O2686" s="48">
        <f t="shared" si="746"/>
        <v>0</v>
      </c>
      <c r="P2686" s="46">
        <v>0</v>
      </c>
      <c r="Q2686" s="46">
        <v>4596270</v>
      </c>
      <c r="R2686" s="49">
        <f t="shared" si="747"/>
        <v>1</v>
      </c>
      <c r="S2686" s="50">
        <f t="shared" si="748"/>
        <v>0.01</v>
      </c>
      <c r="T2686" s="49">
        <f t="shared" si="749"/>
        <v>45962.700000000004</v>
      </c>
      <c r="U2686" s="51">
        <f t="shared" si="750"/>
        <v>0</v>
      </c>
      <c r="V2686" s="52">
        <f>IF(0&lt;0.8,0,IF(0&lt;1,Sheet3!L561,1))*IF(G2686&lt;3,0.12 - O2686,0.01) *U2686</f>
        <v>0</v>
      </c>
      <c r="W2686" s="52">
        <f t="shared" si="751"/>
        <v>0</v>
      </c>
      <c r="X2686" s="53">
        <f t="shared" si="752"/>
        <v>0</v>
      </c>
      <c r="Y2686" s="53">
        <f t="shared" si="753"/>
        <v>0</v>
      </c>
      <c r="Z2686" s="54">
        <f t="shared" si="757"/>
        <v>0</v>
      </c>
      <c r="AA2686" s="54">
        <f t="shared" si="754"/>
        <v>0</v>
      </c>
      <c r="AB2686" s="55">
        <f t="shared" si="744"/>
        <v>0</v>
      </c>
      <c r="AC2686" s="55">
        <f t="shared" si="755"/>
        <v>0</v>
      </c>
      <c r="AD2686" s="56">
        <f t="shared" si="756"/>
        <v>45962.700000000004</v>
      </c>
    </row>
    <row r="2687" spans="3:30">
      <c r="C2687" s="43" t="s">
        <v>5029</v>
      </c>
      <c r="D2687" s="44" t="s">
        <v>5030</v>
      </c>
      <c r="E2687" s="44"/>
      <c r="F2687" s="45">
        <v>41298.397268518514</v>
      </c>
      <c r="G2687" s="46">
        <v>68</v>
      </c>
      <c r="H2687" s="47">
        <v>43391</v>
      </c>
      <c r="I2687" s="47">
        <v>43404</v>
      </c>
      <c r="J2687" s="46">
        <v>1291554</v>
      </c>
      <c r="K2687" s="46">
        <v>0</v>
      </c>
      <c r="L2687" s="46">
        <v>0</v>
      </c>
      <c r="M2687" s="46">
        <f t="shared" si="745"/>
        <v>1291554</v>
      </c>
      <c r="N2687" s="46">
        <v>1291554</v>
      </c>
      <c r="O2687" s="48">
        <f t="shared" si="746"/>
        <v>0</v>
      </c>
      <c r="P2687" s="46">
        <v>0</v>
      </c>
      <c r="Q2687" s="46">
        <v>1291554</v>
      </c>
      <c r="R2687" s="49">
        <f t="shared" si="747"/>
        <v>1</v>
      </c>
      <c r="S2687" s="50">
        <f t="shared" si="748"/>
        <v>0.01</v>
      </c>
      <c r="T2687" s="49">
        <f t="shared" si="749"/>
        <v>12915.54</v>
      </c>
      <c r="U2687" s="51">
        <f t="shared" si="750"/>
        <v>0</v>
      </c>
      <c r="V2687" s="52">
        <f>IF(0&lt;0.8,0,IF(0&lt;1,Sheet3!L561,1))*IF(G2687&lt;3,0.12 - O2687,0.01) *U2687</f>
        <v>0</v>
      </c>
      <c r="W2687" s="52">
        <f t="shared" si="751"/>
        <v>0</v>
      </c>
      <c r="X2687" s="53">
        <f t="shared" si="752"/>
        <v>0</v>
      </c>
      <c r="Y2687" s="53">
        <f t="shared" si="753"/>
        <v>0</v>
      </c>
      <c r="Z2687" s="54">
        <f t="shared" si="757"/>
        <v>0</v>
      </c>
      <c r="AA2687" s="54">
        <f t="shared" si="754"/>
        <v>0</v>
      </c>
      <c r="AB2687" s="55">
        <f t="shared" si="744"/>
        <v>0</v>
      </c>
      <c r="AC2687" s="55">
        <f t="shared" si="755"/>
        <v>0</v>
      </c>
      <c r="AD2687" s="56">
        <f t="shared" si="756"/>
        <v>12915.54</v>
      </c>
    </row>
    <row r="2688" spans="3:30">
      <c r="C2688" s="43" t="s">
        <v>5031</v>
      </c>
      <c r="D2688" s="44" t="s">
        <v>5032</v>
      </c>
      <c r="E2688" s="44"/>
      <c r="F2688" s="45">
        <v>41307.47960648148</v>
      </c>
      <c r="G2688" s="46">
        <v>67</v>
      </c>
      <c r="H2688" s="47">
        <v>43396</v>
      </c>
      <c r="I2688" s="47">
        <v>43410</v>
      </c>
      <c r="J2688" s="46">
        <v>1528452</v>
      </c>
      <c r="K2688" s="46">
        <v>0</v>
      </c>
      <c r="L2688" s="46">
        <v>0</v>
      </c>
      <c r="M2688" s="46">
        <f t="shared" si="745"/>
        <v>1528452</v>
      </c>
      <c r="N2688" s="46">
        <v>1528452</v>
      </c>
      <c r="O2688" s="48">
        <f t="shared" si="746"/>
        <v>0</v>
      </c>
      <c r="P2688" s="46">
        <v>0</v>
      </c>
      <c r="Q2688" s="46">
        <v>1528452</v>
      </c>
      <c r="R2688" s="49">
        <f t="shared" si="747"/>
        <v>1</v>
      </c>
      <c r="S2688" s="50">
        <f t="shared" si="748"/>
        <v>0.01</v>
      </c>
      <c r="T2688" s="49">
        <f t="shared" si="749"/>
        <v>15284.52</v>
      </c>
      <c r="U2688" s="51">
        <f t="shared" si="750"/>
        <v>0</v>
      </c>
      <c r="V2688" s="52">
        <f>IF(0&lt;0.8,0,IF(0&lt;1,Sheet3!L561,1))*IF(G2688&lt;3,0.12 - O2688,0.01) *U2688</f>
        <v>0</v>
      </c>
      <c r="W2688" s="52">
        <f t="shared" si="751"/>
        <v>0</v>
      </c>
      <c r="X2688" s="53">
        <f t="shared" si="752"/>
        <v>0</v>
      </c>
      <c r="Y2688" s="53">
        <f t="shared" si="753"/>
        <v>0</v>
      </c>
      <c r="Z2688" s="54">
        <f t="shared" si="757"/>
        <v>0</v>
      </c>
      <c r="AA2688" s="54">
        <f t="shared" si="754"/>
        <v>0</v>
      </c>
      <c r="AB2688" s="55">
        <f t="shared" si="744"/>
        <v>0</v>
      </c>
      <c r="AC2688" s="55">
        <f t="shared" si="755"/>
        <v>0</v>
      </c>
      <c r="AD2688" s="56">
        <f t="shared" si="756"/>
        <v>15284.52</v>
      </c>
    </row>
    <row r="2689" spans="3:30">
      <c r="C2689" s="43" t="s">
        <v>5033</v>
      </c>
      <c r="D2689" s="44" t="s">
        <v>5034</v>
      </c>
      <c r="E2689" s="44"/>
      <c r="F2689" s="45">
        <v>41339.436203703699</v>
      </c>
      <c r="G2689" s="46">
        <v>66</v>
      </c>
      <c r="H2689" s="47">
        <v>43378</v>
      </c>
      <c r="I2689" s="47">
        <v>43391</v>
      </c>
      <c r="J2689" s="46">
        <v>378958</v>
      </c>
      <c r="K2689" s="46">
        <v>0</v>
      </c>
      <c r="L2689" s="46">
        <v>0</v>
      </c>
      <c r="M2689" s="46">
        <f t="shared" si="745"/>
        <v>378958</v>
      </c>
      <c r="N2689" s="46">
        <v>380303</v>
      </c>
      <c r="O2689" s="48">
        <f t="shared" si="746"/>
        <v>3.536653668259282E-3</v>
      </c>
      <c r="P2689" s="46">
        <v>0</v>
      </c>
      <c r="Q2689" s="46">
        <v>378958</v>
      </c>
      <c r="R2689" s="49">
        <f t="shared" si="747"/>
        <v>1</v>
      </c>
      <c r="S2689" s="50">
        <f t="shared" si="748"/>
        <v>0.01</v>
      </c>
      <c r="T2689" s="49">
        <f t="shared" si="749"/>
        <v>3789.58</v>
      </c>
      <c r="U2689" s="51">
        <f t="shared" si="750"/>
        <v>0</v>
      </c>
      <c r="V2689" s="52">
        <f>IF(0&lt;0.8,0,IF(0&lt;1,Sheet3!L561,1))*IF(G2689&lt;3,0.12 - O2689,0.01) *U2689</f>
        <v>0</v>
      </c>
      <c r="W2689" s="52">
        <f t="shared" si="751"/>
        <v>0</v>
      </c>
      <c r="X2689" s="53">
        <f t="shared" si="752"/>
        <v>0</v>
      </c>
      <c r="Y2689" s="53">
        <f t="shared" si="753"/>
        <v>0</v>
      </c>
      <c r="Z2689" s="54">
        <f t="shared" si="757"/>
        <v>0</v>
      </c>
      <c r="AA2689" s="54">
        <f t="shared" si="754"/>
        <v>0</v>
      </c>
      <c r="AB2689" s="55">
        <f t="shared" si="744"/>
        <v>0</v>
      </c>
      <c r="AC2689" s="55">
        <f t="shared" si="755"/>
        <v>0</v>
      </c>
      <c r="AD2689" s="56">
        <f t="shared" si="756"/>
        <v>3789.58</v>
      </c>
    </row>
    <row r="2690" spans="3:30">
      <c r="C2690" s="43" t="s">
        <v>5035</v>
      </c>
      <c r="D2690" s="44" t="s">
        <v>5036</v>
      </c>
      <c r="E2690" s="44"/>
      <c r="F2690" s="45">
        <v>41340.36987268518</v>
      </c>
      <c r="G2690" s="46">
        <v>66</v>
      </c>
      <c r="H2690" s="47">
        <v>43403</v>
      </c>
      <c r="I2690" s="47">
        <v>43420</v>
      </c>
      <c r="J2690" s="46">
        <v>909436</v>
      </c>
      <c r="K2690" s="46">
        <v>0</v>
      </c>
      <c r="L2690" s="46">
        <v>0</v>
      </c>
      <c r="M2690" s="46">
        <f t="shared" si="745"/>
        <v>909436</v>
      </c>
      <c r="N2690" s="46">
        <v>909436</v>
      </c>
      <c r="O2690" s="48">
        <f t="shared" si="746"/>
        <v>0</v>
      </c>
      <c r="P2690" s="46">
        <v>0</v>
      </c>
      <c r="Q2690" s="46">
        <v>909436</v>
      </c>
      <c r="R2690" s="49">
        <f t="shared" si="747"/>
        <v>1</v>
      </c>
      <c r="S2690" s="50">
        <f t="shared" si="748"/>
        <v>0.01</v>
      </c>
      <c r="T2690" s="49">
        <f t="shared" si="749"/>
        <v>9094.36</v>
      </c>
      <c r="U2690" s="51">
        <f t="shared" si="750"/>
        <v>0</v>
      </c>
      <c r="V2690" s="52">
        <f>IF(0&lt;0.8,0,IF(0&lt;1,Sheet3!L561,1))*IF(G2690&lt;3,0.12 - O2690,0.01) *U2690</f>
        <v>0</v>
      </c>
      <c r="W2690" s="52">
        <f t="shared" si="751"/>
        <v>0</v>
      </c>
      <c r="X2690" s="53">
        <f t="shared" si="752"/>
        <v>0</v>
      </c>
      <c r="Y2690" s="53">
        <f t="shared" si="753"/>
        <v>0</v>
      </c>
      <c r="Z2690" s="54">
        <f t="shared" si="757"/>
        <v>0</v>
      </c>
      <c r="AA2690" s="54">
        <f t="shared" si="754"/>
        <v>0</v>
      </c>
      <c r="AB2690" s="55">
        <f t="shared" si="744"/>
        <v>0</v>
      </c>
      <c r="AC2690" s="55">
        <f t="shared" si="755"/>
        <v>0</v>
      </c>
      <c r="AD2690" s="56">
        <f t="shared" si="756"/>
        <v>9094.36</v>
      </c>
    </row>
    <row r="2691" spans="3:30">
      <c r="C2691" s="43" t="s">
        <v>5037</v>
      </c>
      <c r="D2691" s="44" t="s">
        <v>5038</v>
      </c>
      <c r="E2691" s="44"/>
      <c r="F2691" s="45">
        <v>41471.424953703703</v>
      </c>
      <c r="G2691" s="46">
        <v>62</v>
      </c>
      <c r="H2691" s="47">
        <v>43391</v>
      </c>
      <c r="I2691" s="47">
        <v>43398</v>
      </c>
      <c r="J2691" s="46">
        <v>5173134</v>
      </c>
      <c r="K2691" s="46">
        <v>470285</v>
      </c>
      <c r="L2691" s="46">
        <v>0</v>
      </c>
      <c r="M2691" s="46">
        <f t="shared" si="745"/>
        <v>4702849</v>
      </c>
      <c r="N2691" s="46">
        <v>5173134</v>
      </c>
      <c r="O2691" s="48">
        <f t="shared" si="746"/>
        <v>9.0909108482401524E-2</v>
      </c>
      <c r="P2691" s="46">
        <v>0</v>
      </c>
      <c r="Q2691" s="46">
        <v>5173134</v>
      </c>
      <c r="R2691" s="49">
        <f t="shared" si="747"/>
        <v>1</v>
      </c>
      <c r="S2691" s="50">
        <f t="shared" si="748"/>
        <v>0.01</v>
      </c>
      <c r="T2691" s="49">
        <f t="shared" si="749"/>
        <v>47028.49</v>
      </c>
      <c r="U2691" s="51">
        <f t="shared" si="750"/>
        <v>0</v>
      </c>
      <c r="V2691" s="52">
        <f>IF(0&lt;0.8,0,IF(0&lt;1,Sheet3!L561,1))*IF(G2691&lt;3,0.12 - O2691,0.01) *U2691</f>
        <v>0</v>
      </c>
      <c r="W2691" s="52">
        <f t="shared" si="751"/>
        <v>0</v>
      </c>
      <c r="X2691" s="53">
        <f t="shared" si="752"/>
        <v>0</v>
      </c>
      <c r="Y2691" s="53">
        <f t="shared" si="753"/>
        <v>0</v>
      </c>
      <c r="Z2691" s="54">
        <f t="shared" si="757"/>
        <v>0</v>
      </c>
      <c r="AA2691" s="54">
        <f t="shared" si="754"/>
        <v>0</v>
      </c>
      <c r="AB2691" s="55">
        <f t="shared" si="744"/>
        <v>0</v>
      </c>
      <c r="AC2691" s="55">
        <f t="shared" si="755"/>
        <v>0</v>
      </c>
      <c r="AD2691" s="56">
        <f t="shared" si="756"/>
        <v>47028.49</v>
      </c>
    </row>
    <row r="2692" spans="3:30">
      <c r="C2692" s="43" t="s">
        <v>5039</v>
      </c>
      <c r="D2692" s="44" t="s">
        <v>5040</v>
      </c>
      <c r="E2692" s="44"/>
      <c r="F2692" s="45">
        <v>41484.438923611109</v>
      </c>
      <c r="G2692" s="46">
        <v>62</v>
      </c>
      <c r="H2692" s="47">
        <v>43391</v>
      </c>
      <c r="I2692" s="47">
        <v>43444</v>
      </c>
      <c r="J2692" s="46">
        <v>4701987</v>
      </c>
      <c r="K2692" s="46">
        <v>0</v>
      </c>
      <c r="L2692" s="46">
        <v>0</v>
      </c>
      <c r="M2692" s="46">
        <f t="shared" si="745"/>
        <v>4701987</v>
      </c>
      <c r="N2692" s="46">
        <v>4701987</v>
      </c>
      <c r="O2692" s="48">
        <f t="shared" si="746"/>
        <v>0</v>
      </c>
      <c r="P2692" s="46">
        <v>0</v>
      </c>
      <c r="Q2692" s="46">
        <v>4701987</v>
      </c>
      <c r="R2692" s="49">
        <f t="shared" si="747"/>
        <v>1</v>
      </c>
      <c r="S2692" s="50">
        <f t="shared" si="748"/>
        <v>0.01</v>
      </c>
      <c r="T2692" s="49">
        <f t="shared" si="749"/>
        <v>47019.87</v>
      </c>
      <c r="U2692" s="51">
        <f t="shared" si="750"/>
        <v>0</v>
      </c>
      <c r="V2692" s="52">
        <f>IF(0&lt;0.8,0,IF(0&lt;1,Sheet3!L561,1))*IF(G2692&lt;3,0.12 - O2692,0.01) *U2692</f>
        <v>0</v>
      </c>
      <c r="W2692" s="52">
        <f t="shared" si="751"/>
        <v>0</v>
      </c>
      <c r="X2692" s="53">
        <f t="shared" si="752"/>
        <v>0</v>
      </c>
      <c r="Y2692" s="53">
        <f t="shared" si="753"/>
        <v>0</v>
      </c>
      <c r="Z2692" s="54">
        <f t="shared" si="757"/>
        <v>0</v>
      </c>
      <c r="AA2692" s="54">
        <f t="shared" si="754"/>
        <v>0</v>
      </c>
      <c r="AB2692" s="55">
        <f t="shared" si="744"/>
        <v>0</v>
      </c>
      <c r="AC2692" s="55">
        <f t="shared" si="755"/>
        <v>0</v>
      </c>
      <c r="AD2692" s="56">
        <f t="shared" si="756"/>
        <v>47019.87</v>
      </c>
    </row>
    <row r="2693" spans="3:30">
      <c r="C2693" s="43" t="s">
        <v>5041</v>
      </c>
      <c r="D2693" s="44" t="s">
        <v>5042</v>
      </c>
      <c r="E2693" s="44"/>
      <c r="F2693" s="45">
        <v>41739.584386574075</v>
      </c>
      <c r="G2693" s="46">
        <v>53</v>
      </c>
      <c r="H2693" s="47">
        <v>43396</v>
      </c>
      <c r="I2693" s="47">
        <v>43410</v>
      </c>
      <c r="J2693" s="46">
        <v>720845</v>
      </c>
      <c r="K2693" s="46">
        <v>0</v>
      </c>
      <c r="L2693" s="46">
        <v>0</v>
      </c>
      <c r="M2693" s="46">
        <f t="shared" si="745"/>
        <v>720845</v>
      </c>
      <c r="N2693" s="46">
        <v>720845</v>
      </c>
      <c r="O2693" s="48">
        <f t="shared" si="746"/>
        <v>0</v>
      </c>
      <c r="P2693" s="46">
        <v>0</v>
      </c>
      <c r="Q2693" s="46">
        <v>720845</v>
      </c>
      <c r="R2693" s="49">
        <f t="shared" si="747"/>
        <v>1</v>
      </c>
      <c r="S2693" s="50">
        <f t="shared" si="748"/>
        <v>0.01</v>
      </c>
      <c r="T2693" s="49">
        <f t="shared" si="749"/>
        <v>7208.45</v>
      </c>
      <c r="U2693" s="51">
        <f t="shared" si="750"/>
        <v>0</v>
      </c>
      <c r="V2693" s="52">
        <f>IF(0&lt;0.8,0,IF(0&lt;1,Sheet3!L561,1))*IF(G2693&lt;3,0.12 - O2693,0.01) *U2693</f>
        <v>0</v>
      </c>
      <c r="W2693" s="52">
        <f t="shared" si="751"/>
        <v>0</v>
      </c>
      <c r="X2693" s="53">
        <f t="shared" si="752"/>
        <v>0</v>
      </c>
      <c r="Y2693" s="53">
        <f t="shared" si="753"/>
        <v>0</v>
      </c>
      <c r="Z2693" s="54">
        <f t="shared" si="757"/>
        <v>0</v>
      </c>
      <c r="AA2693" s="54">
        <f t="shared" si="754"/>
        <v>0</v>
      </c>
      <c r="AB2693" s="55">
        <f t="shared" si="744"/>
        <v>0</v>
      </c>
      <c r="AC2693" s="55">
        <f t="shared" si="755"/>
        <v>0</v>
      </c>
      <c r="AD2693" s="56">
        <f t="shared" si="756"/>
        <v>7208.45</v>
      </c>
    </row>
    <row r="2694" spans="3:30">
      <c r="C2694" s="43" t="s">
        <v>5043</v>
      </c>
      <c r="D2694" s="44" t="s">
        <v>5044</v>
      </c>
      <c r="E2694" s="44"/>
      <c r="F2694" s="45">
        <v>41787.44694444444</v>
      </c>
      <c r="G2694" s="46">
        <v>52</v>
      </c>
      <c r="H2694" s="47">
        <v>43404</v>
      </c>
      <c r="I2694" s="47">
        <v>43416</v>
      </c>
      <c r="J2694" s="46">
        <v>124062</v>
      </c>
      <c r="K2694" s="46">
        <v>0</v>
      </c>
      <c r="L2694" s="46">
        <v>0</v>
      </c>
      <c r="M2694" s="46">
        <f t="shared" si="745"/>
        <v>124062</v>
      </c>
      <c r="N2694" s="46">
        <v>124062</v>
      </c>
      <c r="O2694" s="48">
        <f t="shared" si="746"/>
        <v>0</v>
      </c>
      <c r="P2694" s="46">
        <v>0</v>
      </c>
      <c r="Q2694" s="46">
        <v>124062</v>
      </c>
      <c r="R2694" s="49">
        <f t="shared" si="747"/>
        <v>1</v>
      </c>
      <c r="S2694" s="50">
        <f t="shared" si="748"/>
        <v>0.01</v>
      </c>
      <c r="T2694" s="49">
        <f t="shared" si="749"/>
        <v>1240.6200000000001</v>
      </c>
      <c r="U2694" s="51">
        <f t="shared" si="750"/>
        <v>0</v>
      </c>
      <c r="V2694" s="52">
        <f>IF(0&lt;0.8,0,IF(0&lt;1,Sheet3!L561,1))*IF(G2694&lt;3,0.12 - O2694,0.01) *U2694</f>
        <v>0</v>
      </c>
      <c r="W2694" s="52">
        <f t="shared" si="751"/>
        <v>0</v>
      </c>
      <c r="X2694" s="53">
        <f t="shared" si="752"/>
        <v>0</v>
      </c>
      <c r="Y2694" s="53">
        <f t="shared" si="753"/>
        <v>0</v>
      </c>
      <c r="Z2694" s="54">
        <f t="shared" si="757"/>
        <v>0</v>
      </c>
      <c r="AA2694" s="54">
        <f t="shared" si="754"/>
        <v>0</v>
      </c>
      <c r="AB2694" s="55">
        <f t="shared" si="744"/>
        <v>0</v>
      </c>
      <c r="AC2694" s="55">
        <f t="shared" si="755"/>
        <v>0</v>
      </c>
      <c r="AD2694" s="56">
        <f t="shared" si="756"/>
        <v>1240.6200000000001</v>
      </c>
    </row>
    <row r="2695" spans="3:30">
      <c r="C2695" s="43" t="s">
        <v>5045</v>
      </c>
      <c r="D2695" s="44" t="s">
        <v>5046</v>
      </c>
      <c r="E2695" s="44"/>
      <c r="F2695" s="45">
        <v>41792.586377314816</v>
      </c>
      <c r="G2695" s="46">
        <v>51</v>
      </c>
      <c r="H2695" s="47">
        <v>43396</v>
      </c>
      <c r="I2695" s="47">
        <v>43411</v>
      </c>
      <c r="J2695" s="46">
        <v>2171106</v>
      </c>
      <c r="K2695" s="46">
        <v>0</v>
      </c>
      <c r="L2695" s="46">
        <v>0</v>
      </c>
      <c r="M2695" s="46">
        <f t="shared" si="745"/>
        <v>2171106</v>
      </c>
      <c r="N2695" s="46">
        <v>2171106</v>
      </c>
      <c r="O2695" s="48">
        <f t="shared" si="746"/>
        <v>0</v>
      </c>
      <c r="P2695" s="46">
        <v>0</v>
      </c>
      <c r="Q2695" s="46">
        <v>2171106</v>
      </c>
      <c r="R2695" s="49">
        <f t="shared" si="747"/>
        <v>1</v>
      </c>
      <c r="S2695" s="50">
        <f t="shared" si="748"/>
        <v>0.01</v>
      </c>
      <c r="T2695" s="49">
        <f t="shared" si="749"/>
        <v>21711.06</v>
      </c>
      <c r="U2695" s="51">
        <f t="shared" si="750"/>
        <v>0</v>
      </c>
      <c r="V2695" s="52">
        <f>IF(0&lt;0.8,0,IF(0&lt;1,Sheet3!L561,1))*IF(G2695&lt;3,0.12 - O2695,0.01) *U2695</f>
        <v>0</v>
      </c>
      <c r="W2695" s="52">
        <f t="shared" si="751"/>
        <v>0</v>
      </c>
      <c r="X2695" s="53">
        <f t="shared" si="752"/>
        <v>0</v>
      </c>
      <c r="Y2695" s="53">
        <f t="shared" si="753"/>
        <v>0</v>
      </c>
      <c r="Z2695" s="54">
        <f t="shared" si="757"/>
        <v>0</v>
      </c>
      <c r="AA2695" s="54">
        <f t="shared" si="754"/>
        <v>0</v>
      </c>
      <c r="AB2695" s="55">
        <f t="shared" si="744"/>
        <v>0</v>
      </c>
      <c r="AC2695" s="55">
        <f t="shared" si="755"/>
        <v>0</v>
      </c>
      <c r="AD2695" s="56">
        <f t="shared" si="756"/>
        <v>21711.06</v>
      </c>
    </row>
    <row r="2696" spans="3:30">
      <c r="C2696" s="43" t="s">
        <v>5047</v>
      </c>
      <c r="D2696" s="44" t="s">
        <v>5048</v>
      </c>
      <c r="E2696" s="44"/>
      <c r="F2696" s="45">
        <v>41849.382268518515</v>
      </c>
      <c r="G2696" s="46">
        <v>50</v>
      </c>
      <c r="H2696" s="47">
        <v>43390</v>
      </c>
      <c r="I2696" s="47">
        <v>43420</v>
      </c>
      <c r="J2696" s="46">
        <v>713711</v>
      </c>
      <c r="K2696" s="46">
        <v>0</v>
      </c>
      <c r="L2696" s="46">
        <v>0</v>
      </c>
      <c r="M2696" s="46">
        <f t="shared" si="745"/>
        <v>713711</v>
      </c>
      <c r="N2696" s="46">
        <v>714021</v>
      </c>
      <c r="O2696" s="48">
        <f t="shared" si="746"/>
        <v>4.3416090002956764E-4</v>
      </c>
      <c r="P2696" s="46">
        <v>0</v>
      </c>
      <c r="Q2696" s="46">
        <v>713711</v>
      </c>
      <c r="R2696" s="49">
        <f t="shared" si="747"/>
        <v>1</v>
      </c>
      <c r="S2696" s="50">
        <f t="shared" si="748"/>
        <v>0.01</v>
      </c>
      <c r="T2696" s="49">
        <f t="shared" si="749"/>
        <v>7137.1100000000006</v>
      </c>
      <c r="U2696" s="51">
        <f t="shared" si="750"/>
        <v>0</v>
      </c>
      <c r="V2696" s="52">
        <f>IF(0&lt;0.8,0,IF(0&lt;1,Sheet3!L561,1))*IF(G2696&lt;3,0.12 - O2696,0.01) *U2696</f>
        <v>0</v>
      </c>
      <c r="W2696" s="52">
        <f t="shared" si="751"/>
        <v>0</v>
      </c>
      <c r="X2696" s="53">
        <f t="shared" si="752"/>
        <v>0</v>
      </c>
      <c r="Y2696" s="53">
        <f t="shared" si="753"/>
        <v>0</v>
      </c>
      <c r="Z2696" s="54">
        <f t="shared" si="757"/>
        <v>0</v>
      </c>
      <c r="AA2696" s="54">
        <f t="shared" si="754"/>
        <v>0</v>
      </c>
      <c r="AB2696" s="55">
        <f t="shared" si="744"/>
        <v>0</v>
      </c>
      <c r="AC2696" s="55">
        <f t="shared" si="755"/>
        <v>0</v>
      </c>
      <c r="AD2696" s="56">
        <f t="shared" si="756"/>
        <v>7137.1100000000006</v>
      </c>
    </row>
    <row r="2697" spans="3:30">
      <c r="C2697" s="43" t="s">
        <v>5049</v>
      </c>
      <c r="D2697" s="44" t="s">
        <v>5050</v>
      </c>
      <c r="E2697" s="44"/>
      <c r="F2697" s="45">
        <v>41900.400601851848</v>
      </c>
      <c r="G2697" s="46">
        <v>48</v>
      </c>
      <c r="H2697" s="47">
        <v>43376</v>
      </c>
      <c r="I2697" s="47">
        <v>43382</v>
      </c>
      <c r="J2697" s="46">
        <v>504280</v>
      </c>
      <c r="K2697" s="46">
        <v>0</v>
      </c>
      <c r="L2697" s="46">
        <v>0</v>
      </c>
      <c r="M2697" s="46">
        <f t="shared" si="745"/>
        <v>504280</v>
      </c>
      <c r="N2697" s="46">
        <v>504280</v>
      </c>
      <c r="O2697" s="48">
        <f t="shared" si="746"/>
        <v>0</v>
      </c>
      <c r="P2697" s="46">
        <v>0</v>
      </c>
      <c r="Q2697" s="46">
        <v>504280</v>
      </c>
      <c r="R2697" s="49">
        <f t="shared" si="747"/>
        <v>1</v>
      </c>
      <c r="S2697" s="50">
        <f t="shared" si="748"/>
        <v>0.01</v>
      </c>
      <c r="T2697" s="49">
        <f t="shared" si="749"/>
        <v>5042.8</v>
      </c>
      <c r="U2697" s="51">
        <f t="shared" si="750"/>
        <v>0</v>
      </c>
      <c r="V2697" s="52">
        <f>IF(0&lt;0.8,0,IF(0&lt;1,Sheet3!L561,1))*IF(G2697&lt;3,0.12 - O2697,0.01) *U2697</f>
        <v>0</v>
      </c>
      <c r="W2697" s="52">
        <f t="shared" si="751"/>
        <v>0</v>
      </c>
      <c r="X2697" s="53">
        <f t="shared" si="752"/>
        <v>0</v>
      </c>
      <c r="Y2697" s="53">
        <f t="shared" si="753"/>
        <v>0</v>
      </c>
      <c r="Z2697" s="54">
        <f t="shared" si="757"/>
        <v>0</v>
      </c>
      <c r="AA2697" s="54">
        <f t="shared" si="754"/>
        <v>0</v>
      </c>
      <c r="AB2697" s="55">
        <f t="shared" si="744"/>
        <v>0</v>
      </c>
      <c r="AC2697" s="55">
        <f t="shared" si="755"/>
        <v>0</v>
      </c>
      <c r="AD2697" s="56">
        <f t="shared" si="756"/>
        <v>5042.8</v>
      </c>
    </row>
    <row r="2698" spans="3:30">
      <c r="C2698" s="43" t="s">
        <v>5051</v>
      </c>
      <c r="D2698" s="44" t="s">
        <v>5052</v>
      </c>
      <c r="E2698" s="44"/>
      <c r="F2698" s="45">
        <v>41953.386759259258</v>
      </c>
      <c r="G2698" s="46">
        <v>46</v>
      </c>
      <c r="H2698" s="47">
        <v>43391</v>
      </c>
      <c r="I2698" s="47">
        <v>43416</v>
      </c>
      <c r="J2698" s="46">
        <v>3366044</v>
      </c>
      <c r="K2698" s="46">
        <v>0</v>
      </c>
      <c r="L2698" s="46">
        <v>0</v>
      </c>
      <c r="M2698" s="46">
        <f t="shared" si="745"/>
        <v>3366044</v>
      </c>
      <c r="N2698" s="46">
        <v>3669754</v>
      </c>
      <c r="O2698" s="48">
        <f t="shared" si="746"/>
        <v>8.2760315814084495E-2</v>
      </c>
      <c r="P2698" s="46">
        <v>0</v>
      </c>
      <c r="Q2698" s="46">
        <v>3366044</v>
      </c>
      <c r="R2698" s="49">
        <f t="shared" si="747"/>
        <v>1</v>
      </c>
      <c r="S2698" s="50">
        <f t="shared" si="748"/>
        <v>0.01</v>
      </c>
      <c r="T2698" s="49">
        <f t="shared" si="749"/>
        <v>33660.44</v>
      </c>
      <c r="U2698" s="51">
        <f t="shared" si="750"/>
        <v>0</v>
      </c>
      <c r="V2698" s="52">
        <f>IF(0&lt;0.8,0,IF(0&lt;1,Sheet3!L561,1))*IF(G2698&lt;3,0.12 - O2698,0.01) *U2698</f>
        <v>0</v>
      </c>
      <c r="W2698" s="52">
        <f t="shared" si="751"/>
        <v>0</v>
      </c>
      <c r="X2698" s="53">
        <f t="shared" si="752"/>
        <v>0</v>
      </c>
      <c r="Y2698" s="53">
        <f t="shared" si="753"/>
        <v>0</v>
      </c>
      <c r="Z2698" s="54">
        <f t="shared" si="757"/>
        <v>0</v>
      </c>
      <c r="AA2698" s="54">
        <f t="shared" si="754"/>
        <v>0</v>
      </c>
      <c r="AB2698" s="55">
        <f t="shared" si="744"/>
        <v>0</v>
      </c>
      <c r="AC2698" s="55">
        <f t="shared" si="755"/>
        <v>0</v>
      </c>
      <c r="AD2698" s="56">
        <f t="shared" si="756"/>
        <v>33660.44</v>
      </c>
    </row>
    <row r="2699" spans="3:30">
      <c r="C2699" s="43" t="s">
        <v>5053</v>
      </c>
      <c r="D2699" s="44" t="s">
        <v>5054</v>
      </c>
      <c r="E2699" s="44"/>
      <c r="F2699" s="45">
        <v>42126.431967592594</v>
      </c>
      <c r="G2699" s="46">
        <v>40</v>
      </c>
      <c r="H2699" s="47">
        <v>43391</v>
      </c>
      <c r="I2699" s="47">
        <v>43402</v>
      </c>
      <c r="J2699" s="46">
        <v>701426</v>
      </c>
      <c r="K2699" s="46">
        <v>0</v>
      </c>
      <c r="L2699" s="46">
        <v>0</v>
      </c>
      <c r="M2699" s="46">
        <f t="shared" si="745"/>
        <v>701426</v>
      </c>
      <c r="N2699" s="46">
        <v>704704</v>
      </c>
      <c r="O2699" s="48">
        <f t="shared" si="746"/>
        <v>4.6515984015984557E-3</v>
      </c>
      <c r="P2699" s="46">
        <v>0</v>
      </c>
      <c r="Q2699" s="46">
        <v>701426</v>
      </c>
      <c r="R2699" s="49">
        <f t="shared" si="747"/>
        <v>1</v>
      </c>
      <c r="S2699" s="50">
        <f t="shared" si="748"/>
        <v>0.01</v>
      </c>
      <c r="T2699" s="49">
        <f t="shared" si="749"/>
        <v>7014.26</v>
      </c>
      <c r="U2699" s="51">
        <f t="shared" si="750"/>
        <v>0</v>
      </c>
      <c r="V2699" s="52">
        <f>IF(0&lt;0.8,0,IF(0&lt;1,Sheet3!L561,1))*IF(G2699&lt;3,0.12 - O2699,0.01) *U2699</f>
        <v>0</v>
      </c>
      <c r="W2699" s="52">
        <f t="shared" si="751"/>
        <v>0</v>
      </c>
      <c r="X2699" s="53">
        <f t="shared" si="752"/>
        <v>0</v>
      </c>
      <c r="Y2699" s="53">
        <f t="shared" si="753"/>
        <v>0</v>
      </c>
      <c r="Z2699" s="54">
        <f t="shared" si="757"/>
        <v>0</v>
      </c>
      <c r="AA2699" s="54">
        <f t="shared" si="754"/>
        <v>0</v>
      </c>
      <c r="AB2699" s="55">
        <f t="shared" si="744"/>
        <v>0</v>
      </c>
      <c r="AC2699" s="55">
        <f t="shared" si="755"/>
        <v>0</v>
      </c>
      <c r="AD2699" s="56">
        <f t="shared" si="756"/>
        <v>7014.26</v>
      </c>
    </row>
    <row r="2700" spans="3:30">
      <c r="C2700" s="43" t="s">
        <v>5055</v>
      </c>
      <c r="D2700" s="44" t="s">
        <v>24</v>
      </c>
      <c r="E2700" s="44"/>
      <c r="F2700" s="45" t="s">
        <v>24</v>
      </c>
      <c r="G2700" s="46" t="s">
        <v>24</v>
      </c>
      <c r="H2700" s="47" t="s">
        <v>24</v>
      </c>
      <c r="I2700" s="47" t="s">
        <v>24</v>
      </c>
      <c r="J2700" s="46">
        <v>176297</v>
      </c>
      <c r="K2700" s="46">
        <v>0</v>
      </c>
      <c r="L2700" s="46">
        <v>0</v>
      </c>
      <c r="M2700" s="46">
        <f t="shared" si="745"/>
        <v>176297</v>
      </c>
      <c r="N2700" s="46" t="s">
        <v>24</v>
      </c>
      <c r="O2700" s="48">
        <f t="shared" si="746"/>
        <v>0</v>
      </c>
      <c r="P2700" s="46">
        <v>0</v>
      </c>
      <c r="Q2700" s="46">
        <v>0</v>
      </c>
      <c r="R2700" s="49">
        <f t="shared" si="747"/>
        <v>0</v>
      </c>
      <c r="S2700" s="50">
        <f t="shared" si="748"/>
        <v>0</v>
      </c>
      <c r="T2700" s="49">
        <f t="shared" si="749"/>
        <v>0</v>
      </c>
      <c r="U2700" s="51">
        <f t="shared" si="750"/>
        <v>176297</v>
      </c>
      <c r="V2700" s="52">
        <f>IF(0&lt;0.8,0,IF(0&lt;1,Sheet3!L561,1))*IF(G2700&lt;3,0.12 - O2700,0.01) *U2700</f>
        <v>0</v>
      </c>
      <c r="W2700" s="52">
        <f t="shared" si="751"/>
        <v>0</v>
      </c>
      <c r="X2700" s="53">
        <f t="shared" si="752"/>
        <v>0</v>
      </c>
      <c r="Y2700" s="53">
        <f t="shared" si="753"/>
        <v>0</v>
      </c>
      <c r="Z2700" s="54" t="str">
        <f>IF(R2700=1,0,"")</f>
        <v/>
      </c>
      <c r="AA2700" s="54">
        <f t="shared" si="754"/>
        <v>0</v>
      </c>
      <c r="AB2700" s="55" t="str">
        <f>IF(R2700=0,"",0)</f>
        <v/>
      </c>
      <c r="AC2700" s="55">
        <f t="shared" si="755"/>
        <v>0</v>
      </c>
      <c r="AD2700" s="56">
        <f t="shared" si="756"/>
        <v>0</v>
      </c>
    </row>
    <row r="2701" spans="3:30">
      <c r="C2701" s="43" t="s">
        <v>5056</v>
      </c>
      <c r="D2701" s="44" t="s">
        <v>5057</v>
      </c>
      <c r="E2701" s="44"/>
      <c r="F2701" s="45">
        <v>42199.577384259261</v>
      </c>
      <c r="G2701" s="46">
        <v>38</v>
      </c>
      <c r="H2701" s="47">
        <v>43396</v>
      </c>
      <c r="I2701" s="47">
        <v>43406</v>
      </c>
      <c r="J2701" s="46">
        <v>657514</v>
      </c>
      <c r="K2701" s="46">
        <v>0</v>
      </c>
      <c r="L2701" s="46">
        <v>0</v>
      </c>
      <c r="M2701" s="46">
        <f t="shared" si="745"/>
        <v>657514</v>
      </c>
      <c r="N2701" s="46">
        <v>657514</v>
      </c>
      <c r="O2701" s="48">
        <f t="shared" si="746"/>
        <v>0</v>
      </c>
      <c r="P2701" s="46">
        <v>0</v>
      </c>
      <c r="Q2701" s="46">
        <v>657514</v>
      </c>
      <c r="R2701" s="49">
        <f t="shared" si="747"/>
        <v>1</v>
      </c>
      <c r="S2701" s="50">
        <f t="shared" si="748"/>
        <v>0.01</v>
      </c>
      <c r="T2701" s="49">
        <f t="shared" si="749"/>
        <v>6575.14</v>
      </c>
      <c r="U2701" s="51">
        <f t="shared" si="750"/>
        <v>0</v>
      </c>
      <c r="V2701" s="52">
        <f>IF(0&lt;0.8,0,IF(0&lt;1,Sheet3!L561,1))*IF(G2701&lt;3,0.12 - O2701,0.01) *U2701</f>
        <v>0</v>
      </c>
      <c r="W2701" s="52">
        <f t="shared" si="751"/>
        <v>0</v>
      </c>
      <c r="X2701" s="53">
        <f t="shared" si="752"/>
        <v>0</v>
      </c>
      <c r="Y2701" s="53">
        <f t="shared" si="753"/>
        <v>0</v>
      </c>
      <c r="Z2701" s="54">
        <f t="shared" ref="Z2701:Z2752" si="758">IF(R2701=1,0,0)</f>
        <v>0</v>
      </c>
      <c r="AA2701" s="54">
        <f t="shared" si="754"/>
        <v>0</v>
      </c>
      <c r="AB2701" s="55">
        <f t="shared" ref="AB2701:AB2740" si="759">IF(R2701=0,0,0)</f>
        <v>0</v>
      </c>
      <c r="AC2701" s="55">
        <f t="shared" si="755"/>
        <v>0</v>
      </c>
      <c r="AD2701" s="56">
        <f t="shared" si="756"/>
        <v>6575.14</v>
      </c>
    </row>
    <row r="2702" spans="3:30">
      <c r="C2702" s="43" t="s">
        <v>5058</v>
      </c>
      <c r="D2702" s="44" t="s">
        <v>5059</v>
      </c>
      <c r="E2702" s="44"/>
      <c r="F2702" s="45">
        <v>42201.617465277777</v>
      </c>
      <c r="G2702" s="46">
        <v>38</v>
      </c>
      <c r="H2702" s="47">
        <v>43391</v>
      </c>
      <c r="I2702" s="47">
        <v>43398</v>
      </c>
      <c r="J2702" s="46">
        <v>1172127</v>
      </c>
      <c r="K2702" s="46">
        <v>0</v>
      </c>
      <c r="L2702" s="46">
        <v>0</v>
      </c>
      <c r="M2702" s="46">
        <f t="shared" si="745"/>
        <v>1172127</v>
      </c>
      <c r="N2702" s="46">
        <v>1172127</v>
      </c>
      <c r="O2702" s="48">
        <f t="shared" si="746"/>
        <v>0</v>
      </c>
      <c r="P2702" s="46">
        <v>0</v>
      </c>
      <c r="Q2702" s="46">
        <v>1172127</v>
      </c>
      <c r="R2702" s="49">
        <f t="shared" si="747"/>
        <v>1</v>
      </c>
      <c r="S2702" s="50">
        <f t="shared" si="748"/>
        <v>0.01</v>
      </c>
      <c r="T2702" s="49">
        <f t="shared" si="749"/>
        <v>11721.27</v>
      </c>
      <c r="U2702" s="51">
        <f t="shared" si="750"/>
        <v>0</v>
      </c>
      <c r="V2702" s="52">
        <f>IF(0&lt;0.8,0,IF(0&lt;1,Sheet3!L561,1))*IF(G2702&lt;3,0.12 - O2702,0.01) *U2702</f>
        <v>0</v>
      </c>
      <c r="W2702" s="52">
        <f t="shared" si="751"/>
        <v>0</v>
      </c>
      <c r="X2702" s="53">
        <f t="shared" si="752"/>
        <v>0</v>
      </c>
      <c r="Y2702" s="53">
        <f t="shared" si="753"/>
        <v>0</v>
      </c>
      <c r="Z2702" s="54">
        <f t="shared" si="758"/>
        <v>0</v>
      </c>
      <c r="AA2702" s="54">
        <f t="shared" si="754"/>
        <v>0</v>
      </c>
      <c r="AB2702" s="55">
        <f t="shared" si="759"/>
        <v>0</v>
      </c>
      <c r="AC2702" s="55">
        <f t="shared" si="755"/>
        <v>0</v>
      </c>
      <c r="AD2702" s="56">
        <f t="shared" si="756"/>
        <v>11721.27</v>
      </c>
    </row>
    <row r="2703" spans="3:30">
      <c r="C2703" s="43" t="s">
        <v>5060</v>
      </c>
      <c r="D2703" s="44" t="s">
        <v>5061</v>
      </c>
      <c r="E2703" s="44"/>
      <c r="F2703" s="45">
        <v>42277.35423611111</v>
      </c>
      <c r="G2703" s="46">
        <v>36</v>
      </c>
      <c r="H2703" s="47">
        <v>43376</v>
      </c>
      <c r="I2703" s="47">
        <v>43442</v>
      </c>
      <c r="J2703" s="46">
        <v>363678</v>
      </c>
      <c r="K2703" s="46">
        <v>0</v>
      </c>
      <c r="L2703" s="46">
        <v>0</v>
      </c>
      <c r="M2703" s="46">
        <f t="shared" si="745"/>
        <v>363678</v>
      </c>
      <c r="N2703" s="46">
        <v>363678</v>
      </c>
      <c r="O2703" s="48">
        <f t="shared" si="746"/>
        <v>0</v>
      </c>
      <c r="P2703" s="46">
        <v>0</v>
      </c>
      <c r="Q2703" s="46">
        <v>363678</v>
      </c>
      <c r="R2703" s="49">
        <f t="shared" si="747"/>
        <v>1</v>
      </c>
      <c r="S2703" s="50">
        <f t="shared" si="748"/>
        <v>0.01</v>
      </c>
      <c r="T2703" s="49">
        <f t="shared" si="749"/>
        <v>3636.78</v>
      </c>
      <c r="U2703" s="51">
        <f t="shared" si="750"/>
        <v>0</v>
      </c>
      <c r="V2703" s="52">
        <f>IF(0&lt;0.8,0,IF(0&lt;1,Sheet3!L561,1))*IF(G2703&lt;3,0.12 - O2703,0.01) *U2703</f>
        <v>0</v>
      </c>
      <c r="W2703" s="52">
        <f t="shared" si="751"/>
        <v>0</v>
      </c>
      <c r="X2703" s="53">
        <f t="shared" si="752"/>
        <v>0</v>
      </c>
      <c r="Y2703" s="53">
        <f t="shared" si="753"/>
        <v>0</v>
      </c>
      <c r="Z2703" s="54">
        <f t="shared" si="758"/>
        <v>0</v>
      </c>
      <c r="AA2703" s="54">
        <f t="shared" si="754"/>
        <v>0</v>
      </c>
      <c r="AB2703" s="55">
        <f t="shared" si="759"/>
        <v>0</v>
      </c>
      <c r="AC2703" s="55">
        <f t="shared" si="755"/>
        <v>0</v>
      </c>
      <c r="AD2703" s="56">
        <f t="shared" si="756"/>
        <v>3636.78</v>
      </c>
    </row>
    <row r="2704" spans="3:30">
      <c r="C2704" s="43" t="s">
        <v>5062</v>
      </c>
      <c r="D2704" s="44" t="s">
        <v>5063</v>
      </c>
      <c r="E2704" s="44"/>
      <c r="F2704" s="45">
        <v>42313.613356481481</v>
      </c>
      <c r="G2704" s="46">
        <v>34</v>
      </c>
      <c r="H2704" s="47">
        <v>43404</v>
      </c>
      <c r="I2704" s="47">
        <v>43419</v>
      </c>
      <c r="J2704" s="46">
        <v>492766648</v>
      </c>
      <c r="K2704" s="46">
        <v>0</v>
      </c>
      <c r="L2704" s="46">
        <v>0</v>
      </c>
      <c r="M2704" s="46">
        <f t="shared" si="745"/>
        <v>492766648</v>
      </c>
      <c r="N2704" s="46">
        <v>774028880</v>
      </c>
      <c r="O2704" s="48">
        <f t="shared" si="746"/>
        <v>0.36337433817714915</v>
      </c>
      <c r="P2704" s="46">
        <v>0</v>
      </c>
      <c r="Q2704" s="46">
        <v>492766648</v>
      </c>
      <c r="R2704" s="49">
        <f t="shared" si="747"/>
        <v>1</v>
      </c>
      <c r="S2704" s="50">
        <f t="shared" si="748"/>
        <v>0.01</v>
      </c>
      <c r="T2704" s="49">
        <f t="shared" si="749"/>
        <v>4927666.4800000004</v>
      </c>
      <c r="U2704" s="51">
        <f t="shared" si="750"/>
        <v>0</v>
      </c>
      <c r="V2704" s="52">
        <f>IF(0&lt;0.8,0,IF(0&lt;1,Sheet3!L561,1))*IF(G2704&lt;3,0.12 - O2704,0.01) *U2704</f>
        <v>0</v>
      </c>
      <c r="W2704" s="52">
        <f t="shared" si="751"/>
        <v>0</v>
      </c>
      <c r="X2704" s="53">
        <f t="shared" si="752"/>
        <v>0</v>
      </c>
      <c r="Y2704" s="53">
        <f t="shared" si="753"/>
        <v>0</v>
      </c>
      <c r="Z2704" s="54">
        <f t="shared" si="758"/>
        <v>0</v>
      </c>
      <c r="AA2704" s="54">
        <f t="shared" si="754"/>
        <v>0</v>
      </c>
      <c r="AB2704" s="55">
        <f t="shared" si="759"/>
        <v>0</v>
      </c>
      <c r="AC2704" s="55">
        <f t="shared" si="755"/>
        <v>0</v>
      </c>
      <c r="AD2704" s="56">
        <f t="shared" si="756"/>
        <v>4927666.4800000004</v>
      </c>
    </row>
    <row r="2705" spans="3:30">
      <c r="C2705" s="43" t="s">
        <v>5064</v>
      </c>
      <c r="D2705" s="44" t="s">
        <v>5065</v>
      </c>
      <c r="E2705" s="44"/>
      <c r="F2705" s="45">
        <v>42462.463865740741</v>
      </c>
      <c r="G2705" s="46">
        <v>29</v>
      </c>
      <c r="H2705" s="47">
        <v>43396</v>
      </c>
      <c r="I2705" s="47">
        <v>43407</v>
      </c>
      <c r="J2705" s="46">
        <v>1136311</v>
      </c>
      <c r="K2705" s="46">
        <v>0</v>
      </c>
      <c r="L2705" s="46">
        <v>0</v>
      </c>
      <c r="M2705" s="46">
        <f t="shared" si="745"/>
        <v>1136311</v>
      </c>
      <c r="N2705" s="46">
        <v>1136311</v>
      </c>
      <c r="O2705" s="48">
        <f t="shared" si="746"/>
        <v>0</v>
      </c>
      <c r="P2705" s="46">
        <v>0</v>
      </c>
      <c r="Q2705" s="46">
        <v>1136311</v>
      </c>
      <c r="R2705" s="49">
        <f t="shared" si="747"/>
        <v>1</v>
      </c>
      <c r="S2705" s="50">
        <f t="shared" si="748"/>
        <v>0.01</v>
      </c>
      <c r="T2705" s="49">
        <f t="shared" si="749"/>
        <v>11363.11</v>
      </c>
      <c r="U2705" s="51">
        <f t="shared" si="750"/>
        <v>0</v>
      </c>
      <c r="V2705" s="52">
        <f>IF(0&lt;0.8,0,IF(0&lt;1,Sheet3!L561,1))*IF(G2705&lt;3,0.12 - O2705,0.01) *U2705</f>
        <v>0</v>
      </c>
      <c r="W2705" s="52">
        <f t="shared" si="751"/>
        <v>0</v>
      </c>
      <c r="X2705" s="53">
        <f t="shared" si="752"/>
        <v>0</v>
      </c>
      <c r="Y2705" s="53">
        <f t="shared" si="753"/>
        <v>0</v>
      </c>
      <c r="Z2705" s="54">
        <f t="shared" si="758"/>
        <v>0</v>
      </c>
      <c r="AA2705" s="54">
        <f t="shared" si="754"/>
        <v>0</v>
      </c>
      <c r="AB2705" s="55">
        <f t="shared" si="759"/>
        <v>0</v>
      </c>
      <c r="AC2705" s="55">
        <f t="shared" si="755"/>
        <v>0</v>
      </c>
      <c r="AD2705" s="56">
        <f t="shared" si="756"/>
        <v>11363.11</v>
      </c>
    </row>
    <row r="2706" spans="3:30">
      <c r="C2706" s="43" t="s">
        <v>5066</v>
      </c>
      <c r="D2706" s="44" t="s">
        <v>5067</v>
      </c>
      <c r="E2706" s="44"/>
      <c r="F2706" s="45">
        <v>42516.265173611107</v>
      </c>
      <c r="G2706" s="46">
        <v>28</v>
      </c>
      <c r="H2706" s="47">
        <v>43396</v>
      </c>
      <c r="I2706" s="47">
        <v>43412</v>
      </c>
      <c r="J2706" s="46">
        <v>209935</v>
      </c>
      <c r="K2706" s="46">
        <v>0</v>
      </c>
      <c r="L2706" s="46">
        <v>0</v>
      </c>
      <c r="M2706" s="46">
        <f t="shared" si="745"/>
        <v>209935</v>
      </c>
      <c r="N2706" s="46">
        <v>209935</v>
      </c>
      <c r="O2706" s="48">
        <f t="shared" si="746"/>
        <v>0</v>
      </c>
      <c r="P2706" s="46">
        <v>0</v>
      </c>
      <c r="Q2706" s="46">
        <v>209935</v>
      </c>
      <c r="R2706" s="49">
        <f t="shared" si="747"/>
        <v>1</v>
      </c>
      <c r="S2706" s="50">
        <f t="shared" si="748"/>
        <v>0.01</v>
      </c>
      <c r="T2706" s="49">
        <f t="shared" si="749"/>
        <v>2099.35</v>
      </c>
      <c r="U2706" s="51">
        <f t="shared" si="750"/>
        <v>0</v>
      </c>
      <c r="V2706" s="52">
        <f>IF(0&lt;0.8,0,IF(0&lt;1,Sheet3!L561,1))*IF(G2706&lt;3,0.12 - O2706,0.01) *U2706</f>
        <v>0</v>
      </c>
      <c r="W2706" s="52">
        <f t="shared" si="751"/>
        <v>0</v>
      </c>
      <c r="X2706" s="53">
        <f t="shared" si="752"/>
        <v>0</v>
      </c>
      <c r="Y2706" s="53">
        <f t="shared" si="753"/>
        <v>0</v>
      </c>
      <c r="Z2706" s="54">
        <f t="shared" si="758"/>
        <v>0</v>
      </c>
      <c r="AA2706" s="54">
        <f t="shared" si="754"/>
        <v>0</v>
      </c>
      <c r="AB2706" s="55">
        <f t="shared" si="759"/>
        <v>0</v>
      </c>
      <c r="AC2706" s="55">
        <f t="shared" si="755"/>
        <v>0</v>
      </c>
      <c r="AD2706" s="56">
        <f t="shared" si="756"/>
        <v>2099.35</v>
      </c>
    </row>
    <row r="2707" spans="3:30">
      <c r="C2707" s="43" t="s">
        <v>5068</v>
      </c>
      <c r="D2707" s="44" t="s">
        <v>5069</v>
      </c>
      <c r="E2707" s="44"/>
      <c r="F2707" s="45">
        <v>42530.188217592593</v>
      </c>
      <c r="G2707" s="46">
        <v>27</v>
      </c>
      <c r="H2707" s="47">
        <v>43396</v>
      </c>
      <c r="I2707" s="47">
        <v>43407</v>
      </c>
      <c r="J2707" s="46">
        <v>628595</v>
      </c>
      <c r="K2707" s="46">
        <v>0</v>
      </c>
      <c r="L2707" s="46">
        <v>0</v>
      </c>
      <c r="M2707" s="46">
        <f t="shared" si="745"/>
        <v>628595</v>
      </c>
      <c r="N2707" s="46">
        <v>628595</v>
      </c>
      <c r="O2707" s="48">
        <f t="shared" si="746"/>
        <v>0</v>
      </c>
      <c r="P2707" s="46">
        <v>0</v>
      </c>
      <c r="Q2707" s="46">
        <v>628595</v>
      </c>
      <c r="R2707" s="49">
        <f t="shared" si="747"/>
        <v>1</v>
      </c>
      <c r="S2707" s="50">
        <f t="shared" si="748"/>
        <v>0.01</v>
      </c>
      <c r="T2707" s="49">
        <f t="shared" si="749"/>
        <v>6285.95</v>
      </c>
      <c r="U2707" s="51">
        <f t="shared" si="750"/>
        <v>0</v>
      </c>
      <c r="V2707" s="52">
        <f>IF(0&lt;0.8,0,IF(0&lt;1,Sheet3!L561,1))*IF(G2707&lt;3,0.12 - O2707,0.01) *U2707</f>
        <v>0</v>
      </c>
      <c r="W2707" s="52">
        <f t="shared" si="751"/>
        <v>0</v>
      </c>
      <c r="X2707" s="53">
        <f t="shared" si="752"/>
        <v>0</v>
      </c>
      <c r="Y2707" s="53">
        <f t="shared" si="753"/>
        <v>0</v>
      </c>
      <c r="Z2707" s="54">
        <f t="shared" si="758"/>
        <v>0</v>
      </c>
      <c r="AA2707" s="54">
        <f t="shared" si="754"/>
        <v>0</v>
      </c>
      <c r="AB2707" s="55">
        <f t="shared" si="759"/>
        <v>0</v>
      </c>
      <c r="AC2707" s="55">
        <f t="shared" si="755"/>
        <v>0</v>
      </c>
      <c r="AD2707" s="56">
        <f t="shared" si="756"/>
        <v>6285.95</v>
      </c>
    </row>
    <row r="2708" spans="3:30">
      <c r="C2708" s="43" t="s">
        <v>5070</v>
      </c>
      <c r="D2708" s="44" t="s">
        <v>5071</v>
      </c>
      <c r="E2708" s="44"/>
      <c r="F2708" s="45">
        <v>42571.356504629628</v>
      </c>
      <c r="G2708" s="46">
        <v>26</v>
      </c>
      <c r="H2708" s="47">
        <v>43376</v>
      </c>
      <c r="I2708" s="47">
        <v>43406</v>
      </c>
      <c r="J2708" s="46">
        <v>2803679</v>
      </c>
      <c r="K2708" s="46">
        <v>0</v>
      </c>
      <c r="L2708" s="46">
        <v>0</v>
      </c>
      <c r="M2708" s="46">
        <f t="shared" si="745"/>
        <v>2803679</v>
      </c>
      <c r="N2708" s="46">
        <v>2803679</v>
      </c>
      <c r="O2708" s="48">
        <f t="shared" si="746"/>
        <v>0</v>
      </c>
      <c r="P2708" s="46">
        <v>0</v>
      </c>
      <c r="Q2708" s="46">
        <v>2803679</v>
      </c>
      <c r="R2708" s="49">
        <f t="shared" si="747"/>
        <v>1</v>
      </c>
      <c r="S2708" s="50">
        <f t="shared" si="748"/>
        <v>0.01</v>
      </c>
      <c r="T2708" s="49">
        <f t="shared" si="749"/>
        <v>28036.79</v>
      </c>
      <c r="U2708" s="51">
        <f t="shared" si="750"/>
        <v>0</v>
      </c>
      <c r="V2708" s="52">
        <f>IF(0&lt;0.8,0,IF(0&lt;1,Sheet3!L561,1))*IF(G2708&lt;3,0.12 - O2708,0.01) *U2708</f>
        <v>0</v>
      </c>
      <c r="W2708" s="52">
        <f t="shared" si="751"/>
        <v>0</v>
      </c>
      <c r="X2708" s="53">
        <f t="shared" si="752"/>
        <v>0</v>
      </c>
      <c r="Y2708" s="53">
        <f t="shared" si="753"/>
        <v>0</v>
      </c>
      <c r="Z2708" s="54">
        <f t="shared" si="758"/>
        <v>0</v>
      </c>
      <c r="AA2708" s="54">
        <f t="shared" si="754"/>
        <v>0</v>
      </c>
      <c r="AB2708" s="55">
        <f t="shared" si="759"/>
        <v>0</v>
      </c>
      <c r="AC2708" s="55">
        <f t="shared" si="755"/>
        <v>0</v>
      </c>
      <c r="AD2708" s="56">
        <f t="shared" si="756"/>
        <v>28036.79</v>
      </c>
    </row>
    <row r="2709" spans="3:30">
      <c r="C2709" s="43" t="s">
        <v>5072</v>
      </c>
      <c r="D2709" s="44" t="s">
        <v>5073</v>
      </c>
      <c r="E2709" s="44"/>
      <c r="F2709" s="45">
        <v>42613.157916666663</v>
      </c>
      <c r="G2709" s="46">
        <v>25</v>
      </c>
      <c r="H2709" s="47">
        <v>43396</v>
      </c>
      <c r="I2709" s="47">
        <v>43402</v>
      </c>
      <c r="J2709" s="46">
        <v>587697</v>
      </c>
      <c r="K2709" s="46">
        <v>0</v>
      </c>
      <c r="L2709" s="46">
        <v>0</v>
      </c>
      <c r="M2709" s="46">
        <f t="shared" si="745"/>
        <v>587697</v>
      </c>
      <c r="N2709" s="46">
        <v>587697</v>
      </c>
      <c r="O2709" s="48">
        <f t="shared" si="746"/>
        <v>0</v>
      </c>
      <c r="P2709" s="46">
        <v>0</v>
      </c>
      <c r="Q2709" s="46">
        <v>587697</v>
      </c>
      <c r="R2709" s="49">
        <f t="shared" si="747"/>
        <v>1</v>
      </c>
      <c r="S2709" s="50">
        <f t="shared" si="748"/>
        <v>0.01</v>
      </c>
      <c r="T2709" s="49">
        <f t="shared" si="749"/>
        <v>5876.97</v>
      </c>
      <c r="U2709" s="51">
        <f t="shared" si="750"/>
        <v>0</v>
      </c>
      <c r="V2709" s="52">
        <f>IF(0&lt;0.8,0,IF(0&lt;1,Sheet3!L561,1))*IF(G2709&lt;3,0.12 - O2709,0.01) *U2709</f>
        <v>0</v>
      </c>
      <c r="W2709" s="52">
        <f t="shared" si="751"/>
        <v>0</v>
      </c>
      <c r="X2709" s="53">
        <f t="shared" si="752"/>
        <v>0</v>
      </c>
      <c r="Y2709" s="53">
        <f t="shared" si="753"/>
        <v>0</v>
      </c>
      <c r="Z2709" s="54">
        <f t="shared" si="758"/>
        <v>0</v>
      </c>
      <c r="AA2709" s="54">
        <f t="shared" si="754"/>
        <v>0</v>
      </c>
      <c r="AB2709" s="55">
        <f t="shared" si="759"/>
        <v>0</v>
      </c>
      <c r="AC2709" s="55">
        <f t="shared" si="755"/>
        <v>0</v>
      </c>
      <c r="AD2709" s="56">
        <f t="shared" si="756"/>
        <v>5876.97</v>
      </c>
    </row>
    <row r="2710" spans="3:30">
      <c r="C2710" s="43" t="s">
        <v>5074</v>
      </c>
      <c r="D2710" s="44" t="s">
        <v>5075</v>
      </c>
      <c r="E2710" s="44"/>
      <c r="F2710" s="45">
        <v>42714.127210648148</v>
      </c>
      <c r="G2710" s="46">
        <v>21</v>
      </c>
      <c r="H2710" s="47">
        <v>43391</v>
      </c>
      <c r="I2710" s="47">
        <v>43409</v>
      </c>
      <c r="J2710" s="46">
        <v>593021</v>
      </c>
      <c r="K2710" s="46">
        <v>0</v>
      </c>
      <c r="L2710" s="46">
        <v>0</v>
      </c>
      <c r="M2710" s="46">
        <f t="shared" si="745"/>
        <v>593021</v>
      </c>
      <c r="N2710" s="46">
        <v>593021</v>
      </c>
      <c r="O2710" s="48">
        <f t="shared" si="746"/>
        <v>0</v>
      </c>
      <c r="P2710" s="46">
        <v>0</v>
      </c>
      <c r="Q2710" s="46">
        <v>593021</v>
      </c>
      <c r="R2710" s="49">
        <f t="shared" si="747"/>
        <v>1</v>
      </c>
      <c r="S2710" s="50">
        <f t="shared" si="748"/>
        <v>0.01</v>
      </c>
      <c r="T2710" s="49">
        <f t="shared" si="749"/>
        <v>5930.21</v>
      </c>
      <c r="U2710" s="51">
        <f t="shared" si="750"/>
        <v>0</v>
      </c>
      <c r="V2710" s="52">
        <f>IF(0&lt;0.8,0,IF(0&lt;1,Sheet3!L561,1))*IF(G2710&lt;3,0.12 - O2710,0.01) *U2710</f>
        <v>0</v>
      </c>
      <c r="W2710" s="52">
        <f t="shared" si="751"/>
        <v>0</v>
      </c>
      <c r="X2710" s="53">
        <f t="shared" si="752"/>
        <v>0</v>
      </c>
      <c r="Y2710" s="53">
        <f t="shared" si="753"/>
        <v>0</v>
      </c>
      <c r="Z2710" s="54">
        <f t="shared" si="758"/>
        <v>0</v>
      </c>
      <c r="AA2710" s="54">
        <f t="shared" si="754"/>
        <v>0</v>
      </c>
      <c r="AB2710" s="55">
        <f t="shared" si="759"/>
        <v>0</v>
      </c>
      <c r="AC2710" s="55">
        <f t="shared" si="755"/>
        <v>0</v>
      </c>
      <c r="AD2710" s="56">
        <f t="shared" si="756"/>
        <v>5930.21</v>
      </c>
    </row>
    <row r="2711" spans="3:30">
      <c r="C2711" s="43" t="s">
        <v>5076</v>
      </c>
      <c r="D2711" s="44" t="s">
        <v>5077</v>
      </c>
      <c r="E2711" s="44"/>
      <c r="F2711" s="45">
        <v>42795.204791666663</v>
      </c>
      <c r="G2711" s="46">
        <v>18</v>
      </c>
      <c r="H2711" s="47">
        <v>43425</v>
      </c>
      <c r="I2711" s="47">
        <v>43448</v>
      </c>
      <c r="J2711" s="46">
        <v>272688</v>
      </c>
      <c r="K2711" s="46">
        <v>0</v>
      </c>
      <c r="L2711" s="46">
        <v>0</v>
      </c>
      <c r="M2711" s="46">
        <f t="shared" si="745"/>
        <v>272688</v>
      </c>
      <c r="N2711" s="46">
        <v>272522</v>
      </c>
      <c r="O2711" s="48">
        <f t="shared" si="746"/>
        <v>0</v>
      </c>
      <c r="P2711" s="46">
        <v>0</v>
      </c>
      <c r="Q2711" s="46">
        <v>358688</v>
      </c>
      <c r="R2711" s="49">
        <f t="shared" si="747"/>
        <v>1</v>
      </c>
      <c r="S2711" s="50">
        <f t="shared" si="748"/>
        <v>0.01</v>
      </c>
      <c r="T2711" s="49">
        <f t="shared" si="749"/>
        <v>2726.88</v>
      </c>
      <c r="U2711" s="51">
        <f t="shared" si="750"/>
        <v>0</v>
      </c>
      <c r="V2711" s="52">
        <f>IF(0&lt;0.8,0,IF(0&lt;1,Sheet3!L561,1))*IF(G2711&lt;3,0.12 - O2711,0.01) *U2711</f>
        <v>0</v>
      </c>
      <c r="W2711" s="52">
        <f t="shared" si="751"/>
        <v>0</v>
      </c>
      <c r="X2711" s="53">
        <f t="shared" si="752"/>
        <v>0</v>
      </c>
      <c r="Y2711" s="53">
        <f t="shared" si="753"/>
        <v>0</v>
      </c>
      <c r="Z2711" s="54">
        <f t="shared" si="758"/>
        <v>0</v>
      </c>
      <c r="AA2711" s="54">
        <f t="shared" si="754"/>
        <v>0</v>
      </c>
      <c r="AB2711" s="55">
        <f t="shared" si="759"/>
        <v>0</v>
      </c>
      <c r="AC2711" s="55">
        <f t="shared" si="755"/>
        <v>0</v>
      </c>
      <c r="AD2711" s="56">
        <f t="shared" si="756"/>
        <v>2726.88</v>
      </c>
    </row>
    <row r="2712" spans="3:30">
      <c r="C2712" s="43" t="s">
        <v>5078</v>
      </c>
      <c r="D2712" s="44" t="s">
        <v>5079</v>
      </c>
      <c r="E2712" s="44"/>
      <c r="F2712" s="45">
        <v>42835.295532407406</v>
      </c>
      <c r="G2712" s="46">
        <v>17</v>
      </c>
      <c r="H2712" s="47">
        <v>43396</v>
      </c>
      <c r="I2712" s="47">
        <v>43399</v>
      </c>
      <c r="J2712" s="46">
        <v>630531</v>
      </c>
      <c r="K2712" s="46">
        <v>0</v>
      </c>
      <c r="L2712" s="46">
        <v>0</v>
      </c>
      <c r="M2712" s="46">
        <f t="shared" si="745"/>
        <v>630531</v>
      </c>
      <c r="N2712" s="46">
        <v>630531</v>
      </c>
      <c r="O2712" s="48">
        <f t="shared" si="746"/>
        <v>0</v>
      </c>
      <c r="P2712" s="46">
        <v>0</v>
      </c>
      <c r="Q2712" s="46">
        <v>630531</v>
      </c>
      <c r="R2712" s="49">
        <f t="shared" si="747"/>
        <v>1</v>
      </c>
      <c r="S2712" s="50">
        <f t="shared" si="748"/>
        <v>0.01</v>
      </c>
      <c r="T2712" s="49">
        <f t="shared" si="749"/>
        <v>6305.31</v>
      </c>
      <c r="U2712" s="51">
        <f t="shared" si="750"/>
        <v>0</v>
      </c>
      <c r="V2712" s="52">
        <f>IF(0&lt;0.8,0,IF(0&lt;1,Sheet3!L561,1))*IF(G2712&lt;3,0.12 - O2712,0.01) *U2712</f>
        <v>0</v>
      </c>
      <c r="W2712" s="52">
        <f t="shared" si="751"/>
        <v>0</v>
      </c>
      <c r="X2712" s="53">
        <f t="shared" si="752"/>
        <v>0</v>
      </c>
      <c r="Y2712" s="53">
        <f t="shared" si="753"/>
        <v>0</v>
      </c>
      <c r="Z2712" s="54">
        <f t="shared" si="758"/>
        <v>0</v>
      </c>
      <c r="AA2712" s="54">
        <f t="shared" si="754"/>
        <v>0</v>
      </c>
      <c r="AB2712" s="55">
        <f t="shared" si="759"/>
        <v>0</v>
      </c>
      <c r="AC2712" s="55">
        <f t="shared" si="755"/>
        <v>0</v>
      </c>
      <c r="AD2712" s="56">
        <f t="shared" si="756"/>
        <v>6305.31</v>
      </c>
    </row>
    <row r="2713" spans="3:30">
      <c r="C2713" s="43" t="s">
        <v>5080</v>
      </c>
      <c r="D2713" s="44" t="s">
        <v>5081</v>
      </c>
      <c r="E2713" s="44"/>
      <c r="F2713" s="45">
        <v>42846.107743055552</v>
      </c>
      <c r="G2713" s="46">
        <v>17</v>
      </c>
      <c r="H2713" s="47">
        <v>43391</v>
      </c>
      <c r="I2713" s="47">
        <v>43495</v>
      </c>
      <c r="J2713" s="46">
        <v>134915</v>
      </c>
      <c r="K2713" s="46">
        <v>0</v>
      </c>
      <c r="L2713" s="46">
        <v>0</v>
      </c>
      <c r="M2713" s="46">
        <f t="shared" si="745"/>
        <v>134915</v>
      </c>
      <c r="N2713" s="46">
        <v>134915</v>
      </c>
      <c r="O2713" s="48">
        <f t="shared" si="746"/>
        <v>0</v>
      </c>
      <c r="P2713" s="46">
        <v>0</v>
      </c>
      <c r="Q2713" s="46">
        <v>134915</v>
      </c>
      <c r="R2713" s="49">
        <f t="shared" si="747"/>
        <v>1</v>
      </c>
      <c r="S2713" s="50">
        <f t="shared" si="748"/>
        <v>0.01</v>
      </c>
      <c r="T2713" s="49">
        <f t="shared" si="749"/>
        <v>1349.15</v>
      </c>
      <c r="U2713" s="51">
        <f t="shared" si="750"/>
        <v>0</v>
      </c>
      <c r="V2713" s="52">
        <f>IF(0&lt;0.8,0,IF(0&lt;1,Sheet3!L561,1))*IF(G2713&lt;3,0.12 - O2713,0.01) *U2713</f>
        <v>0</v>
      </c>
      <c r="W2713" s="52">
        <f t="shared" si="751"/>
        <v>0</v>
      </c>
      <c r="X2713" s="53">
        <f t="shared" si="752"/>
        <v>0</v>
      </c>
      <c r="Y2713" s="53">
        <f t="shared" si="753"/>
        <v>0</v>
      </c>
      <c r="Z2713" s="54">
        <f t="shared" si="758"/>
        <v>0</v>
      </c>
      <c r="AA2713" s="54">
        <f t="shared" si="754"/>
        <v>0</v>
      </c>
      <c r="AB2713" s="55">
        <f t="shared" si="759"/>
        <v>0</v>
      </c>
      <c r="AC2713" s="55">
        <f t="shared" si="755"/>
        <v>0</v>
      </c>
      <c r="AD2713" s="56">
        <f t="shared" si="756"/>
        <v>1349.15</v>
      </c>
    </row>
    <row r="2714" spans="3:30">
      <c r="C2714" s="43" t="s">
        <v>5082</v>
      </c>
      <c r="D2714" s="44" t="s">
        <v>5083</v>
      </c>
      <c r="E2714" s="44"/>
      <c r="F2714" s="45">
        <v>42912.133506944439</v>
      </c>
      <c r="G2714" s="46">
        <v>15</v>
      </c>
      <c r="H2714" s="47">
        <v>43391</v>
      </c>
      <c r="I2714" s="47">
        <v>43405</v>
      </c>
      <c r="J2714" s="46">
        <v>361669</v>
      </c>
      <c r="K2714" s="46">
        <v>0</v>
      </c>
      <c r="L2714" s="46">
        <v>0</v>
      </c>
      <c r="M2714" s="46">
        <f t="shared" si="745"/>
        <v>361669</v>
      </c>
      <c r="N2714" s="46">
        <v>361669</v>
      </c>
      <c r="O2714" s="48">
        <f t="shared" si="746"/>
        <v>0</v>
      </c>
      <c r="P2714" s="46">
        <v>0</v>
      </c>
      <c r="Q2714" s="46">
        <v>361669</v>
      </c>
      <c r="R2714" s="49">
        <f t="shared" si="747"/>
        <v>1</v>
      </c>
      <c r="S2714" s="50">
        <f t="shared" si="748"/>
        <v>0.01</v>
      </c>
      <c r="T2714" s="49">
        <f t="shared" si="749"/>
        <v>3616.69</v>
      </c>
      <c r="U2714" s="51">
        <f t="shared" si="750"/>
        <v>0</v>
      </c>
      <c r="V2714" s="52">
        <f>IF(0&lt;0.8,0,IF(0&lt;1,Sheet3!L561,1))*IF(G2714&lt;3,0.12 - O2714,0.01) *U2714</f>
        <v>0</v>
      </c>
      <c r="W2714" s="52">
        <f t="shared" si="751"/>
        <v>0</v>
      </c>
      <c r="X2714" s="53">
        <f t="shared" si="752"/>
        <v>0</v>
      </c>
      <c r="Y2714" s="53">
        <f t="shared" si="753"/>
        <v>0</v>
      </c>
      <c r="Z2714" s="54">
        <f t="shared" si="758"/>
        <v>0</v>
      </c>
      <c r="AA2714" s="54">
        <f t="shared" si="754"/>
        <v>0</v>
      </c>
      <c r="AB2714" s="55">
        <f t="shared" si="759"/>
        <v>0</v>
      </c>
      <c r="AC2714" s="55">
        <f t="shared" si="755"/>
        <v>0</v>
      </c>
      <c r="AD2714" s="56">
        <f t="shared" si="756"/>
        <v>3616.69</v>
      </c>
    </row>
    <row r="2715" spans="3:30">
      <c r="C2715" s="43" t="s">
        <v>5084</v>
      </c>
      <c r="D2715" s="44" t="s">
        <v>5085</v>
      </c>
      <c r="E2715" s="44"/>
      <c r="F2715" s="45">
        <v>42923.282731481479</v>
      </c>
      <c r="G2715" s="46">
        <v>14</v>
      </c>
      <c r="H2715" s="47">
        <v>43390</v>
      </c>
      <c r="I2715" s="47">
        <v>43454</v>
      </c>
      <c r="J2715" s="46">
        <v>5845510</v>
      </c>
      <c r="K2715" s="46">
        <v>0</v>
      </c>
      <c r="L2715" s="46">
        <v>0</v>
      </c>
      <c r="M2715" s="46">
        <f t="shared" si="745"/>
        <v>5845510</v>
      </c>
      <c r="N2715" s="46">
        <v>5845510</v>
      </c>
      <c r="O2715" s="48">
        <f t="shared" si="746"/>
        <v>0</v>
      </c>
      <c r="P2715" s="46">
        <v>0</v>
      </c>
      <c r="Q2715" s="46">
        <v>5845510</v>
      </c>
      <c r="R2715" s="49">
        <f t="shared" si="747"/>
        <v>1</v>
      </c>
      <c r="S2715" s="50">
        <f t="shared" si="748"/>
        <v>0.01</v>
      </c>
      <c r="T2715" s="49">
        <f t="shared" si="749"/>
        <v>58455.1</v>
      </c>
      <c r="U2715" s="51">
        <f t="shared" si="750"/>
        <v>0</v>
      </c>
      <c r="V2715" s="52">
        <f>IF(0&lt;0.8,0,IF(0&lt;1,Sheet3!L561,1))*IF(G2715&lt;3,0.12 - O2715,0.01) *U2715</f>
        <v>0</v>
      </c>
      <c r="W2715" s="52">
        <f t="shared" si="751"/>
        <v>0</v>
      </c>
      <c r="X2715" s="53">
        <f t="shared" si="752"/>
        <v>0</v>
      </c>
      <c r="Y2715" s="53">
        <f t="shared" si="753"/>
        <v>0</v>
      </c>
      <c r="Z2715" s="54">
        <f t="shared" si="758"/>
        <v>0</v>
      </c>
      <c r="AA2715" s="54">
        <f t="shared" si="754"/>
        <v>0</v>
      </c>
      <c r="AB2715" s="55">
        <f t="shared" si="759"/>
        <v>0</v>
      </c>
      <c r="AC2715" s="55">
        <f t="shared" si="755"/>
        <v>0</v>
      </c>
      <c r="AD2715" s="56">
        <f t="shared" si="756"/>
        <v>58455.1</v>
      </c>
    </row>
    <row r="2716" spans="3:30">
      <c r="C2716" s="43" t="s">
        <v>5086</v>
      </c>
      <c r="D2716" s="44" t="s">
        <v>5087</v>
      </c>
      <c r="E2716" s="44"/>
      <c r="F2716" s="45">
        <v>42961.198437499996</v>
      </c>
      <c r="G2716" s="46">
        <v>13</v>
      </c>
      <c r="H2716" s="47">
        <v>43391</v>
      </c>
      <c r="I2716" s="47">
        <v>43417</v>
      </c>
      <c r="J2716" s="46">
        <v>6162461</v>
      </c>
      <c r="K2716" s="46">
        <v>0</v>
      </c>
      <c r="L2716" s="46">
        <v>0</v>
      </c>
      <c r="M2716" s="46">
        <f t="shared" si="745"/>
        <v>6162461</v>
      </c>
      <c r="N2716" s="46">
        <v>6110912</v>
      </c>
      <c r="O2716" s="48">
        <f t="shared" si="746"/>
        <v>0</v>
      </c>
      <c r="P2716" s="46">
        <v>0</v>
      </c>
      <c r="Q2716" s="46">
        <v>6162461</v>
      </c>
      <c r="R2716" s="49">
        <f t="shared" si="747"/>
        <v>1</v>
      </c>
      <c r="S2716" s="50">
        <f t="shared" si="748"/>
        <v>0.01</v>
      </c>
      <c r="T2716" s="49">
        <f t="shared" si="749"/>
        <v>61624.61</v>
      </c>
      <c r="U2716" s="51">
        <f t="shared" si="750"/>
        <v>0</v>
      </c>
      <c r="V2716" s="52">
        <f>IF(0&lt;0.8,0,IF(0&lt;1,Sheet3!L561,1))*IF(G2716&lt;3,0.12 - O2716,0.01) *U2716</f>
        <v>0</v>
      </c>
      <c r="W2716" s="52">
        <f t="shared" si="751"/>
        <v>0</v>
      </c>
      <c r="X2716" s="53">
        <f t="shared" si="752"/>
        <v>0</v>
      </c>
      <c r="Y2716" s="53">
        <f t="shared" si="753"/>
        <v>0</v>
      </c>
      <c r="Z2716" s="54">
        <f t="shared" si="758"/>
        <v>0</v>
      </c>
      <c r="AA2716" s="54">
        <f t="shared" si="754"/>
        <v>0</v>
      </c>
      <c r="AB2716" s="55">
        <f t="shared" si="759"/>
        <v>0</v>
      </c>
      <c r="AC2716" s="55">
        <f t="shared" si="755"/>
        <v>0</v>
      </c>
      <c r="AD2716" s="56">
        <f t="shared" si="756"/>
        <v>61624.61</v>
      </c>
    </row>
    <row r="2717" spans="3:30">
      <c r="C2717" s="43" t="s">
        <v>5088</v>
      </c>
      <c r="D2717" s="44" t="s">
        <v>5089</v>
      </c>
      <c r="E2717" s="44"/>
      <c r="F2717" s="45">
        <v>43117.125752314816</v>
      </c>
      <c r="G2717" s="46">
        <v>8</v>
      </c>
      <c r="H2717" s="47">
        <v>43391</v>
      </c>
      <c r="I2717" s="47">
        <v>43396</v>
      </c>
      <c r="J2717" s="46">
        <v>2274250</v>
      </c>
      <c r="K2717" s="46">
        <v>0</v>
      </c>
      <c r="L2717" s="46">
        <v>0</v>
      </c>
      <c r="M2717" s="46">
        <f t="shared" si="745"/>
        <v>2274250</v>
      </c>
      <c r="N2717" s="46">
        <v>2049377</v>
      </c>
      <c r="O2717" s="48">
        <f t="shared" si="746"/>
        <v>0</v>
      </c>
      <c r="P2717" s="46">
        <v>0</v>
      </c>
      <c r="Q2717" s="46">
        <v>2274250</v>
      </c>
      <c r="R2717" s="49">
        <f t="shared" si="747"/>
        <v>1</v>
      </c>
      <c r="S2717" s="50">
        <f t="shared" si="748"/>
        <v>0.01</v>
      </c>
      <c r="T2717" s="49">
        <f t="shared" si="749"/>
        <v>22742.5</v>
      </c>
      <c r="U2717" s="51">
        <f t="shared" si="750"/>
        <v>0</v>
      </c>
      <c r="V2717" s="52">
        <f>IF(0&lt;0.8,0,IF(0&lt;1,Sheet3!L561,1))*IF(G2717&lt;3,0.12 - O2717,0.01) *U2717</f>
        <v>0</v>
      </c>
      <c r="W2717" s="52">
        <f t="shared" si="751"/>
        <v>0</v>
      </c>
      <c r="X2717" s="53">
        <f t="shared" si="752"/>
        <v>0</v>
      </c>
      <c r="Y2717" s="53">
        <f t="shared" si="753"/>
        <v>0</v>
      </c>
      <c r="Z2717" s="54">
        <f t="shared" si="758"/>
        <v>0</v>
      </c>
      <c r="AA2717" s="54">
        <f t="shared" si="754"/>
        <v>0</v>
      </c>
      <c r="AB2717" s="55">
        <f t="shared" si="759"/>
        <v>0</v>
      </c>
      <c r="AC2717" s="55">
        <f t="shared" si="755"/>
        <v>0</v>
      </c>
      <c r="AD2717" s="56">
        <f t="shared" si="756"/>
        <v>22742.5</v>
      </c>
    </row>
    <row r="2718" spans="3:30">
      <c r="C2718" s="43" t="s">
        <v>5090</v>
      </c>
      <c r="D2718" s="44" t="s">
        <v>5091</v>
      </c>
      <c r="E2718" s="44"/>
      <c r="F2718" s="45">
        <v>43188.159699074073</v>
      </c>
      <c r="G2718" s="46">
        <v>6</v>
      </c>
      <c r="H2718" s="47">
        <v>43376</v>
      </c>
      <c r="I2718" s="47">
        <v>43378</v>
      </c>
      <c r="J2718" s="46">
        <v>5062156</v>
      </c>
      <c r="K2718" s="46">
        <v>0</v>
      </c>
      <c r="L2718" s="46">
        <v>0</v>
      </c>
      <c r="M2718" s="46">
        <f t="shared" si="745"/>
        <v>5062156</v>
      </c>
      <c r="N2718" s="46">
        <v>5062156</v>
      </c>
      <c r="O2718" s="48">
        <f t="shared" si="746"/>
        <v>0</v>
      </c>
      <c r="P2718" s="46">
        <v>0</v>
      </c>
      <c r="Q2718" s="46">
        <v>5062156</v>
      </c>
      <c r="R2718" s="49">
        <f t="shared" si="747"/>
        <v>1</v>
      </c>
      <c r="S2718" s="50">
        <f t="shared" si="748"/>
        <v>0.01</v>
      </c>
      <c r="T2718" s="49">
        <f t="shared" si="749"/>
        <v>50621.56</v>
      </c>
      <c r="U2718" s="51">
        <f t="shared" si="750"/>
        <v>0</v>
      </c>
      <c r="V2718" s="52">
        <f>IF(0&lt;0.8,0,IF(0&lt;1,Sheet3!L561,1))*IF(G2718&lt;3,0.12 - O2718,0.01) *U2718</f>
        <v>0</v>
      </c>
      <c r="W2718" s="52">
        <f t="shared" si="751"/>
        <v>0</v>
      </c>
      <c r="X2718" s="53">
        <f t="shared" si="752"/>
        <v>0</v>
      </c>
      <c r="Y2718" s="53">
        <f t="shared" si="753"/>
        <v>0</v>
      </c>
      <c r="Z2718" s="54">
        <f t="shared" si="758"/>
        <v>0</v>
      </c>
      <c r="AA2718" s="54">
        <f t="shared" si="754"/>
        <v>0</v>
      </c>
      <c r="AB2718" s="55">
        <f t="shared" si="759"/>
        <v>0</v>
      </c>
      <c r="AC2718" s="55">
        <f t="shared" si="755"/>
        <v>0</v>
      </c>
      <c r="AD2718" s="56">
        <f t="shared" si="756"/>
        <v>50621.56</v>
      </c>
    </row>
    <row r="2719" spans="3:30">
      <c r="C2719" s="43" t="s">
        <v>5092</v>
      </c>
      <c r="D2719" s="44" t="s">
        <v>5093</v>
      </c>
      <c r="E2719" s="44"/>
      <c r="F2719" s="45">
        <v>43206.181886574072</v>
      </c>
      <c r="G2719" s="46">
        <v>5</v>
      </c>
      <c r="H2719" s="47">
        <v>43391</v>
      </c>
      <c r="I2719" s="47">
        <v>43434</v>
      </c>
      <c r="J2719" s="46">
        <v>1326600</v>
      </c>
      <c r="K2719" s="46">
        <v>0</v>
      </c>
      <c r="L2719" s="46">
        <v>0</v>
      </c>
      <c r="M2719" s="46">
        <f t="shared" si="745"/>
        <v>1326600</v>
      </c>
      <c r="N2719" s="46">
        <v>1669470</v>
      </c>
      <c r="O2719" s="48">
        <f t="shared" si="746"/>
        <v>0.20537655663174537</v>
      </c>
      <c r="P2719" s="46">
        <v>0</v>
      </c>
      <c r="Q2719" s="46">
        <v>1326600</v>
      </c>
      <c r="R2719" s="49">
        <f t="shared" si="747"/>
        <v>1</v>
      </c>
      <c r="S2719" s="50">
        <f t="shared" si="748"/>
        <v>0.01</v>
      </c>
      <c r="T2719" s="49">
        <f t="shared" si="749"/>
        <v>13266</v>
      </c>
      <c r="U2719" s="51">
        <f t="shared" si="750"/>
        <v>0</v>
      </c>
      <c r="V2719" s="52">
        <f>IF(0&lt;0.8,0,IF(0&lt;1,Sheet3!L561,1))*IF(G2719&lt;3,0.12 - O2719,0.01) *U2719</f>
        <v>0</v>
      </c>
      <c r="W2719" s="52">
        <f t="shared" si="751"/>
        <v>0</v>
      </c>
      <c r="X2719" s="53">
        <f t="shared" si="752"/>
        <v>0</v>
      </c>
      <c r="Y2719" s="53">
        <f t="shared" si="753"/>
        <v>0</v>
      </c>
      <c r="Z2719" s="54">
        <f t="shared" si="758"/>
        <v>0</v>
      </c>
      <c r="AA2719" s="54">
        <f t="shared" si="754"/>
        <v>0</v>
      </c>
      <c r="AB2719" s="55">
        <f t="shared" si="759"/>
        <v>0</v>
      </c>
      <c r="AC2719" s="55">
        <f t="shared" si="755"/>
        <v>0</v>
      </c>
      <c r="AD2719" s="56">
        <f t="shared" si="756"/>
        <v>13266</v>
      </c>
    </row>
    <row r="2720" spans="3:30">
      <c r="C2720" s="43" t="s">
        <v>5094</v>
      </c>
      <c r="D2720" s="44" t="s">
        <v>5095</v>
      </c>
      <c r="E2720" s="44"/>
      <c r="F2720" s="45">
        <v>43313.100729166668</v>
      </c>
      <c r="G2720" s="46">
        <v>1</v>
      </c>
      <c r="H2720" s="47">
        <v>43391</v>
      </c>
      <c r="I2720" s="47">
        <v>43362</v>
      </c>
      <c r="J2720" s="46">
        <v>174740</v>
      </c>
      <c r="K2720" s="46">
        <v>0</v>
      </c>
      <c r="L2720" s="46">
        <v>0</v>
      </c>
      <c r="M2720" s="46">
        <f t="shared" si="745"/>
        <v>174740</v>
      </c>
      <c r="N2720" s="46">
        <v>166738</v>
      </c>
      <c r="O2720" s="48">
        <f t="shared" si="746"/>
        <v>0</v>
      </c>
      <c r="P2720" s="46">
        <v>0</v>
      </c>
      <c r="Q2720" s="46">
        <v>0</v>
      </c>
      <c r="R2720" s="49">
        <f t="shared" si="747"/>
        <v>0</v>
      </c>
      <c r="S2720" s="50">
        <f t="shared" si="748"/>
        <v>0</v>
      </c>
      <c r="T2720" s="49">
        <f t="shared" si="749"/>
        <v>0</v>
      </c>
      <c r="U2720" s="51">
        <f t="shared" si="750"/>
        <v>174740</v>
      </c>
      <c r="V2720" s="52">
        <f>IF(0&lt;0.8,0,IF(0&lt;1,Sheet3!L561,1))*IF(G2720&lt;3,0.12 - O2720,0.01) *U2720</f>
        <v>0</v>
      </c>
      <c r="W2720" s="52">
        <f t="shared" si="751"/>
        <v>0</v>
      </c>
      <c r="X2720" s="53">
        <f t="shared" si="752"/>
        <v>0</v>
      </c>
      <c r="Y2720" s="53">
        <f t="shared" si="753"/>
        <v>0</v>
      </c>
      <c r="Z2720" s="54">
        <f t="shared" si="758"/>
        <v>0</v>
      </c>
      <c r="AA2720" s="54">
        <f t="shared" si="754"/>
        <v>0</v>
      </c>
      <c r="AB2720" s="55">
        <f t="shared" si="759"/>
        <v>0</v>
      </c>
      <c r="AC2720" s="55">
        <f t="shared" si="755"/>
        <v>0</v>
      </c>
      <c r="AD2720" s="56">
        <f t="shared" si="756"/>
        <v>0</v>
      </c>
    </row>
    <row r="2721" spans="3:30">
      <c r="C2721" s="43" t="s">
        <v>5096</v>
      </c>
      <c r="D2721" s="44" t="s">
        <v>5097</v>
      </c>
      <c r="E2721" s="44"/>
      <c r="F2721" s="45">
        <v>43314.239328703705</v>
      </c>
      <c r="G2721" s="46">
        <v>1</v>
      </c>
      <c r="H2721" s="47">
        <v>43404</v>
      </c>
      <c r="I2721" s="47">
        <v>43407</v>
      </c>
      <c r="J2721" s="46">
        <v>163035</v>
      </c>
      <c r="K2721" s="46">
        <v>0</v>
      </c>
      <c r="L2721" s="46">
        <v>0</v>
      </c>
      <c r="M2721" s="46">
        <f t="shared" si="745"/>
        <v>163035</v>
      </c>
      <c r="N2721" s="46">
        <v>163035</v>
      </c>
      <c r="O2721" s="48">
        <f t="shared" si="746"/>
        <v>0</v>
      </c>
      <c r="P2721" s="46">
        <v>0</v>
      </c>
      <c r="Q2721" s="46">
        <v>0</v>
      </c>
      <c r="R2721" s="49">
        <f t="shared" si="747"/>
        <v>0</v>
      </c>
      <c r="S2721" s="50">
        <f t="shared" si="748"/>
        <v>0</v>
      </c>
      <c r="T2721" s="49">
        <f t="shared" si="749"/>
        <v>0</v>
      </c>
      <c r="U2721" s="51">
        <f t="shared" si="750"/>
        <v>163035</v>
      </c>
      <c r="V2721" s="52">
        <f>IF(0&lt;0.8,0,IF(0&lt;1,Sheet3!L561,1))*IF(G2721&lt;3,0.12 - O2721,0.01) *U2721</f>
        <v>0</v>
      </c>
      <c r="W2721" s="52">
        <f t="shared" si="751"/>
        <v>0</v>
      </c>
      <c r="X2721" s="53">
        <f t="shared" si="752"/>
        <v>0</v>
      </c>
      <c r="Y2721" s="53">
        <f t="shared" si="753"/>
        <v>0</v>
      </c>
      <c r="Z2721" s="54">
        <f t="shared" si="758"/>
        <v>0</v>
      </c>
      <c r="AA2721" s="54">
        <f t="shared" si="754"/>
        <v>0</v>
      </c>
      <c r="AB2721" s="55">
        <f t="shared" si="759"/>
        <v>0</v>
      </c>
      <c r="AC2721" s="55">
        <f t="shared" si="755"/>
        <v>0</v>
      </c>
      <c r="AD2721" s="56">
        <f t="shared" si="756"/>
        <v>0</v>
      </c>
    </row>
    <row r="2722" spans="3:30">
      <c r="C2722" s="43" t="s">
        <v>5098</v>
      </c>
      <c r="D2722" s="44" t="s">
        <v>5099</v>
      </c>
      <c r="E2722" s="44"/>
      <c r="F2722" s="45">
        <v>43316.165729166663</v>
      </c>
      <c r="G2722" s="46">
        <v>1</v>
      </c>
      <c r="H2722" s="47">
        <v>43396</v>
      </c>
      <c r="I2722" s="47">
        <v>43412</v>
      </c>
      <c r="J2722" s="46">
        <v>68200</v>
      </c>
      <c r="K2722" s="46">
        <v>0</v>
      </c>
      <c r="L2722" s="46">
        <v>0</v>
      </c>
      <c r="M2722" s="46">
        <f t="shared" si="745"/>
        <v>68200</v>
      </c>
      <c r="N2722" s="46">
        <v>79860</v>
      </c>
      <c r="O2722" s="48">
        <f t="shared" si="746"/>
        <v>0.14600550964187331</v>
      </c>
      <c r="P2722" s="46">
        <v>0</v>
      </c>
      <c r="Q2722" s="46">
        <v>0</v>
      </c>
      <c r="R2722" s="49">
        <f t="shared" si="747"/>
        <v>0</v>
      </c>
      <c r="S2722" s="50">
        <f t="shared" si="748"/>
        <v>0</v>
      </c>
      <c r="T2722" s="49">
        <f t="shared" si="749"/>
        <v>0</v>
      </c>
      <c r="U2722" s="51">
        <f t="shared" si="750"/>
        <v>0</v>
      </c>
      <c r="V2722" s="52">
        <f>IF(0&lt;0.8,0,IF(0&lt;1,Sheet3!L561,1))*IF(G2722&lt;3,0.12 - O2722,0.01) *U2722</f>
        <v>0</v>
      </c>
      <c r="W2722" s="52">
        <f t="shared" si="751"/>
        <v>0</v>
      </c>
      <c r="X2722" s="53">
        <f t="shared" si="752"/>
        <v>0</v>
      </c>
      <c r="Y2722" s="53">
        <f t="shared" si="753"/>
        <v>0</v>
      </c>
      <c r="Z2722" s="54">
        <f t="shared" si="758"/>
        <v>0</v>
      </c>
      <c r="AA2722" s="54">
        <f t="shared" si="754"/>
        <v>0</v>
      </c>
      <c r="AB2722" s="55">
        <f t="shared" si="759"/>
        <v>0</v>
      </c>
      <c r="AC2722" s="55">
        <f t="shared" si="755"/>
        <v>0</v>
      </c>
      <c r="AD2722" s="56">
        <f t="shared" si="756"/>
        <v>0</v>
      </c>
    </row>
    <row r="2723" spans="3:30">
      <c r="C2723" s="43" t="s">
        <v>5100</v>
      </c>
      <c r="D2723" s="44" t="s">
        <v>5101</v>
      </c>
      <c r="E2723" s="44"/>
      <c r="F2723" s="45">
        <v>43326.112824074073</v>
      </c>
      <c r="G2723" s="46">
        <v>1</v>
      </c>
      <c r="H2723" s="47">
        <v>43396</v>
      </c>
      <c r="I2723" s="47">
        <v>43410</v>
      </c>
      <c r="J2723" s="46">
        <v>121880</v>
      </c>
      <c r="K2723" s="46">
        <v>0</v>
      </c>
      <c r="L2723" s="46">
        <v>0</v>
      </c>
      <c r="M2723" s="46">
        <f t="shared" si="745"/>
        <v>121880</v>
      </c>
      <c r="N2723" s="46">
        <v>141647</v>
      </c>
      <c r="O2723" s="48">
        <f t="shared" si="746"/>
        <v>0.1395511376873495</v>
      </c>
      <c r="P2723" s="46">
        <v>0</v>
      </c>
      <c r="Q2723" s="46">
        <v>0</v>
      </c>
      <c r="R2723" s="49">
        <f t="shared" si="747"/>
        <v>0</v>
      </c>
      <c r="S2723" s="50">
        <f t="shared" si="748"/>
        <v>0</v>
      </c>
      <c r="T2723" s="49">
        <f t="shared" si="749"/>
        <v>0</v>
      </c>
      <c r="U2723" s="51">
        <f t="shared" si="750"/>
        <v>0</v>
      </c>
      <c r="V2723" s="52">
        <f>IF(0&lt;0.8,0,IF(0&lt;1,Sheet3!L561,1))*IF(G2723&lt;3,0.12 - O2723,0.01) *U2723</f>
        <v>0</v>
      </c>
      <c r="W2723" s="52">
        <f t="shared" si="751"/>
        <v>0</v>
      </c>
      <c r="X2723" s="53">
        <f t="shared" si="752"/>
        <v>0</v>
      </c>
      <c r="Y2723" s="53">
        <f t="shared" si="753"/>
        <v>0</v>
      </c>
      <c r="Z2723" s="54">
        <f t="shared" si="758"/>
        <v>0</v>
      </c>
      <c r="AA2723" s="54">
        <f t="shared" si="754"/>
        <v>0</v>
      </c>
      <c r="AB2723" s="55">
        <f t="shared" si="759"/>
        <v>0</v>
      </c>
      <c r="AC2723" s="55">
        <f t="shared" si="755"/>
        <v>0</v>
      </c>
      <c r="AD2723" s="56">
        <f t="shared" si="756"/>
        <v>0</v>
      </c>
    </row>
    <row r="2724" spans="3:30">
      <c r="C2724" s="43" t="s">
        <v>5102</v>
      </c>
      <c r="D2724" s="44" t="s">
        <v>5103</v>
      </c>
      <c r="E2724" s="44"/>
      <c r="F2724" s="45">
        <v>43330.215231481481</v>
      </c>
      <c r="G2724" s="46">
        <v>1</v>
      </c>
      <c r="H2724" s="47">
        <v>43396</v>
      </c>
      <c r="I2724" s="47">
        <v>43407</v>
      </c>
      <c r="J2724" s="46">
        <v>442750</v>
      </c>
      <c r="K2724" s="46">
        <v>0</v>
      </c>
      <c r="L2724" s="46">
        <v>0</v>
      </c>
      <c r="M2724" s="46">
        <f t="shared" si="745"/>
        <v>442750</v>
      </c>
      <c r="N2724" s="46">
        <v>510378</v>
      </c>
      <c r="O2724" s="48">
        <f t="shared" si="746"/>
        <v>0.13250571145307988</v>
      </c>
      <c r="P2724" s="46">
        <v>0</v>
      </c>
      <c r="Q2724" s="46">
        <v>0</v>
      </c>
      <c r="R2724" s="49">
        <f t="shared" si="747"/>
        <v>0</v>
      </c>
      <c r="S2724" s="50">
        <f t="shared" si="748"/>
        <v>0</v>
      </c>
      <c r="T2724" s="49">
        <f t="shared" si="749"/>
        <v>0</v>
      </c>
      <c r="U2724" s="51">
        <f t="shared" si="750"/>
        <v>0</v>
      </c>
      <c r="V2724" s="52">
        <f>IF(0&lt;0.8,0,IF(0&lt;1,Sheet3!L561,1))*IF(G2724&lt;3,0.12 - O2724,0.01) *U2724</f>
        <v>0</v>
      </c>
      <c r="W2724" s="52">
        <f t="shared" si="751"/>
        <v>0</v>
      </c>
      <c r="X2724" s="53">
        <f t="shared" si="752"/>
        <v>0</v>
      </c>
      <c r="Y2724" s="53">
        <f t="shared" si="753"/>
        <v>0</v>
      </c>
      <c r="Z2724" s="54">
        <f t="shared" si="758"/>
        <v>0</v>
      </c>
      <c r="AA2724" s="54">
        <f t="shared" si="754"/>
        <v>0</v>
      </c>
      <c r="AB2724" s="55">
        <f t="shared" si="759"/>
        <v>0</v>
      </c>
      <c r="AC2724" s="55">
        <f t="shared" si="755"/>
        <v>0</v>
      </c>
      <c r="AD2724" s="56">
        <f t="shared" si="756"/>
        <v>0</v>
      </c>
    </row>
    <row r="2725" spans="3:30">
      <c r="C2725" s="43" t="s">
        <v>5104</v>
      </c>
      <c r="D2725" s="44" t="s">
        <v>5105</v>
      </c>
      <c r="E2725" s="44"/>
      <c r="F2725" s="45">
        <v>43341.288854166662</v>
      </c>
      <c r="G2725" s="46">
        <v>1</v>
      </c>
      <c r="H2725" s="47">
        <v>43391</v>
      </c>
      <c r="I2725" s="47">
        <v>43405</v>
      </c>
      <c r="J2725" s="46">
        <v>1529374</v>
      </c>
      <c r="K2725" s="46">
        <v>0</v>
      </c>
      <c r="L2725" s="46">
        <v>0</v>
      </c>
      <c r="M2725" s="46">
        <f t="shared" si="745"/>
        <v>1529374</v>
      </c>
      <c r="N2725" s="46">
        <v>1651034</v>
      </c>
      <c r="O2725" s="48">
        <f t="shared" si="746"/>
        <v>7.368715604887599E-2</v>
      </c>
      <c r="P2725" s="46">
        <v>0</v>
      </c>
      <c r="Q2725" s="46">
        <v>0</v>
      </c>
      <c r="R2725" s="49">
        <f t="shared" si="747"/>
        <v>0</v>
      </c>
      <c r="S2725" s="50">
        <f t="shared" si="748"/>
        <v>0</v>
      </c>
      <c r="T2725" s="49">
        <f t="shared" si="749"/>
        <v>0</v>
      </c>
      <c r="U2725" s="51">
        <f t="shared" si="750"/>
        <v>1529374</v>
      </c>
      <c r="V2725" s="52">
        <f>IF(0&lt;0.8,0,IF(0&lt;1,Sheet3!L561,1))*IF(G2725&lt;3,0.12 - O2725,0.01) *U2725</f>
        <v>0</v>
      </c>
      <c r="W2725" s="52">
        <f t="shared" si="751"/>
        <v>0</v>
      </c>
      <c r="X2725" s="53">
        <f t="shared" si="752"/>
        <v>0</v>
      </c>
      <c r="Y2725" s="53">
        <f t="shared" si="753"/>
        <v>0</v>
      </c>
      <c r="Z2725" s="54">
        <f t="shared" si="758"/>
        <v>0</v>
      </c>
      <c r="AA2725" s="54">
        <f t="shared" si="754"/>
        <v>0</v>
      </c>
      <c r="AB2725" s="55">
        <f t="shared" si="759"/>
        <v>0</v>
      </c>
      <c r="AC2725" s="55">
        <f t="shared" si="755"/>
        <v>0</v>
      </c>
      <c r="AD2725" s="56">
        <f t="shared" si="756"/>
        <v>0</v>
      </c>
    </row>
    <row r="2726" spans="3:30">
      <c r="C2726" s="43" t="s">
        <v>5106</v>
      </c>
      <c r="D2726" s="44" t="s">
        <v>5107</v>
      </c>
      <c r="E2726" s="44"/>
      <c r="F2726" s="45">
        <v>43341.296770833331</v>
      </c>
      <c r="G2726" s="46">
        <v>1</v>
      </c>
      <c r="H2726" s="47">
        <v>43391</v>
      </c>
      <c r="I2726" s="47">
        <v>43386</v>
      </c>
      <c r="J2726" s="46">
        <v>994499</v>
      </c>
      <c r="K2726" s="46">
        <v>0</v>
      </c>
      <c r="L2726" s="46">
        <v>0</v>
      </c>
      <c r="M2726" s="46">
        <f t="shared" si="745"/>
        <v>994499</v>
      </c>
      <c r="N2726" s="46">
        <v>994499</v>
      </c>
      <c r="O2726" s="48">
        <f t="shared" si="746"/>
        <v>0</v>
      </c>
      <c r="P2726" s="46">
        <v>0</v>
      </c>
      <c r="Q2726" s="46">
        <v>0</v>
      </c>
      <c r="R2726" s="49">
        <f t="shared" si="747"/>
        <v>0</v>
      </c>
      <c r="S2726" s="50">
        <f t="shared" si="748"/>
        <v>0</v>
      </c>
      <c r="T2726" s="49">
        <f t="shared" si="749"/>
        <v>0</v>
      </c>
      <c r="U2726" s="51">
        <f t="shared" si="750"/>
        <v>994499</v>
      </c>
      <c r="V2726" s="52">
        <f>IF(0&lt;0.8,0,IF(0&lt;1,Sheet3!L561,1))*IF(G2726&lt;3,0.12 - O2726,0.01) *U2726</f>
        <v>0</v>
      </c>
      <c r="W2726" s="52">
        <f t="shared" si="751"/>
        <v>0</v>
      </c>
      <c r="X2726" s="53">
        <f t="shared" si="752"/>
        <v>0</v>
      </c>
      <c r="Y2726" s="53">
        <f t="shared" si="753"/>
        <v>0</v>
      </c>
      <c r="Z2726" s="54">
        <f t="shared" si="758"/>
        <v>0</v>
      </c>
      <c r="AA2726" s="54">
        <f t="shared" si="754"/>
        <v>0</v>
      </c>
      <c r="AB2726" s="55">
        <f t="shared" si="759"/>
        <v>0</v>
      </c>
      <c r="AC2726" s="55">
        <f t="shared" si="755"/>
        <v>0</v>
      </c>
      <c r="AD2726" s="56">
        <f t="shared" si="756"/>
        <v>0</v>
      </c>
    </row>
    <row r="2727" spans="3:30">
      <c r="C2727" s="43" t="s">
        <v>5108</v>
      </c>
      <c r="D2727" s="44" t="s">
        <v>5109</v>
      </c>
      <c r="E2727" s="44"/>
      <c r="F2727" s="45">
        <v>43348.180520833332</v>
      </c>
      <c r="G2727" s="46">
        <v>0</v>
      </c>
      <c r="H2727" s="47">
        <v>43396</v>
      </c>
      <c r="I2727" s="47">
        <v>43406</v>
      </c>
      <c r="J2727" s="46">
        <v>11336298</v>
      </c>
      <c r="K2727" s="46">
        <v>0</v>
      </c>
      <c r="L2727" s="46">
        <v>0</v>
      </c>
      <c r="M2727" s="46">
        <f t="shared" si="745"/>
        <v>11336298</v>
      </c>
      <c r="N2727" s="46">
        <v>11742748</v>
      </c>
      <c r="O2727" s="48">
        <f t="shared" si="746"/>
        <v>3.4612852119452753E-2</v>
      </c>
      <c r="P2727" s="46">
        <v>0</v>
      </c>
      <c r="Q2727" s="46">
        <v>0</v>
      </c>
      <c r="R2727" s="49">
        <f t="shared" si="747"/>
        <v>0</v>
      </c>
      <c r="S2727" s="50">
        <f t="shared" si="748"/>
        <v>0</v>
      </c>
      <c r="T2727" s="49">
        <f t="shared" si="749"/>
        <v>0</v>
      </c>
      <c r="U2727" s="51">
        <f t="shared" si="750"/>
        <v>11336298</v>
      </c>
      <c r="V2727" s="52">
        <f>IF(0&lt;0.8,0,IF(0&lt;1,Sheet3!L561,1))*IF(G2727&lt;3,0.12 - O2727,0.01) *U2727</f>
        <v>0</v>
      </c>
      <c r="W2727" s="52">
        <f t="shared" si="751"/>
        <v>0</v>
      </c>
      <c r="X2727" s="53">
        <f t="shared" si="752"/>
        <v>0</v>
      </c>
      <c r="Y2727" s="53">
        <f t="shared" si="753"/>
        <v>0</v>
      </c>
      <c r="Z2727" s="54">
        <f t="shared" si="758"/>
        <v>0</v>
      </c>
      <c r="AA2727" s="54">
        <f t="shared" si="754"/>
        <v>0</v>
      </c>
      <c r="AB2727" s="55">
        <f t="shared" si="759"/>
        <v>0</v>
      </c>
      <c r="AC2727" s="55">
        <f t="shared" si="755"/>
        <v>0</v>
      </c>
      <c r="AD2727" s="56">
        <f t="shared" si="756"/>
        <v>0</v>
      </c>
    </row>
    <row r="2728" spans="3:30">
      <c r="C2728" s="43" t="s">
        <v>5110</v>
      </c>
      <c r="D2728" s="44" t="s">
        <v>5111</v>
      </c>
      <c r="E2728" s="44"/>
      <c r="F2728" s="45">
        <v>43354.289618055554</v>
      </c>
      <c r="G2728" s="46">
        <v>0</v>
      </c>
      <c r="H2728" s="47">
        <v>43396</v>
      </c>
      <c r="I2728" s="47">
        <v>43396</v>
      </c>
      <c r="J2728" s="46">
        <v>3366440</v>
      </c>
      <c r="K2728" s="46">
        <v>0</v>
      </c>
      <c r="L2728" s="46">
        <v>0</v>
      </c>
      <c r="M2728" s="46">
        <f t="shared" si="745"/>
        <v>3366440</v>
      </c>
      <c r="N2728" s="46">
        <v>3701313</v>
      </c>
      <c r="O2728" s="48">
        <f t="shared" si="746"/>
        <v>9.0474110133349939E-2</v>
      </c>
      <c r="P2728" s="46">
        <v>0</v>
      </c>
      <c r="Q2728" s="46">
        <v>0</v>
      </c>
      <c r="R2728" s="49">
        <f t="shared" si="747"/>
        <v>0</v>
      </c>
      <c r="S2728" s="50">
        <f t="shared" si="748"/>
        <v>0</v>
      </c>
      <c r="T2728" s="49">
        <f t="shared" si="749"/>
        <v>0</v>
      </c>
      <c r="U2728" s="51">
        <f t="shared" si="750"/>
        <v>3366440</v>
      </c>
      <c r="V2728" s="52">
        <f>IF(0&lt;0.8,0,IF(0&lt;1,Sheet3!L561,1))*IF(G2728&lt;3,0.12 - O2728,0.01) *U2728</f>
        <v>0</v>
      </c>
      <c r="W2728" s="52">
        <f t="shared" si="751"/>
        <v>0</v>
      </c>
      <c r="X2728" s="53">
        <f t="shared" si="752"/>
        <v>0</v>
      </c>
      <c r="Y2728" s="53">
        <f t="shared" si="753"/>
        <v>0</v>
      </c>
      <c r="Z2728" s="54">
        <f t="shared" si="758"/>
        <v>0</v>
      </c>
      <c r="AA2728" s="54">
        <f t="shared" si="754"/>
        <v>0</v>
      </c>
      <c r="AB2728" s="55">
        <f t="shared" si="759"/>
        <v>0</v>
      </c>
      <c r="AC2728" s="55">
        <f t="shared" si="755"/>
        <v>0</v>
      </c>
      <c r="AD2728" s="56">
        <f t="shared" si="756"/>
        <v>0</v>
      </c>
    </row>
    <row r="2729" spans="3:30">
      <c r="C2729" s="43" t="s">
        <v>5112</v>
      </c>
      <c r="D2729" s="44" t="s">
        <v>5113</v>
      </c>
      <c r="E2729" s="44"/>
      <c r="F2729" s="45">
        <v>43368.101307870369</v>
      </c>
      <c r="G2729" s="46">
        <v>0</v>
      </c>
      <c r="H2729" s="47">
        <v>43396</v>
      </c>
      <c r="I2729" s="47">
        <v>43406</v>
      </c>
      <c r="J2729" s="46">
        <v>508926</v>
      </c>
      <c r="K2729" s="46">
        <v>0</v>
      </c>
      <c r="L2729" s="46">
        <v>0</v>
      </c>
      <c r="M2729" s="46">
        <f t="shared" si="745"/>
        <v>508926</v>
      </c>
      <c r="N2729" s="46">
        <v>508926</v>
      </c>
      <c r="O2729" s="48">
        <f t="shared" si="746"/>
        <v>0</v>
      </c>
      <c r="P2729" s="46">
        <v>0</v>
      </c>
      <c r="Q2729" s="46">
        <v>0</v>
      </c>
      <c r="R2729" s="49">
        <f t="shared" si="747"/>
        <v>0</v>
      </c>
      <c r="S2729" s="50">
        <f t="shared" si="748"/>
        <v>0</v>
      </c>
      <c r="T2729" s="49">
        <f t="shared" si="749"/>
        <v>0</v>
      </c>
      <c r="U2729" s="51">
        <f t="shared" si="750"/>
        <v>508926</v>
      </c>
      <c r="V2729" s="52">
        <f>IF(0&lt;0.8,0,IF(0&lt;1,Sheet3!L561,1))*IF(G2729&lt;3,0.12 - O2729,0.01) *U2729</f>
        <v>0</v>
      </c>
      <c r="W2729" s="52">
        <f t="shared" si="751"/>
        <v>0</v>
      </c>
      <c r="X2729" s="53">
        <f t="shared" si="752"/>
        <v>0</v>
      </c>
      <c r="Y2729" s="53">
        <f t="shared" si="753"/>
        <v>0</v>
      </c>
      <c r="Z2729" s="54">
        <f t="shared" si="758"/>
        <v>0</v>
      </c>
      <c r="AA2729" s="54">
        <f t="shared" si="754"/>
        <v>0</v>
      </c>
      <c r="AB2729" s="55">
        <f t="shared" si="759"/>
        <v>0</v>
      </c>
      <c r="AC2729" s="55">
        <f t="shared" si="755"/>
        <v>0</v>
      </c>
      <c r="AD2729" s="56">
        <f t="shared" si="756"/>
        <v>0</v>
      </c>
    </row>
    <row r="2730" spans="3:30">
      <c r="C2730" s="43" t="s">
        <v>5114</v>
      </c>
      <c r="D2730" s="44" t="s">
        <v>5115</v>
      </c>
      <c r="E2730" s="44"/>
      <c r="F2730" s="45">
        <v>40597.361620370371</v>
      </c>
      <c r="G2730" s="46">
        <v>91</v>
      </c>
      <c r="H2730" s="47">
        <v>43391</v>
      </c>
      <c r="I2730" s="47">
        <v>43399</v>
      </c>
      <c r="J2730" s="46">
        <v>19461956</v>
      </c>
      <c r="K2730" s="46">
        <v>0</v>
      </c>
      <c r="L2730" s="46">
        <v>0</v>
      </c>
      <c r="M2730" s="46">
        <f t="shared" si="745"/>
        <v>19461956</v>
      </c>
      <c r="N2730" s="46">
        <v>19460970</v>
      </c>
      <c r="O2730" s="48">
        <f t="shared" si="746"/>
        <v>0</v>
      </c>
      <c r="P2730" s="46">
        <v>0</v>
      </c>
      <c r="Q2730" s="46">
        <v>19461956</v>
      </c>
      <c r="R2730" s="49">
        <f t="shared" si="747"/>
        <v>1</v>
      </c>
      <c r="S2730" s="50">
        <f t="shared" si="748"/>
        <v>0.01</v>
      </c>
      <c r="T2730" s="49">
        <f t="shared" si="749"/>
        <v>194619.56</v>
      </c>
      <c r="U2730" s="51">
        <f t="shared" si="750"/>
        <v>0</v>
      </c>
      <c r="V2730" s="52">
        <f>IF(0&lt;0.8,0,IF(0&lt;1,Sheet3!L561,1))*IF(G2730&lt;3,0.12 - O2730,0.01) *U2730</f>
        <v>0</v>
      </c>
      <c r="W2730" s="52">
        <f t="shared" si="751"/>
        <v>0</v>
      </c>
      <c r="X2730" s="53">
        <f t="shared" si="752"/>
        <v>0</v>
      </c>
      <c r="Y2730" s="53">
        <f t="shared" si="753"/>
        <v>0</v>
      </c>
      <c r="Z2730" s="54">
        <f t="shared" si="758"/>
        <v>0</v>
      </c>
      <c r="AA2730" s="54">
        <f t="shared" si="754"/>
        <v>0</v>
      </c>
      <c r="AB2730" s="55">
        <f t="shared" si="759"/>
        <v>0</v>
      </c>
      <c r="AC2730" s="55">
        <f t="shared" si="755"/>
        <v>0</v>
      </c>
      <c r="AD2730" s="56">
        <f t="shared" si="756"/>
        <v>194619.56</v>
      </c>
    </row>
    <row r="2731" spans="3:30">
      <c r="C2731" s="43" t="s">
        <v>5116</v>
      </c>
      <c r="D2731" s="44" t="s">
        <v>5117</v>
      </c>
      <c r="E2731" s="44"/>
      <c r="F2731" s="45">
        <v>40785.478738425925</v>
      </c>
      <c r="G2731" s="46">
        <v>85</v>
      </c>
      <c r="H2731" s="47">
        <v>43393</v>
      </c>
      <c r="I2731" s="47">
        <v>43423</v>
      </c>
      <c r="J2731" s="46">
        <v>566038</v>
      </c>
      <c r="K2731" s="46">
        <v>0</v>
      </c>
      <c r="L2731" s="46">
        <v>0</v>
      </c>
      <c r="M2731" s="46">
        <f t="shared" si="745"/>
        <v>566038</v>
      </c>
      <c r="N2731" s="46">
        <v>566038</v>
      </c>
      <c r="O2731" s="48">
        <f t="shared" si="746"/>
        <v>0</v>
      </c>
      <c r="P2731" s="46">
        <v>0</v>
      </c>
      <c r="Q2731" s="46">
        <v>566038</v>
      </c>
      <c r="R2731" s="49">
        <f t="shared" si="747"/>
        <v>1</v>
      </c>
      <c r="S2731" s="50">
        <f t="shared" si="748"/>
        <v>0.01</v>
      </c>
      <c r="T2731" s="49">
        <f t="shared" si="749"/>
        <v>5660.38</v>
      </c>
      <c r="U2731" s="51">
        <f t="shared" si="750"/>
        <v>0</v>
      </c>
      <c r="V2731" s="52">
        <f>IF(0&lt;0.8,0,IF(0&lt;1,Sheet3!L561,1))*IF(G2731&lt;3,0.12 - O2731,0.01) *U2731</f>
        <v>0</v>
      </c>
      <c r="W2731" s="52">
        <f t="shared" si="751"/>
        <v>0</v>
      </c>
      <c r="X2731" s="53">
        <f t="shared" si="752"/>
        <v>0</v>
      </c>
      <c r="Y2731" s="53">
        <f t="shared" si="753"/>
        <v>0</v>
      </c>
      <c r="Z2731" s="54">
        <f t="shared" si="758"/>
        <v>0</v>
      </c>
      <c r="AA2731" s="54">
        <f t="shared" si="754"/>
        <v>0</v>
      </c>
      <c r="AB2731" s="55">
        <f t="shared" si="759"/>
        <v>0</v>
      </c>
      <c r="AC2731" s="55">
        <f t="shared" si="755"/>
        <v>0</v>
      </c>
      <c r="AD2731" s="56">
        <f t="shared" si="756"/>
        <v>5660.38</v>
      </c>
    </row>
    <row r="2732" spans="3:30">
      <c r="C2732" s="43" t="s">
        <v>5118</v>
      </c>
      <c r="D2732" s="44" t="s">
        <v>5119</v>
      </c>
      <c r="E2732" s="44"/>
      <c r="F2732" s="45">
        <v>40812.379837962959</v>
      </c>
      <c r="G2732" s="46">
        <v>84</v>
      </c>
      <c r="H2732" s="47">
        <v>43376</v>
      </c>
      <c r="I2732" s="47">
        <v>43449</v>
      </c>
      <c r="J2732" s="46">
        <v>1036728</v>
      </c>
      <c r="K2732" s="46">
        <v>0</v>
      </c>
      <c r="L2732" s="46">
        <v>0</v>
      </c>
      <c r="M2732" s="46">
        <f t="shared" si="745"/>
        <v>1036728</v>
      </c>
      <c r="N2732" s="46">
        <v>1036728</v>
      </c>
      <c r="O2732" s="48">
        <f t="shared" si="746"/>
        <v>0</v>
      </c>
      <c r="P2732" s="46">
        <v>0</v>
      </c>
      <c r="Q2732" s="46">
        <v>1036728</v>
      </c>
      <c r="R2732" s="49">
        <f t="shared" si="747"/>
        <v>1</v>
      </c>
      <c r="S2732" s="50">
        <f t="shared" si="748"/>
        <v>0.01</v>
      </c>
      <c r="T2732" s="49">
        <f t="shared" si="749"/>
        <v>10367.280000000001</v>
      </c>
      <c r="U2732" s="51">
        <f t="shared" si="750"/>
        <v>0</v>
      </c>
      <c r="V2732" s="52">
        <f>IF(0&lt;0.8,0,IF(0&lt;1,Sheet3!L561,1))*IF(G2732&lt;3,0.12 - O2732,0.01) *U2732</f>
        <v>0</v>
      </c>
      <c r="W2732" s="52">
        <f t="shared" si="751"/>
        <v>0</v>
      </c>
      <c r="X2732" s="53">
        <f t="shared" si="752"/>
        <v>0</v>
      </c>
      <c r="Y2732" s="53">
        <f t="shared" si="753"/>
        <v>0</v>
      </c>
      <c r="Z2732" s="54">
        <f t="shared" si="758"/>
        <v>0</v>
      </c>
      <c r="AA2732" s="54">
        <f t="shared" si="754"/>
        <v>0</v>
      </c>
      <c r="AB2732" s="55">
        <f t="shared" si="759"/>
        <v>0</v>
      </c>
      <c r="AC2732" s="55">
        <f t="shared" si="755"/>
        <v>0</v>
      </c>
      <c r="AD2732" s="56">
        <f t="shared" si="756"/>
        <v>10367.280000000001</v>
      </c>
    </row>
    <row r="2733" spans="3:30">
      <c r="C2733" s="43" t="s">
        <v>5120</v>
      </c>
      <c r="D2733" s="44" t="s">
        <v>5121</v>
      </c>
      <c r="E2733" s="44"/>
      <c r="F2733" s="45">
        <v>41068.560115740736</v>
      </c>
      <c r="G2733" s="46">
        <v>75</v>
      </c>
      <c r="H2733" s="47">
        <v>43393</v>
      </c>
      <c r="I2733" s="47">
        <v>43423</v>
      </c>
      <c r="J2733" s="46">
        <v>1977140</v>
      </c>
      <c r="K2733" s="46">
        <v>0</v>
      </c>
      <c r="L2733" s="46">
        <v>0</v>
      </c>
      <c r="M2733" s="46">
        <f t="shared" si="745"/>
        <v>1977140</v>
      </c>
      <c r="N2733" s="46">
        <v>1977140</v>
      </c>
      <c r="O2733" s="48">
        <f t="shared" si="746"/>
        <v>0</v>
      </c>
      <c r="P2733" s="46">
        <v>0</v>
      </c>
      <c r="Q2733" s="46">
        <v>1977140</v>
      </c>
      <c r="R2733" s="49">
        <f t="shared" si="747"/>
        <v>1</v>
      </c>
      <c r="S2733" s="50">
        <f t="shared" si="748"/>
        <v>0.01</v>
      </c>
      <c r="T2733" s="49">
        <f t="shared" si="749"/>
        <v>19771.400000000001</v>
      </c>
      <c r="U2733" s="51">
        <f t="shared" si="750"/>
        <v>0</v>
      </c>
      <c r="V2733" s="52">
        <f>IF(0&lt;0.8,0,IF(0&lt;1,Sheet3!L561,1))*IF(G2733&lt;3,0.12 - O2733,0.01) *U2733</f>
        <v>0</v>
      </c>
      <c r="W2733" s="52">
        <f t="shared" si="751"/>
        <v>0</v>
      </c>
      <c r="X2733" s="53">
        <f t="shared" si="752"/>
        <v>0</v>
      </c>
      <c r="Y2733" s="53">
        <f t="shared" si="753"/>
        <v>0</v>
      </c>
      <c r="Z2733" s="54">
        <f t="shared" si="758"/>
        <v>0</v>
      </c>
      <c r="AA2733" s="54">
        <f t="shared" si="754"/>
        <v>0</v>
      </c>
      <c r="AB2733" s="55">
        <f t="shared" si="759"/>
        <v>0</v>
      </c>
      <c r="AC2733" s="55">
        <f t="shared" si="755"/>
        <v>0</v>
      </c>
      <c r="AD2733" s="56">
        <f t="shared" si="756"/>
        <v>19771.400000000001</v>
      </c>
    </row>
    <row r="2734" spans="3:30">
      <c r="C2734" s="43" t="s">
        <v>5122</v>
      </c>
      <c r="D2734" s="44" t="s">
        <v>5123</v>
      </c>
      <c r="E2734" s="44"/>
      <c r="F2734" s="45">
        <v>41130.684212962959</v>
      </c>
      <c r="G2734" s="46">
        <v>73</v>
      </c>
      <c r="H2734" s="47">
        <v>43393</v>
      </c>
      <c r="I2734" s="47">
        <v>43417</v>
      </c>
      <c r="J2734" s="46">
        <v>321985</v>
      </c>
      <c r="K2734" s="46">
        <v>0</v>
      </c>
      <c r="L2734" s="46">
        <v>0</v>
      </c>
      <c r="M2734" s="46">
        <f t="shared" si="745"/>
        <v>321985</v>
      </c>
      <c r="N2734" s="46">
        <v>304485</v>
      </c>
      <c r="O2734" s="48">
        <f t="shared" si="746"/>
        <v>0</v>
      </c>
      <c r="P2734" s="46">
        <v>0</v>
      </c>
      <c r="Q2734" s="46">
        <v>321985</v>
      </c>
      <c r="R2734" s="49">
        <f t="shared" si="747"/>
        <v>1</v>
      </c>
      <c r="S2734" s="50">
        <f t="shared" si="748"/>
        <v>0.01</v>
      </c>
      <c r="T2734" s="49">
        <f t="shared" si="749"/>
        <v>3219.85</v>
      </c>
      <c r="U2734" s="51">
        <f t="shared" si="750"/>
        <v>0</v>
      </c>
      <c r="V2734" s="52">
        <f>IF(0&lt;0.8,0,IF(0&lt;1,Sheet3!L561,1))*IF(G2734&lt;3,0.12 - O2734,0.01) *U2734</f>
        <v>0</v>
      </c>
      <c r="W2734" s="52">
        <f t="shared" si="751"/>
        <v>0</v>
      </c>
      <c r="X2734" s="53">
        <f t="shared" si="752"/>
        <v>0</v>
      </c>
      <c r="Y2734" s="53">
        <f t="shared" si="753"/>
        <v>0</v>
      </c>
      <c r="Z2734" s="54">
        <f t="shared" si="758"/>
        <v>0</v>
      </c>
      <c r="AA2734" s="54">
        <f t="shared" si="754"/>
        <v>0</v>
      </c>
      <c r="AB2734" s="55">
        <f t="shared" si="759"/>
        <v>0</v>
      </c>
      <c r="AC2734" s="55">
        <f t="shared" si="755"/>
        <v>0</v>
      </c>
      <c r="AD2734" s="56">
        <f t="shared" si="756"/>
        <v>3219.85</v>
      </c>
    </row>
    <row r="2735" spans="3:30">
      <c r="C2735" s="43" t="s">
        <v>5124</v>
      </c>
      <c r="D2735" s="44" t="s">
        <v>5125</v>
      </c>
      <c r="E2735" s="44"/>
      <c r="F2735" s="45">
        <v>41268.606400462959</v>
      </c>
      <c r="G2735" s="46">
        <v>69</v>
      </c>
      <c r="H2735" s="47">
        <v>43393</v>
      </c>
      <c r="I2735" s="47">
        <v>43423</v>
      </c>
      <c r="J2735" s="46">
        <v>478916</v>
      </c>
      <c r="K2735" s="46">
        <v>0</v>
      </c>
      <c r="L2735" s="46">
        <v>0</v>
      </c>
      <c r="M2735" s="46">
        <f t="shared" si="745"/>
        <v>478916</v>
      </c>
      <c r="N2735" s="46">
        <v>478916</v>
      </c>
      <c r="O2735" s="48">
        <f t="shared" si="746"/>
        <v>0</v>
      </c>
      <c r="P2735" s="46">
        <v>0</v>
      </c>
      <c r="Q2735" s="46">
        <v>478916</v>
      </c>
      <c r="R2735" s="49">
        <f t="shared" si="747"/>
        <v>1</v>
      </c>
      <c r="S2735" s="50">
        <f t="shared" si="748"/>
        <v>0.01</v>
      </c>
      <c r="T2735" s="49">
        <f t="shared" si="749"/>
        <v>4789.16</v>
      </c>
      <c r="U2735" s="51">
        <f t="shared" si="750"/>
        <v>0</v>
      </c>
      <c r="V2735" s="52">
        <f>IF(0&lt;0.8,0,IF(0&lt;1,Sheet3!L561,1))*IF(G2735&lt;3,0.12 - O2735,0.01) *U2735</f>
        <v>0</v>
      </c>
      <c r="W2735" s="52">
        <f t="shared" si="751"/>
        <v>0</v>
      </c>
      <c r="X2735" s="53">
        <f t="shared" si="752"/>
        <v>0</v>
      </c>
      <c r="Y2735" s="53">
        <f t="shared" si="753"/>
        <v>0</v>
      </c>
      <c r="Z2735" s="54">
        <f t="shared" si="758"/>
        <v>0</v>
      </c>
      <c r="AA2735" s="54">
        <f t="shared" si="754"/>
        <v>0</v>
      </c>
      <c r="AB2735" s="55">
        <f t="shared" si="759"/>
        <v>0</v>
      </c>
      <c r="AC2735" s="55">
        <f t="shared" si="755"/>
        <v>0</v>
      </c>
      <c r="AD2735" s="56">
        <f t="shared" si="756"/>
        <v>4789.16</v>
      </c>
    </row>
    <row r="2736" spans="3:30">
      <c r="C2736" s="43" t="s">
        <v>5126</v>
      </c>
      <c r="D2736" s="44" t="s">
        <v>5127</v>
      </c>
      <c r="E2736" s="44"/>
      <c r="F2736" s="45">
        <v>41478.41606481481</v>
      </c>
      <c r="G2736" s="46">
        <v>62</v>
      </c>
      <c r="H2736" s="47">
        <v>43382</v>
      </c>
      <c r="I2736" s="47">
        <v>43413</v>
      </c>
      <c r="J2736" s="46">
        <v>883566</v>
      </c>
      <c r="K2736" s="46">
        <v>0</v>
      </c>
      <c r="L2736" s="46">
        <v>0</v>
      </c>
      <c r="M2736" s="46">
        <f t="shared" si="745"/>
        <v>883566</v>
      </c>
      <c r="N2736" s="46">
        <v>883566</v>
      </c>
      <c r="O2736" s="48">
        <f t="shared" si="746"/>
        <v>0</v>
      </c>
      <c r="P2736" s="46">
        <v>0</v>
      </c>
      <c r="Q2736" s="46">
        <v>883566</v>
      </c>
      <c r="R2736" s="49">
        <f t="shared" si="747"/>
        <v>1</v>
      </c>
      <c r="S2736" s="50">
        <f t="shared" si="748"/>
        <v>0.01</v>
      </c>
      <c r="T2736" s="49">
        <f t="shared" si="749"/>
        <v>8835.66</v>
      </c>
      <c r="U2736" s="51">
        <f t="shared" si="750"/>
        <v>0</v>
      </c>
      <c r="V2736" s="52">
        <f>IF(0&lt;0.8,0,IF(0&lt;1,Sheet3!L561,1))*IF(G2736&lt;3,0.12 - O2736,0.01) *U2736</f>
        <v>0</v>
      </c>
      <c r="W2736" s="52">
        <f t="shared" si="751"/>
        <v>0</v>
      </c>
      <c r="X2736" s="53">
        <f t="shared" si="752"/>
        <v>0</v>
      </c>
      <c r="Y2736" s="53">
        <f t="shared" si="753"/>
        <v>0</v>
      </c>
      <c r="Z2736" s="54">
        <f t="shared" si="758"/>
        <v>0</v>
      </c>
      <c r="AA2736" s="54">
        <f t="shared" si="754"/>
        <v>0</v>
      </c>
      <c r="AB2736" s="55">
        <f t="shared" si="759"/>
        <v>0</v>
      </c>
      <c r="AC2736" s="55">
        <f t="shared" si="755"/>
        <v>0</v>
      </c>
      <c r="AD2736" s="56">
        <f t="shared" si="756"/>
        <v>8835.66</v>
      </c>
    </row>
    <row r="2737" spans="3:30">
      <c r="C2737" s="43" t="s">
        <v>5128</v>
      </c>
      <c r="D2737" s="44" t="s">
        <v>5129</v>
      </c>
      <c r="E2737" s="44"/>
      <c r="F2737" s="45">
        <v>41541.388240740736</v>
      </c>
      <c r="G2737" s="46">
        <v>60</v>
      </c>
      <c r="H2737" s="47">
        <v>43404</v>
      </c>
      <c r="I2737" s="47">
        <v>43416</v>
      </c>
      <c r="J2737" s="46">
        <v>1091976</v>
      </c>
      <c r="K2737" s="46">
        <v>0</v>
      </c>
      <c r="L2737" s="46">
        <v>0</v>
      </c>
      <c r="M2737" s="46">
        <f t="shared" si="745"/>
        <v>1091976</v>
      </c>
      <c r="N2737" s="46">
        <v>1091976</v>
      </c>
      <c r="O2737" s="48">
        <f t="shared" si="746"/>
        <v>0</v>
      </c>
      <c r="P2737" s="46">
        <v>0</v>
      </c>
      <c r="Q2737" s="46">
        <v>1091976</v>
      </c>
      <c r="R2737" s="49">
        <f t="shared" si="747"/>
        <v>1</v>
      </c>
      <c r="S2737" s="50">
        <f t="shared" si="748"/>
        <v>0.01</v>
      </c>
      <c r="T2737" s="49">
        <f t="shared" si="749"/>
        <v>10919.76</v>
      </c>
      <c r="U2737" s="51">
        <f t="shared" si="750"/>
        <v>0</v>
      </c>
      <c r="V2737" s="52">
        <f>IF(0&lt;0.8,0,IF(0&lt;1,Sheet3!L561,1))*IF(G2737&lt;3,0.12 - O2737,0.01) *U2737</f>
        <v>0</v>
      </c>
      <c r="W2737" s="52">
        <f t="shared" si="751"/>
        <v>0</v>
      </c>
      <c r="X2737" s="53">
        <f t="shared" si="752"/>
        <v>0</v>
      </c>
      <c r="Y2737" s="53">
        <f t="shared" si="753"/>
        <v>0</v>
      </c>
      <c r="Z2737" s="54">
        <f t="shared" si="758"/>
        <v>0</v>
      </c>
      <c r="AA2737" s="54">
        <f t="shared" si="754"/>
        <v>0</v>
      </c>
      <c r="AB2737" s="55">
        <f t="shared" si="759"/>
        <v>0</v>
      </c>
      <c r="AC2737" s="55">
        <f t="shared" si="755"/>
        <v>0</v>
      </c>
      <c r="AD2737" s="56">
        <f t="shared" si="756"/>
        <v>10919.76</v>
      </c>
    </row>
    <row r="2738" spans="3:30">
      <c r="C2738" s="43" t="s">
        <v>5130</v>
      </c>
      <c r="D2738" s="44" t="s">
        <v>5131</v>
      </c>
      <c r="E2738" s="44"/>
      <c r="F2738" s="45">
        <v>41541.386874999997</v>
      </c>
      <c r="G2738" s="46">
        <v>60</v>
      </c>
      <c r="H2738" s="47">
        <v>43393</v>
      </c>
      <c r="I2738" s="47">
        <v>43423</v>
      </c>
      <c r="J2738" s="46">
        <v>106238</v>
      </c>
      <c r="K2738" s="46">
        <v>0</v>
      </c>
      <c r="L2738" s="46">
        <v>0</v>
      </c>
      <c r="M2738" s="46">
        <f t="shared" si="745"/>
        <v>106238</v>
      </c>
      <c r="N2738" s="46">
        <v>106238</v>
      </c>
      <c r="O2738" s="48">
        <f t="shared" si="746"/>
        <v>0</v>
      </c>
      <c r="P2738" s="46">
        <v>0</v>
      </c>
      <c r="Q2738" s="46">
        <v>106238</v>
      </c>
      <c r="R2738" s="49">
        <f t="shared" si="747"/>
        <v>1</v>
      </c>
      <c r="S2738" s="50">
        <f t="shared" si="748"/>
        <v>0.01</v>
      </c>
      <c r="T2738" s="49">
        <f t="shared" si="749"/>
        <v>1062.3800000000001</v>
      </c>
      <c r="U2738" s="51">
        <f t="shared" si="750"/>
        <v>0</v>
      </c>
      <c r="V2738" s="52">
        <f>IF(0&lt;0.8,0,IF(0&lt;1,Sheet3!L561,1))*IF(G2738&lt;3,0.12 - O2738,0.01) *U2738</f>
        <v>0</v>
      </c>
      <c r="W2738" s="52">
        <f t="shared" si="751"/>
        <v>0</v>
      </c>
      <c r="X2738" s="53">
        <f t="shared" si="752"/>
        <v>0</v>
      </c>
      <c r="Y2738" s="53">
        <f t="shared" si="753"/>
        <v>0</v>
      </c>
      <c r="Z2738" s="54">
        <f t="shared" si="758"/>
        <v>0</v>
      </c>
      <c r="AA2738" s="54">
        <f t="shared" si="754"/>
        <v>0</v>
      </c>
      <c r="AB2738" s="55">
        <f t="shared" si="759"/>
        <v>0</v>
      </c>
      <c r="AC2738" s="55">
        <f t="shared" si="755"/>
        <v>0</v>
      </c>
      <c r="AD2738" s="56">
        <f t="shared" si="756"/>
        <v>1062.3800000000001</v>
      </c>
    </row>
    <row r="2739" spans="3:30">
      <c r="C2739" s="43" t="s">
        <v>5132</v>
      </c>
      <c r="D2739" s="44" t="s">
        <v>5133</v>
      </c>
      <c r="E2739" s="44"/>
      <c r="F2739" s="45">
        <v>41864.635995370372</v>
      </c>
      <c r="G2739" s="46">
        <v>49</v>
      </c>
      <c r="H2739" s="47">
        <v>43404</v>
      </c>
      <c r="I2739" s="47">
        <v>43427</v>
      </c>
      <c r="J2739" s="46">
        <v>1256477</v>
      </c>
      <c r="K2739" s="46">
        <v>0</v>
      </c>
      <c r="L2739" s="46">
        <v>0</v>
      </c>
      <c r="M2739" s="46">
        <f t="shared" ref="M2739:M2802" si="760">IFERROR(J2739-K2739-L2739,0)</f>
        <v>1256477</v>
      </c>
      <c r="N2739" s="46">
        <v>1827621</v>
      </c>
      <c r="O2739" s="48">
        <f t="shared" ref="O2739:O2802" si="761">IFERROR(IF(1 - M2739/N2739&lt;0,0,1-M2739/N2739),0)</f>
        <v>0.31250680529497088</v>
      </c>
      <c r="P2739" s="46">
        <v>0</v>
      </c>
      <c r="Q2739" s="46">
        <v>1256477</v>
      </c>
      <c r="R2739" s="49">
        <f t="shared" ref="R2739:R2802" si="762">IF(F2739&lt;DATEVALUE("2018-07-01"),1,0)</f>
        <v>1</v>
      </c>
      <c r="S2739" s="50">
        <f t="shared" ref="S2739:S2802" si="763">IF(R2739=1,1%,0)</f>
        <v>0.01</v>
      </c>
      <c r="T2739" s="49">
        <f t="shared" ref="T2739:T2802" si="764">IFERROR(S2739*M2739,0)</f>
        <v>12564.77</v>
      </c>
      <c r="U2739" s="51">
        <f t="shared" ref="U2739:U2802" si="765">IF(O2739&lt;=0.12,1,0)*(1-R2739)*M2739</f>
        <v>0</v>
      </c>
      <c r="V2739" s="52">
        <f>IF(0&lt;0.8,0,IF(0&lt;1,Sheet3!L561,1))*IF(G2739&lt;3,0.12 - O2739,0.01) *U2739</f>
        <v>0</v>
      </c>
      <c r="W2739" s="52">
        <f t="shared" ref="W2739:W2802" si="766">IF(0&gt;1,IF(0&lt;=1.1,1,IF(0&lt;=1.2,2,IF(0&lt;=1.5,3,5))),0) * 1000000</f>
        <v>0</v>
      </c>
      <c r="X2739" s="53">
        <f t="shared" ref="X2739:X2802" si="767">IF(AND(P2739&gt;=150000000,P2739&lt;300000000),5000000,IF(AND(P2739&gt;=300000000,P2739&lt;500000000),10000000,IF(AND(P2739&gt;=300000000,P2739&lt;500000000),15000000,IF(AND(P2739&gt;=500000000,P2739&lt;3000000000),20000000,IF(P2739&gt;=30000000000,35000000,0))))) * (1-R2739)</f>
        <v>0</v>
      </c>
      <c r="Y2739" s="53">
        <f t="shared" ref="Y2739:Y2802" si="768">IFERROR(Q2739 * (1-R2739),0)</f>
        <v>0</v>
      </c>
      <c r="Z2739" s="54">
        <f t="shared" si="758"/>
        <v>0</v>
      </c>
      <c r="AA2739" s="54">
        <f t="shared" ref="AA2739:AA2802" si="769">IFERROR((1-R2739) * Z2739 * 2%,0)</f>
        <v>0</v>
      </c>
      <c r="AB2739" s="55">
        <f t="shared" si="759"/>
        <v>0</v>
      </c>
      <c r="AC2739" s="55">
        <f t="shared" ref="AC2739:AC2802" si="770">IFERROR(AB2739 * (1-R2739) * 2%,0)</f>
        <v>0</v>
      </c>
      <c r="AD2739" s="56">
        <f t="shared" ref="AD2739:AD2802" si="771">T2739+V2739+W2739+X2739+AA2739+AC2739</f>
        <v>12564.77</v>
      </c>
    </row>
    <row r="2740" spans="3:30">
      <c r="C2740" s="43" t="s">
        <v>5134</v>
      </c>
      <c r="D2740" s="44" t="s">
        <v>5135</v>
      </c>
      <c r="E2740" s="44"/>
      <c r="F2740" s="45">
        <v>42018.669687499998</v>
      </c>
      <c r="G2740" s="46">
        <v>44</v>
      </c>
      <c r="H2740" s="47">
        <v>43397</v>
      </c>
      <c r="I2740" s="47">
        <v>43413</v>
      </c>
      <c r="J2740" s="46">
        <v>3697784</v>
      </c>
      <c r="K2740" s="46">
        <v>323516</v>
      </c>
      <c r="L2740" s="46">
        <v>0</v>
      </c>
      <c r="M2740" s="46">
        <f t="shared" si="760"/>
        <v>3374268</v>
      </c>
      <c r="N2740" s="46">
        <v>3440182</v>
      </c>
      <c r="O2740" s="48">
        <f t="shared" si="761"/>
        <v>1.9160032812217453E-2</v>
      </c>
      <c r="P2740" s="46">
        <v>0</v>
      </c>
      <c r="Q2740" s="46">
        <v>3730179</v>
      </c>
      <c r="R2740" s="49">
        <f t="shared" si="762"/>
        <v>1</v>
      </c>
      <c r="S2740" s="50">
        <f t="shared" si="763"/>
        <v>0.01</v>
      </c>
      <c r="T2740" s="49">
        <f t="shared" si="764"/>
        <v>33742.68</v>
      </c>
      <c r="U2740" s="51">
        <f t="shared" si="765"/>
        <v>0</v>
      </c>
      <c r="V2740" s="52">
        <f>IF(0&lt;0.8,0,IF(0&lt;1,Sheet3!L561,1))*IF(G2740&lt;3,0.12 - O2740,0.01) *U2740</f>
        <v>0</v>
      </c>
      <c r="W2740" s="52">
        <f t="shared" si="766"/>
        <v>0</v>
      </c>
      <c r="X2740" s="53">
        <f t="shared" si="767"/>
        <v>0</v>
      </c>
      <c r="Y2740" s="53">
        <f t="shared" si="768"/>
        <v>0</v>
      </c>
      <c r="Z2740" s="54">
        <f t="shared" si="758"/>
        <v>0</v>
      </c>
      <c r="AA2740" s="54">
        <f t="shared" si="769"/>
        <v>0</v>
      </c>
      <c r="AB2740" s="55">
        <f t="shared" si="759"/>
        <v>0</v>
      </c>
      <c r="AC2740" s="55">
        <f t="shared" si="770"/>
        <v>0</v>
      </c>
      <c r="AD2740" s="56">
        <f t="shared" si="771"/>
        <v>33742.68</v>
      </c>
    </row>
    <row r="2741" spans="3:30">
      <c r="C2741" s="43" t="s">
        <v>5136</v>
      </c>
      <c r="D2741" s="44" t="s">
        <v>5137</v>
      </c>
      <c r="E2741" s="44"/>
      <c r="F2741" s="45">
        <v>42137.435023148144</v>
      </c>
      <c r="G2741" s="46">
        <v>40</v>
      </c>
      <c r="H2741" s="47">
        <v>43404</v>
      </c>
      <c r="I2741" s="47">
        <v>43445</v>
      </c>
      <c r="J2741" s="46">
        <v>1540675</v>
      </c>
      <c r="K2741" s="46">
        <v>0</v>
      </c>
      <c r="L2741" s="46">
        <v>0</v>
      </c>
      <c r="M2741" s="46">
        <f t="shared" si="760"/>
        <v>1540675</v>
      </c>
      <c r="N2741" s="46">
        <v>1080674</v>
      </c>
      <c r="O2741" s="48">
        <f t="shared" si="761"/>
        <v>0</v>
      </c>
      <c r="P2741" s="46">
        <v>0</v>
      </c>
      <c r="Q2741" s="46">
        <v>1540675</v>
      </c>
      <c r="R2741" s="49">
        <f t="shared" si="762"/>
        <v>1</v>
      </c>
      <c r="S2741" s="50">
        <f t="shared" si="763"/>
        <v>0.01</v>
      </c>
      <c r="T2741" s="49">
        <f t="shared" si="764"/>
        <v>15406.75</v>
      </c>
      <c r="U2741" s="51">
        <f t="shared" si="765"/>
        <v>0</v>
      </c>
      <c r="V2741" s="52">
        <f>IF(0&lt;0.8,0,IF(0&lt;1,Sheet3!L561,1))*IF(G2741&lt;3,0.12 - O2741,0.01) *U2741</f>
        <v>0</v>
      </c>
      <c r="W2741" s="52">
        <f t="shared" si="766"/>
        <v>0</v>
      </c>
      <c r="X2741" s="53">
        <f t="shared" si="767"/>
        <v>0</v>
      </c>
      <c r="Y2741" s="53">
        <f t="shared" si="768"/>
        <v>0</v>
      </c>
      <c r="Z2741" s="54">
        <f t="shared" si="758"/>
        <v>0</v>
      </c>
      <c r="AA2741" s="54">
        <f t="shared" si="769"/>
        <v>0</v>
      </c>
      <c r="AB2741" s="55">
        <f>IF(R2741=0,460000,0)</f>
        <v>0</v>
      </c>
      <c r="AC2741" s="55">
        <f t="shared" si="770"/>
        <v>0</v>
      </c>
      <c r="AD2741" s="56">
        <f t="shared" si="771"/>
        <v>15406.75</v>
      </c>
    </row>
    <row r="2742" spans="3:30">
      <c r="C2742" s="43" t="s">
        <v>5138</v>
      </c>
      <c r="D2742" s="44" t="s">
        <v>5139</v>
      </c>
      <c r="E2742" s="44"/>
      <c r="F2742" s="45">
        <v>42452.583680555552</v>
      </c>
      <c r="G2742" s="46">
        <v>30</v>
      </c>
      <c r="H2742" s="47">
        <v>43404</v>
      </c>
      <c r="I2742" s="47">
        <v>43427</v>
      </c>
      <c r="J2742" s="46">
        <v>589800</v>
      </c>
      <c r="K2742" s="46">
        <v>0</v>
      </c>
      <c r="L2742" s="46">
        <v>0</v>
      </c>
      <c r="M2742" s="46">
        <f t="shared" si="760"/>
        <v>589800</v>
      </c>
      <c r="N2742" s="46">
        <v>851114</v>
      </c>
      <c r="O2742" s="48">
        <f t="shared" si="761"/>
        <v>0.30702585082609379</v>
      </c>
      <c r="P2742" s="46">
        <v>0</v>
      </c>
      <c r="Q2742" s="46">
        <v>589800</v>
      </c>
      <c r="R2742" s="49">
        <f t="shared" si="762"/>
        <v>1</v>
      </c>
      <c r="S2742" s="50">
        <f t="shared" si="763"/>
        <v>0.01</v>
      </c>
      <c r="T2742" s="49">
        <f t="shared" si="764"/>
        <v>5898</v>
      </c>
      <c r="U2742" s="51">
        <f t="shared" si="765"/>
        <v>0</v>
      </c>
      <c r="V2742" s="52">
        <f>IF(0&lt;0.8,0,IF(0&lt;1,Sheet3!L561,1))*IF(G2742&lt;3,0.12 - O2742,0.01) *U2742</f>
        <v>0</v>
      </c>
      <c r="W2742" s="52">
        <f t="shared" si="766"/>
        <v>0</v>
      </c>
      <c r="X2742" s="53">
        <f t="shared" si="767"/>
        <v>0</v>
      </c>
      <c r="Y2742" s="53">
        <f t="shared" si="768"/>
        <v>0</v>
      </c>
      <c r="Z2742" s="54">
        <f t="shared" si="758"/>
        <v>0</v>
      </c>
      <c r="AA2742" s="54">
        <f t="shared" si="769"/>
        <v>0</v>
      </c>
      <c r="AB2742" s="55">
        <f t="shared" ref="AB2742:AB2772" si="772">IF(R2742=0,0,0)</f>
        <v>0</v>
      </c>
      <c r="AC2742" s="55">
        <f t="shared" si="770"/>
        <v>0</v>
      </c>
      <c r="AD2742" s="56">
        <f t="shared" si="771"/>
        <v>5898</v>
      </c>
    </row>
    <row r="2743" spans="3:30">
      <c r="C2743" s="43" t="s">
        <v>5140</v>
      </c>
      <c r="D2743" s="44" t="s">
        <v>5141</v>
      </c>
      <c r="E2743" s="44"/>
      <c r="F2743" s="45">
        <v>42495.308402777773</v>
      </c>
      <c r="G2743" s="46">
        <v>28</v>
      </c>
      <c r="H2743" s="47">
        <v>43376</v>
      </c>
      <c r="I2743" s="47">
        <v>43439</v>
      </c>
      <c r="J2743" s="46">
        <v>676753</v>
      </c>
      <c r="K2743" s="46">
        <v>0</v>
      </c>
      <c r="L2743" s="46">
        <v>0</v>
      </c>
      <c r="M2743" s="46">
        <f t="shared" si="760"/>
        <v>676753</v>
      </c>
      <c r="N2743" s="46">
        <v>676753</v>
      </c>
      <c r="O2743" s="48">
        <f t="shared" si="761"/>
        <v>0</v>
      </c>
      <c r="P2743" s="46">
        <v>0</v>
      </c>
      <c r="Q2743" s="46">
        <v>676753</v>
      </c>
      <c r="R2743" s="49">
        <f t="shared" si="762"/>
        <v>1</v>
      </c>
      <c r="S2743" s="50">
        <f t="shared" si="763"/>
        <v>0.01</v>
      </c>
      <c r="T2743" s="49">
        <f t="shared" si="764"/>
        <v>6767.53</v>
      </c>
      <c r="U2743" s="51">
        <f t="shared" si="765"/>
        <v>0</v>
      </c>
      <c r="V2743" s="52">
        <f>IF(0&lt;0.8,0,IF(0&lt;1,Sheet3!L561,1))*IF(G2743&lt;3,0.12 - O2743,0.01) *U2743</f>
        <v>0</v>
      </c>
      <c r="W2743" s="52">
        <f t="shared" si="766"/>
        <v>0</v>
      </c>
      <c r="X2743" s="53">
        <f t="shared" si="767"/>
        <v>0</v>
      </c>
      <c r="Y2743" s="53">
        <f t="shared" si="768"/>
        <v>0</v>
      </c>
      <c r="Z2743" s="54">
        <f t="shared" si="758"/>
        <v>0</v>
      </c>
      <c r="AA2743" s="54">
        <f t="shared" si="769"/>
        <v>0</v>
      </c>
      <c r="AB2743" s="55">
        <f t="shared" si="772"/>
        <v>0</v>
      </c>
      <c r="AC2743" s="55">
        <f t="shared" si="770"/>
        <v>0</v>
      </c>
      <c r="AD2743" s="56">
        <f t="shared" si="771"/>
        <v>6767.53</v>
      </c>
    </row>
    <row r="2744" spans="3:30">
      <c r="C2744" s="43" t="s">
        <v>5142</v>
      </c>
      <c r="D2744" s="44" t="s">
        <v>5143</v>
      </c>
      <c r="E2744" s="44"/>
      <c r="F2744" s="45">
        <v>42599.286296296297</v>
      </c>
      <c r="G2744" s="46">
        <v>25</v>
      </c>
      <c r="H2744" s="47">
        <v>43404</v>
      </c>
      <c r="I2744" s="47">
        <v>43445</v>
      </c>
      <c r="J2744" s="46">
        <v>1341769</v>
      </c>
      <c r="K2744" s="46">
        <v>0</v>
      </c>
      <c r="L2744" s="46">
        <v>0</v>
      </c>
      <c r="M2744" s="46">
        <f t="shared" si="760"/>
        <v>1341769</v>
      </c>
      <c r="N2744" s="46">
        <v>1341769</v>
      </c>
      <c r="O2744" s="48">
        <f t="shared" si="761"/>
        <v>0</v>
      </c>
      <c r="P2744" s="46">
        <v>0</v>
      </c>
      <c r="Q2744" s="46">
        <v>1341769</v>
      </c>
      <c r="R2744" s="49">
        <f t="shared" si="762"/>
        <v>1</v>
      </c>
      <c r="S2744" s="50">
        <f t="shared" si="763"/>
        <v>0.01</v>
      </c>
      <c r="T2744" s="49">
        <f t="shared" si="764"/>
        <v>13417.69</v>
      </c>
      <c r="U2744" s="51">
        <f t="shared" si="765"/>
        <v>0</v>
      </c>
      <c r="V2744" s="52">
        <f>IF(0&lt;0.8,0,IF(0&lt;1,Sheet3!L561,1))*IF(G2744&lt;3,0.12 - O2744,0.01) *U2744</f>
        <v>0</v>
      </c>
      <c r="W2744" s="52">
        <f t="shared" si="766"/>
        <v>0</v>
      </c>
      <c r="X2744" s="53">
        <f t="shared" si="767"/>
        <v>0</v>
      </c>
      <c r="Y2744" s="53">
        <f t="shared" si="768"/>
        <v>0</v>
      </c>
      <c r="Z2744" s="54">
        <f t="shared" si="758"/>
        <v>0</v>
      </c>
      <c r="AA2744" s="54">
        <f t="shared" si="769"/>
        <v>0</v>
      </c>
      <c r="AB2744" s="55">
        <f t="shared" si="772"/>
        <v>0</v>
      </c>
      <c r="AC2744" s="55">
        <f t="shared" si="770"/>
        <v>0</v>
      </c>
      <c r="AD2744" s="56">
        <f t="shared" si="771"/>
        <v>13417.69</v>
      </c>
    </row>
    <row r="2745" spans="3:30">
      <c r="C2745" s="43" t="s">
        <v>5144</v>
      </c>
      <c r="D2745" s="44" t="s">
        <v>5145</v>
      </c>
      <c r="E2745" s="44"/>
      <c r="F2745" s="45">
        <v>42630.093449074069</v>
      </c>
      <c r="G2745" s="46">
        <v>24</v>
      </c>
      <c r="H2745" s="47">
        <v>43392</v>
      </c>
      <c r="I2745" s="47">
        <v>43416</v>
      </c>
      <c r="J2745" s="46">
        <v>220462</v>
      </c>
      <c r="K2745" s="46">
        <v>0</v>
      </c>
      <c r="L2745" s="46">
        <v>0</v>
      </c>
      <c r="M2745" s="46">
        <f t="shared" si="760"/>
        <v>220462</v>
      </c>
      <c r="N2745" s="46">
        <v>220462</v>
      </c>
      <c r="O2745" s="48">
        <f t="shared" si="761"/>
        <v>0</v>
      </c>
      <c r="P2745" s="46">
        <v>0</v>
      </c>
      <c r="Q2745" s="46">
        <v>220462</v>
      </c>
      <c r="R2745" s="49">
        <f t="shared" si="762"/>
        <v>1</v>
      </c>
      <c r="S2745" s="50">
        <f t="shared" si="763"/>
        <v>0.01</v>
      </c>
      <c r="T2745" s="49">
        <f t="shared" si="764"/>
        <v>2204.62</v>
      </c>
      <c r="U2745" s="51">
        <f t="shared" si="765"/>
        <v>0</v>
      </c>
      <c r="V2745" s="52">
        <f>IF(0&lt;0.8,0,IF(0&lt;1,Sheet3!L561,1))*IF(G2745&lt;3,0.12 - O2745,0.01) *U2745</f>
        <v>0</v>
      </c>
      <c r="W2745" s="52">
        <f t="shared" si="766"/>
        <v>0</v>
      </c>
      <c r="X2745" s="53">
        <f t="shared" si="767"/>
        <v>0</v>
      </c>
      <c r="Y2745" s="53">
        <f t="shared" si="768"/>
        <v>0</v>
      </c>
      <c r="Z2745" s="54">
        <f t="shared" si="758"/>
        <v>0</v>
      </c>
      <c r="AA2745" s="54">
        <f t="shared" si="769"/>
        <v>0</v>
      </c>
      <c r="AB2745" s="55">
        <f t="shared" si="772"/>
        <v>0</v>
      </c>
      <c r="AC2745" s="55">
        <f t="shared" si="770"/>
        <v>0</v>
      </c>
      <c r="AD2745" s="56">
        <f t="shared" si="771"/>
        <v>2204.62</v>
      </c>
    </row>
    <row r="2746" spans="3:30">
      <c r="C2746" s="43" t="s">
        <v>5146</v>
      </c>
      <c r="D2746" s="44" t="s">
        <v>5147</v>
      </c>
      <c r="E2746" s="44"/>
      <c r="F2746" s="45">
        <v>42672.374583333331</v>
      </c>
      <c r="G2746" s="46">
        <v>23</v>
      </c>
      <c r="H2746" s="47">
        <v>43392</v>
      </c>
      <c r="I2746" s="47">
        <v>43399</v>
      </c>
      <c r="J2746" s="46">
        <v>8360858</v>
      </c>
      <c r="K2746" s="46">
        <v>0</v>
      </c>
      <c r="L2746" s="46">
        <v>0</v>
      </c>
      <c r="M2746" s="46">
        <f t="shared" si="760"/>
        <v>8360858</v>
      </c>
      <c r="N2746" s="46">
        <v>8360858</v>
      </c>
      <c r="O2746" s="48">
        <f t="shared" si="761"/>
        <v>0</v>
      </c>
      <c r="P2746" s="46">
        <v>0</v>
      </c>
      <c r="Q2746" s="46">
        <v>8360858</v>
      </c>
      <c r="R2746" s="49">
        <f t="shared" si="762"/>
        <v>1</v>
      </c>
      <c r="S2746" s="50">
        <f t="shared" si="763"/>
        <v>0.01</v>
      </c>
      <c r="T2746" s="49">
        <f t="shared" si="764"/>
        <v>83608.58</v>
      </c>
      <c r="U2746" s="51">
        <f t="shared" si="765"/>
        <v>0</v>
      </c>
      <c r="V2746" s="52">
        <f>IF(0&lt;0.8,0,IF(0&lt;1,Sheet3!L561,1))*IF(G2746&lt;3,0.12 - O2746,0.01) *U2746</f>
        <v>0</v>
      </c>
      <c r="W2746" s="52">
        <f t="shared" si="766"/>
        <v>0</v>
      </c>
      <c r="X2746" s="53">
        <f t="shared" si="767"/>
        <v>0</v>
      </c>
      <c r="Y2746" s="53">
        <f t="shared" si="768"/>
        <v>0</v>
      </c>
      <c r="Z2746" s="54">
        <f t="shared" si="758"/>
        <v>0</v>
      </c>
      <c r="AA2746" s="54">
        <f t="shared" si="769"/>
        <v>0</v>
      </c>
      <c r="AB2746" s="55">
        <f t="shared" si="772"/>
        <v>0</v>
      </c>
      <c r="AC2746" s="55">
        <f t="shared" si="770"/>
        <v>0</v>
      </c>
      <c r="AD2746" s="56">
        <f t="shared" si="771"/>
        <v>83608.58</v>
      </c>
    </row>
    <row r="2747" spans="3:30">
      <c r="C2747" s="43" t="s">
        <v>5148</v>
      </c>
      <c r="D2747" s="44" t="s">
        <v>5149</v>
      </c>
      <c r="E2747" s="44"/>
      <c r="F2747" s="45">
        <v>43161.253101851849</v>
      </c>
      <c r="G2747" s="46">
        <v>6</v>
      </c>
      <c r="H2747" s="47">
        <v>43433</v>
      </c>
      <c r="I2747" s="47">
        <v>43463</v>
      </c>
      <c r="J2747" s="46">
        <v>18038317</v>
      </c>
      <c r="K2747" s="46">
        <v>0</v>
      </c>
      <c r="L2747" s="46">
        <v>0</v>
      </c>
      <c r="M2747" s="46">
        <f t="shared" si="760"/>
        <v>18038317</v>
      </c>
      <c r="N2747" s="46">
        <v>18038317</v>
      </c>
      <c r="O2747" s="48">
        <f t="shared" si="761"/>
        <v>0</v>
      </c>
      <c r="P2747" s="46">
        <v>0</v>
      </c>
      <c r="Q2747" s="46">
        <v>18038317</v>
      </c>
      <c r="R2747" s="49">
        <f t="shared" si="762"/>
        <v>1</v>
      </c>
      <c r="S2747" s="50">
        <f t="shared" si="763"/>
        <v>0.01</v>
      </c>
      <c r="T2747" s="49">
        <f t="shared" si="764"/>
        <v>180383.17</v>
      </c>
      <c r="U2747" s="51">
        <f t="shared" si="765"/>
        <v>0</v>
      </c>
      <c r="V2747" s="52">
        <f>IF(0&lt;0.8,0,IF(0&lt;1,Sheet3!L561,1))*IF(G2747&lt;3,0.12 - O2747,0.01) *U2747</f>
        <v>0</v>
      </c>
      <c r="W2747" s="52">
        <f t="shared" si="766"/>
        <v>0</v>
      </c>
      <c r="X2747" s="53">
        <f t="shared" si="767"/>
        <v>0</v>
      </c>
      <c r="Y2747" s="53">
        <f t="shared" si="768"/>
        <v>0</v>
      </c>
      <c r="Z2747" s="54">
        <f t="shared" si="758"/>
        <v>0</v>
      </c>
      <c r="AA2747" s="54">
        <f t="shared" si="769"/>
        <v>0</v>
      </c>
      <c r="AB2747" s="55">
        <f t="shared" si="772"/>
        <v>0</v>
      </c>
      <c r="AC2747" s="55">
        <f t="shared" si="770"/>
        <v>0</v>
      </c>
      <c r="AD2747" s="56">
        <f t="shared" si="771"/>
        <v>180383.17</v>
      </c>
    </row>
    <row r="2748" spans="3:30">
      <c r="C2748" s="43" t="s">
        <v>5150</v>
      </c>
      <c r="D2748" s="44" t="s">
        <v>5151</v>
      </c>
      <c r="E2748" s="44"/>
      <c r="F2748" s="45">
        <v>43203.355636574073</v>
      </c>
      <c r="G2748" s="46">
        <v>5</v>
      </c>
      <c r="H2748" s="47">
        <v>43382</v>
      </c>
      <c r="I2748" s="47">
        <v>43398</v>
      </c>
      <c r="J2748" s="46">
        <v>100672</v>
      </c>
      <c r="K2748" s="46">
        <v>0</v>
      </c>
      <c r="L2748" s="46">
        <v>0</v>
      </c>
      <c r="M2748" s="46">
        <f t="shared" si="760"/>
        <v>100672</v>
      </c>
      <c r="N2748" s="46">
        <v>100672</v>
      </c>
      <c r="O2748" s="48">
        <f t="shared" si="761"/>
        <v>0</v>
      </c>
      <c r="P2748" s="46">
        <v>0</v>
      </c>
      <c r="Q2748" s="46">
        <v>100672</v>
      </c>
      <c r="R2748" s="49">
        <f t="shared" si="762"/>
        <v>1</v>
      </c>
      <c r="S2748" s="50">
        <f t="shared" si="763"/>
        <v>0.01</v>
      </c>
      <c r="T2748" s="49">
        <f t="shared" si="764"/>
        <v>1006.72</v>
      </c>
      <c r="U2748" s="51">
        <f t="shared" si="765"/>
        <v>0</v>
      </c>
      <c r="V2748" s="52">
        <f>IF(0&lt;0.8,0,IF(0&lt;1,Sheet3!L561,1))*IF(G2748&lt;3,0.12 - O2748,0.01) *U2748</f>
        <v>0</v>
      </c>
      <c r="W2748" s="52">
        <f t="shared" si="766"/>
        <v>0</v>
      </c>
      <c r="X2748" s="53">
        <f t="shared" si="767"/>
        <v>0</v>
      </c>
      <c r="Y2748" s="53">
        <f t="shared" si="768"/>
        <v>0</v>
      </c>
      <c r="Z2748" s="54">
        <f t="shared" si="758"/>
        <v>0</v>
      </c>
      <c r="AA2748" s="54">
        <f t="shared" si="769"/>
        <v>0</v>
      </c>
      <c r="AB2748" s="55">
        <f t="shared" si="772"/>
        <v>0</v>
      </c>
      <c r="AC2748" s="55">
        <f t="shared" si="770"/>
        <v>0</v>
      </c>
      <c r="AD2748" s="56">
        <f t="shared" si="771"/>
        <v>1006.72</v>
      </c>
    </row>
    <row r="2749" spans="3:30">
      <c r="C2749" s="43" t="s">
        <v>5152</v>
      </c>
      <c r="D2749" s="44" t="s">
        <v>5153</v>
      </c>
      <c r="E2749" s="44"/>
      <c r="F2749" s="45">
        <v>39678.463101851848</v>
      </c>
      <c r="G2749" s="46">
        <v>121</v>
      </c>
      <c r="H2749" s="47">
        <v>43390</v>
      </c>
      <c r="I2749" s="47">
        <v>43398</v>
      </c>
      <c r="J2749" s="46">
        <v>3578890</v>
      </c>
      <c r="K2749" s="46">
        <v>325354</v>
      </c>
      <c r="L2749" s="46">
        <v>0</v>
      </c>
      <c r="M2749" s="46">
        <f t="shared" si="760"/>
        <v>3253536</v>
      </c>
      <c r="N2749" s="46">
        <v>3578890</v>
      </c>
      <c r="O2749" s="48">
        <f t="shared" si="761"/>
        <v>9.0909192514997628E-2</v>
      </c>
      <c r="P2749" s="46">
        <v>0</v>
      </c>
      <c r="Q2749" s="46">
        <v>3578890</v>
      </c>
      <c r="R2749" s="49">
        <f t="shared" si="762"/>
        <v>1</v>
      </c>
      <c r="S2749" s="50">
        <f t="shared" si="763"/>
        <v>0.01</v>
      </c>
      <c r="T2749" s="49">
        <f t="shared" si="764"/>
        <v>32535.360000000001</v>
      </c>
      <c r="U2749" s="51">
        <f t="shared" si="765"/>
        <v>0</v>
      </c>
      <c r="V2749" s="52">
        <f>IF(0&lt;0.8,0,IF(0&lt;1,Sheet3!L561,1))*IF(G2749&lt;3,0.12 - O2749,0.01) *U2749</f>
        <v>0</v>
      </c>
      <c r="W2749" s="52">
        <f t="shared" si="766"/>
        <v>0</v>
      </c>
      <c r="X2749" s="53">
        <f t="shared" si="767"/>
        <v>0</v>
      </c>
      <c r="Y2749" s="53">
        <f t="shared" si="768"/>
        <v>0</v>
      </c>
      <c r="Z2749" s="54">
        <f t="shared" si="758"/>
        <v>0</v>
      </c>
      <c r="AA2749" s="54">
        <f t="shared" si="769"/>
        <v>0</v>
      </c>
      <c r="AB2749" s="55">
        <f t="shared" si="772"/>
        <v>0</v>
      </c>
      <c r="AC2749" s="55">
        <f t="shared" si="770"/>
        <v>0</v>
      </c>
      <c r="AD2749" s="56">
        <f t="shared" si="771"/>
        <v>32535.360000000001</v>
      </c>
    </row>
    <row r="2750" spans="3:30">
      <c r="C2750" s="43" t="s">
        <v>5154</v>
      </c>
      <c r="D2750" s="44" t="s">
        <v>5155</v>
      </c>
      <c r="E2750" s="44"/>
      <c r="F2750" s="45">
        <v>40071.369432870371</v>
      </c>
      <c r="G2750" s="46">
        <v>108</v>
      </c>
      <c r="H2750" s="47">
        <v>43391</v>
      </c>
      <c r="I2750" s="47">
        <v>43403</v>
      </c>
      <c r="J2750" s="46">
        <v>200000</v>
      </c>
      <c r="K2750" s="46">
        <v>0</v>
      </c>
      <c r="L2750" s="46">
        <v>0</v>
      </c>
      <c r="M2750" s="46">
        <f t="shared" si="760"/>
        <v>200000</v>
      </c>
      <c r="N2750" s="46">
        <v>192148</v>
      </c>
      <c r="O2750" s="48">
        <f t="shared" si="761"/>
        <v>0</v>
      </c>
      <c r="P2750" s="46">
        <v>0</v>
      </c>
      <c r="Q2750" s="46">
        <v>200000</v>
      </c>
      <c r="R2750" s="49">
        <f t="shared" si="762"/>
        <v>1</v>
      </c>
      <c r="S2750" s="50">
        <f t="shared" si="763"/>
        <v>0.01</v>
      </c>
      <c r="T2750" s="49">
        <f t="shared" si="764"/>
        <v>2000</v>
      </c>
      <c r="U2750" s="51">
        <f t="shared" si="765"/>
        <v>0</v>
      </c>
      <c r="V2750" s="52">
        <f>IF(0&lt;0.8,0,IF(0&lt;1,Sheet3!L561,1))*IF(G2750&lt;3,0.12 - O2750,0.01) *U2750</f>
        <v>0</v>
      </c>
      <c r="W2750" s="52">
        <f t="shared" si="766"/>
        <v>0</v>
      </c>
      <c r="X2750" s="53">
        <f t="shared" si="767"/>
        <v>0</v>
      </c>
      <c r="Y2750" s="53">
        <f t="shared" si="768"/>
        <v>0</v>
      </c>
      <c r="Z2750" s="54">
        <f t="shared" si="758"/>
        <v>0</v>
      </c>
      <c r="AA2750" s="54">
        <f t="shared" si="769"/>
        <v>0</v>
      </c>
      <c r="AB2750" s="55">
        <f t="shared" si="772"/>
        <v>0</v>
      </c>
      <c r="AC2750" s="55">
        <f t="shared" si="770"/>
        <v>0</v>
      </c>
      <c r="AD2750" s="56">
        <f t="shared" si="771"/>
        <v>2000</v>
      </c>
    </row>
    <row r="2751" spans="3:30">
      <c r="C2751" s="43" t="s">
        <v>5156</v>
      </c>
      <c r="D2751" s="44" t="s">
        <v>5157</v>
      </c>
      <c r="E2751" s="44"/>
      <c r="F2751" s="45">
        <v>40180.469780092593</v>
      </c>
      <c r="G2751" s="46">
        <v>104</v>
      </c>
      <c r="H2751" s="47">
        <v>43391</v>
      </c>
      <c r="I2751" s="47">
        <v>43413</v>
      </c>
      <c r="J2751" s="46">
        <v>1903958</v>
      </c>
      <c r="K2751" s="46">
        <v>0</v>
      </c>
      <c r="L2751" s="46">
        <v>0</v>
      </c>
      <c r="M2751" s="46">
        <f t="shared" si="760"/>
        <v>1903958</v>
      </c>
      <c r="N2751" s="46">
        <v>1890648</v>
      </c>
      <c r="O2751" s="48">
        <f t="shared" si="761"/>
        <v>0</v>
      </c>
      <c r="P2751" s="46">
        <v>0</v>
      </c>
      <c r="Q2751" s="46">
        <v>1903958</v>
      </c>
      <c r="R2751" s="49">
        <f t="shared" si="762"/>
        <v>1</v>
      </c>
      <c r="S2751" s="50">
        <f t="shared" si="763"/>
        <v>0.01</v>
      </c>
      <c r="T2751" s="49">
        <f t="shared" si="764"/>
        <v>19039.580000000002</v>
      </c>
      <c r="U2751" s="51">
        <f t="shared" si="765"/>
        <v>0</v>
      </c>
      <c r="V2751" s="52">
        <f>IF(0&lt;0.8,0,IF(0&lt;1,Sheet3!L561,1))*IF(G2751&lt;3,0.12 - O2751,0.01) *U2751</f>
        <v>0</v>
      </c>
      <c r="W2751" s="52">
        <f t="shared" si="766"/>
        <v>0</v>
      </c>
      <c r="X2751" s="53">
        <f t="shared" si="767"/>
        <v>0</v>
      </c>
      <c r="Y2751" s="53">
        <f t="shared" si="768"/>
        <v>0</v>
      </c>
      <c r="Z2751" s="54">
        <f t="shared" si="758"/>
        <v>0</v>
      </c>
      <c r="AA2751" s="54">
        <f t="shared" si="769"/>
        <v>0</v>
      </c>
      <c r="AB2751" s="55">
        <f t="shared" si="772"/>
        <v>0</v>
      </c>
      <c r="AC2751" s="55">
        <f t="shared" si="770"/>
        <v>0</v>
      </c>
      <c r="AD2751" s="56">
        <f t="shared" si="771"/>
        <v>19039.580000000002</v>
      </c>
    </row>
    <row r="2752" spans="3:30">
      <c r="C2752" s="43" t="s">
        <v>5158</v>
      </c>
      <c r="D2752" s="44" t="s">
        <v>5159</v>
      </c>
      <c r="E2752" s="44"/>
      <c r="F2752" s="45">
        <v>40180.44976851852</v>
      </c>
      <c r="G2752" s="46">
        <v>104</v>
      </c>
      <c r="H2752" s="47">
        <v>43395</v>
      </c>
      <c r="I2752" s="47">
        <v>43412</v>
      </c>
      <c r="J2752" s="46">
        <v>382215</v>
      </c>
      <c r="K2752" s="46">
        <v>0</v>
      </c>
      <c r="L2752" s="46">
        <v>0</v>
      </c>
      <c r="M2752" s="46">
        <f t="shared" si="760"/>
        <v>382215</v>
      </c>
      <c r="N2752" s="46">
        <v>382215</v>
      </c>
      <c r="O2752" s="48">
        <f t="shared" si="761"/>
        <v>0</v>
      </c>
      <c r="P2752" s="46">
        <v>0</v>
      </c>
      <c r="Q2752" s="46">
        <v>382215</v>
      </c>
      <c r="R2752" s="49">
        <f t="shared" si="762"/>
        <v>1</v>
      </c>
      <c r="S2752" s="50">
        <f t="shared" si="763"/>
        <v>0.01</v>
      </c>
      <c r="T2752" s="49">
        <f t="shared" si="764"/>
        <v>3822.15</v>
      </c>
      <c r="U2752" s="51">
        <f t="shared" si="765"/>
        <v>0</v>
      </c>
      <c r="V2752" s="52">
        <f>IF(0&lt;0.8,0,IF(0&lt;1,Sheet3!L561,1))*IF(G2752&lt;3,0.12 - O2752,0.01) *U2752</f>
        <v>0</v>
      </c>
      <c r="W2752" s="52">
        <f t="shared" si="766"/>
        <v>0</v>
      </c>
      <c r="X2752" s="53">
        <f t="shared" si="767"/>
        <v>0</v>
      </c>
      <c r="Y2752" s="53">
        <f t="shared" si="768"/>
        <v>0</v>
      </c>
      <c r="Z2752" s="54">
        <f t="shared" si="758"/>
        <v>0</v>
      </c>
      <c r="AA2752" s="54">
        <f t="shared" si="769"/>
        <v>0</v>
      </c>
      <c r="AB2752" s="55">
        <f t="shared" si="772"/>
        <v>0</v>
      </c>
      <c r="AC2752" s="55">
        <f t="shared" si="770"/>
        <v>0</v>
      </c>
      <c r="AD2752" s="56">
        <f t="shared" si="771"/>
        <v>3822.15</v>
      </c>
    </row>
    <row r="2753" spans="3:30">
      <c r="C2753" s="43" t="s">
        <v>5160</v>
      </c>
      <c r="D2753" s="44" t="s">
        <v>5161</v>
      </c>
      <c r="E2753" s="44"/>
      <c r="F2753" s="45">
        <v>40697.412939814814</v>
      </c>
      <c r="G2753" s="46">
        <v>87</v>
      </c>
      <c r="H2753" s="47">
        <v>43391</v>
      </c>
      <c r="I2753" s="47">
        <v>43424</v>
      </c>
      <c r="J2753" s="46">
        <v>742447934</v>
      </c>
      <c r="K2753" s="46">
        <v>21220837</v>
      </c>
      <c r="L2753" s="46">
        <v>0</v>
      </c>
      <c r="M2753" s="46">
        <f t="shared" si="760"/>
        <v>721227097</v>
      </c>
      <c r="N2753" s="46">
        <v>2076472195</v>
      </c>
      <c r="O2753" s="48">
        <f t="shared" si="761"/>
        <v>0.6526671059036262</v>
      </c>
      <c r="P2753" s="46">
        <v>0</v>
      </c>
      <c r="Q2753" s="46">
        <v>742447934</v>
      </c>
      <c r="R2753" s="49">
        <f t="shared" si="762"/>
        <v>1</v>
      </c>
      <c r="S2753" s="50">
        <f t="shared" si="763"/>
        <v>0.01</v>
      </c>
      <c r="T2753" s="49">
        <f t="shared" si="764"/>
        <v>7212270.9699999997</v>
      </c>
      <c r="U2753" s="51">
        <f t="shared" si="765"/>
        <v>0</v>
      </c>
      <c r="V2753" s="52">
        <f>IF(0&lt;0.8,0,IF(0&lt;1,Sheet3!L561,1))*IF(G2753&lt;3,0.12 - O2753,0.01) *U2753</f>
        <v>0</v>
      </c>
      <c r="W2753" s="52">
        <f t="shared" si="766"/>
        <v>0</v>
      </c>
      <c r="X2753" s="53">
        <f t="shared" si="767"/>
        <v>0</v>
      </c>
      <c r="Y2753" s="53">
        <f t="shared" si="768"/>
        <v>0</v>
      </c>
      <c r="Z2753" s="54">
        <f>IF(R2753=1,0,5400000)</f>
        <v>0</v>
      </c>
      <c r="AA2753" s="54">
        <f t="shared" si="769"/>
        <v>0</v>
      </c>
      <c r="AB2753" s="55">
        <f t="shared" si="772"/>
        <v>0</v>
      </c>
      <c r="AC2753" s="55">
        <f t="shared" si="770"/>
        <v>0</v>
      </c>
      <c r="AD2753" s="56">
        <f t="shared" si="771"/>
        <v>7212270.9699999997</v>
      </c>
    </row>
    <row r="2754" spans="3:30">
      <c r="C2754" s="43" t="s">
        <v>5162</v>
      </c>
      <c r="D2754" s="44" t="s">
        <v>5163</v>
      </c>
      <c r="E2754" s="44"/>
      <c r="F2754" s="45">
        <v>42186.568773148145</v>
      </c>
      <c r="G2754" s="46">
        <v>38</v>
      </c>
      <c r="H2754" s="47">
        <v>43404</v>
      </c>
      <c r="I2754" s="47">
        <v>43413</v>
      </c>
      <c r="J2754" s="46">
        <v>1061940</v>
      </c>
      <c r="K2754" s="46">
        <v>96540</v>
      </c>
      <c r="L2754" s="46">
        <v>0</v>
      </c>
      <c r="M2754" s="46">
        <f t="shared" si="760"/>
        <v>965400</v>
      </c>
      <c r="N2754" s="46">
        <v>1070210</v>
      </c>
      <c r="O2754" s="48">
        <f t="shared" si="761"/>
        <v>9.7934050326571431E-2</v>
      </c>
      <c r="P2754" s="46">
        <v>0</v>
      </c>
      <c r="Q2754" s="46">
        <v>1061940</v>
      </c>
      <c r="R2754" s="49">
        <f t="shared" si="762"/>
        <v>1</v>
      </c>
      <c r="S2754" s="50">
        <f t="shared" si="763"/>
        <v>0.01</v>
      </c>
      <c r="T2754" s="49">
        <f t="shared" si="764"/>
        <v>9654</v>
      </c>
      <c r="U2754" s="51">
        <f t="shared" si="765"/>
        <v>0</v>
      </c>
      <c r="V2754" s="52">
        <f>IF(0&lt;0.8,0,IF(0&lt;1,Sheet3!L561,1))*IF(G2754&lt;3,0.12 - O2754,0.01) *U2754</f>
        <v>0</v>
      </c>
      <c r="W2754" s="52">
        <f t="shared" si="766"/>
        <v>0</v>
      </c>
      <c r="X2754" s="53">
        <f t="shared" si="767"/>
        <v>0</v>
      </c>
      <c r="Y2754" s="53">
        <f t="shared" si="768"/>
        <v>0</v>
      </c>
      <c r="Z2754" s="54">
        <f t="shared" ref="Z2754:Z2817" si="773">IF(R2754=1,0,0)</f>
        <v>0</v>
      </c>
      <c r="AA2754" s="54">
        <f t="shared" si="769"/>
        <v>0</v>
      </c>
      <c r="AB2754" s="55">
        <f t="shared" si="772"/>
        <v>0</v>
      </c>
      <c r="AC2754" s="55">
        <f t="shared" si="770"/>
        <v>0</v>
      </c>
      <c r="AD2754" s="56">
        <f t="shared" si="771"/>
        <v>9654</v>
      </c>
    </row>
    <row r="2755" spans="3:30">
      <c r="C2755" s="43" t="s">
        <v>5164</v>
      </c>
      <c r="D2755" s="44" t="s">
        <v>5165</v>
      </c>
      <c r="E2755" s="44"/>
      <c r="F2755" s="45">
        <v>42221.709733796291</v>
      </c>
      <c r="G2755" s="46">
        <v>37</v>
      </c>
      <c r="H2755" s="47">
        <v>43390</v>
      </c>
      <c r="I2755" s="47">
        <v>43404</v>
      </c>
      <c r="J2755" s="46">
        <v>5934629</v>
      </c>
      <c r="K2755" s="46">
        <v>269756</v>
      </c>
      <c r="L2755" s="46">
        <v>0</v>
      </c>
      <c r="M2755" s="46">
        <f t="shared" si="760"/>
        <v>5664873</v>
      </c>
      <c r="N2755" s="46">
        <v>6107980</v>
      </c>
      <c r="O2755" s="48">
        <f t="shared" si="761"/>
        <v>7.2545587903038333E-2</v>
      </c>
      <c r="P2755" s="46">
        <v>0</v>
      </c>
      <c r="Q2755" s="46">
        <v>5934629</v>
      </c>
      <c r="R2755" s="49">
        <f t="shared" si="762"/>
        <v>1</v>
      </c>
      <c r="S2755" s="50">
        <f t="shared" si="763"/>
        <v>0.01</v>
      </c>
      <c r="T2755" s="49">
        <f t="shared" si="764"/>
        <v>56648.73</v>
      </c>
      <c r="U2755" s="51">
        <f t="shared" si="765"/>
        <v>0</v>
      </c>
      <c r="V2755" s="52">
        <f>IF(0&lt;0.8,0,IF(0&lt;1,Sheet3!L561,1))*IF(G2755&lt;3,0.12 - O2755,0.01) *U2755</f>
        <v>0</v>
      </c>
      <c r="W2755" s="52">
        <f t="shared" si="766"/>
        <v>0</v>
      </c>
      <c r="X2755" s="53">
        <f t="shared" si="767"/>
        <v>0</v>
      </c>
      <c r="Y2755" s="53">
        <f t="shared" si="768"/>
        <v>0</v>
      </c>
      <c r="Z2755" s="54">
        <f t="shared" si="773"/>
        <v>0</v>
      </c>
      <c r="AA2755" s="54">
        <f t="shared" si="769"/>
        <v>0</v>
      </c>
      <c r="AB2755" s="55">
        <f t="shared" si="772"/>
        <v>0</v>
      </c>
      <c r="AC2755" s="55">
        <f t="shared" si="770"/>
        <v>0</v>
      </c>
      <c r="AD2755" s="56">
        <f t="shared" si="771"/>
        <v>56648.73</v>
      </c>
    </row>
    <row r="2756" spans="3:30">
      <c r="C2756" s="43" t="s">
        <v>5166</v>
      </c>
      <c r="D2756" s="44" t="s">
        <v>5167</v>
      </c>
      <c r="E2756" s="44"/>
      <c r="F2756" s="45">
        <v>42227.359988425924</v>
      </c>
      <c r="G2756" s="46">
        <v>37</v>
      </c>
      <c r="H2756" s="47">
        <v>43396</v>
      </c>
      <c r="I2756" s="47">
        <v>43413</v>
      </c>
      <c r="J2756" s="46">
        <v>244057</v>
      </c>
      <c r="K2756" s="46">
        <v>0</v>
      </c>
      <c r="L2756" s="46">
        <v>0</v>
      </c>
      <c r="M2756" s="46">
        <f t="shared" si="760"/>
        <v>244057</v>
      </c>
      <c r="N2756" s="46">
        <v>244057</v>
      </c>
      <c r="O2756" s="48">
        <f t="shared" si="761"/>
        <v>0</v>
      </c>
      <c r="P2756" s="46">
        <v>0</v>
      </c>
      <c r="Q2756" s="46">
        <v>244057</v>
      </c>
      <c r="R2756" s="49">
        <f t="shared" si="762"/>
        <v>1</v>
      </c>
      <c r="S2756" s="50">
        <f t="shared" si="763"/>
        <v>0.01</v>
      </c>
      <c r="T2756" s="49">
        <f t="shared" si="764"/>
        <v>2440.5700000000002</v>
      </c>
      <c r="U2756" s="51">
        <f t="shared" si="765"/>
        <v>0</v>
      </c>
      <c r="V2756" s="52">
        <f>IF(0&lt;0.8,0,IF(0&lt;1,Sheet3!L561,1))*IF(G2756&lt;3,0.12 - O2756,0.01) *U2756</f>
        <v>0</v>
      </c>
      <c r="W2756" s="52">
        <f t="shared" si="766"/>
        <v>0</v>
      </c>
      <c r="X2756" s="53">
        <f t="shared" si="767"/>
        <v>0</v>
      </c>
      <c r="Y2756" s="53">
        <f t="shared" si="768"/>
        <v>0</v>
      </c>
      <c r="Z2756" s="54">
        <f t="shared" si="773"/>
        <v>0</v>
      </c>
      <c r="AA2756" s="54">
        <f t="shared" si="769"/>
        <v>0</v>
      </c>
      <c r="AB2756" s="55">
        <f t="shared" si="772"/>
        <v>0</v>
      </c>
      <c r="AC2756" s="55">
        <f t="shared" si="770"/>
        <v>0</v>
      </c>
      <c r="AD2756" s="56">
        <f t="shared" si="771"/>
        <v>2440.5700000000002</v>
      </c>
    </row>
    <row r="2757" spans="3:30">
      <c r="C2757" s="43" t="s">
        <v>5168</v>
      </c>
      <c r="D2757" s="44" t="s">
        <v>5169</v>
      </c>
      <c r="E2757" s="44"/>
      <c r="F2757" s="45">
        <v>42236.438321759255</v>
      </c>
      <c r="G2757" s="46">
        <v>37</v>
      </c>
      <c r="H2757" s="47">
        <v>43391</v>
      </c>
      <c r="I2757" s="47">
        <v>43413</v>
      </c>
      <c r="J2757" s="46">
        <v>1374076</v>
      </c>
      <c r="K2757" s="46">
        <v>0</v>
      </c>
      <c r="L2757" s="46">
        <v>0</v>
      </c>
      <c r="M2757" s="46">
        <f t="shared" si="760"/>
        <v>1374076</v>
      </c>
      <c r="N2757" s="46">
        <v>1374076</v>
      </c>
      <c r="O2757" s="48">
        <f t="shared" si="761"/>
        <v>0</v>
      </c>
      <c r="P2757" s="46">
        <v>0</v>
      </c>
      <c r="Q2757" s="46">
        <v>1374076</v>
      </c>
      <c r="R2757" s="49">
        <f t="shared" si="762"/>
        <v>1</v>
      </c>
      <c r="S2757" s="50">
        <f t="shared" si="763"/>
        <v>0.01</v>
      </c>
      <c r="T2757" s="49">
        <f t="shared" si="764"/>
        <v>13740.76</v>
      </c>
      <c r="U2757" s="51">
        <f t="shared" si="765"/>
        <v>0</v>
      </c>
      <c r="V2757" s="52">
        <f>IF(0&lt;0.8,0,IF(0&lt;1,Sheet3!L561,1))*IF(G2757&lt;3,0.12 - O2757,0.01) *U2757</f>
        <v>0</v>
      </c>
      <c r="W2757" s="52">
        <f t="shared" si="766"/>
        <v>0</v>
      </c>
      <c r="X2757" s="53">
        <f t="shared" si="767"/>
        <v>0</v>
      </c>
      <c r="Y2757" s="53">
        <f t="shared" si="768"/>
        <v>0</v>
      </c>
      <c r="Z2757" s="54">
        <f t="shared" si="773"/>
        <v>0</v>
      </c>
      <c r="AA2757" s="54">
        <f t="shared" si="769"/>
        <v>0</v>
      </c>
      <c r="AB2757" s="55">
        <f t="shared" si="772"/>
        <v>0</v>
      </c>
      <c r="AC2757" s="55">
        <f t="shared" si="770"/>
        <v>0</v>
      </c>
      <c r="AD2757" s="56">
        <f t="shared" si="771"/>
        <v>13740.76</v>
      </c>
    </row>
    <row r="2758" spans="3:30">
      <c r="C2758" s="43" t="s">
        <v>5170</v>
      </c>
      <c r="D2758" s="44" t="s">
        <v>5171</v>
      </c>
      <c r="E2758" s="44"/>
      <c r="F2758" s="45">
        <v>42402.366319444445</v>
      </c>
      <c r="G2758" s="46">
        <v>31</v>
      </c>
      <c r="H2758" s="47">
        <v>43393</v>
      </c>
      <c r="I2758" s="47">
        <v>43410</v>
      </c>
      <c r="J2758" s="46">
        <v>726726</v>
      </c>
      <c r="K2758" s="46">
        <v>0</v>
      </c>
      <c r="L2758" s="46">
        <v>0</v>
      </c>
      <c r="M2758" s="46">
        <f t="shared" si="760"/>
        <v>726726</v>
      </c>
      <c r="N2758" s="46">
        <v>726726</v>
      </c>
      <c r="O2758" s="48">
        <f t="shared" si="761"/>
        <v>0</v>
      </c>
      <c r="P2758" s="46">
        <v>0</v>
      </c>
      <c r="Q2758" s="46">
        <v>726726</v>
      </c>
      <c r="R2758" s="49">
        <f t="shared" si="762"/>
        <v>1</v>
      </c>
      <c r="S2758" s="50">
        <f t="shared" si="763"/>
        <v>0.01</v>
      </c>
      <c r="T2758" s="49">
        <f t="shared" si="764"/>
        <v>7267.26</v>
      </c>
      <c r="U2758" s="51">
        <f t="shared" si="765"/>
        <v>0</v>
      </c>
      <c r="V2758" s="52">
        <f>IF(0&lt;0.8,0,IF(0&lt;1,Sheet3!L561,1))*IF(G2758&lt;3,0.12 - O2758,0.01) *U2758</f>
        <v>0</v>
      </c>
      <c r="W2758" s="52">
        <f t="shared" si="766"/>
        <v>0</v>
      </c>
      <c r="X2758" s="53">
        <f t="shared" si="767"/>
        <v>0</v>
      </c>
      <c r="Y2758" s="53">
        <f t="shared" si="768"/>
        <v>0</v>
      </c>
      <c r="Z2758" s="54">
        <f t="shared" si="773"/>
        <v>0</v>
      </c>
      <c r="AA2758" s="54">
        <f t="shared" si="769"/>
        <v>0</v>
      </c>
      <c r="AB2758" s="55">
        <f t="shared" si="772"/>
        <v>0</v>
      </c>
      <c r="AC2758" s="55">
        <f t="shared" si="770"/>
        <v>0</v>
      </c>
      <c r="AD2758" s="56">
        <f t="shared" si="771"/>
        <v>7267.26</v>
      </c>
    </row>
    <row r="2759" spans="3:30">
      <c r="C2759" s="43" t="s">
        <v>5172</v>
      </c>
      <c r="D2759" s="44" t="s">
        <v>5173</v>
      </c>
      <c r="E2759" s="44"/>
      <c r="F2759" s="45">
        <v>42402.585821759254</v>
      </c>
      <c r="G2759" s="46">
        <v>31</v>
      </c>
      <c r="H2759" s="47">
        <v>43396</v>
      </c>
      <c r="I2759" s="47">
        <v>43403</v>
      </c>
      <c r="J2759" s="46">
        <v>46464</v>
      </c>
      <c r="K2759" s="46">
        <v>0</v>
      </c>
      <c r="L2759" s="46">
        <v>0</v>
      </c>
      <c r="M2759" s="46">
        <f t="shared" si="760"/>
        <v>46464</v>
      </c>
      <c r="N2759" s="46">
        <v>46464</v>
      </c>
      <c r="O2759" s="48">
        <f t="shared" si="761"/>
        <v>0</v>
      </c>
      <c r="P2759" s="46">
        <v>0</v>
      </c>
      <c r="Q2759" s="46">
        <v>46464</v>
      </c>
      <c r="R2759" s="49">
        <f t="shared" si="762"/>
        <v>1</v>
      </c>
      <c r="S2759" s="50">
        <f t="shared" si="763"/>
        <v>0.01</v>
      </c>
      <c r="T2759" s="49">
        <f t="shared" si="764"/>
        <v>464.64</v>
      </c>
      <c r="U2759" s="51">
        <f t="shared" si="765"/>
        <v>0</v>
      </c>
      <c r="V2759" s="52">
        <f>IF(0&lt;0.8,0,IF(0&lt;1,Sheet3!L561,1))*IF(G2759&lt;3,0.12 - O2759,0.01) *U2759</f>
        <v>0</v>
      </c>
      <c r="W2759" s="52">
        <f t="shared" si="766"/>
        <v>0</v>
      </c>
      <c r="X2759" s="53">
        <f t="shared" si="767"/>
        <v>0</v>
      </c>
      <c r="Y2759" s="53">
        <f t="shared" si="768"/>
        <v>0</v>
      </c>
      <c r="Z2759" s="54">
        <f t="shared" si="773"/>
        <v>0</v>
      </c>
      <c r="AA2759" s="54">
        <f t="shared" si="769"/>
        <v>0</v>
      </c>
      <c r="AB2759" s="55">
        <f t="shared" si="772"/>
        <v>0</v>
      </c>
      <c r="AC2759" s="55">
        <f t="shared" si="770"/>
        <v>0</v>
      </c>
      <c r="AD2759" s="56">
        <f t="shared" si="771"/>
        <v>464.64</v>
      </c>
    </row>
    <row r="2760" spans="3:30">
      <c r="C2760" s="43" t="s">
        <v>5174</v>
      </c>
      <c r="D2760" s="44" t="s">
        <v>5175</v>
      </c>
      <c r="E2760" s="44"/>
      <c r="F2760" s="45">
        <v>42417.572037037033</v>
      </c>
      <c r="G2760" s="46">
        <v>31</v>
      </c>
      <c r="H2760" s="47">
        <v>43376</v>
      </c>
      <c r="I2760" s="47">
        <v>43395</v>
      </c>
      <c r="J2760" s="46">
        <v>2953316</v>
      </c>
      <c r="K2760" s="46">
        <v>0</v>
      </c>
      <c r="L2760" s="46">
        <v>0</v>
      </c>
      <c r="M2760" s="46">
        <f t="shared" si="760"/>
        <v>2953316</v>
      </c>
      <c r="N2760" s="46">
        <v>2953316</v>
      </c>
      <c r="O2760" s="48">
        <f t="shared" si="761"/>
        <v>0</v>
      </c>
      <c r="P2760" s="46">
        <v>0</v>
      </c>
      <c r="Q2760" s="46">
        <v>2953316</v>
      </c>
      <c r="R2760" s="49">
        <f t="shared" si="762"/>
        <v>1</v>
      </c>
      <c r="S2760" s="50">
        <f t="shared" si="763"/>
        <v>0.01</v>
      </c>
      <c r="T2760" s="49">
        <f t="shared" si="764"/>
        <v>29533.16</v>
      </c>
      <c r="U2760" s="51">
        <f t="shared" si="765"/>
        <v>0</v>
      </c>
      <c r="V2760" s="52">
        <f>IF(0&lt;0.8,0,IF(0&lt;1,Sheet3!L561,1))*IF(G2760&lt;3,0.12 - O2760,0.01) *U2760</f>
        <v>0</v>
      </c>
      <c r="W2760" s="52">
        <f t="shared" si="766"/>
        <v>0</v>
      </c>
      <c r="X2760" s="53">
        <f t="shared" si="767"/>
        <v>0</v>
      </c>
      <c r="Y2760" s="53">
        <f t="shared" si="768"/>
        <v>0</v>
      </c>
      <c r="Z2760" s="54">
        <f t="shared" si="773"/>
        <v>0</v>
      </c>
      <c r="AA2760" s="54">
        <f t="shared" si="769"/>
        <v>0</v>
      </c>
      <c r="AB2760" s="55">
        <f t="shared" si="772"/>
        <v>0</v>
      </c>
      <c r="AC2760" s="55">
        <f t="shared" si="770"/>
        <v>0</v>
      </c>
      <c r="AD2760" s="56">
        <f t="shared" si="771"/>
        <v>29533.16</v>
      </c>
    </row>
    <row r="2761" spans="3:30">
      <c r="C2761" s="43" t="s">
        <v>5176</v>
      </c>
      <c r="D2761" s="44" t="s">
        <v>5177</v>
      </c>
      <c r="E2761" s="44"/>
      <c r="F2761" s="45">
        <v>42487.572083333333</v>
      </c>
      <c r="G2761" s="46">
        <v>29</v>
      </c>
      <c r="H2761" s="47">
        <v>43393</v>
      </c>
      <c r="I2761" s="47">
        <v>43495</v>
      </c>
      <c r="J2761" s="46">
        <v>560835</v>
      </c>
      <c r="K2761" s="46">
        <v>0</v>
      </c>
      <c r="L2761" s="46">
        <v>0</v>
      </c>
      <c r="M2761" s="46">
        <f t="shared" si="760"/>
        <v>560835</v>
      </c>
      <c r="N2761" s="46">
        <v>560835</v>
      </c>
      <c r="O2761" s="48">
        <f t="shared" si="761"/>
        <v>0</v>
      </c>
      <c r="P2761" s="46">
        <v>0</v>
      </c>
      <c r="Q2761" s="46">
        <v>560835</v>
      </c>
      <c r="R2761" s="49">
        <f t="shared" si="762"/>
        <v>1</v>
      </c>
      <c r="S2761" s="50">
        <f t="shared" si="763"/>
        <v>0.01</v>
      </c>
      <c r="T2761" s="49">
        <f t="shared" si="764"/>
        <v>5608.35</v>
      </c>
      <c r="U2761" s="51">
        <f t="shared" si="765"/>
        <v>0</v>
      </c>
      <c r="V2761" s="52">
        <f>IF(0&lt;0.8,0,IF(0&lt;1,Sheet3!L561,1))*IF(G2761&lt;3,0.12 - O2761,0.01) *U2761</f>
        <v>0</v>
      </c>
      <c r="W2761" s="52">
        <f t="shared" si="766"/>
        <v>0</v>
      </c>
      <c r="X2761" s="53">
        <f t="shared" si="767"/>
        <v>0</v>
      </c>
      <c r="Y2761" s="53">
        <f t="shared" si="768"/>
        <v>0</v>
      </c>
      <c r="Z2761" s="54">
        <f t="shared" si="773"/>
        <v>0</v>
      </c>
      <c r="AA2761" s="54">
        <f t="shared" si="769"/>
        <v>0</v>
      </c>
      <c r="AB2761" s="55">
        <f t="shared" si="772"/>
        <v>0</v>
      </c>
      <c r="AC2761" s="55">
        <f t="shared" si="770"/>
        <v>0</v>
      </c>
      <c r="AD2761" s="56">
        <f t="shared" si="771"/>
        <v>5608.35</v>
      </c>
    </row>
    <row r="2762" spans="3:30">
      <c r="C2762" s="43" t="s">
        <v>5178</v>
      </c>
      <c r="D2762" s="44" t="s">
        <v>5179</v>
      </c>
      <c r="E2762" s="44"/>
      <c r="F2762" s="45">
        <v>42497.110208333332</v>
      </c>
      <c r="G2762" s="46">
        <v>28</v>
      </c>
      <c r="H2762" s="47">
        <v>43404</v>
      </c>
      <c r="I2762" s="47">
        <v>43413</v>
      </c>
      <c r="J2762" s="46">
        <v>1378103</v>
      </c>
      <c r="K2762" s="46">
        <v>125283</v>
      </c>
      <c r="L2762" s="46">
        <v>0</v>
      </c>
      <c r="M2762" s="46">
        <f t="shared" si="760"/>
        <v>1252820</v>
      </c>
      <c r="N2762" s="46">
        <v>1930181</v>
      </c>
      <c r="O2762" s="48">
        <f t="shared" si="761"/>
        <v>0.35093133752741323</v>
      </c>
      <c r="P2762" s="46">
        <v>0</v>
      </c>
      <c r="Q2762" s="46">
        <v>1378103</v>
      </c>
      <c r="R2762" s="49">
        <f t="shared" si="762"/>
        <v>1</v>
      </c>
      <c r="S2762" s="50">
        <f t="shared" si="763"/>
        <v>0.01</v>
      </c>
      <c r="T2762" s="49">
        <f t="shared" si="764"/>
        <v>12528.2</v>
      </c>
      <c r="U2762" s="51">
        <f t="shared" si="765"/>
        <v>0</v>
      </c>
      <c r="V2762" s="52">
        <f>IF(0&lt;0.8,0,IF(0&lt;1,Sheet3!L561,1))*IF(G2762&lt;3,0.12 - O2762,0.01) *U2762</f>
        <v>0</v>
      </c>
      <c r="W2762" s="52">
        <f t="shared" si="766"/>
        <v>0</v>
      </c>
      <c r="X2762" s="53">
        <f t="shared" si="767"/>
        <v>0</v>
      </c>
      <c r="Y2762" s="53">
        <f t="shared" si="768"/>
        <v>0</v>
      </c>
      <c r="Z2762" s="54">
        <f t="shared" si="773"/>
        <v>0</v>
      </c>
      <c r="AA2762" s="54">
        <f t="shared" si="769"/>
        <v>0</v>
      </c>
      <c r="AB2762" s="55">
        <f t="shared" si="772"/>
        <v>0</v>
      </c>
      <c r="AC2762" s="55">
        <f t="shared" si="770"/>
        <v>0</v>
      </c>
      <c r="AD2762" s="56">
        <f t="shared" si="771"/>
        <v>12528.2</v>
      </c>
    </row>
    <row r="2763" spans="3:30">
      <c r="C2763" s="43" t="s">
        <v>5180</v>
      </c>
      <c r="D2763" s="44" t="s">
        <v>5181</v>
      </c>
      <c r="E2763" s="44"/>
      <c r="F2763" s="45">
        <v>42504.11478009259</v>
      </c>
      <c r="G2763" s="46">
        <v>28</v>
      </c>
      <c r="H2763" s="47">
        <v>43391</v>
      </c>
      <c r="I2763" s="47">
        <v>43403</v>
      </c>
      <c r="J2763" s="46">
        <v>1397187</v>
      </c>
      <c r="K2763" s="46">
        <v>0</v>
      </c>
      <c r="L2763" s="46">
        <v>0</v>
      </c>
      <c r="M2763" s="46">
        <f t="shared" si="760"/>
        <v>1397187</v>
      </c>
      <c r="N2763" s="46">
        <v>1397187</v>
      </c>
      <c r="O2763" s="48">
        <f t="shared" si="761"/>
        <v>0</v>
      </c>
      <c r="P2763" s="46">
        <v>0</v>
      </c>
      <c r="Q2763" s="46">
        <v>1397187</v>
      </c>
      <c r="R2763" s="49">
        <f t="shared" si="762"/>
        <v>1</v>
      </c>
      <c r="S2763" s="50">
        <f t="shared" si="763"/>
        <v>0.01</v>
      </c>
      <c r="T2763" s="49">
        <f t="shared" si="764"/>
        <v>13971.87</v>
      </c>
      <c r="U2763" s="51">
        <f t="shared" si="765"/>
        <v>0</v>
      </c>
      <c r="V2763" s="52">
        <f>IF(0&lt;0.8,0,IF(0&lt;1,Sheet3!L561,1))*IF(G2763&lt;3,0.12 - O2763,0.01) *U2763</f>
        <v>0</v>
      </c>
      <c r="W2763" s="52">
        <f t="shared" si="766"/>
        <v>0</v>
      </c>
      <c r="X2763" s="53">
        <f t="shared" si="767"/>
        <v>0</v>
      </c>
      <c r="Y2763" s="53">
        <f t="shared" si="768"/>
        <v>0</v>
      </c>
      <c r="Z2763" s="54">
        <f t="shared" si="773"/>
        <v>0</v>
      </c>
      <c r="AA2763" s="54">
        <f t="shared" si="769"/>
        <v>0</v>
      </c>
      <c r="AB2763" s="55">
        <f t="shared" si="772"/>
        <v>0</v>
      </c>
      <c r="AC2763" s="55">
        <f t="shared" si="770"/>
        <v>0</v>
      </c>
      <c r="AD2763" s="56">
        <f t="shared" si="771"/>
        <v>13971.87</v>
      </c>
    </row>
    <row r="2764" spans="3:30">
      <c r="C2764" s="43" t="s">
        <v>5182</v>
      </c>
      <c r="D2764" s="44" t="s">
        <v>5183</v>
      </c>
      <c r="E2764" s="44"/>
      <c r="F2764" s="45">
        <v>42536.107731481483</v>
      </c>
      <c r="G2764" s="46">
        <v>27</v>
      </c>
      <c r="H2764" s="47">
        <v>43390</v>
      </c>
      <c r="I2764" s="47">
        <v>43383</v>
      </c>
      <c r="J2764" s="46">
        <v>995056</v>
      </c>
      <c r="K2764" s="46">
        <v>0</v>
      </c>
      <c r="L2764" s="46">
        <v>0</v>
      </c>
      <c r="M2764" s="46">
        <f t="shared" si="760"/>
        <v>995056</v>
      </c>
      <c r="N2764" s="46">
        <v>995056</v>
      </c>
      <c r="O2764" s="48">
        <f t="shared" si="761"/>
        <v>0</v>
      </c>
      <c r="P2764" s="46">
        <v>0</v>
      </c>
      <c r="Q2764" s="46">
        <v>995056</v>
      </c>
      <c r="R2764" s="49">
        <f t="shared" si="762"/>
        <v>1</v>
      </c>
      <c r="S2764" s="50">
        <f t="shared" si="763"/>
        <v>0.01</v>
      </c>
      <c r="T2764" s="49">
        <f t="shared" si="764"/>
        <v>9950.56</v>
      </c>
      <c r="U2764" s="51">
        <f t="shared" si="765"/>
        <v>0</v>
      </c>
      <c r="V2764" s="52">
        <f>IF(0&lt;0.8,0,IF(0&lt;1,Sheet3!L561,1))*IF(G2764&lt;3,0.12 - O2764,0.01) *U2764</f>
        <v>0</v>
      </c>
      <c r="W2764" s="52">
        <f t="shared" si="766"/>
        <v>0</v>
      </c>
      <c r="X2764" s="53">
        <f t="shared" si="767"/>
        <v>0</v>
      </c>
      <c r="Y2764" s="53">
        <f t="shared" si="768"/>
        <v>0</v>
      </c>
      <c r="Z2764" s="54">
        <f t="shared" si="773"/>
        <v>0</v>
      </c>
      <c r="AA2764" s="54">
        <f t="shared" si="769"/>
        <v>0</v>
      </c>
      <c r="AB2764" s="55">
        <f t="shared" si="772"/>
        <v>0</v>
      </c>
      <c r="AC2764" s="55">
        <f t="shared" si="770"/>
        <v>0</v>
      </c>
      <c r="AD2764" s="56">
        <f t="shared" si="771"/>
        <v>9950.56</v>
      </c>
    </row>
    <row r="2765" spans="3:30">
      <c r="C2765" s="43" t="s">
        <v>5184</v>
      </c>
      <c r="D2765" s="44" t="s">
        <v>5185</v>
      </c>
      <c r="E2765" s="44"/>
      <c r="F2765" s="45">
        <v>42664.101805555554</v>
      </c>
      <c r="G2765" s="46">
        <v>23</v>
      </c>
      <c r="H2765" s="47">
        <v>43393</v>
      </c>
      <c r="I2765" s="47">
        <v>43424</v>
      </c>
      <c r="J2765" s="46">
        <v>604637</v>
      </c>
      <c r="K2765" s="46">
        <v>0</v>
      </c>
      <c r="L2765" s="46">
        <v>0</v>
      </c>
      <c r="M2765" s="46">
        <f t="shared" si="760"/>
        <v>604637</v>
      </c>
      <c r="N2765" s="46">
        <v>604637</v>
      </c>
      <c r="O2765" s="48">
        <f t="shared" si="761"/>
        <v>0</v>
      </c>
      <c r="P2765" s="46">
        <v>0</v>
      </c>
      <c r="Q2765" s="46">
        <v>604637</v>
      </c>
      <c r="R2765" s="49">
        <f t="shared" si="762"/>
        <v>1</v>
      </c>
      <c r="S2765" s="50">
        <f t="shared" si="763"/>
        <v>0.01</v>
      </c>
      <c r="T2765" s="49">
        <f t="shared" si="764"/>
        <v>6046.37</v>
      </c>
      <c r="U2765" s="51">
        <f t="shared" si="765"/>
        <v>0</v>
      </c>
      <c r="V2765" s="52">
        <f>IF(0&lt;0.8,0,IF(0&lt;1,Sheet3!L561,1))*IF(G2765&lt;3,0.12 - O2765,0.01) *U2765</f>
        <v>0</v>
      </c>
      <c r="W2765" s="52">
        <f t="shared" si="766"/>
        <v>0</v>
      </c>
      <c r="X2765" s="53">
        <f t="shared" si="767"/>
        <v>0</v>
      </c>
      <c r="Y2765" s="53">
        <f t="shared" si="768"/>
        <v>0</v>
      </c>
      <c r="Z2765" s="54">
        <f t="shared" si="773"/>
        <v>0</v>
      </c>
      <c r="AA2765" s="54">
        <f t="shared" si="769"/>
        <v>0</v>
      </c>
      <c r="AB2765" s="55">
        <f t="shared" si="772"/>
        <v>0</v>
      </c>
      <c r="AC2765" s="55">
        <f t="shared" si="770"/>
        <v>0</v>
      </c>
      <c r="AD2765" s="56">
        <f t="shared" si="771"/>
        <v>6046.37</v>
      </c>
    </row>
    <row r="2766" spans="3:30">
      <c r="C2766" s="43" t="s">
        <v>5186</v>
      </c>
      <c r="D2766" s="44" t="s">
        <v>5187</v>
      </c>
      <c r="E2766" s="44"/>
      <c r="F2766" s="45">
        <v>42693.418668981481</v>
      </c>
      <c r="G2766" s="46">
        <v>22</v>
      </c>
      <c r="H2766" s="47">
        <v>43390</v>
      </c>
      <c r="I2766" s="47">
        <v>43419</v>
      </c>
      <c r="J2766" s="46">
        <v>2541338</v>
      </c>
      <c r="K2766" s="46">
        <v>0</v>
      </c>
      <c r="L2766" s="46">
        <v>0</v>
      </c>
      <c r="M2766" s="46">
        <f t="shared" si="760"/>
        <v>2541338</v>
      </c>
      <c r="N2766" s="46">
        <v>2535319</v>
      </c>
      <c r="O2766" s="48">
        <f t="shared" si="761"/>
        <v>0</v>
      </c>
      <c r="P2766" s="46">
        <v>0</v>
      </c>
      <c r="Q2766" s="46">
        <v>2541338</v>
      </c>
      <c r="R2766" s="49">
        <f t="shared" si="762"/>
        <v>1</v>
      </c>
      <c r="S2766" s="50">
        <f t="shared" si="763"/>
        <v>0.01</v>
      </c>
      <c r="T2766" s="49">
        <f t="shared" si="764"/>
        <v>25413.38</v>
      </c>
      <c r="U2766" s="51">
        <f t="shared" si="765"/>
        <v>0</v>
      </c>
      <c r="V2766" s="52">
        <f>IF(0&lt;0.8,0,IF(0&lt;1,Sheet3!L561,1))*IF(G2766&lt;3,0.12 - O2766,0.01) *U2766</f>
        <v>0</v>
      </c>
      <c r="W2766" s="52">
        <f t="shared" si="766"/>
        <v>0</v>
      </c>
      <c r="X2766" s="53">
        <f t="shared" si="767"/>
        <v>0</v>
      </c>
      <c r="Y2766" s="53">
        <f t="shared" si="768"/>
        <v>0</v>
      </c>
      <c r="Z2766" s="54">
        <f t="shared" si="773"/>
        <v>0</v>
      </c>
      <c r="AA2766" s="54">
        <f t="shared" si="769"/>
        <v>0</v>
      </c>
      <c r="AB2766" s="55">
        <f t="shared" si="772"/>
        <v>0</v>
      </c>
      <c r="AC2766" s="55">
        <f t="shared" si="770"/>
        <v>0</v>
      </c>
      <c r="AD2766" s="56">
        <f t="shared" si="771"/>
        <v>25413.38</v>
      </c>
    </row>
    <row r="2767" spans="3:30">
      <c r="C2767" s="43" t="s">
        <v>5188</v>
      </c>
      <c r="D2767" s="44" t="s">
        <v>5189</v>
      </c>
      <c r="E2767" s="44"/>
      <c r="F2767" s="45">
        <v>42707.377604166664</v>
      </c>
      <c r="G2767" s="46">
        <v>21</v>
      </c>
      <c r="H2767" s="47">
        <v>43404</v>
      </c>
      <c r="I2767" s="47">
        <v>43413</v>
      </c>
      <c r="J2767" s="46">
        <v>1024377</v>
      </c>
      <c r="K2767" s="46">
        <v>93127</v>
      </c>
      <c r="L2767" s="46">
        <v>0</v>
      </c>
      <c r="M2767" s="46">
        <f t="shared" si="760"/>
        <v>931250</v>
      </c>
      <c r="N2767" s="46">
        <v>1324994</v>
      </c>
      <c r="O2767" s="48">
        <f t="shared" si="761"/>
        <v>0.29716662867907329</v>
      </c>
      <c r="P2767" s="46">
        <v>0</v>
      </c>
      <c r="Q2767" s="46">
        <v>1024377</v>
      </c>
      <c r="R2767" s="49">
        <f t="shared" si="762"/>
        <v>1</v>
      </c>
      <c r="S2767" s="50">
        <f t="shared" si="763"/>
        <v>0.01</v>
      </c>
      <c r="T2767" s="49">
        <f t="shared" si="764"/>
        <v>9312.5</v>
      </c>
      <c r="U2767" s="51">
        <f t="shared" si="765"/>
        <v>0</v>
      </c>
      <c r="V2767" s="52">
        <f>IF(0&lt;0.8,0,IF(0&lt;1,Sheet3!L561,1))*IF(G2767&lt;3,0.12 - O2767,0.01) *U2767</f>
        <v>0</v>
      </c>
      <c r="W2767" s="52">
        <f t="shared" si="766"/>
        <v>0</v>
      </c>
      <c r="X2767" s="53">
        <f t="shared" si="767"/>
        <v>0</v>
      </c>
      <c r="Y2767" s="53">
        <f t="shared" si="768"/>
        <v>0</v>
      </c>
      <c r="Z2767" s="54">
        <f t="shared" si="773"/>
        <v>0</v>
      </c>
      <c r="AA2767" s="54">
        <f t="shared" si="769"/>
        <v>0</v>
      </c>
      <c r="AB2767" s="55">
        <f t="shared" si="772"/>
        <v>0</v>
      </c>
      <c r="AC2767" s="55">
        <f t="shared" si="770"/>
        <v>0</v>
      </c>
      <c r="AD2767" s="56">
        <f t="shared" si="771"/>
        <v>9312.5</v>
      </c>
    </row>
    <row r="2768" spans="3:30">
      <c r="C2768" s="43" t="s">
        <v>5190</v>
      </c>
      <c r="D2768" s="44" t="s">
        <v>5191</v>
      </c>
      <c r="E2768" s="44"/>
      <c r="F2768" s="45">
        <v>42902.101226851853</v>
      </c>
      <c r="G2768" s="46">
        <v>15</v>
      </c>
      <c r="H2768" s="47">
        <v>43393</v>
      </c>
      <c r="I2768" s="47">
        <v>43410</v>
      </c>
      <c r="J2768" s="46">
        <v>288948</v>
      </c>
      <c r="K2768" s="46">
        <v>0</v>
      </c>
      <c r="L2768" s="46">
        <v>0</v>
      </c>
      <c r="M2768" s="46">
        <f t="shared" si="760"/>
        <v>288948</v>
      </c>
      <c r="N2768" s="46">
        <v>288948</v>
      </c>
      <c r="O2768" s="48">
        <f t="shared" si="761"/>
        <v>0</v>
      </c>
      <c r="P2768" s="46">
        <v>0</v>
      </c>
      <c r="Q2768" s="46">
        <v>288948</v>
      </c>
      <c r="R2768" s="49">
        <f t="shared" si="762"/>
        <v>1</v>
      </c>
      <c r="S2768" s="50">
        <f t="shared" si="763"/>
        <v>0.01</v>
      </c>
      <c r="T2768" s="49">
        <f t="shared" si="764"/>
        <v>2889.48</v>
      </c>
      <c r="U2768" s="51">
        <f t="shared" si="765"/>
        <v>0</v>
      </c>
      <c r="V2768" s="52">
        <f>IF(0&lt;0.8,0,IF(0&lt;1,Sheet3!L561,1))*IF(G2768&lt;3,0.12 - O2768,0.01) *U2768</f>
        <v>0</v>
      </c>
      <c r="W2768" s="52">
        <f t="shared" si="766"/>
        <v>0</v>
      </c>
      <c r="X2768" s="53">
        <f t="shared" si="767"/>
        <v>0</v>
      </c>
      <c r="Y2768" s="53">
        <f t="shared" si="768"/>
        <v>0</v>
      </c>
      <c r="Z2768" s="54">
        <f t="shared" si="773"/>
        <v>0</v>
      </c>
      <c r="AA2768" s="54">
        <f t="shared" si="769"/>
        <v>0</v>
      </c>
      <c r="AB2768" s="55">
        <f t="shared" si="772"/>
        <v>0</v>
      </c>
      <c r="AC2768" s="55">
        <f t="shared" si="770"/>
        <v>0</v>
      </c>
      <c r="AD2768" s="56">
        <f t="shared" si="771"/>
        <v>2889.48</v>
      </c>
    </row>
    <row r="2769" spans="3:30">
      <c r="C2769" s="43" t="s">
        <v>5192</v>
      </c>
      <c r="D2769" s="44" t="s">
        <v>5193</v>
      </c>
      <c r="E2769" s="44"/>
      <c r="F2769" s="45">
        <v>42955.077199074076</v>
      </c>
      <c r="G2769" s="46">
        <v>13</v>
      </c>
      <c r="H2769" s="47">
        <v>43391</v>
      </c>
      <c r="I2769" s="47">
        <v>43405</v>
      </c>
      <c r="J2769" s="46">
        <v>2778981</v>
      </c>
      <c r="K2769" s="46">
        <v>0</v>
      </c>
      <c r="L2769" s="46">
        <v>0</v>
      </c>
      <c r="M2769" s="46">
        <f t="shared" si="760"/>
        <v>2778981</v>
      </c>
      <c r="N2769" s="46">
        <v>2778981</v>
      </c>
      <c r="O2769" s="48">
        <f t="shared" si="761"/>
        <v>0</v>
      </c>
      <c r="P2769" s="46">
        <v>0</v>
      </c>
      <c r="Q2769" s="46">
        <v>2778981</v>
      </c>
      <c r="R2769" s="49">
        <f t="shared" si="762"/>
        <v>1</v>
      </c>
      <c r="S2769" s="50">
        <f t="shared" si="763"/>
        <v>0.01</v>
      </c>
      <c r="T2769" s="49">
        <f t="shared" si="764"/>
        <v>27789.81</v>
      </c>
      <c r="U2769" s="51">
        <f t="shared" si="765"/>
        <v>0</v>
      </c>
      <c r="V2769" s="52">
        <f>IF(0&lt;0.8,0,IF(0&lt;1,Sheet3!L561,1))*IF(G2769&lt;3,0.12 - O2769,0.01) *U2769</f>
        <v>0</v>
      </c>
      <c r="W2769" s="52">
        <f t="shared" si="766"/>
        <v>0</v>
      </c>
      <c r="X2769" s="53">
        <f t="shared" si="767"/>
        <v>0</v>
      </c>
      <c r="Y2769" s="53">
        <f t="shared" si="768"/>
        <v>0</v>
      </c>
      <c r="Z2769" s="54">
        <f t="shared" si="773"/>
        <v>0</v>
      </c>
      <c r="AA2769" s="54">
        <f t="shared" si="769"/>
        <v>0</v>
      </c>
      <c r="AB2769" s="55">
        <f t="shared" si="772"/>
        <v>0</v>
      </c>
      <c r="AC2769" s="55">
        <f t="shared" si="770"/>
        <v>0</v>
      </c>
      <c r="AD2769" s="56">
        <f t="shared" si="771"/>
        <v>27789.81</v>
      </c>
    </row>
    <row r="2770" spans="3:30">
      <c r="C2770" s="43" t="s">
        <v>5194</v>
      </c>
      <c r="D2770" s="44" t="s">
        <v>5195</v>
      </c>
      <c r="E2770" s="44"/>
      <c r="F2770" s="45">
        <v>42968.292280092588</v>
      </c>
      <c r="G2770" s="46">
        <v>13</v>
      </c>
      <c r="H2770" s="47">
        <v>43376</v>
      </c>
      <c r="I2770" s="47">
        <v>43398</v>
      </c>
      <c r="J2770" s="46">
        <v>491740</v>
      </c>
      <c r="K2770" s="46">
        <v>0</v>
      </c>
      <c r="L2770" s="46">
        <v>0</v>
      </c>
      <c r="M2770" s="46">
        <f t="shared" si="760"/>
        <v>491740</v>
      </c>
      <c r="N2770" s="46">
        <v>491740</v>
      </c>
      <c r="O2770" s="48">
        <f t="shared" si="761"/>
        <v>0</v>
      </c>
      <c r="P2770" s="46">
        <v>0</v>
      </c>
      <c r="Q2770" s="46">
        <v>491740</v>
      </c>
      <c r="R2770" s="49">
        <f t="shared" si="762"/>
        <v>1</v>
      </c>
      <c r="S2770" s="50">
        <f t="shared" si="763"/>
        <v>0.01</v>
      </c>
      <c r="T2770" s="49">
        <f t="shared" si="764"/>
        <v>4917.4000000000005</v>
      </c>
      <c r="U2770" s="51">
        <f t="shared" si="765"/>
        <v>0</v>
      </c>
      <c r="V2770" s="52">
        <f>IF(0&lt;0.8,0,IF(0&lt;1,Sheet3!L561,1))*IF(G2770&lt;3,0.12 - O2770,0.01) *U2770</f>
        <v>0</v>
      </c>
      <c r="W2770" s="52">
        <f t="shared" si="766"/>
        <v>0</v>
      </c>
      <c r="X2770" s="53">
        <f t="shared" si="767"/>
        <v>0</v>
      </c>
      <c r="Y2770" s="53">
        <f t="shared" si="768"/>
        <v>0</v>
      </c>
      <c r="Z2770" s="54">
        <f t="shared" si="773"/>
        <v>0</v>
      </c>
      <c r="AA2770" s="54">
        <f t="shared" si="769"/>
        <v>0</v>
      </c>
      <c r="AB2770" s="55">
        <f t="shared" si="772"/>
        <v>0</v>
      </c>
      <c r="AC2770" s="55">
        <f t="shared" si="770"/>
        <v>0</v>
      </c>
      <c r="AD2770" s="56">
        <f t="shared" si="771"/>
        <v>4917.4000000000005</v>
      </c>
    </row>
    <row r="2771" spans="3:30">
      <c r="C2771" s="43" t="s">
        <v>5196</v>
      </c>
      <c r="D2771" s="44" t="s">
        <v>487</v>
      </c>
      <c r="E2771" s="44"/>
      <c r="F2771" s="45">
        <v>42976.163321759261</v>
      </c>
      <c r="G2771" s="46">
        <v>13</v>
      </c>
      <c r="H2771" s="47">
        <v>43404</v>
      </c>
      <c r="I2771" s="47">
        <v>43434</v>
      </c>
      <c r="J2771" s="46">
        <v>69404255</v>
      </c>
      <c r="K2771" s="46">
        <v>0</v>
      </c>
      <c r="L2771" s="46">
        <v>0</v>
      </c>
      <c r="M2771" s="46">
        <f t="shared" si="760"/>
        <v>69404255</v>
      </c>
      <c r="N2771" s="46">
        <v>97740103</v>
      </c>
      <c r="O2771" s="48">
        <f t="shared" si="761"/>
        <v>0.28991015080063909</v>
      </c>
      <c r="P2771" s="46">
        <v>0</v>
      </c>
      <c r="Q2771" s="46">
        <v>69435856</v>
      </c>
      <c r="R2771" s="49">
        <f t="shared" si="762"/>
        <v>1</v>
      </c>
      <c r="S2771" s="50">
        <f t="shared" si="763"/>
        <v>0.01</v>
      </c>
      <c r="T2771" s="49">
        <f t="shared" si="764"/>
        <v>694042.55</v>
      </c>
      <c r="U2771" s="51">
        <f t="shared" si="765"/>
        <v>0</v>
      </c>
      <c r="V2771" s="52">
        <f>IF(0&lt;0.8,0,IF(0&lt;1,Sheet3!L561,1))*IF(G2771&lt;3,0.12 - O2771,0.01) *U2771</f>
        <v>0</v>
      </c>
      <c r="W2771" s="52">
        <f t="shared" si="766"/>
        <v>0</v>
      </c>
      <c r="X2771" s="53">
        <f t="shared" si="767"/>
        <v>0</v>
      </c>
      <c r="Y2771" s="53">
        <f t="shared" si="768"/>
        <v>0</v>
      </c>
      <c r="Z2771" s="54">
        <f t="shared" si="773"/>
        <v>0</v>
      </c>
      <c r="AA2771" s="54">
        <f t="shared" si="769"/>
        <v>0</v>
      </c>
      <c r="AB2771" s="55">
        <f t="shared" si="772"/>
        <v>0</v>
      </c>
      <c r="AC2771" s="55">
        <f t="shared" si="770"/>
        <v>0</v>
      </c>
      <c r="AD2771" s="56">
        <f t="shared" si="771"/>
        <v>694042.55</v>
      </c>
    </row>
    <row r="2772" spans="3:30">
      <c r="C2772" s="43" t="s">
        <v>5197</v>
      </c>
      <c r="D2772" s="44" t="s">
        <v>5198</v>
      </c>
      <c r="E2772" s="44"/>
      <c r="F2772" s="45">
        <v>42979.395740740736</v>
      </c>
      <c r="G2772" s="46">
        <v>12</v>
      </c>
      <c r="H2772" s="47">
        <v>43388</v>
      </c>
      <c r="I2772" s="47">
        <v>43427</v>
      </c>
      <c r="J2772" s="46">
        <v>1415095</v>
      </c>
      <c r="K2772" s="46">
        <v>0</v>
      </c>
      <c r="L2772" s="46">
        <v>0</v>
      </c>
      <c r="M2772" s="46">
        <f t="shared" si="760"/>
        <v>1415095</v>
      </c>
      <c r="N2772" s="46">
        <v>1415095</v>
      </c>
      <c r="O2772" s="48">
        <f t="shared" si="761"/>
        <v>0</v>
      </c>
      <c r="P2772" s="46">
        <v>0</v>
      </c>
      <c r="Q2772" s="46">
        <v>1415095</v>
      </c>
      <c r="R2772" s="49">
        <f t="shared" si="762"/>
        <v>1</v>
      </c>
      <c r="S2772" s="50">
        <f t="shared" si="763"/>
        <v>0.01</v>
      </c>
      <c r="T2772" s="49">
        <f t="shared" si="764"/>
        <v>14150.95</v>
      </c>
      <c r="U2772" s="51">
        <f t="shared" si="765"/>
        <v>0</v>
      </c>
      <c r="V2772" s="52">
        <f>IF(0&lt;0.8,0,IF(0&lt;1,Sheet3!L561,1))*IF(G2772&lt;3,0.12 - O2772,0.01) *U2772</f>
        <v>0</v>
      </c>
      <c r="W2772" s="52">
        <f t="shared" si="766"/>
        <v>0</v>
      </c>
      <c r="X2772" s="53">
        <f t="shared" si="767"/>
        <v>0</v>
      </c>
      <c r="Y2772" s="53">
        <f t="shared" si="768"/>
        <v>0</v>
      </c>
      <c r="Z2772" s="54">
        <f t="shared" si="773"/>
        <v>0</v>
      </c>
      <c r="AA2772" s="54">
        <f t="shared" si="769"/>
        <v>0</v>
      </c>
      <c r="AB2772" s="55">
        <f t="shared" si="772"/>
        <v>0</v>
      </c>
      <c r="AC2772" s="55">
        <f t="shared" si="770"/>
        <v>0</v>
      </c>
      <c r="AD2772" s="56">
        <f t="shared" si="771"/>
        <v>14150.95</v>
      </c>
    </row>
    <row r="2773" spans="3:30">
      <c r="C2773" s="43" t="s">
        <v>5199</v>
      </c>
      <c r="D2773" s="44" t="s">
        <v>5200</v>
      </c>
      <c r="E2773" s="44"/>
      <c r="F2773" s="45">
        <v>43066.179189814815</v>
      </c>
      <c r="G2773" s="46">
        <v>10</v>
      </c>
      <c r="H2773" s="47">
        <v>43393</v>
      </c>
      <c r="I2773" s="47">
        <v>43420</v>
      </c>
      <c r="J2773" s="46">
        <v>680857</v>
      </c>
      <c r="K2773" s="46">
        <v>0</v>
      </c>
      <c r="L2773" s="46">
        <v>0</v>
      </c>
      <c r="M2773" s="46">
        <f t="shared" si="760"/>
        <v>680857</v>
      </c>
      <c r="N2773" s="46">
        <v>219856</v>
      </c>
      <c r="O2773" s="48">
        <f t="shared" si="761"/>
        <v>0</v>
      </c>
      <c r="P2773" s="46">
        <v>0</v>
      </c>
      <c r="Q2773" s="46">
        <v>680857</v>
      </c>
      <c r="R2773" s="49">
        <f t="shared" si="762"/>
        <v>1</v>
      </c>
      <c r="S2773" s="50">
        <f t="shared" si="763"/>
        <v>0.01</v>
      </c>
      <c r="T2773" s="49">
        <f t="shared" si="764"/>
        <v>6808.57</v>
      </c>
      <c r="U2773" s="51">
        <f t="shared" si="765"/>
        <v>0</v>
      </c>
      <c r="V2773" s="52">
        <f>IF(0&lt;0.8,0,IF(0&lt;1,Sheet3!L561,1))*IF(G2773&lt;3,0.12 - O2773,0.01) *U2773</f>
        <v>0</v>
      </c>
      <c r="W2773" s="52">
        <f t="shared" si="766"/>
        <v>0</v>
      </c>
      <c r="X2773" s="53">
        <f t="shared" si="767"/>
        <v>0</v>
      </c>
      <c r="Y2773" s="53">
        <f t="shared" si="768"/>
        <v>0</v>
      </c>
      <c r="Z2773" s="54">
        <f t="shared" si="773"/>
        <v>0</v>
      </c>
      <c r="AA2773" s="54">
        <f t="shared" si="769"/>
        <v>0</v>
      </c>
      <c r="AB2773" s="55">
        <f>IF(R2773=0,461000,0)</f>
        <v>0</v>
      </c>
      <c r="AC2773" s="55">
        <f t="shared" si="770"/>
        <v>0</v>
      </c>
      <c r="AD2773" s="56">
        <f t="shared" si="771"/>
        <v>6808.57</v>
      </c>
    </row>
    <row r="2774" spans="3:30">
      <c r="C2774" s="43" t="s">
        <v>5201</v>
      </c>
      <c r="D2774" s="44" t="s">
        <v>5202</v>
      </c>
      <c r="E2774" s="44"/>
      <c r="F2774" s="45">
        <v>43091.383796296293</v>
      </c>
      <c r="G2774" s="46">
        <v>9</v>
      </c>
      <c r="H2774" s="47">
        <v>43393</v>
      </c>
      <c r="I2774" s="47">
        <v>43403</v>
      </c>
      <c r="J2774" s="46">
        <v>14654951</v>
      </c>
      <c r="K2774" s="46">
        <v>0</v>
      </c>
      <c r="L2774" s="46">
        <v>0</v>
      </c>
      <c r="M2774" s="46">
        <f t="shared" si="760"/>
        <v>14654951</v>
      </c>
      <c r="N2774" s="46">
        <v>9961928</v>
      </c>
      <c r="O2774" s="48">
        <f t="shared" si="761"/>
        <v>0</v>
      </c>
      <c r="P2774" s="46">
        <v>0</v>
      </c>
      <c r="Q2774" s="46">
        <v>14654951</v>
      </c>
      <c r="R2774" s="49">
        <f t="shared" si="762"/>
        <v>1</v>
      </c>
      <c r="S2774" s="50">
        <f t="shared" si="763"/>
        <v>0.01</v>
      </c>
      <c r="T2774" s="49">
        <f t="shared" si="764"/>
        <v>146549.51</v>
      </c>
      <c r="U2774" s="51">
        <f t="shared" si="765"/>
        <v>0</v>
      </c>
      <c r="V2774" s="52">
        <f>IF(0&lt;0.8,0,IF(0&lt;1,Sheet3!L561,1))*IF(G2774&lt;3,0.12 - O2774,0.01) *U2774</f>
        <v>0</v>
      </c>
      <c r="W2774" s="52">
        <f t="shared" si="766"/>
        <v>0</v>
      </c>
      <c r="X2774" s="53">
        <f t="shared" si="767"/>
        <v>0</v>
      </c>
      <c r="Y2774" s="53">
        <f t="shared" si="768"/>
        <v>0</v>
      </c>
      <c r="Z2774" s="54">
        <f t="shared" si="773"/>
        <v>0</v>
      </c>
      <c r="AA2774" s="54">
        <f t="shared" si="769"/>
        <v>0</v>
      </c>
      <c r="AB2774" s="55">
        <f t="shared" ref="AB2774:AB2783" si="774">IF(R2774=0,0,0)</f>
        <v>0</v>
      </c>
      <c r="AC2774" s="55">
        <f t="shared" si="770"/>
        <v>0</v>
      </c>
      <c r="AD2774" s="56">
        <f t="shared" si="771"/>
        <v>146549.51</v>
      </c>
    </row>
    <row r="2775" spans="3:30">
      <c r="C2775" s="43" t="s">
        <v>5203</v>
      </c>
      <c r="D2775" s="44" t="s">
        <v>5204</v>
      </c>
      <c r="E2775" s="44"/>
      <c r="F2775" s="45">
        <v>43203.294108796297</v>
      </c>
      <c r="G2775" s="46">
        <v>5</v>
      </c>
      <c r="H2775" s="47">
        <v>43391</v>
      </c>
      <c r="I2775" s="47">
        <v>43396</v>
      </c>
      <c r="J2775" s="46">
        <v>2470457</v>
      </c>
      <c r="K2775" s="46">
        <v>0</v>
      </c>
      <c r="L2775" s="46">
        <v>0</v>
      </c>
      <c r="M2775" s="46">
        <f t="shared" si="760"/>
        <v>2470457</v>
      </c>
      <c r="N2775" s="46">
        <v>2470457</v>
      </c>
      <c r="O2775" s="48">
        <f t="shared" si="761"/>
        <v>0</v>
      </c>
      <c r="P2775" s="46">
        <v>0</v>
      </c>
      <c r="Q2775" s="46">
        <v>2470457</v>
      </c>
      <c r="R2775" s="49">
        <f t="shared" si="762"/>
        <v>1</v>
      </c>
      <c r="S2775" s="50">
        <f t="shared" si="763"/>
        <v>0.01</v>
      </c>
      <c r="T2775" s="49">
        <f t="shared" si="764"/>
        <v>24704.57</v>
      </c>
      <c r="U2775" s="51">
        <f t="shared" si="765"/>
        <v>0</v>
      </c>
      <c r="V2775" s="52">
        <f>IF(0&lt;0.8,0,IF(0&lt;1,Sheet3!L561,1))*IF(G2775&lt;3,0.12 - O2775,0.01) *U2775</f>
        <v>0</v>
      </c>
      <c r="W2775" s="52">
        <f t="shared" si="766"/>
        <v>0</v>
      </c>
      <c r="X2775" s="53">
        <f t="shared" si="767"/>
        <v>0</v>
      </c>
      <c r="Y2775" s="53">
        <f t="shared" si="768"/>
        <v>0</v>
      </c>
      <c r="Z2775" s="54">
        <f t="shared" si="773"/>
        <v>0</v>
      </c>
      <c r="AA2775" s="54">
        <f t="shared" si="769"/>
        <v>0</v>
      </c>
      <c r="AB2775" s="55">
        <f t="shared" si="774"/>
        <v>0</v>
      </c>
      <c r="AC2775" s="55">
        <f t="shared" si="770"/>
        <v>0</v>
      </c>
      <c r="AD2775" s="56">
        <f t="shared" si="771"/>
        <v>24704.57</v>
      </c>
    </row>
    <row r="2776" spans="3:30">
      <c r="C2776" s="43" t="s">
        <v>5205</v>
      </c>
      <c r="D2776" s="44" t="s">
        <v>5206</v>
      </c>
      <c r="E2776" s="44"/>
      <c r="F2776" s="45">
        <v>43231.366284722222</v>
      </c>
      <c r="G2776" s="46">
        <v>4</v>
      </c>
      <c r="H2776" s="47">
        <v>43396</v>
      </c>
      <c r="I2776" s="47">
        <v>43403</v>
      </c>
      <c r="J2776" s="46">
        <v>204974</v>
      </c>
      <c r="K2776" s="46">
        <v>0</v>
      </c>
      <c r="L2776" s="46">
        <v>0</v>
      </c>
      <c r="M2776" s="46">
        <f t="shared" si="760"/>
        <v>204974</v>
      </c>
      <c r="N2776" s="46">
        <v>204974</v>
      </c>
      <c r="O2776" s="48">
        <f t="shared" si="761"/>
        <v>0</v>
      </c>
      <c r="P2776" s="46">
        <v>0</v>
      </c>
      <c r="Q2776" s="46">
        <v>204974</v>
      </c>
      <c r="R2776" s="49">
        <f t="shared" si="762"/>
        <v>1</v>
      </c>
      <c r="S2776" s="50">
        <f t="shared" si="763"/>
        <v>0.01</v>
      </c>
      <c r="T2776" s="49">
        <f t="shared" si="764"/>
        <v>2049.7400000000002</v>
      </c>
      <c r="U2776" s="51">
        <f t="shared" si="765"/>
        <v>0</v>
      </c>
      <c r="V2776" s="52">
        <f>IF(0&lt;0.8,0,IF(0&lt;1,Sheet3!L561,1))*IF(G2776&lt;3,0.12 - O2776,0.01) *U2776</f>
        <v>0</v>
      </c>
      <c r="W2776" s="52">
        <f t="shared" si="766"/>
        <v>0</v>
      </c>
      <c r="X2776" s="53">
        <f t="shared" si="767"/>
        <v>0</v>
      </c>
      <c r="Y2776" s="53">
        <f t="shared" si="768"/>
        <v>0</v>
      </c>
      <c r="Z2776" s="54">
        <f t="shared" si="773"/>
        <v>0</v>
      </c>
      <c r="AA2776" s="54">
        <f t="shared" si="769"/>
        <v>0</v>
      </c>
      <c r="AB2776" s="55">
        <f t="shared" si="774"/>
        <v>0</v>
      </c>
      <c r="AC2776" s="55">
        <f t="shared" si="770"/>
        <v>0</v>
      </c>
      <c r="AD2776" s="56">
        <f t="shared" si="771"/>
        <v>2049.7400000000002</v>
      </c>
    </row>
    <row r="2777" spans="3:30">
      <c r="C2777" s="43" t="s">
        <v>5207</v>
      </c>
      <c r="D2777" s="44" t="s">
        <v>5208</v>
      </c>
      <c r="E2777" s="44"/>
      <c r="F2777" s="45">
        <v>43333.3668287037</v>
      </c>
      <c r="G2777" s="46">
        <v>1</v>
      </c>
      <c r="H2777" s="47">
        <v>43391</v>
      </c>
      <c r="I2777" s="47">
        <v>43403</v>
      </c>
      <c r="J2777" s="46">
        <v>86636</v>
      </c>
      <c r="K2777" s="46">
        <v>0</v>
      </c>
      <c r="L2777" s="46">
        <v>0</v>
      </c>
      <c r="M2777" s="46">
        <f t="shared" si="760"/>
        <v>86636</v>
      </c>
      <c r="N2777" s="46">
        <v>86636</v>
      </c>
      <c r="O2777" s="48">
        <f t="shared" si="761"/>
        <v>0</v>
      </c>
      <c r="P2777" s="46">
        <v>0</v>
      </c>
      <c r="Q2777" s="46">
        <v>0</v>
      </c>
      <c r="R2777" s="49">
        <f t="shared" si="762"/>
        <v>0</v>
      </c>
      <c r="S2777" s="50">
        <f t="shared" si="763"/>
        <v>0</v>
      </c>
      <c r="T2777" s="49">
        <f t="shared" si="764"/>
        <v>0</v>
      </c>
      <c r="U2777" s="51">
        <f t="shared" si="765"/>
        <v>86636</v>
      </c>
      <c r="V2777" s="52">
        <f>IF(0&lt;0.8,0,IF(0&lt;1,Sheet3!L561,1))*IF(G2777&lt;3,0.12 - O2777,0.01) *U2777</f>
        <v>0</v>
      </c>
      <c r="W2777" s="52">
        <f t="shared" si="766"/>
        <v>0</v>
      </c>
      <c r="X2777" s="53">
        <f t="shared" si="767"/>
        <v>0</v>
      </c>
      <c r="Y2777" s="53">
        <f t="shared" si="768"/>
        <v>0</v>
      </c>
      <c r="Z2777" s="54">
        <f t="shared" si="773"/>
        <v>0</v>
      </c>
      <c r="AA2777" s="54">
        <f t="shared" si="769"/>
        <v>0</v>
      </c>
      <c r="AB2777" s="55">
        <f t="shared" si="774"/>
        <v>0</v>
      </c>
      <c r="AC2777" s="55">
        <f t="shared" si="770"/>
        <v>0</v>
      </c>
      <c r="AD2777" s="56">
        <f t="shared" si="771"/>
        <v>0</v>
      </c>
    </row>
    <row r="2778" spans="3:30">
      <c r="C2778" s="43" t="s">
        <v>5209</v>
      </c>
      <c r="D2778" s="44" t="s">
        <v>5210</v>
      </c>
      <c r="E2778" s="44"/>
      <c r="F2778" s="45">
        <v>43353.401527777773</v>
      </c>
      <c r="G2778" s="46">
        <v>0</v>
      </c>
      <c r="H2778" s="47">
        <v>43391</v>
      </c>
      <c r="I2778" s="47">
        <v>43413</v>
      </c>
      <c r="J2778" s="46">
        <v>494285</v>
      </c>
      <c r="K2778" s="46">
        <v>0</v>
      </c>
      <c r="L2778" s="46">
        <v>0</v>
      </c>
      <c r="M2778" s="46">
        <f t="shared" si="760"/>
        <v>494285</v>
      </c>
      <c r="N2778" s="46">
        <v>494285</v>
      </c>
      <c r="O2778" s="48">
        <f t="shared" si="761"/>
        <v>0</v>
      </c>
      <c r="P2778" s="46">
        <v>0</v>
      </c>
      <c r="Q2778" s="46">
        <v>0</v>
      </c>
      <c r="R2778" s="49">
        <f t="shared" si="762"/>
        <v>0</v>
      </c>
      <c r="S2778" s="50">
        <f t="shared" si="763"/>
        <v>0</v>
      </c>
      <c r="T2778" s="49">
        <f t="shared" si="764"/>
        <v>0</v>
      </c>
      <c r="U2778" s="51">
        <f t="shared" si="765"/>
        <v>494285</v>
      </c>
      <c r="V2778" s="52">
        <f>IF(0&lt;0.8,0,IF(0&lt;1,Sheet3!L561,1))*IF(G2778&lt;3,0.12 - O2778,0.01) *U2778</f>
        <v>0</v>
      </c>
      <c r="W2778" s="52">
        <f t="shared" si="766"/>
        <v>0</v>
      </c>
      <c r="X2778" s="53">
        <f t="shared" si="767"/>
        <v>0</v>
      </c>
      <c r="Y2778" s="53">
        <f t="shared" si="768"/>
        <v>0</v>
      </c>
      <c r="Z2778" s="54">
        <f t="shared" si="773"/>
        <v>0</v>
      </c>
      <c r="AA2778" s="54">
        <f t="shared" si="769"/>
        <v>0</v>
      </c>
      <c r="AB2778" s="55">
        <f t="shared" si="774"/>
        <v>0</v>
      </c>
      <c r="AC2778" s="55">
        <f t="shared" si="770"/>
        <v>0</v>
      </c>
      <c r="AD2778" s="56">
        <f t="shared" si="771"/>
        <v>0</v>
      </c>
    </row>
    <row r="2779" spans="3:30">
      <c r="C2779" s="43" t="s">
        <v>5211</v>
      </c>
      <c r="D2779" s="44" t="s">
        <v>5212</v>
      </c>
      <c r="E2779" s="44"/>
      <c r="F2779" s="45">
        <v>43360.169212962959</v>
      </c>
      <c r="G2779" s="46">
        <v>0</v>
      </c>
      <c r="H2779" s="47">
        <v>43391</v>
      </c>
      <c r="I2779" s="47">
        <v>43412</v>
      </c>
      <c r="J2779" s="46">
        <v>1531540</v>
      </c>
      <c r="K2779" s="46">
        <v>0</v>
      </c>
      <c r="L2779" s="46">
        <v>0</v>
      </c>
      <c r="M2779" s="46">
        <f t="shared" si="760"/>
        <v>1531540</v>
      </c>
      <c r="N2779" s="46">
        <v>1538180</v>
      </c>
      <c r="O2779" s="48">
        <f t="shared" si="761"/>
        <v>4.3167899725650161E-3</v>
      </c>
      <c r="P2779" s="46">
        <v>0</v>
      </c>
      <c r="Q2779" s="46">
        <v>0</v>
      </c>
      <c r="R2779" s="49">
        <f t="shared" si="762"/>
        <v>0</v>
      </c>
      <c r="S2779" s="50">
        <f t="shared" si="763"/>
        <v>0</v>
      </c>
      <c r="T2779" s="49">
        <f t="shared" si="764"/>
        <v>0</v>
      </c>
      <c r="U2779" s="51">
        <f t="shared" si="765"/>
        <v>1531540</v>
      </c>
      <c r="V2779" s="52">
        <f>IF(0&lt;0.8,0,IF(0&lt;1,Sheet3!L561,1))*IF(G2779&lt;3,0.12 - O2779,0.01) *U2779</f>
        <v>0</v>
      </c>
      <c r="W2779" s="52">
        <f t="shared" si="766"/>
        <v>0</v>
      </c>
      <c r="X2779" s="53">
        <f t="shared" si="767"/>
        <v>0</v>
      </c>
      <c r="Y2779" s="53">
        <f t="shared" si="768"/>
        <v>0</v>
      </c>
      <c r="Z2779" s="54">
        <f t="shared" si="773"/>
        <v>0</v>
      </c>
      <c r="AA2779" s="54">
        <f t="shared" si="769"/>
        <v>0</v>
      </c>
      <c r="AB2779" s="55">
        <f t="shared" si="774"/>
        <v>0</v>
      </c>
      <c r="AC2779" s="55">
        <f t="shared" si="770"/>
        <v>0</v>
      </c>
      <c r="AD2779" s="56">
        <f t="shared" si="771"/>
        <v>0</v>
      </c>
    </row>
    <row r="2780" spans="3:30">
      <c r="C2780" s="43" t="s">
        <v>5213</v>
      </c>
      <c r="D2780" s="44" t="s">
        <v>5214</v>
      </c>
      <c r="E2780" s="44"/>
      <c r="F2780" s="45">
        <v>43374.098668981482</v>
      </c>
      <c r="G2780" s="46">
        <v>-1</v>
      </c>
      <c r="H2780" s="47">
        <v>43391</v>
      </c>
      <c r="I2780" s="47">
        <v>43412</v>
      </c>
      <c r="J2780" s="46">
        <v>7471992</v>
      </c>
      <c r="K2780" s="46">
        <v>0</v>
      </c>
      <c r="L2780" s="46">
        <v>0</v>
      </c>
      <c r="M2780" s="46">
        <f t="shared" si="760"/>
        <v>7471992</v>
      </c>
      <c r="N2780" s="46">
        <v>7471992</v>
      </c>
      <c r="O2780" s="48">
        <f t="shared" si="761"/>
        <v>0</v>
      </c>
      <c r="P2780" s="46">
        <v>0</v>
      </c>
      <c r="Q2780" s="46">
        <v>0</v>
      </c>
      <c r="R2780" s="49">
        <f t="shared" si="762"/>
        <v>0</v>
      </c>
      <c r="S2780" s="50">
        <f t="shared" si="763"/>
        <v>0</v>
      </c>
      <c r="T2780" s="49">
        <f t="shared" si="764"/>
        <v>0</v>
      </c>
      <c r="U2780" s="51">
        <f t="shared" si="765"/>
        <v>7471992</v>
      </c>
      <c r="V2780" s="52">
        <f>IF(0&lt;0.8,0,IF(0&lt;1,Sheet3!L561,1))*IF(G2780&lt;3,0.12 - O2780,0.01) *U2780</f>
        <v>0</v>
      </c>
      <c r="W2780" s="52">
        <f t="shared" si="766"/>
        <v>0</v>
      </c>
      <c r="X2780" s="53">
        <f t="shared" si="767"/>
        <v>0</v>
      </c>
      <c r="Y2780" s="53">
        <f t="shared" si="768"/>
        <v>0</v>
      </c>
      <c r="Z2780" s="54">
        <f t="shared" si="773"/>
        <v>0</v>
      </c>
      <c r="AA2780" s="54">
        <f t="shared" si="769"/>
        <v>0</v>
      </c>
      <c r="AB2780" s="55">
        <f t="shared" si="774"/>
        <v>0</v>
      </c>
      <c r="AC2780" s="55">
        <f t="shared" si="770"/>
        <v>0</v>
      </c>
      <c r="AD2780" s="56">
        <f t="shared" si="771"/>
        <v>0</v>
      </c>
    </row>
    <row r="2781" spans="3:30">
      <c r="C2781" s="43" t="s">
        <v>5215</v>
      </c>
      <c r="D2781" s="44" t="s">
        <v>5216</v>
      </c>
      <c r="E2781" s="44"/>
      <c r="F2781" s="45">
        <v>43348.320821759255</v>
      </c>
      <c r="G2781" s="46">
        <v>0</v>
      </c>
      <c r="H2781" s="47">
        <v>43399</v>
      </c>
      <c r="I2781" s="47">
        <v>43423</v>
      </c>
      <c r="J2781" s="46">
        <v>917840</v>
      </c>
      <c r="K2781" s="46">
        <v>0</v>
      </c>
      <c r="L2781" s="46">
        <v>0</v>
      </c>
      <c r="M2781" s="46">
        <f t="shared" si="760"/>
        <v>917840</v>
      </c>
      <c r="N2781" s="46">
        <v>993168</v>
      </c>
      <c r="O2781" s="48">
        <f t="shared" si="761"/>
        <v>7.584618110933905E-2</v>
      </c>
      <c r="P2781" s="46">
        <v>0</v>
      </c>
      <c r="Q2781" s="46">
        <v>0</v>
      </c>
      <c r="R2781" s="49">
        <f t="shared" si="762"/>
        <v>0</v>
      </c>
      <c r="S2781" s="50">
        <f t="shared" si="763"/>
        <v>0</v>
      </c>
      <c r="T2781" s="49">
        <f t="shared" si="764"/>
        <v>0</v>
      </c>
      <c r="U2781" s="51">
        <f t="shared" si="765"/>
        <v>917840</v>
      </c>
      <c r="V2781" s="52">
        <f>IF(0&lt;0.8,0,IF(0&lt;1,Sheet3!L561,1))*IF(G2781&lt;3,0.12 - O2781,0.01) *U2781</f>
        <v>0</v>
      </c>
      <c r="W2781" s="52">
        <f t="shared" si="766"/>
        <v>0</v>
      </c>
      <c r="X2781" s="53">
        <f t="shared" si="767"/>
        <v>0</v>
      </c>
      <c r="Y2781" s="53">
        <f t="shared" si="768"/>
        <v>0</v>
      </c>
      <c r="Z2781" s="54">
        <f t="shared" si="773"/>
        <v>0</v>
      </c>
      <c r="AA2781" s="54">
        <f t="shared" si="769"/>
        <v>0</v>
      </c>
      <c r="AB2781" s="55">
        <f t="shared" si="774"/>
        <v>0</v>
      </c>
      <c r="AC2781" s="55">
        <f t="shared" si="770"/>
        <v>0</v>
      </c>
      <c r="AD2781" s="56">
        <f t="shared" si="771"/>
        <v>0</v>
      </c>
    </row>
    <row r="2782" spans="3:30">
      <c r="C2782" s="43" t="s">
        <v>5217</v>
      </c>
      <c r="D2782" s="44" t="s">
        <v>5218</v>
      </c>
      <c r="E2782" s="44"/>
      <c r="F2782" s="45">
        <v>43367.156608796293</v>
      </c>
      <c r="G2782" s="46">
        <v>0</v>
      </c>
      <c r="H2782" s="47">
        <v>43418</v>
      </c>
      <c r="I2782" s="47">
        <v>43449</v>
      </c>
      <c r="J2782" s="46">
        <v>66000</v>
      </c>
      <c r="K2782" s="46">
        <v>0</v>
      </c>
      <c r="L2782" s="46">
        <v>0</v>
      </c>
      <c r="M2782" s="46">
        <f t="shared" si="760"/>
        <v>66000</v>
      </c>
      <c r="N2782" s="46">
        <v>66550</v>
      </c>
      <c r="O2782" s="48">
        <f t="shared" si="761"/>
        <v>8.2644628099173278E-3</v>
      </c>
      <c r="P2782" s="46">
        <v>0</v>
      </c>
      <c r="Q2782" s="46">
        <v>0</v>
      </c>
      <c r="R2782" s="49">
        <f t="shared" si="762"/>
        <v>0</v>
      </c>
      <c r="S2782" s="50">
        <f t="shared" si="763"/>
        <v>0</v>
      </c>
      <c r="T2782" s="49">
        <f t="shared" si="764"/>
        <v>0</v>
      </c>
      <c r="U2782" s="51">
        <f t="shared" si="765"/>
        <v>66000</v>
      </c>
      <c r="V2782" s="52">
        <f>IF(0&lt;0.8,0,IF(0&lt;1,Sheet3!L561,1))*IF(G2782&lt;3,0.12 - O2782,0.01) *U2782</f>
        <v>0</v>
      </c>
      <c r="W2782" s="52">
        <f t="shared" si="766"/>
        <v>0</v>
      </c>
      <c r="X2782" s="53">
        <f t="shared" si="767"/>
        <v>0</v>
      </c>
      <c r="Y2782" s="53">
        <f t="shared" si="768"/>
        <v>0</v>
      </c>
      <c r="Z2782" s="54">
        <f t="shared" si="773"/>
        <v>0</v>
      </c>
      <c r="AA2782" s="54">
        <f t="shared" si="769"/>
        <v>0</v>
      </c>
      <c r="AB2782" s="55">
        <f t="shared" si="774"/>
        <v>0</v>
      </c>
      <c r="AC2782" s="55">
        <f t="shared" si="770"/>
        <v>0</v>
      </c>
      <c r="AD2782" s="56">
        <f t="shared" si="771"/>
        <v>0</v>
      </c>
    </row>
    <row r="2783" spans="3:30">
      <c r="C2783" s="43" t="s">
        <v>5219</v>
      </c>
      <c r="D2783" s="44" t="s">
        <v>5220</v>
      </c>
      <c r="E2783" s="44"/>
      <c r="F2783" s="45">
        <v>43311.355613425927</v>
      </c>
      <c r="G2783" s="46">
        <v>2</v>
      </c>
      <c r="H2783" s="47">
        <v>43517</v>
      </c>
      <c r="I2783" s="47">
        <v>43518</v>
      </c>
      <c r="J2783" s="46">
        <v>32499068</v>
      </c>
      <c r="K2783" s="46">
        <v>2791392</v>
      </c>
      <c r="L2783" s="46">
        <v>0</v>
      </c>
      <c r="M2783" s="46">
        <f t="shared" si="760"/>
        <v>29707676</v>
      </c>
      <c r="N2783" s="46">
        <v>49510074</v>
      </c>
      <c r="O2783" s="48">
        <f t="shared" si="761"/>
        <v>0.39996704509066172</v>
      </c>
      <c r="P2783" s="46">
        <v>36479726</v>
      </c>
      <c r="Q2783" s="46">
        <v>0</v>
      </c>
      <c r="R2783" s="49">
        <f t="shared" si="762"/>
        <v>0</v>
      </c>
      <c r="S2783" s="50">
        <f t="shared" si="763"/>
        <v>0</v>
      </c>
      <c r="T2783" s="49">
        <f t="shared" si="764"/>
        <v>0</v>
      </c>
      <c r="U2783" s="51">
        <f t="shared" si="765"/>
        <v>0</v>
      </c>
      <c r="V2783" s="52">
        <f>IF(0&lt;0.8,0,IF(0&lt;1,Sheet3!L561,1))*IF(G2783&lt;3,0.12 - O2783,0.01) *U2783</f>
        <v>0</v>
      </c>
      <c r="W2783" s="52">
        <f t="shared" si="766"/>
        <v>0</v>
      </c>
      <c r="X2783" s="53">
        <f t="shared" si="767"/>
        <v>0</v>
      </c>
      <c r="Y2783" s="53">
        <f t="shared" si="768"/>
        <v>0</v>
      </c>
      <c r="Z2783" s="54">
        <f t="shared" si="773"/>
        <v>0</v>
      </c>
      <c r="AA2783" s="54">
        <f t="shared" si="769"/>
        <v>0</v>
      </c>
      <c r="AB2783" s="55">
        <f t="shared" si="774"/>
        <v>0</v>
      </c>
      <c r="AC2783" s="55">
        <f t="shared" si="770"/>
        <v>0</v>
      </c>
      <c r="AD2783" s="56">
        <f t="shared" si="771"/>
        <v>0</v>
      </c>
    </row>
    <row r="2784" spans="3:30">
      <c r="C2784" s="43" t="s">
        <v>5221</v>
      </c>
      <c r="D2784" s="44" t="s">
        <v>5222</v>
      </c>
      <c r="E2784" s="44"/>
      <c r="F2784" s="45">
        <v>43304.317557870367</v>
      </c>
      <c r="G2784" s="46">
        <v>2</v>
      </c>
      <c r="H2784" s="47">
        <v>43391</v>
      </c>
      <c r="I2784" s="47">
        <v>43399</v>
      </c>
      <c r="J2784" s="46">
        <v>1462898</v>
      </c>
      <c r="K2784" s="46">
        <v>0</v>
      </c>
      <c r="L2784" s="46">
        <v>0</v>
      </c>
      <c r="M2784" s="46">
        <f t="shared" si="760"/>
        <v>1462898</v>
      </c>
      <c r="N2784" s="46">
        <v>995587</v>
      </c>
      <c r="O2784" s="48">
        <f t="shared" si="761"/>
        <v>0</v>
      </c>
      <c r="P2784" s="46">
        <v>1462898</v>
      </c>
      <c r="Q2784" s="46">
        <v>0</v>
      </c>
      <c r="R2784" s="49">
        <f t="shared" si="762"/>
        <v>0</v>
      </c>
      <c r="S2784" s="50">
        <f t="shared" si="763"/>
        <v>0</v>
      </c>
      <c r="T2784" s="49">
        <f t="shared" si="764"/>
        <v>0</v>
      </c>
      <c r="U2784" s="51">
        <f t="shared" si="765"/>
        <v>1462898</v>
      </c>
      <c r="V2784" s="52">
        <f>IF(0&lt;0.8,0,IF(0&lt;1,Sheet3!L561,1))*IF(G2784&lt;3,0.12 - O2784,0.01) *U2784</f>
        <v>0</v>
      </c>
      <c r="W2784" s="52">
        <f t="shared" si="766"/>
        <v>0</v>
      </c>
      <c r="X2784" s="53">
        <f t="shared" si="767"/>
        <v>0</v>
      </c>
      <c r="Y2784" s="53">
        <f t="shared" si="768"/>
        <v>0</v>
      </c>
      <c r="Z2784" s="54">
        <f t="shared" si="773"/>
        <v>0</v>
      </c>
      <c r="AA2784" s="54">
        <f t="shared" si="769"/>
        <v>0</v>
      </c>
      <c r="AB2784" s="55">
        <f>IF(R2784=0,454000,0)</f>
        <v>454000</v>
      </c>
      <c r="AC2784" s="55">
        <f t="shared" si="770"/>
        <v>9080</v>
      </c>
      <c r="AD2784" s="56">
        <f t="shared" si="771"/>
        <v>9080</v>
      </c>
    </row>
    <row r="2785" spans="3:30">
      <c r="C2785" s="43" t="s">
        <v>5223</v>
      </c>
      <c r="D2785" s="44" t="s">
        <v>5224</v>
      </c>
      <c r="E2785" s="44"/>
      <c r="F2785" s="45">
        <v>43353.3518287037</v>
      </c>
      <c r="G2785" s="46">
        <v>0</v>
      </c>
      <c r="H2785" s="47">
        <v>43428</v>
      </c>
      <c r="I2785" s="47">
        <v>43480</v>
      </c>
      <c r="J2785" s="46">
        <v>226102660</v>
      </c>
      <c r="K2785" s="46">
        <v>0</v>
      </c>
      <c r="L2785" s="46">
        <v>0</v>
      </c>
      <c r="M2785" s="46">
        <f t="shared" si="760"/>
        <v>226102660</v>
      </c>
      <c r="N2785" s="46">
        <v>249033186</v>
      </c>
      <c r="O2785" s="48">
        <f t="shared" si="761"/>
        <v>9.2078193948014642E-2</v>
      </c>
      <c r="P2785" s="46">
        <v>0</v>
      </c>
      <c r="Q2785" s="46">
        <v>0</v>
      </c>
      <c r="R2785" s="49">
        <f t="shared" si="762"/>
        <v>0</v>
      </c>
      <c r="S2785" s="50">
        <f t="shared" si="763"/>
        <v>0</v>
      </c>
      <c r="T2785" s="49">
        <f t="shared" si="764"/>
        <v>0</v>
      </c>
      <c r="U2785" s="51">
        <f t="shared" si="765"/>
        <v>226102660</v>
      </c>
      <c r="V2785" s="52">
        <f>IF(0&lt;0.8,0,IF(0&lt;1,Sheet3!L561,1))*IF(G2785&lt;3,0.12 - O2785,0.01) *U2785</f>
        <v>0</v>
      </c>
      <c r="W2785" s="52">
        <f t="shared" si="766"/>
        <v>0</v>
      </c>
      <c r="X2785" s="53">
        <f t="shared" si="767"/>
        <v>0</v>
      </c>
      <c r="Y2785" s="53">
        <f t="shared" si="768"/>
        <v>0</v>
      </c>
      <c r="Z2785" s="54">
        <f t="shared" si="773"/>
        <v>0</v>
      </c>
      <c r="AA2785" s="54">
        <f t="shared" si="769"/>
        <v>0</v>
      </c>
      <c r="AB2785" s="55">
        <f t="shared" ref="AB2785:AB2835" si="775">IF(R2785=0,0,0)</f>
        <v>0</v>
      </c>
      <c r="AC2785" s="55">
        <f t="shared" si="770"/>
        <v>0</v>
      </c>
      <c r="AD2785" s="56">
        <f t="shared" si="771"/>
        <v>0</v>
      </c>
    </row>
    <row r="2786" spans="3:30">
      <c r="C2786" s="43" t="s">
        <v>5225</v>
      </c>
      <c r="D2786" s="44" t="s">
        <v>5226</v>
      </c>
      <c r="E2786" s="44"/>
      <c r="F2786" s="45">
        <v>43306.177974537037</v>
      </c>
      <c r="G2786" s="46">
        <v>2</v>
      </c>
      <c r="H2786" s="47">
        <v>43404</v>
      </c>
      <c r="I2786" s="47">
        <v>43419</v>
      </c>
      <c r="J2786" s="46">
        <v>2782712</v>
      </c>
      <c r="K2786" s="46">
        <v>0</v>
      </c>
      <c r="L2786" s="46">
        <v>0</v>
      </c>
      <c r="M2786" s="46">
        <f t="shared" si="760"/>
        <v>2782712</v>
      </c>
      <c r="N2786" s="46">
        <v>2766080</v>
      </c>
      <c r="O2786" s="48">
        <f t="shared" si="761"/>
        <v>0</v>
      </c>
      <c r="P2786" s="46">
        <v>2782712</v>
      </c>
      <c r="Q2786" s="46">
        <v>0</v>
      </c>
      <c r="R2786" s="49">
        <f t="shared" si="762"/>
        <v>0</v>
      </c>
      <c r="S2786" s="50">
        <f t="shared" si="763"/>
        <v>0</v>
      </c>
      <c r="T2786" s="49">
        <f t="shared" si="764"/>
        <v>0</v>
      </c>
      <c r="U2786" s="51">
        <f t="shared" si="765"/>
        <v>2782712</v>
      </c>
      <c r="V2786" s="52">
        <f>IF(0&lt;0.8,0,IF(0&lt;1,Sheet3!L561,1))*IF(G2786&lt;3,0.12 - O2786,0.01) *U2786</f>
        <v>0</v>
      </c>
      <c r="W2786" s="52">
        <f t="shared" si="766"/>
        <v>0</v>
      </c>
      <c r="X2786" s="53">
        <f t="shared" si="767"/>
        <v>0</v>
      </c>
      <c r="Y2786" s="53">
        <f t="shared" si="768"/>
        <v>0</v>
      </c>
      <c r="Z2786" s="54">
        <f t="shared" si="773"/>
        <v>0</v>
      </c>
      <c r="AA2786" s="54">
        <f t="shared" si="769"/>
        <v>0</v>
      </c>
      <c r="AB2786" s="55">
        <f t="shared" si="775"/>
        <v>0</v>
      </c>
      <c r="AC2786" s="55">
        <f t="shared" si="770"/>
        <v>0</v>
      </c>
      <c r="AD2786" s="56">
        <f t="shared" si="771"/>
        <v>0</v>
      </c>
    </row>
    <row r="2787" spans="3:30">
      <c r="C2787" s="43" t="s">
        <v>5227</v>
      </c>
      <c r="D2787" s="44" t="s">
        <v>5228</v>
      </c>
      <c r="E2787" s="44"/>
      <c r="F2787" s="45">
        <v>41716.94081018518</v>
      </c>
      <c r="G2787" s="46">
        <v>54</v>
      </c>
      <c r="H2787" s="47" t="s">
        <v>24</v>
      </c>
      <c r="I2787" s="47" t="s">
        <v>24</v>
      </c>
      <c r="J2787" s="46">
        <v>167827</v>
      </c>
      <c r="K2787" s="46">
        <v>0</v>
      </c>
      <c r="L2787" s="46">
        <v>0</v>
      </c>
      <c r="M2787" s="46">
        <f t="shared" si="760"/>
        <v>167827</v>
      </c>
      <c r="N2787" s="46">
        <v>136416610</v>
      </c>
      <c r="O2787" s="48">
        <f t="shared" si="761"/>
        <v>0.99876974658731077</v>
      </c>
      <c r="P2787" s="46">
        <v>0</v>
      </c>
      <c r="Q2787" s="46">
        <v>15004</v>
      </c>
      <c r="R2787" s="49">
        <f t="shared" si="762"/>
        <v>1</v>
      </c>
      <c r="S2787" s="50">
        <f t="shared" si="763"/>
        <v>0.01</v>
      </c>
      <c r="T2787" s="49">
        <f t="shared" si="764"/>
        <v>1678.27</v>
      </c>
      <c r="U2787" s="51">
        <f t="shared" si="765"/>
        <v>0</v>
      </c>
      <c r="V2787" s="52">
        <f>IF(0&lt;0.8,0,IF(0&lt;1,Sheet3!L561,1))*IF(G2787&lt;3,0.12 - O2787,0.01) *U2787</f>
        <v>0</v>
      </c>
      <c r="W2787" s="52">
        <f t="shared" si="766"/>
        <v>0</v>
      </c>
      <c r="X2787" s="53">
        <f t="shared" si="767"/>
        <v>0</v>
      </c>
      <c r="Y2787" s="53">
        <f t="shared" si="768"/>
        <v>0</v>
      </c>
      <c r="Z2787" s="54">
        <f t="shared" si="773"/>
        <v>0</v>
      </c>
      <c r="AA2787" s="54">
        <f t="shared" si="769"/>
        <v>0</v>
      </c>
      <c r="AB2787" s="55">
        <f t="shared" si="775"/>
        <v>0</v>
      </c>
      <c r="AC2787" s="55">
        <f t="shared" si="770"/>
        <v>0</v>
      </c>
      <c r="AD2787" s="56">
        <f t="shared" si="771"/>
        <v>1678.27</v>
      </c>
    </row>
    <row r="2788" spans="3:30">
      <c r="C2788" s="43" t="s">
        <v>5229</v>
      </c>
      <c r="D2788" s="44" t="s">
        <v>995</v>
      </c>
      <c r="E2788" s="44"/>
      <c r="F2788" s="45">
        <v>43329.325995370367</v>
      </c>
      <c r="G2788" s="46">
        <v>1</v>
      </c>
      <c r="H2788" s="47">
        <v>43488</v>
      </c>
      <c r="I2788" s="47">
        <v>43497</v>
      </c>
      <c r="J2788" s="46">
        <v>23204387</v>
      </c>
      <c r="K2788" s="46">
        <v>0</v>
      </c>
      <c r="L2788" s="46">
        <v>0</v>
      </c>
      <c r="M2788" s="46">
        <f t="shared" si="760"/>
        <v>23204387</v>
      </c>
      <c r="N2788" s="46">
        <v>33155203</v>
      </c>
      <c r="O2788" s="48">
        <f t="shared" si="761"/>
        <v>0.30012833883116319</v>
      </c>
      <c r="P2788" s="46">
        <v>0</v>
      </c>
      <c r="Q2788" s="46">
        <v>0</v>
      </c>
      <c r="R2788" s="49">
        <f t="shared" si="762"/>
        <v>0</v>
      </c>
      <c r="S2788" s="50">
        <f t="shared" si="763"/>
        <v>0</v>
      </c>
      <c r="T2788" s="49">
        <f t="shared" si="764"/>
        <v>0</v>
      </c>
      <c r="U2788" s="51">
        <f t="shared" si="765"/>
        <v>0</v>
      </c>
      <c r="V2788" s="52">
        <f>IF(0&lt;0.8,0,IF(0&lt;1,Sheet3!L561,1))*IF(G2788&lt;3,0.12 - O2788,0.01) *U2788</f>
        <v>0</v>
      </c>
      <c r="W2788" s="52">
        <f t="shared" si="766"/>
        <v>0</v>
      </c>
      <c r="X2788" s="53">
        <f t="shared" si="767"/>
        <v>0</v>
      </c>
      <c r="Y2788" s="53">
        <f t="shared" si="768"/>
        <v>0</v>
      </c>
      <c r="Z2788" s="54">
        <f t="shared" si="773"/>
        <v>0</v>
      </c>
      <c r="AA2788" s="54">
        <f t="shared" si="769"/>
        <v>0</v>
      </c>
      <c r="AB2788" s="55">
        <f t="shared" si="775"/>
        <v>0</v>
      </c>
      <c r="AC2788" s="55">
        <f t="shared" si="770"/>
        <v>0</v>
      </c>
      <c r="AD2788" s="56">
        <f t="shared" si="771"/>
        <v>0</v>
      </c>
    </row>
    <row r="2789" spans="3:30">
      <c r="C2789" s="43" t="s">
        <v>5230</v>
      </c>
      <c r="D2789" s="44" t="s">
        <v>995</v>
      </c>
      <c r="E2789" s="44"/>
      <c r="F2789" s="45">
        <v>43326.135358796295</v>
      </c>
      <c r="G2789" s="46">
        <v>1</v>
      </c>
      <c r="H2789" s="47">
        <v>43459</v>
      </c>
      <c r="I2789" s="47">
        <v>43487</v>
      </c>
      <c r="J2789" s="46">
        <v>69293709</v>
      </c>
      <c r="K2789" s="46">
        <v>0</v>
      </c>
      <c r="L2789" s="46">
        <v>0</v>
      </c>
      <c r="M2789" s="46">
        <f t="shared" si="760"/>
        <v>69293709</v>
      </c>
      <c r="N2789" s="46">
        <v>93401746</v>
      </c>
      <c r="O2789" s="48">
        <f t="shared" si="761"/>
        <v>0.2581112027605994</v>
      </c>
      <c r="P2789" s="46">
        <v>0</v>
      </c>
      <c r="Q2789" s="46">
        <v>0</v>
      </c>
      <c r="R2789" s="49">
        <f t="shared" si="762"/>
        <v>0</v>
      </c>
      <c r="S2789" s="50">
        <f t="shared" si="763"/>
        <v>0</v>
      </c>
      <c r="T2789" s="49">
        <f t="shared" si="764"/>
        <v>0</v>
      </c>
      <c r="U2789" s="51">
        <f t="shared" si="765"/>
        <v>0</v>
      </c>
      <c r="V2789" s="52">
        <f>IF(0&lt;0.8,0,IF(0&lt;1,Sheet3!L561,1))*IF(G2789&lt;3,0.12 - O2789,0.01) *U2789</f>
        <v>0</v>
      </c>
      <c r="W2789" s="52">
        <f t="shared" si="766"/>
        <v>0</v>
      </c>
      <c r="X2789" s="53">
        <f t="shared" si="767"/>
        <v>0</v>
      </c>
      <c r="Y2789" s="53">
        <f t="shared" si="768"/>
        <v>0</v>
      </c>
      <c r="Z2789" s="54">
        <f t="shared" si="773"/>
        <v>0</v>
      </c>
      <c r="AA2789" s="54">
        <f t="shared" si="769"/>
        <v>0</v>
      </c>
      <c r="AB2789" s="55">
        <f t="shared" si="775"/>
        <v>0</v>
      </c>
      <c r="AC2789" s="55">
        <f t="shared" si="770"/>
        <v>0</v>
      </c>
      <c r="AD2789" s="56">
        <f t="shared" si="771"/>
        <v>0</v>
      </c>
    </row>
    <row r="2790" spans="3:30">
      <c r="C2790" s="43" t="s">
        <v>5231</v>
      </c>
      <c r="D2790" s="44" t="s">
        <v>995</v>
      </c>
      <c r="E2790" s="44"/>
      <c r="F2790" s="45">
        <v>43326.130416666667</v>
      </c>
      <c r="G2790" s="46">
        <v>1</v>
      </c>
      <c r="H2790" s="47">
        <v>43431</v>
      </c>
      <c r="I2790" s="47">
        <v>43462</v>
      </c>
      <c r="J2790" s="46">
        <v>14456821</v>
      </c>
      <c r="K2790" s="46">
        <v>0</v>
      </c>
      <c r="L2790" s="46">
        <v>0</v>
      </c>
      <c r="M2790" s="46">
        <f t="shared" si="760"/>
        <v>14456821</v>
      </c>
      <c r="N2790" s="46">
        <v>19988974</v>
      </c>
      <c r="O2790" s="48">
        <f t="shared" si="761"/>
        <v>0.27676022791364885</v>
      </c>
      <c r="P2790" s="46">
        <v>0</v>
      </c>
      <c r="Q2790" s="46">
        <v>0</v>
      </c>
      <c r="R2790" s="49">
        <f t="shared" si="762"/>
        <v>0</v>
      </c>
      <c r="S2790" s="50">
        <f t="shared" si="763"/>
        <v>0</v>
      </c>
      <c r="T2790" s="49">
        <f t="shared" si="764"/>
        <v>0</v>
      </c>
      <c r="U2790" s="51">
        <f t="shared" si="765"/>
        <v>0</v>
      </c>
      <c r="V2790" s="52">
        <f>IF(0&lt;0.8,0,IF(0&lt;1,Sheet3!L561,1))*IF(G2790&lt;3,0.12 - O2790,0.01) *U2790</f>
        <v>0</v>
      </c>
      <c r="W2790" s="52">
        <f t="shared" si="766"/>
        <v>0</v>
      </c>
      <c r="X2790" s="53">
        <f t="shared" si="767"/>
        <v>0</v>
      </c>
      <c r="Y2790" s="53">
        <f t="shared" si="768"/>
        <v>0</v>
      </c>
      <c r="Z2790" s="54">
        <f t="shared" si="773"/>
        <v>0</v>
      </c>
      <c r="AA2790" s="54">
        <f t="shared" si="769"/>
        <v>0</v>
      </c>
      <c r="AB2790" s="55">
        <f t="shared" si="775"/>
        <v>0</v>
      </c>
      <c r="AC2790" s="55">
        <f t="shared" si="770"/>
        <v>0</v>
      </c>
      <c r="AD2790" s="56">
        <f t="shared" si="771"/>
        <v>0</v>
      </c>
    </row>
    <row r="2791" spans="3:30">
      <c r="C2791" s="43" t="s">
        <v>5232</v>
      </c>
      <c r="D2791" s="44" t="s">
        <v>995</v>
      </c>
      <c r="E2791" s="44"/>
      <c r="F2791" s="45">
        <v>43316.493599537032</v>
      </c>
      <c r="G2791" s="46">
        <v>1</v>
      </c>
      <c r="H2791" s="47">
        <v>43431</v>
      </c>
      <c r="I2791" s="47">
        <v>43462</v>
      </c>
      <c r="J2791" s="46">
        <v>115857</v>
      </c>
      <c r="K2791" s="46">
        <v>0</v>
      </c>
      <c r="L2791" s="46">
        <v>0</v>
      </c>
      <c r="M2791" s="46">
        <f t="shared" si="760"/>
        <v>115857</v>
      </c>
      <c r="N2791" s="46">
        <v>185130</v>
      </c>
      <c r="O2791" s="48">
        <f t="shared" si="761"/>
        <v>0.3741857073407876</v>
      </c>
      <c r="P2791" s="46">
        <v>0</v>
      </c>
      <c r="Q2791" s="46">
        <v>0</v>
      </c>
      <c r="R2791" s="49">
        <f t="shared" si="762"/>
        <v>0</v>
      </c>
      <c r="S2791" s="50">
        <f t="shared" si="763"/>
        <v>0</v>
      </c>
      <c r="T2791" s="49">
        <f t="shared" si="764"/>
        <v>0</v>
      </c>
      <c r="U2791" s="51">
        <f t="shared" si="765"/>
        <v>0</v>
      </c>
      <c r="V2791" s="52">
        <f>IF(0&lt;0.8,0,IF(0&lt;1,Sheet3!L561,1))*IF(G2791&lt;3,0.12 - O2791,0.01) *U2791</f>
        <v>0</v>
      </c>
      <c r="W2791" s="52">
        <f t="shared" si="766"/>
        <v>0</v>
      </c>
      <c r="X2791" s="53">
        <f t="shared" si="767"/>
        <v>0</v>
      </c>
      <c r="Y2791" s="53">
        <f t="shared" si="768"/>
        <v>0</v>
      </c>
      <c r="Z2791" s="54">
        <f t="shared" si="773"/>
        <v>0</v>
      </c>
      <c r="AA2791" s="54">
        <f t="shared" si="769"/>
        <v>0</v>
      </c>
      <c r="AB2791" s="55">
        <f t="shared" si="775"/>
        <v>0</v>
      </c>
      <c r="AC2791" s="55">
        <f t="shared" si="770"/>
        <v>0</v>
      </c>
      <c r="AD2791" s="56">
        <f t="shared" si="771"/>
        <v>0</v>
      </c>
    </row>
    <row r="2792" spans="3:30">
      <c r="C2792" s="43" t="s">
        <v>5233</v>
      </c>
      <c r="D2792" s="44" t="s">
        <v>995</v>
      </c>
      <c r="E2792" s="44"/>
      <c r="F2792" s="45">
        <v>43316.49417824074</v>
      </c>
      <c r="G2792" s="46">
        <v>1</v>
      </c>
      <c r="H2792" s="47">
        <v>43431</v>
      </c>
      <c r="I2792" s="47">
        <v>43462</v>
      </c>
      <c r="J2792" s="46">
        <v>117022</v>
      </c>
      <c r="K2792" s="46">
        <v>0</v>
      </c>
      <c r="L2792" s="46">
        <v>0</v>
      </c>
      <c r="M2792" s="46">
        <f t="shared" si="760"/>
        <v>117022</v>
      </c>
      <c r="N2792" s="46">
        <v>170610</v>
      </c>
      <c r="O2792" s="48">
        <f t="shared" si="761"/>
        <v>0.31409647734599377</v>
      </c>
      <c r="P2792" s="46">
        <v>0</v>
      </c>
      <c r="Q2792" s="46">
        <v>0</v>
      </c>
      <c r="R2792" s="49">
        <f t="shared" si="762"/>
        <v>0</v>
      </c>
      <c r="S2792" s="50">
        <f t="shared" si="763"/>
        <v>0</v>
      </c>
      <c r="T2792" s="49">
        <f t="shared" si="764"/>
        <v>0</v>
      </c>
      <c r="U2792" s="51">
        <f t="shared" si="765"/>
        <v>0</v>
      </c>
      <c r="V2792" s="52">
        <f>IF(0&lt;0.8,0,IF(0&lt;1,Sheet3!L561,1))*IF(G2792&lt;3,0.12 - O2792,0.01) *U2792</f>
        <v>0</v>
      </c>
      <c r="W2792" s="52">
        <f t="shared" si="766"/>
        <v>0</v>
      </c>
      <c r="X2792" s="53">
        <f t="shared" si="767"/>
        <v>0</v>
      </c>
      <c r="Y2792" s="53">
        <f t="shared" si="768"/>
        <v>0</v>
      </c>
      <c r="Z2792" s="54">
        <f t="shared" si="773"/>
        <v>0</v>
      </c>
      <c r="AA2792" s="54">
        <f t="shared" si="769"/>
        <v>0</v>
      </c>
      <c r="AB2792" s="55">
        <f t="shared" si="775"/>
        <v>0</v>
      </c>
      <c r="AC2792" s="55">
        <f t="shared" si="770"/>
        <v>0</v>
      </c>
      <c r="AD2792" s="56">
        <f t="shared" si="771"/>
        <v>0</v>
      </c>
    </row>
    <row r="2793" spans="3:30">
      <c r="C2793" s="43" t="s">
        <v>5234</v>
      </c>
      <c r="D2793" s="44" t="s">
        <v>995</v>
      </c>
      <c r="E2793" s="44"/>
      <c r="F2793" s="45">
        <v>43316.495277777773</v>
      </c>
      <c r="G2793" s="46">
        <v>1</v>
      </c>
      <c r="H2793" s="47">
        <v>43431</v>
      </c>
      <c r="I2793" s="47">
        <v>43462</v>
      </c>
      <c r="J2793" s="46">
        <v>53985</v>
      </c>
      <c r="K2793" s="46">
        <v>0</v>
      </c>
      <c r="L2793" s="46">
        <v>0</v>
      </c>
      <c r="M2793" s="46">
        <f t="shared" si="760"/>
        <v>53985</v>
      </c>
      <c r="N2793" s="46">
        <v>79860</v>
      </c>
      <c r="O2793" s="48">
        <f t="shared" si="761"/>
        <v>0.32400450788880542</v>
      </c>
      <c r="P2793" s="46">
        <v>0</v>
      </c>
      <c r="Q2793" s="46">
        <v>0</v>
      </c>
      <c r="R2793" s="49">
        <f t="shared" si="762"/>
        <v>0</v>
      </c>
      <c r="S2793" s="50">
        <f t="shared" si="763"/>
        <v>0</v>
      </c>
      <c r="T2793" s="49">
        <f t="shared" si="764"/>
        <v>0</v>
      </c>
      <c r="U2793" s="51">
        <f t="shared" si="765"/>
        <v>0</v>
      </c>
      <c r="V2793" s="52">
        <f>IF(0&lt;0.8,0,IF(0&lt;1,Sheet3!L561,1))*IF(G2793&lt;3,0.12 - O2793,0.01) *U2793</f>
        <v>0</v>
      </c>
      <c r="W2793" s="52">
        <f t="shared" si="766"/>
        <v>0</v>
      </c>
      <c r="X2793" s="53">
        <f t="shared" si="767"/>
        <v>0</v>
      </c>
      <c r="Y2793" s="53">
        <f t="shared" si="768"/>
        <v>0</v>
      </c>
      <c r="Z2793" s="54">
        <f t="shared" si="773"/>
        <v>0</v>
      </c>
      <c r="AA2793" s="54">
        <f t="shared" si="769"/>
        <v>0</v>
      </c>
      <c r="AB2793" s="55">
        <f t="shared" si="775"/>
        <v>0</v>
      </c>
      <c r="AC2793" s="55">
        <f t="shared" si="770"/>
        <v>0</v>
      </c>
      <c r="AD2793" s="56">
        <f t="shared" si="771"/>
        <v>0</v>
      </c>
    </row>
    <row r="2794" spans="3:30">
      <c r="C2794" s="43" t="s">
        <v>5235</v>
      </c>
      <c r="D2794" s="44" t="s">
        <v>995</v>
      </c>
      <c r="E2794" s="44"/>
      <c r="F2794" s="45">
        <v>43316.495798611111</v>
      </c>
      <c r="G2794" s="46">
        <v>1</v>
      </c>
      <c r="H2794" s="47">
        <v>43431</v>
      </c>
      <c r="I2794" s="47">
        <v>43462</v>
      </c>
      <c r="J2794" s="46">
        <v>94672</v>
      </c>
      <c r="K2794" s="46">
        <v>0</v>
      </c>
      <c r="L2794" s="46">
        <v>0</v>
      </c>
      <c r="M2794" s="46">
        <f t="shared" si="760"/>
        <v>94672</v>
      </c>
      <c r="N2794" s="46">
        <v>148951</v>
      </c>
      <c r="O2794" s="48">
        <f t="shared" si="761"/>
        <v>0.36440842961779374</v>
      </c>
      <c r="P2794" s="46">
        <v>0</v>
      </c>
      <c r="Q2794" s="46">
        <v>0</v>
      </c>
      <c r="R2794" s="49">
        <f t="shared" si="762"/>
        <v>0</v>
      </c>
      <c r="S2794" s="50">
        <f t="shared" si="763"/>
        <v>0</v>
      </c>
      <c r="T2794" s="49">
        <f t="shared" si="764"/>
        <v>0</v>
      </c>
      <c r="U2794" s="51">
        <f t="shared" si="765"/>
        <v>0</v>
      </c>
      <c r="V2794" s="52">
        <f>IF(0&lt;0.8,0,IF(0&lt;1,Sheet3!L561,1))*IF(G2794&lt;3,0.12 - O2794,0.01) *U2794</f>
        <v>0</v>
      </c>
      <c r="W2794" s="52">
        <f t="shared" si="766"/>
        <v>0</v>
      </c>
      <c r="X2794" s="53">
        <f t="shared" si="767"/>
        <v>0</v>
      </c>
      <c r="Y2794" s="53">
        <f t="shared" si="768"/>
        <v>0</v>
      </c>
      <c r="Z2794" s="54">
        <f t="shared" si="773"/>
        <v>0</v>
      </c>
      <c r="AA2794" s="54">
        <f t="shared" si="769"/>
        <v>0</v>
      </c>
      <c r="AB2794" s="55">
        <f t="shared" si="775"/>
        <v>0</v>
      </c>
      <c r="AC2794" s="55">
        <f t="shared" si="770"/>
        <v>0</v>
      </c>
      <c r="AD2794" s="56">
        <f t="shared" si="771"/>
        <v>0</v>
      </c>
    </row>
    <row r="2795" spans="3:30">
      <c r="C2795" s="43" t="s">
        <v>5236</v>
      </c>
      <c r="D2795" s="44" t="s">
        <v>995</v>
      </c>
      <c r="E2795" s="44"/>
      <c r="F2795" s="45">
        <v>43316.496319444443</v>
      </c>
      <c r="G2795" s="46">
        <v>1</v>
      </c>
      <c r="H2795" s="47">
        <v>43431</v>
      </c>
      <c r="I2795" s="47">
        <v>43462</v>
      </c>
      <c r="J2795" s="46">
        <v>317057</v>
      </c>
      <c r="K2795" s="46">
        <v>0</v>
      </c>
      <c r="L2795" s="46">
        <v>0</v>
      </c>
      <c r="M2795" s="46">
        <f t="shared" si="760"/>
        <v>317057</v>
      </c>
      <c r="N2795" s="46">
        <v>458348</v>
      </c>
      <c r="O2795" s="48">
        <f t="shared" si="761"/>
        <v>0.30826140836220517</v>
      </c>
      <c r="P2795" s="46">
        <v>0</v>
      </c>
      <c r="Q2795" s="46">
        <v>0</v>
      </c>
      <c r="R2795" s="49">
        <f t="shared" si="762"/>
        <v>0</v>
      </c>
      <c r="S2795" s="50">
        <f t="shared" si="763"/>
        <v>0</v>
      </c>
      <c r="T2795" s="49">
        <f t="shared" si="764"/>
        <v>0</v>
      </c>
      <c r="U2795" s="51">
        <f t="shared" si="765"/>
        <v>0</v>
      </c>
      <c r="V2795" s="52">
        <f>IF(0&lt;0.8,0,IF(0&lt;1,Sheet3!L561,1))*IF(G2795&lt;3,0.12 - O2795,0.01) *U2795</f>
        <v>0</v>
      </c>
      <c r="W2795" s="52">
        <f t="shared" si="766"/>
        <v>0</v>
      </c>
      <c r="X2795" s="53">
        <f t="shared" si="767"/>
        <v>0</v>
      </c>
      <c r="Y2795" s="53">
        <f t="shared" si="768"/>
        <v>0</v>
      </c>
      <c r="Z2795" s="54">
        <f t="shared" si="773"/>
        <v>0</v>
      </c>
      <c r="AA2795" s="54">
        <f t="shared" si="769"/>
        <v>0</v>
      </c>
      <c r="AB2795" s="55">
        <f t="shared" si="775"/>
        <v>0</v>
      </c>
      <c r="AC2795" s="55">
        <f t="shared" si="770"/>
        <v>0</v>
      </c>
      <c r="AD2795" s="56">
        <f t="shared" si="771"/>
        <v>0</v>
      </c>
    </row>
    <row r="2796" spans="3:30">
      <c r="C2796" s="43" t="s">
        <v>5237</v>
      </c>
      <c r="D2796" s="44" t="s">
        <v>995</v>
      </c>
      <c r="E2796" s="44"/>
      <c r="F2796" s="45">
        <v>43316.496851851851</v>
      </c>
      <c r="G2796" s="46">
        <v>1</v>
      </c>
      <c r="H2796" s="47">
        <v>43431</v>
      </c>
      <c r="I2796" s="47">
        <v>43462</v>
      </c>
      <c r="J2796" s="46">
        <v>588103</v>
      </c>
      <c r="K2796" s="46">
        <v>0</v>
      </c>
      <c r="L2796" s="46">
        <v>0</v>
      </c>
      <c r="M2796" s="46">
        <f t="shared" si="760"/>
        <v>588103</v>
      </c>
      <c r="N2796" s="46">
        <v>843128</v>
      </c>
      <c r="O2796" s="48">
        <f t="shared" si="761"/>
        <v>0.30247483181675849</v>
      </c>
      <c r="P2796" s="46">
        <v>0</v>
      </c>
      <c r="Q2796" s="46">
        <v>0</v>
      </c>
      <c r="R2796" s="49">
        <f t="shared" si="762"/>
        <v>0</v>
      </c>
      <c r="S2796" s="50">
        <f t="shared" si="763"/>
        <v>0</v>
      </c>
      <c r="T2796" s="49">
        <f t="shared" si="764"/>
        <v>0</v>
      </c>
      <c r="U2796" s="51">
        <f t="shared" si="765"/>
        <v>0</v>
      </c>
      <c r="V2796" s="52">
        <f>IF(0&lt;0.8,0,IF(0&lt;1,Sheet3!L561,1))*IF(G2796&lt;3,0.12 - O2796,0.01) *U2796</f>
        <v>0</v>
      </c>
      <c r="W2796" s="52">
        <f t="shared" si="766"/>
        <v>0</v>
      </c>
      <c r="X2796" s="53">
        <f t="shared" si="767"/>
        <v>0</v>
      </c>
      <c r="Y2796" s="53">
        <f t="shared" si="768"/>
        <v>0</v>
      </c>
      <c r="Z2796" s="54">
        <f t="shared" si="773"/>
        <v>0</v>
      </c>
      <c r="AA2796" s="54">
        <f t="shared" si="769"/>
        <v>0</v>
      </c>
      <c r="AB2796" s="55">
        <f t="shared" si="775"/>
        <v>0</v>
      </c>
      <c r="AC2796" s="55">
        <f t="shared" si="770"/>
        <v>0</v>
      </c>
      <c r="AD2796" s="56">
        <f t="shared" si="771"/>
        <v>0</v>
      </c>
    </row>
    <row r="2797" spans="3:30">
      <c r="C2797" s="43" t="s">
        <v>5238</v>
      </c>
      <c r="D2797" s="44" t="s">
        <v>995</v>
      </c>
      <c r="E2797" s="44"/>
      <c r="F2797" s="45">
        <v>43316.503009259257</v>
      </c>
      <c r="G2797" s="46">
        <v>1</v>
      </c>
      <c r="H2797" s="47">
        <v>43431</v>
      </c>
      <c r="I2797" s="47">
        <v>43462</v>
      </c>
      <c r="J2797" s="46">
        <v>913895</v>
      </c>
      <c r="K2797" s="46">
        <v>0</v>
      </c>
      <c r="L2797" s="46">
        <v>0</v>
      </c>
      <c r="M2797" s="46">
        <f t="shared" si="760"/>
        <v>913895</v>
      </c>
      <c r="N2797" s="46">
        <v>1328166</v>
      </c>
      <c r="O2797" s="48">
        <f t="shared" si="761"/>
        <v>0.31191206520871639</v>
      </c>
      <c r="P2797" s="46">
        <v>0</v>
      </c>
      <c r="Q2797" s="46">
        <v>0</v>
      </c>
      <c r="R2797" s="49">
        <f t="shared" si="762"/>
        <v>0</v>
      </c>
      <c r="S2797" s="50">
        <f t="shared" si="763"/>
        <v>0</v>
      </c>
      <c r="T2797" s="49">
        <f t="shared" si="764"/>
        <v>0</v>
      </c>
      <c r="U2797" s="51">
        <f t="shared" si="765"/>
        <v>0</v>
      </c>
      <c r="V2797" s="52">
        <f>IF(0&lt;0.8,0,IF(0&lt;1,Sheet3!L561,1))*IF(G2797&lt;3,0.12 - O2797,0.01) *U2797</f>
        <v>0</v>
      </c>
      <c r="W2797" s="52">
        <f t="shared" si="766"/>
        <v>0</v>
      </c>
      <c r="X2797" s="53">
        <f t="shared" si="767"/>
        <v>0</v>
      </c>
      <c r="Y2797" s="53">
        <f t="shared" si="768"/>
        <v>0</v>
      </c>
      <c r="Z2797" s="54">
        <f t="shared" si="773"/>
        <v>0</v>
      </c>
      <c r="AA2797" s="54">
        <f t="shared" si="769"/>
        <v>0</v>
      </c>
      <c r="AB2797" s="55">
        <f t="shared" si="775"/>
        <v>0</v>
      </c>
      <c r="AC2797" s="55">
        <f t="shared" si="770"/>
        <v>0</v>
      </c>
      <c r="AD2797" s="56">
        <f t="shared" si="771"/>
        <v>0</v>
      </c>
    </row>
    <row r="2798" spans="3:30">
      <c r="C2798" s="43" t="s">
        <v>5239</v>
      </c>
      <c r="D2798" s="44" t="s">
        <v>995</v>
      </c>
      <c r="E2798" s="44"/>
      <c r="F2798" s="45">
        <v>43316.503518518519</v>
      </c>
      <c r="G2798" s="46">
        <v>1</v>
      </c>
      <c r="H2798" s="47">
        <v>43431</v>
      </c>
      <c r="I2798" s="47">
        <v>43462</v>
      </c>
      <c r="J2798" s="46">
        <v>135463</v>
      </c>
      <c r="K2798" s="46">
        <v>0</v>
      </c>
      <c r="L2798" s="46">
        <v>0</v>
      </c>
      <c r="M2798" s="46">
        <f t="shared" si="760"/>
        <v>135463</v>
      </c>
      <c r="N2798" s="46">
        <v>200497</v>
      </c>
      <c r="O2798" s="48">
        <f t="shared" si="761"/>
        <v>0.32436395557040754</v>
      </c>
      <c r="P2798" s="46">
        <v>0</v>
      </c>
      <c r="Q2798" s="46">
        <v>0</v>
      </c>
      <c r="R2798" s="49">
        <f t="shared" si="762"/>
        <v>0</v>
      </c>
      <c r="S2798" s="50">
        <f t="shared" si="763"/>
        <v>0</v>
      </c>
      <c r="T2798" s="49">
        <f t="shared" si="764"/>
        <v>0</v>
      </c>
      <c r="U2798" s="51">
        <f t="shared" si="765"/>
        <v>0</v>
      </c>
      <c r="V2798" s="52">
        <f>IF(0&lt;0.8,0,IF(0&lt;1,Sheet3!L561,1))*IF(G2798&lt;3,0.12 - O2798,0.01) *U2798</f>
        <v>0</v>
      </c>
      <c r="W2798" s="52">
        <f t="shared" si="766"/>
        <v>0</v>
      </c>
      <c r="X2798" s="53">
        <f t="shared" si="767"/>
        <v>0</v>
      </c>
      <c r="Y2798" s="53">
        <f t="shared" si="768"/>
        <v>0</v>
      </c>
      <c r="Z2798" s="54">
        <f t="shared" si="773"/>
        <v>0</v>
      </c>
      <c r="AA2798" s="54">
        <f t="shared" si="769"/>
        <v>0</v>
      </c>
      <c r="AB2798" s="55">
        <f t="shared" si="775"/>
        <v>0</v>
      </c>
      <c r="AC2798" s="55">
        <f t="shared" si="770"/>
        <v>0</v>
      </c>
      <c r="AD2798" s="56">
        <f t="shared" si="771"/>
        <v>0</v>
      </c>
    </row>
    <row r="2799" spans="3:30">
      <c r="C2799" s="43" t="s">
        <v>5240</v>
      </c>
      <c r="D2799" s="44" t="s">
        <v>995</v>
      </c>
      <c r="E2799" s="44"/>
      <c r="F2799" s="45">
        <v>43316.504085648143</v>
      </c>
      <c r="G2799" s="46">
        <v>1</v>
      </c>
      <c r="H2799" s="47">
        <v>43431</v>
      </c>
      <c r="I2799" s="47">
        <v>43462</v>
      </c>
      <c r="J2799" s="46">
        <v>35991</v>
      </c>
      <c r="K2799" s="46">
        <v>0</v>
      </c>
      <c r="L2799" s="46">
        <v>0</v>
      </c>
      <c r="M2799" s="46">
        <f t="shared" si="760"/>
        <v>35991</v>
      </c>
      <c r="N2799" s="46">
        <v>56870</v>
      </c>
      <c r="O2799" s="48">
        <f t="shared" si="761"/>
        <v>0.36713557235800953</v>
      </c>
      <c r="P2799" s="46">
        <v>0</v>
      </c>
      <c r="Q2799" s="46">
        <v>0</v>
      </c>
      <c r="R2799" s="49">
        <f t="shared" si="762"/>
        <v>0</v>
      </c>
      <c r="S2799" s="50">
        <f t="shared" si="763"/>
        <v>0</v>
      </c>
      <c r="T2799" s="49">
        <f t="shared" si="764"/>
        <v>0</v>
      </c>
      <c r="U2799" s="51">
        <f t="shared" si="765"/>
        <v>0</v>
      </c>
      <c r="V2799" s="52">
        <f>IF(0&lt;0.8,0,IF(0&lt;1,Sheet3!L561,1))*IF(G2799&lt;3,0.12 - O2799,0.01) *U2799</f>
        <v>0</v>
      </c>
      <c r="W2799" s="52">
        <f t="shared" si="766"/>
        <v>0</v>
      </c>
      <c r="X2799" s="53">
        <f t="shared" si="767"/>
        <v>0</v>
      </c>
      <c r="Y2799" s="53">
        <f t="shared" si="768"/>
        <v>0</v>
      </c>
      <c r="Z2799" s="54">
        <f t="shared" si="773"/>
        <v>0</v>
      </c>
      <c r="AA2799" s="54">
        <f t="shared" si="769"/>
        <v>0</v>
      </c>
      <c r="AB2799" s="55">
        <f t="shared" si="775"/>
        <v>0</v>
      </c>
      <c r="AC2799" s="55">
        <f t="shared" si="770"/>
        <v>0</v>
      </c>
      <c r="AD2799" s="56">
        <f t="shared" si="771"/>
        <v>0</v>
      </c>
    </row>
    <row r="2800" spans="3:30">
      <c r="C2800" s="43" t="s">
        <v>5241</v>
      </c>
      <c r="D2800" s="44" t="s">
        <v>995</v>
      </c>
      <c r="E2800" s="44"/>
      <c r="F2800" s="45">
        <v>43316.504571759258</v>
      </c>
      <c r="G2800" s="46">
        <v>1</v>
      </c>
      <c r="H2800" s="47">
        <v>43431</v>
      </c>
      <c r="I2800" s="47">
        <v>43462</v>
      </c>
      <c r="J2800" s="46">
        <v>102990</v>
      </c>
      <c r="K2800" s="46">
        <v>0</v>
      </c>
      <c r="L2800" s="46">
        <v>0</v>
      </c>
      <c r="M2800" s="46">
        <f t="shared" si="760"/>
        <v>102990</v>
      </c>
      <c r="N2800" s="46">
        <v>162019</v>
      </c>
      <c r="O2800" s="48">
        <f t="shared" si="761"/>
        <v>0.36433381270097953</v>
      </c>
      <c r="P2800" s="46">
        <v>0</v>
      </c>
      <c r="Q2800" s="46">
        <v>0</v>
      </c>
      <c r="R2800" s="49">
        <f t="shared" si="762"/>
        <v>0</v>
      </c>
      <c r="S2800" s="50">
        <f t="shared" si="763"/>
        <v>0</v>
      </c>
      <c r="T2800" s="49">
        <f t="shared" si="764"/>
        <v>0</v>
      </c>
      <c r="U2800" s="51">
        <f t="shared" si="765"/>
        <v>0</v>
      </c>
      <c r="V2800" s="52">
        <f>IF(0&lt;0.8,0,IF(0&lt;1,Sheet3!L561,1))*IF(G2800&lt;3,0.12 - O2800,0.01) *U2800</f>
        <v>0</v>
      </c>
      <c r="W2800" s="52">
        <f t="shared" si="766"/>
        <v>0</v>
      </c>
      <c r="X2800" s="53">
        <f t="shared" si="767"/>
        <v>0</v>
      </c>
      <c r="Y2800" s="53">
        <f t="shared" si="768"/>
        <v>0</v>
      </c>
      <c r="Z2800" s="54">
        <f t="shared" si="773"/>
        <v>0</v>
      </c>
      <c r="AA2800" s="54">
        <f t="shared" si="769"/>
        <v>0</v>
      </c>
      <c r="AB2800" s="55">
        <f t="shared" si="775"/>
        <v>0</v>
      </c>
      <c r="AC2800" s="55">
        <f t="shared" si="770"/>
        <v>0</v>
      </c>
      <c r="AD2800" s="56">
        <f t="shared" si="771"/>
        <v>0</v>
      </c>
    </row>
    <row r="2801" spans="3:30">
      <c r="C2801" s="43" t="s">
        <v>5242</v>
      </c>
      <c r="D2801" s="44" t="s">
        <v>995</v>
      </c>
      <c r="E2801" s="44"/>
      <c r="F2801" s="45">
        <v>43316.505162037036</v>
      </c>
      <c r="G2801" s="46">
        <v>1</v>
      </c>
      <c r="H2801" s="47">
        <v>43431</v>
      </c>
      <c r="I2801" s="47">
        <v>43462</v>
      </c>
      <c r="J2801" s="46">
        <v>532252</v>
      </c>
      <c r="K2801" s="46">
        <v>0</v>
      </c>
      <c r="L2801" s="46">
        <v>0</v>
      </c>
      <c r="M2801" s="46">
        <f t="shared" si="760"/>
        <v>532252</v>
      </c>
      <c r="N2801" s="46">
        <v>692483</v>
      </c>
      <c r="O2801" s="48">
        <f t="shared" si="761"/>
        <v>0.23138618565365499</v>
      </c>
      <c r="P2801" s="46">
        <v>0</v>
      </c>
      <c r="Q2801" s="46">
        <v>0</v>
      </c>
      <c r="R2801" s="49">
        <f t="shared" si="762"/>
        <v>0</v>
      </c>
      <c r="S2801" s="50">
        <f t="shared" si="763"/>
        <v>0</v>
      </c>
      <c r="T2801" s="49">
        <f t="shared" si="764"/>
        <v>0</v>
      </c>
      <c r="U2801" s="51">
        <f t="shared" si="765"/>
        <v>0</v>
      </c>
      <c r="V2801" s="52">
        <f>IF(0&lt;0.8,0,IF(0&lt;1,Sheet3!L561,1))*IF(G2801&lt;3,0.12 - O2801,0.01) *U2801</f>
        <v>0</v>
      </c>
      <c r="W2801" s="52">
        <f t="shared" si="766"/>
        <v>0</v>
      </c>
      <c r="X2801" s="53">
        <f t="shared" si="767"/>
        <v>0</v>
      </c>
      <c r="Y2801" s="53">
        <f t="shared" si="768"/>
        <v>0</v>
      </c>
      <c r="Z2801" s="54">
        <f t="shared" si="773"/>
        <v>0</v>
      </c>
      <c r="AA2801" s="54">
        <f t="shared" si="769"/>
        <v>0</v>
      </c>
      <c r="AB2801" s="55">
        <f t="shared" si="775"/>
        <v>0</v>
      </c>
      <c r="AC2801" s="55">
        <f t="shared" si="770"/>
        <v>0</v>
      </c>
      <c r="AD2801" s="56">
        <f t="shared" si="771"/>
        <v>0</v>
      </c>
    </row>
    <row r="2802" spans="3:30">
      <c r="C2802" s="43" t="s">
        <v>5243</v>
      </c>
      <c r="D2802" s="44" t="s">
        <v>995</v>
      </c>
      <c r="E2802" s="44"/>
      <c r="F2802" s="45">
        <v>43316.50577546296</v>
      </c>
      <c r="G2802" s="46">
        <v>1</v>
      </c>
      <c r="H2802" s="47">
        <v>43431</v>
      </c>
      <c r="I2802" s="47">
        <v>43462</v>
      </c>
      <c r="J2802" s="46">
        <v>44724</v>
      </c>
      <c r="K2802" s="46">
        <v>0</v>
      </c>
      <c r="L2802" s="46">
        <v>0</v>
      </c>
      <c r="M2802" s="46">
        <f t="shared" si="760"/>
        <v>44724</v>
      </c>
      <c r="N2802" s="46">
        <v>79860</v>
      </c>
      <c r="O2802" s="48">
        <f t="shared" si="761"/>
        <v>0.43996994740796391</v>
      </c>
      <c r="P2802" s="46">
        <v>0</v>
      </c>
      <c r="Q2802" s="46">
        <v>0</v>
      </c>
      <c r="R2802" s="49">
        <f t="shared" si="762"/>
        <v>0</v>
      </c>
      <c r="S2802" s="50">
        <f t="shared" si="763"/>
        <v>0</v>
      </c>
      <c r="T2802" s="49">
        <f t="shared" si="764"/>
        <v>0</v>
      </c>
      <c r="U2802" s="51">
        <f t="shared" si="765"/>
        <v>0</v>
      </c>
      <c r="V2802" s="52">
        <f>IF(0&lt;0.8,0,IF(0&lt;1,Sheet3!L561,1))*IF(G2802&lt;3,0.12 - O2802,0.01) *U2802</f>
        <v>0</v>
      </c>
      <c r="W2802" s="52">
        <f t="shared" si="766"/>
        <v>0</v>
      </c>
      <c r="X2802" s="53">
        <f t="shared" si="767"/>
        <v>0</v>
      </c>
      <c r="Y2802" s="53">
        <f t="shared" si="768"/>
        <v>0</v>
      </c>
      <c r="Z2802" s="54">
        <f t="shared" si="773"/>
        <v>0</v>
      </c>
      <c r="AA2802" s="54">
        <f t="shared" si="769"/>
        <v>0</v>
      </c>
      <c r="AB2802" s="55">
        <f t="shared" si="775"/>
        <v>0</v>
      </c>
      <c r="AC2802" s="55">
        <f t="shared" si="770"/>
        <v>0</v>
      </c>
      <c r="AD2802" s="56">
        <f t="shared" si="771"/>
        <v>0</v>
      </c>
    </row>
    <row r="2803" spans="3:30">
      <c r="C2803" s="43" t="s">
        <v>5244</v>
      </c>
      <c r="D2803" s="44" t="s">
        <v>995</v>
      </c>
      <c r="E2803" s="44"/>
      <c r="F2803" s="45">
        <v>43316.506435185183</v>
      </c>
      <c r="G2803" s="46">
        <v>1</v>
      </c>
      <c r="H2803" s="47">
        <v>43431</v>
      </c>
      <c r="I2803" s="47">
        <v>43462</v>
      </c>
      <c r="J2803" s="46">
        <v>231182</v>
      </c>
      <c r="K2803" s="46">
        <v>0</v>
      </c>
      <c r="L2803" s="46">
        <v>0</v>
      </c>
      <c r="M2803" s="46">
        <f t="shared" ref="M2803:M2866" si="776">IFERROR(J2803-K2803-L2803,0)</f>
        <v>231182</v>
      </c>
      <c r="N2803" s="46">
        <v>338437</v>
      </c>
      <c r="O2803" s="48">
        <f t="shared" ref="O2803:O2866" si="777">IFERROR(IF(1 - M2803/N2803&lt;0,0,1-M2803/N2803),0)</f>
        <v>0.31691274890156806</v>
      </c>
      <c r="P2803" s="46">
        <v>0</v>
      </c>
      <c r="Q2803" s="46">
        <v>0</v>
      </c>
      <c r="R2803" s="49">
        <f t="shared" ref="R2803:R2866" si="778">IF(F2803&lt;DATEVALUE("2018-07-01"),1,0)</f>
        <v>0</v>
      </c>
      <c r="S2803" s="50">
        <f t="shared" ref="S2803:S2866" si="779">IF(R2803=1,1%,0)</f>
        <v>0</v>
      </c>
      <c r="T2803" s="49">
        <f t="shared" ref="T2803:T2866" si="780">IFERROR(S2803*M2803,0)</f>
        <v>0</v>
      </c>
      <c r="U2803" s="51">
        <f t="shared" ref="U2803:U2866" si="781">IF(O2803&lt;=0.12,1,0)*(1-R2803)*M2803</f>
        <v>0</v>
      </c>
      <c r="V2803" s="52">
        <f>IF(0&lt;0.8,0,IF(0&lt;1,Sheet3!L561,1))*IF(G2803&lt;3,0.12 - O2803,0.01) *U2803</f>
        <v>0</v>
      </c>
      <c r="W2803" s="52">
        <f t="shared" ref="W2803:W2866" si="782">IF(0&gt;1,IF(0&lt;=1.1,1,IF(0&lt;=1.2,2,IF(0&lt;=1.5,3,5))),0) * 1000000</f>
        <v>0</v>
      </c>
      <c r="X2803" s="53">
        <f t="shared" ref="X2803:X2866" si="783">IF(AND(P2803&gt;=150000000,P2803&lt;300000000),5000000,IF(AND(P2803&gt;=300000000,P2803&lt;500000000),10000000,IF(AND(P2803&gt;=300000000,P2803&lt;500000000),15000000,IF(AND(P2803&gt;=500000000,P2803&lt;3000000000),20000000,IF(P2803&gt;=30000000000,35000000,0))))) * (1-R2803)</f>
        <v>0</v>
      </c>
      <c r="Y2803" s="53">
        <f t="shared" ref="Y2803:Y2866" si="784">IFERROR(Q2803 * (1-R2803),0)</f>
        <v>0</v>
      </c>
      <c r="Z2803" s="54">
        <f t="shared" si="773"/>
        <v>0</v>
      </c>
      <c r="AA2803" s="54">
        <f t="shared" ref="AA2803:AA2866" si="785">IFERROR((1-R2803) * Z2803 * 2%,0)</f>
        <v>0</v>
      </c>
      <c r="AB2803" s="55">
        <f t="shared" si="775"/>
        <v>0</v>
      </c>
      <c r="AC2803" s="55">
        <f t="shared" ref="AC2803:AC2866" si="786">IFERROR(AB2803 * (1-R2803) * 2%,0)</f>
        <v>0</v>
      </c>
      <c r="AD2803" s="56">
        <f t="shared" ref="AD2803:AD2866" si="787">T2803+V2803+W2803+X2803+AA2803+AC2803</f>
        <v>0</v>
      </c>
    </row>
    <row r="2804" spans="3:30">
      <c r="C2804" s="43" t="s">
        <v>5245</v>
      </c>
      <c r="D2804" s="44" t="s">
        <v>995</v>
      </c>
      <c r="E2804" s="44"/>
      <c r="F2804" s="45">
        <v>43316.5071412037</v>
      </c>
      <c r="G2804" s="46">
        <v>1</v>
      </c>
      <c r="H2804" s="47">
        <v>43431</v>
      </c>
      <c r="I2804" s="47">
        <v>43462</v>
      </c>
      <c r="J2804" s="46">
        <v>14908</v>
      </c>
      <c r="K2804" s="46">
        <v>0</v>
      </c>
      <c r="L2804" s="46">
        <v>0</v>
      </c>
      <c r="M2804" s="46">
        <f t="shared" si="776"/>
        <v>14908</v>
      </c>
      <c r="N2804" s="46">
        <v>26620</v>
      </c>
      <c r="O2804" s="48">
        <f t="shared" si="777"/>
        <v>0.43996994740796391</v>
      </c>
      <c r="P2804" s="46">
        <v>0</v>
      </c>
      <c r="Q2804" s="46">
        <v>0</v>
      </c>
      <c r="R2804" s="49">
        <f t="shared" si="778"/>
        <v>0</v>
      </c>
      <c r="S2804" s="50">
        <f t="shared" si="779"/>
        <v>0</v>
      </c>
      <c r="T2804" s="49">
        <f t="shared" si="780"/>
        <v>0</v>
      </c>
      <c r="U2804" s="51">
        <f t="shared" si="781"/>
        <v>0</v>
      </c>
      <c r="V2804" s="52">
        <f>IF(0&lt;0.8,0,IF(0&lt;1,Sheet3!L561,1))*IF(G2804&lt;3,0.12 - O2804,0.01) *U2804</f>
        <v>0</v>
      </c>
      <c r="W2804" s="52">
        <f t="shared" si="782"/>
        <v>0</v>
      </c>
      <c r="X2804" s="53">
        <f t="shared" si="783"/>
        <v>0</v>
      </c>
      <c r="Y2804" s="53">
        <f t="shared" si="784"/>
        <v>0</v>
      </c>
      <c r="Z2804" s="54">
        <f t="shared" si="773"/>
        <v>0</v>
      </c>
      <c r="AA2804" s="54">
        <f t="shared" si="785"/>
        <v>0</v>
      </c>
      <c r="AB2804" s="55">
        <f t="shared" si="775"/>
        <v>0</v>
      </c>
      <c r="AC2804" s="55">
        <f t="shared" si="786"/>
        <v>0</v>
      </c>
      <c r="AD2804" s="56">
        <f t="shared" si="787"/>
        <v>0</v>
      </c>
    </row>
    <row r="2805" spans="3:30">
      <c r="C2805" s="43" t="s">
        <v>5246</v>
      </c>
      <c r="D2805" s="44" t="s">
        <v>995</v>
      </c>
      <c r="E2805" s="44"/>
      <c r="F2805" s="45">
        <v>43316.507881944446</v>
      </c>
      <c r="G2805" s="46">
        <v>1</v>
      </c>
      <c r="H2805" s="47">
        <v>43431</v>
      </c>
      <c r="I2805" s="47">
        <v>43462</v>
      </c>
      <c r="J2805" s="46">
        <v>130461</v>
      </c>
      <c r="K2805" s="46">
        <v>0</v>
      </c>
      <c r="L2805" s="46">
        <v>0</v>
      </c>
      <c r="M2805" s="46">
        <f t="shared" si="776"/>
        <v>130461</v>
      </c>
      <c r="N2805" s="46">
        <v>214654</v>
      </c>
      <c r="O2805" s="48">
        <f t="shared" si="777"/>
        <v>0.39222655995229527</v>
      </c>
      <c r="P2805" s="46">
        <v>0</v>
      </c>
      <c r="Q2805" s="46">
        <v>0</v>
      </c>
      <c r="R2805" s="49">
        <f t="shared" si="778"/>
        <v>0</v>
      </c>
      <c r="S2805" s="50">
        <f t="shared" si="779"/>
        <v>0</v>
      </c>
      <c r="T2805" s="49">
        <f t="shared" si="780"/>
        <v>0</v>
      </c>
      <c r="U2805" s="51">
        <f t="shared" si="781"/>
        <v>0</v>
      </c>
      <c r="V2805" s="52">
        <f>IF(0&lt;0.8,0,IF(0&lt;1,Sheet3!L561,1))*IF(G2805&lt;3,0.12 - O2805,0.01) *U2805</f>
        <v>0</v>
      </c>
      <c r="W2805" s="52">
        <f t="shared" si="782"/>
        <v>0</v>
      </c>
      <c r="X2805" s="53">
        <f t="shared" si="783"/>
        <v>0</v>
      </c>
      <c r="Y2805" s="53">
        <f t="shared" si="784"/>
        <v>0</v>
      </c>
      <c r="Z2805" s="54">
        <f t="shared" si="773"/>
        <v>0</v>
      </c>
      <c r="AA2805" s="54">
        <f t="shared" si="785"/>
        <v>0</v>
      </c>
      <c r="AB2805" s="55">
        <f t="shared" si="775"/>
        <v>0</v>
      </c>
      <c r="AC2805" s="55">
        <f t="shared" si="786"/>
        <v>0</v>
      </c>
      <c r="AD2805" s="56">
        <f t="shared" si="787"/>
        <v>0</v>
      </c>
    </row>
    <row r="2806" spans="3:30">
      <c r="C2806" s="43" t="s">
        <v>5247</v>
      </c>
      <c r="D2806" s="44" t="s">
        <v>995</v>
      </c>
      <c r="E2806" s="44"/>
      <c r="F2806" s="45">
        <v>43316.508506944439</v>
      </c>
      <c r="G2806" s="46">
        <v>1</v>
      </c>
      <c r="H2806" s="47">
        <v>43431</v>
      </c>
      <c r="I2806" s="47">
        <v>43462</v>
      </c>
      <c r="J2806" s="46">
        <v>323169</v>
      </c>
      <c r="K2806" s="46">
        <v>0</v>
      </c>
      <c r="L2806" s="46">
        <v>0</v>
      </c>
      <c r="M2806" s="46">
        <f t="shared" si="776"/>
        <v>323169</v>
      </c>
      <c r="N2806" s="46">
        <v>465729</v>
      </c>
      <c r="O2806" s="48">
        <f t="shared" si="777"/>
        <v>0.30610075816622972</v>
      </c>
      <c r="P2806" s="46">
        <v>0</v>
      </c>
      <c r="Q2806" s="46">
        <v>0</v>
      </c>
      <c r="R2806" s="49">
        <f t="shared" si="778"/>
        <v>0</v>
      </c>
      <c r="S2806" s="50">
        <f t="shared" si="779"/>
        <v>0</v>
      </c>
      <c r="T2806" s="49">
        <f t="shared" si="780"/>
        <v>0</v>
      </c>
      <c r="U2806" s="51">
        <f t="shared" si="781"/>
        <v>0</v>
      </c>
      <c r="V2806" s="52">
        <f>IF(0&lt;0.8,0,IF(0&lt;1,Sheet3!L561,1))*IF(G2806&lt;3,0.12 - O2806,0.01) *U2806</f>
        <v>0</v>
      </c>
      <c r="W2806" s="52">
        <f t="shared" si="782"/>
        <v>0</v>
      </c>
      <c r="X2806" s="53">
        <f t="shared" si="783"/>
        <v>0</v>
      </c>
      <c r="Y2806" s="53">
        <f t="shared" si="784"/>
        <v>0</v>
      </c>
      <c r="Z2806" s="54">
        <f t="shared" si="773"/>
        <v>0</v>
      </c>
      <c r="AA2806" s="54">
        <f t="shared" si="785"/>
        <v>0</v>
      </c>
      <c r="AB2806" s="55">
        <f t="shared" si="775"/>
        <v>0</v>
      </c>
      <c r="AC2806" s="55">
        <f t="shared" si="786"/>
        <v>0</v>
      </c>
      <c r="AD2806" s="56">
        <f t="shared" si="787"/>
        <v>0</v>
      </c>
    </row>
    <row r="2807" spans="3:30">
      <c r="C2807" s="43" t="s">
        <v>5248</v>
      </c>
      <c r="D2807" s="44" t="s">
        <v>995</v>
      </c>
      <c r="E2807" s="44"/>
      <c r="F2807" s="45">
        <v>43316.509212962963</v>
      </c>
      <c r="G2807" s="46">
        <v>1</v>
      </c>
      <c r="H2807" s="47">
        <v>43431</v>
      </c>
      <c r="I2807" s="47">
        <v>43462</v>
      </c>
      <c r="J2807" s="46">
        <v>275334</v>
      </c>
      <c r="K2807" s="46">
        <v>0</v>
      </c>
      <c r="L2807" s="46">
        <v>0</v>
      </c>
      <c r="M2807" s="46">
        <f t="shared" si="776"/>
        <v>275334</v>
      </c>
      <c r="N2807" s="46">
        <v>437606</v>
      </c>
      <c r="O2807" s="48">
        <f t="shared" si="777"/>
        <v>0.37081758476803339</v>
      </c>
      <c r="P2807" s="46">
        <v>0</v>
      </c>
      <c r="Q2807" s="46">
        <v>0</v>
      </c>
      <c r="R2807" s="49">
        <f t="shared" si="778"/>
        <v>0</v>
      </c>
      <c r="S2807" s="50">
        <f t="shared" si="779"/>
        <v>0</v>
      </c>
      <c r="T2807" s="49">
        <f t="shared" si="780"/>
        <v>0</v>
      </c>
      <c r="U2807" s="51">
        <f t="shared" si="781"/>
        <v>0</v>
      </c>
      <c r="V2807" s="52">
        <f>IF(0&lt;0.8,0,IF(0&lt;1,Sheet3!L561,1))*IF(G2807&lt;3,0.12 - O2807,0.01) *U2807</f>
        <v>0</v>
      </c>
      <c r="W2807" s="52">
        <f t="shared" si="782"/>
        <v>0</v>
      </c>
      <c r="X2807" s="53">
        <f t="shared" si="783"/>
        <v>0</v>
      </c>
      <c r="Y2807" s="53">
        <f t="shared" si="784"/>
        <v>0</v>
      </c>
      <c r="Z2807" s="54">
        <f t="shared" si="773"/>
        <v>0</v>
      </c>
      <c r="AA2807" s="54">
        <f t="shared" si="785"/>
        <v>0</v>
      </c>
      <c r="AB2807" s="55">
        <f t="shared" si="775"/>
        <v>0</v>
      </c>
      <c r="AC2807" s="55">
        <f t="shared" si="786"/>
        <v>0</v>
      </c>
      <c r="AD2807" s="56">
        <f t="shared" si="787"/>
        <v>0</v>
      </c>
    </row>
    <row r="2808" spans="3:30">
      <c r="C2808" s="43" t="s">
        <v>5249</v>
      </c>
      <c r="D2808" s="44" t="s">
        <v>995</v>
      </c>
      <c r="E2808" s="44"/>
      <c r="F2808" s="45">
        <v>43316.657500000001</v>
      </c>
      <c r="G2808" s="46">
        <v>1</v>
      </c>
      <c r="H2808" s="47">
        <v>43431</v>
      </c>
      <c r="I2808" s="47">
        <v>43462</v>
      </c>
      <c r="J2808" s="46">
        <v>299449</v>
      </c>
      <c r="K2808" s="46">
        <v>0</v>
      </c>
      <c r="L2808" s="46">
        <v>0</v>
      </c>
      <c r="M2808" s="46">
        <f t="shared" si="776"/>
        <v>299449</v>
      </c>
      <c r="N2808" s="46">
        <v>444312</v>
      </c>
      <c r="O2808" s="48">
        <f t="shared" si="777"/>
        <v>0.32603890959505932</v>
      </c>
      <c r="P2808" s="46">
        <v>0</v>
      </c>
      <c r="Q2808" s="46">
        <v>0</v>
      </c>
      <c r="R2808" s="49">
        <f t="shared" si="778"/>
        <v>0</v>
      </c>
      <c r="S2808" s="50">
        <f t="shared" si="779"/>
        <v>0</v>
      </c>
      <c r="T2808" s="49">
        <f t="shared" si="780"/>
        <v>0</v>
      </c>
      <c r="U2808" s="51">
        <f t="shared" si="781"/>
        <v>0</v>
      </c>
      <c r="V2808" s="52">
        <f>IF(0&lt;0.8,0,IF(0&lt;1,Sheet3!L561,1))*IF(G2808&lt;3,0.12 - O2808,0.01) *U2808</f>
        <v>0</v>
      </c>
      <c r="W2808" s="52">
        <f t="shared" si="782"/>
        <v>0</v>
      </c>
      <c r="X2808" s="53">
        <f t="shared" si="783"/>
        <v>0</v>
      </c>
      <c r="Y2808" s="53">
        <f t="shared" si="784"/>
        <v>0</v>
      </c>
      <c r="Z2808" s="54">
        <f t="shared" si="773"/>
        <v>0</v>
      </c>
      <c r="AA2808" s="54">
        <f t="shared" si="785"/>
        <v>0</v>
      </c>
      <c r="AB2808" s="55">
        <f t="shared" si="775"/>
        <v>0</v>
      </c>
      <c r="AC2808" s="55">
        <f t="shared" si="786"/>
        <v>0</v>
      </c>
      <c r="AD2808" s="56">
        <f t="shared" si="787"/>
        <v>0</v>
      </c>
    </row>
    <row r="2809" spans="3:30">
      <c r="C2809" s="43" t="s">
        <v>5250</v>
      </c>
      <c r="D2809" s="44" t="s">
        <v>995</v>
      </c>
      <c r="E2809" s="44"/>
      <c r="F2809" s="45">
        <v>43316.658217592594</v>
      </c>
      <c r="G2809" s="46">
        <v>1</v>
      </c>
      <c r="H2809" s="47">
        <v>43431</v>
      </c>
      <c r="I2809" s="47">
        <v>43462</v>
      </c>
      <c r="J2809" s="46">
        <v>36204</v>
      </c>
      <c r="K2809" s="46">
        <v>0</v>
      </c>
      <c r="L2809" s="46">
        <v>0</v>
      </c>
      <c r="M2809" s="46">
        <f t="shared" si="776"/>
        <v>36204</v>
      </c>
      <c r="N2809" s="46">
        <v>54450</v>
      </c>
      <c r="O2809" s="48">
        <f t="shared" si="777"/>
        <v>0.3350964187327824</v>
      </c>
      <c r="P2809" s="46">
        <v>0</v>
      </c>
      <c r="Q2809" s="46">
        <v>0</v>
      </c>
      <c r="R2809" s="49">
        <f t="shared" si="778"/>
        <v>0</v>
      </c>
      <c r="S2809" s="50">
        <f t="shared" si="779"/>
        <v>0</v>
      </c>
      <c r="T2809" s="49">
        <f t="shared" si="780"/>
        <v>0</v>
      </c>
      <c r="U2809" s="51">
        <f t="shared" si="781"/>
        <v>0</v>
      </c>
      <c r="V2809" s="52">
        <f>IF(0&lt;0.8,0,IF(0&lt;1,Sheet3!L561,1))*IF(G2809&lt;3,0.12 - O2809,0.01) *U2809</f>
        <v>0</v>
      </c>
      <c r="W2809" s="52">
        <f t="shared" si="782"/>
        <v>0</v>
      </c>
      <c r="X2809" s="53">
        <f t="shared" si="783"/>
        <v>0</v>
      </c>
      <c r="Y2809" s="53">
        <f t="shared" si="784"/>
        <v>0</v>
      </c>
      <c r="Z2809" s="54">
        <f t="shared" si="773"/>
        <v>0</v>
      </c>
      <c r="AA2809" s="54">
        <f t="shared" si="785"/>
        <v>0</v>
      </c>
      <c r="AB2809" s="55">
        <f t="shared" si="775"/>
        <v>0</v>
      </c>
      <c r="AC2809" s="55">
        <f t="shared" si="786"/>
        <v>0</v>
      </c>
      <c r="AD2809" s="56">
        <f t="shared" si="787"/>
        <v>0</v>
      </c>
    </row>
    <row r="2810" spans="3:30">
      <c r="C2810" s="43" t="s">
        <v>5251</v>
      </c>
      <c r="D2810" s="44" t="s">
        <v>995</v>
      </c>
      <c r="E2810" s="44"/>
      <c r="F2810" s="45">
        <v>43316.659317129626</v>
      </c>
      <c r="G2810" s="46">
        <v>1</v>
      </c>
      <c r="H2810" s="47">
        <v>43431</v>
      </c>
      <c r="I2810" s="47">
        <v>43462</v>
      </c>
      <c r="J2810" s="46">
        <v>199831</v>
      </c>
      <c r="K2810" s="46">
        <v>0</v>
      </c>
      <c r="L2810" s="46">
        <v>0</v>
      </c>
      <c r="M2810" s="46">
        <f t="shared" si="776"/>
        <v>199831</v>
      </c>
      <c r="N2810" s="46">
        <v>276797</v>
      </c>
      <c r="O2810" s="48">
        <f t="shared" si="777"/>
        <v>0.27805937203076625</v>
      </c>
      <c r="P2810" s="46">
        <v>0</v>
      </c>
      <c r="Q2810" s="46">
        <v>0</v>
      </c>
      <c r="R2810" s="49">
        <f t="shared" si="778"/>
        <v>0</v>
      </c>
      <c r="S2810" s="50">
        <f t="shared" si="779"/>
        <v>0</v>
      </c>
      <c r="T2810" s="49">
        <f t="shared" si="780"/>
        <v>0</v>
      </c>
      <c r="U2810" s="51">
        <f t="shared" si="781"/>
        <v>0</v>
      </c>
      <c r="V2810" s="52">
        <f>IF(0&lt;0.8,0,IF(0&lt;1,Sheet3!L561,1))*IF(G2810&lt;3,0.12 - O2810,0.01) *U2810</f>
        <v>0</v>
      </c>
      <c r="W2810" s="52">
        <f t="shared" si="782"/>
        <v>0</v>
      </c>
      <c r="X2810" s="53">
        <f t="shared" si="783"/>
        <v>0</v>
      </c>
      <c r="Y2810" s="53">
        <f t="shared" si="784"/>
        <v>0</v>
      </c>
      <c r="Z2810" s="54">
        <f t="shared" si="773"/>
        <v>0</v>
      </c>
      <c r="AA2810" s="54">
        <f t="shared" si="785"/>
        <v>0</v>
      </c>
      <c r="AB2810" s="55">
        <f t="shared" si="775"/>
        <v>0</v>
      </c>
      <c r="AC2810" s="55">
        <f t="shared" si="786"/>
        <v>0</v>
      </c>
      <c r="AD2810" s="56">
        <f t="shared" si="787"/>
        <v>0</v>
      </c>
    </row>
    <row r="2811" spans="3:30">
      <c r="C2811" s="43" t="s">
        <v>5252</v>
      </c>
      <c r="D2811" s="44" t="s">
        <v>995</v>
      </c>
      <c r="E2811" s="44"/>
      <c r="F2811" s="45">
        <v>43316.659895833334</v>
      </c>
      <c r="G2811" s="46">
        <v>1</v>
      </c>
      <c r="H2811" s="47">
        <v>43431</v>
      </c>
      <c r="I2811" s="47">
        <v>43462</v>
      </c>
      <c r="J2811" s="46">
        <v>143658</v>
      </c>
      <c r="K2811" s="46">
        <v>0</v>
      </c>
      <c r="L2811" s="46">
        <v>0</v>
      </c>
      <c r="M2811" s="46">
        <f t="shared" si="776"/>
        <v>143658</v>
      </c>
      <c r="N2811" s="46">
        <v>230021</v>
      </c>
      <c r="O2811" s="48">
        <f t="shared" si="777"/>
        <v>0.37545702348915966</v>
      </c>
      <c r="P2811" s="46">
        <v>0</v>
      </c>
      <c r="Q2811" s="46">
        <v>0</v>
      </c>
      <c r="R2811" s="49">
        <f t="shared" si="778"/>
        <v>0</v>
      </c>
      <c r="S2811" s="50">
        <f t="shared" si="779"/>
        <v>0</v>
      </c>
      <c r="T2811" s="49">
        <f t="shared" si="780"/>
        <v>0</v>
      </c>
      <c r="U2811" s="51">
        <f t="shared" si="781"/>
        <v>0</v>
      </c>
      <c r="V2811" s="52">
        <f>IF(0&lt;0.8,0,IF(0&lt;1,Sheet3!L561,1))*IF(G2811&lt;3,0.12 - O2811,0.01) *U2811</f>
        <v>0</v>
      </c>
      <c r="W2811" s="52">
        <f t="shared" si="782"/>
        <v>0</v>
      </c>
      <c r="X2811" s="53">
        <f t="shared" si="783"/>
        <v>0</v>
      </c>
      <c r="Y2811" s="53">
        <f t="shared" si="784"/>
        <v>0</v>
      </c>
      <c r="Z2811" s="54">
        <f t="shared" si="773"/>
        <v>0</v>
      </c>
      <c r="AA2811" s="54">
        <f t="shared" si="785"/>
        <v>0</v>
      </c>
      <c r="AB2811" s="55">
        <f t="shared" si="775"/>
        <v>0</v>
      </c>
      <c r="AC2811" s="55">
        <f t="shared" si="786"/>
        <v>0</v>
      </c>
      <c r="AD2811" s="56">
        <f t="shared" si="787"/>
        <v>0</v>
      </c>
    </row>
    <row r="2812" spans="3:30">
      <c r="C2812" s="43" t="s">
        <v>5253</v>
      </c>
      <c r="D2812" s="44" t="s">
        <v>995</v>
      </c>
      <c r="E2812" s="44"/>
      <c r="F2812" s="45">
        <v>43316.662812499999</v>
      </c>
      <c r="G2812" s="46">
        <v>1</v>
      </c>
      <c r="H2812" s="47">
        <v>43431</v>
      </c>
      <c r="I2812" s="47">
        <v>43462</v>
      </c>
      <c r="J2812" s="46">
        <v>397390</v>
      </c>
      <c r="K2812" s="46">
        <v>0</v>
      </c>
      <c r="L2812" s="46">
        <v>0</v>
      </c>
      <c r="M2812" s="46">
        <f t="shared" si="776"/>
        <v>397390</v>
      </c>
      <c r="N2812" s="46">
        <v>583220</v>
      </c>
      <c r="O2812" s="48">
        <f t="shared" si="777"/>
        <v>0.31862761908027848</v>
      </c>
      <c r="P2812" s="46">
        <v>0</v>
      </c>
      <c r="Q2812" s="46">
        <v>0</v>
      </c>
      <c r="R2812" s="49">
        <f t="shared" si="778"/>
        <v>0</v>
      </c>
      <c r="S2812" s="50">
        <f t="shared" si="779"/>
        <v>0</v>
      </c>
      <c r="T2812" s="49">
        <f t="shared" si="780"/>
        <v>0</v>
      </c>
      <c r="U2812" s="51">
        <f t="shared" si="781"/>
        <v>0</v>
      </c>
      <c r="V2812" s="52">
        <f>IF(0&lt;0.8,0,IF(0&lt;1,Sheet3!L561,1))*IF(G2812&lt;3,0.12 - O2812,0.01) *U2812</f>
        <v>0</v>
      </c>
      <c r="W2812" s="52">
        <f t="shared" si="782"/>
        <v>0</v>
      </c>
      <c r="X2812" s="53">
        <f t="shared" si="783"/>
        <v>0</v>
      </c>
      <c r="Y2812" s="53">
        <f t="shared" si="784"/>
        <v>0</v>
      </c>
      <c r="Z2812" s="54">
        <f t="shared" si="773"/>
        <v>0</v>
      </c>
      <c r="AA2812" s="54">
        <f t="shared" si="785"/>
        <v>0</v>
      </c>
      <c r="AB2812" s="55">
        <f t="shared" si="775"/>
        <v>0</v>
      </c>
      <c r="AC2812" s="55">
        <f t="shared" si="786"/>
        <v>0</v>
      </c>
      <c r="AD2812" s="56">
        <f t="shared" si="787"/>
        <v>0</v>
      </c>
    </row>
    <row r="2813" spans="3:30">
      <c r="C2813" s="43" t="s">
        <v>5254</v>
      </c>
      <c r="D2813" s="44" t="s">
        <v>995</v>
      </c>
      <c r="E2813" s="44"/>
      <c r="F2813" s="45">
        <v>43316.663576388884</v>
      </c>
      <c r="G2813" s="46">
        <v>1</v>
      </c>
      <c r="H2813" s="47">
        <v>43431</v>
      </c>
      <c r="I2813" s="47">
        <v>43462</v>
      </c>
      <c r="J2813" s="46">
        <v>214875</v>
      </c>
      <c r="K2813" s="46">
        <v>0</v>
      </c>
      <c r="L2813" s="46">
        <v>0</v>
      </c>
      <c r="M2813" s="46">
        <f t="shared" si="776"/>
        <v>214875</v>
      </c>
      <c r="N2813" s="46">
        <v>317020</v>
      </c>
      <c r="O2813" s="48">
        <f t="shared" si="777"/>
        <v>0.32220364645763677</v>
      </c>
      <c r="P2813" s="46">
        <v>0</v>
      </c>
      <c r="Q2813" s="46">
        <v>0</v>
      </c>
      <c r="R2813" s="49">
        <f t="shared" si="778"/>
        <v>0</v>
      </c>
      <c r="S2813" s="50">
        <f t="shared" si="779"/>
        <v>0</v>
      </c>
      <c r="T2813" s="49">
        <f t="shared" si="780"/>
        <v>0</v>
      </c>
      <c r="U2813" s="51">
        <f t="shared" si="781"/>
        <v>0</v>
      </c>
      <c r="V2813" s="52">
        <f>IF(0&lt;0.8,0,IF(0&lt;1,Sheet3!L561,1))*IF(G2813&lt;3,0.12 - O2813,0.01) *U2813</f>
        <v>0</v>
      </c>
      <c r="W2813" s="52">
        <f t="shared" si="782"/>
        <v>0</v>
      </c>
      <c r="X2813" s="53">
        <f t="shared" si="783"/>
        <v>0</v>
      </c>
      <c r="Y2813" s="53">
        <f t="shared" si="784"/>
        <v>0</v>
      </c>
      <c r="Z2813" s="54">
        <f t="shared" si="773"/>
        <v>0</v>
      </c>
      <c r="AA2813" s="54">
        <f t="shared" si="785"/>
        <v>0</v>
      </c>
      <c r="AB2813" s="55">
        <f t="shared" si="775"/>
        <v>0</v>
      </c>
      <c r="AC2813" s="55">
        <f t="shared" si="786"/>
        <v>0</v>
      </c>
      <c r="AD2813" s="56">
        <f t="shared" si="787"/>
        <v>0</v>
      </c>
    </row>
    <row r="2814" spans="3:30">
      <c r="C2814" s="43" t="s">
        <v>5255</v>
      </c>
      <c r="D2814" s="44" t="s">
        <v>995</v>
      </c>
      <c r="E2814" s="44"/>
      <c r="F2814" s="45">
        <v>43316.664305555554</v>
      </c>
      <c r="G2814" s="46">
        <v>1</v>
      </c>
      <c r="H2814" s="47">
        <v>43431</v>
      </c>
      <c r="I2814" s="47">
        <v>43462</v>
      </c>
      <c r="J2814" s="46">
        <v>151006</v>
      </c>
      <c r="K2814" s="46">
        <v>0</v>
      </c>
      <c r="L2814" s="46">
        <v>0</v>
      </c>
      <c r="M2814" s="46">
        <f t="shared" si="776"/>
        <v>151006</v>
      </c>
      <c r="N2814" s="46">
        <v>220099</v>
      </c>
      <c r="O2814" s="48">
        <f t="shared" si="777"/>
        <v>0.31391782788654199</v>
      </c>
      <c r="P2814" s="46">
        <v>0</v>
      </c>
      <c r="Q2814" s="46">
        <v>0</v>
      </c>
      <c r="R2814" s="49">
        <f t="shared" si="778"/>
        <v>0</v>
      </c>
      <c r="S2814" s="50">
        <f t="shared" si="779"/>
        <v>0</v>
      </c>
      <c r="T2814" s="49">
        <f t="shared" si="780"/>
        <v>0</v>
      </c>
      <c r="U2814" s="51">
        <f t="shared" si="781"/>
        <v>0</v>
      </c>
      <c r="V2814" s="52">
        <f>IF(0&lt;0.8,0,IF(0&lt;1,Sheet3!L561,1))*IF(G2814&lt;3,0.12 - O2814,0.01) *U2814</f>
        <v>0</v>
      </c>
      <c r="W2814" s="52">
        <f t="shared" si="782"/>
        <v>0</v>
      </c>
      <c r="X2814" s="53">
        <f t="shared" si="783"/>
        <v>0</v>
      </c>
      <c r="Y2814" s="53">
        <f t="shared" si="784"/>
        <v>0</v>
      </c>
      <c r="Z2814" s="54">
        <f t="shared" si="773"/>
        <v>0</v>
      </c>
      <c r="AA2814" s="54">
        <f t="shared" si="785"/>
        <v>0</v>
      </c>
      <c r="AB2814" s="55">
        <f t="shared" si="775"/>
        <v>0</v>
      </c>
      <c r="AC2814" s="55">
        <f t="shared" si="786"/>
        <v>0</v>
      </c>
      <c r="AD2814" s="56">
        <f t="shared" si="787"/>
        <v>0</v>
      </c>
    </row>
    <row r="2815" spans="3:30">
      <c r="C2815" s="43" t="s">
        <v>5256</v>
      </c>
      <c r="D2815" s="44" t="s">
        <v>995</v>
      </c>
      <c r="E2815" s="44"/>
      <c r="F2815" s="45">
        <v>43316.665127314816</v>
      </c>
      <c r="G2815" s="46">
        <v>1</v>
      </c>
      <c r="H2815" s="47">
        <v>43431</v>
      </c>
      <c r="I2815" s="47">
        <v>43462</v>
      </c>
      <c r="J2815" s="46">
        <v>559775</v>
      </c>
      <c r="K2815" s="46">
        <v>0</v>
      </c>
      <c r="L2815" s="46">
        <v>0</v>
      </c>
      <c r="M2815" s="46">
        <f t="shared" si="776"/>
        <v>559775</v>
      </c>
      <c r="N2815" s="46">
        <v>646745</v>
      </c>
      <c r="O2815" s="48">
        <f t="shared" si="777"/>
        <v>0.13447340141786945</v>
      </c>
      <c r="P2815" s="46">
        <v>0</v>
      </c>
      <c r="Q2815" s="46">
        <v>0</v>
      </c>
      <c r="R2815" s="49">
        <f t="shared" si="778"/>
        <v>0</v>
      </c>
      <c r="S2815" s="50">
        <f t="shared" si="779"/>
        <v>0</v>
      </c>
      <c r="T2815" s="49">
        <f t="shared" si="780"/>
        <v>0</v>
      </c>
      <c r="U2815" s="51">
        <f t="shared" si="781"/>
        <v>0</v>
      </c>
      <c r="V2815" s="52">
        <f>IF(0&lt;0.8,0,IF(0&lt;1,Sheet3!L561,1))*IF(G2815&lt;3,0.12 - O2815,0.01) *U2815</f>
        <v>0</v>
      </c>
      <c r="W2815" s="52">
        <f t="shared" si="782"/>
        <v>0</v>
      </c>
      <c r="X2815" s="53">
        <f t="shared" si="783"/>
        <v>0</v>
      </c>
      <c r="Y2815" s="53">
        <f t="shared" si="784"/>
        <v>0</v>
      </c>
      <c r="Z2815" s="54">
        <f t="shared" si="773"/>
        <v>0</v>
      </c>
      <c r="AA2815" s="54">
        <f t="shared" si="785"/>
        <v>0</v>
      </c>
      <c r="AB2815" s="55">
        <f t="shared" si="775"/>
        <v>0</v>
      </c>
      <c r="AC2815" s="55">
        <f t="shared" si="786"/>
        <v>0</v>
      </c>
      <c r="AD2815" s="56">
        <f t="shared" si="787"/>
        <v>0</v>
      </c>
    </row>
    <row r="2816" spans="3:30">
      <c r="C2816" s="43" t="s">
        <v>5257</v>
      </c>
      <c r="D2816" s="44" t="s">
        <v>995</v>
      </c>
      <c r="E2816" s="44"/>
      <c r="F2816" s="45">
        <v>43316.666585648149</v>
      </c>
      <c r="G2816" s="46">
        <v>1</v>
      </c>
      <c r="H2816" s="47">
        <v>43431</v>
      </c>
      <c r="I2816" s="47">
        <v>43462</v>
      </c>
      <c r="J2816" s="46">
        <v>294765</v>
      </c>
      <c r="K2816" s="46">
        <v>0</v>
      </c>
      <c r="L2816" s="46">
        <v>0</v>
      </c>
      <c r="M2816" s="46">
        <f t="shared" si="776"/>
        <v>294765</v>
      </c>
      <c r="N2816" s="46">
        <v>412610</v>
      </c>
      <c r="O2816" s="48">
        <f t="shared" si="777"/>
        <v>0.28560868616853685</v>
      </c>
      <c r="P2816" s="46">
        <v>0</v>
      </c>
      <c r="Q2816" s="46">
        <v>0</v>
      </c>
      <c r="R2816" s="49">
        <f t="shared" si="778"/>
        <v>0</v>
      </c>
      <c r="S2816" s="50">
        <f t="shared" si="779"/>
        <v>0</v>
      </c>
      <c r="T2816" s="49">
        <f t="shared" si="780"/>
        <v>0</v>
      </c>
      <c r="U2816" s="51">
        <f t="shared" si="781"/>
        <v>0</v>
      </c>
      <c r="V2816" s="52">
        <f>IF(0&lt;0.8,0,IF(0&lt;1,Sheet3!L561,1))*IF(G2816&lt;3,0.12 - O2816,0.01) *U2816</f>
        <v>0</v>
      </c>
      <c r="W2816" s="52">
        <f t="shared" si="782"/>
        <v>0</v>
      </c>
      <c r="X2816" s="53">
        <f t="shared" si="783"/>
        <v>0</v>
      </c>
      <c r="Y2816" s="53">
        <f t="shared" si="784"/>
        <v>0</v>
      </c>
      <c r="Z2816" s="54">
        <f t="shared" si="773"/>
        <v>0</v>
      </c>
      <c r="AA2816" s="54">
        <f t="shared" si="785"/>
        <v>0</v>
      </c>
      <c r="AB2816" s="55">
        <f t="shared" si="775"/>
        <v>0</v>
      </c>
      <c r="AC2816" s="55">
        <f t="shared" si="786"/>
        <v>0</v>
      </c>
      <c r="AD2816" s="56">
        <f t="shared" si="787"/>
        <v>0</v>
      </c>
    </row>
    <row r="2817" spans="3:30">
      <c r="C2817" s="43" t="s">
        <v>5258</v>
      </c>
      <c r="D2817" s="44" t="s">
        <v>995</v>
      </c>
      <c r="E2817" s="44"/>
      <c r="F2817" s="45">
        <v>43316.667256944442</v>
      </c>
      <c r="G2817" s="46">
        <v>1</v>
      </c>
      <c r="H2817" s="47">
        <v>43431</v>
      </c>
      <c r="I2817" s="47">
        <v>43462</v>
      </c>
      <c r="J2817" s="46">
        <v>424555</v>
      </c>
      <c r="K2817" s="46">
        <v>0</v>
      </c>
      <c r="L2817" s="46">
        <v>0</v>
      </c>
      <c r="M2817" s="46">
        <f t="shared" si="776"/>
        <v>424555</v>
      </c>
      <c r="N2817" s="46">
        <v>622787</v>
      </c>
      <c r="O2817" s="48">
        <f t="shared" si="777"/>
        <v>0.31829823037410865</v>
      </c>
      <c r="P2817" s="46">
        <v>0</v>
      </c>
      <c r="Q2817" s="46">
        <v>0</v>
      </c>
      <c r="R2817" s="49">
        <f t="shared" si="778"/>
        <v>0</v>
      </c>
      <c r="S2817" s="50">
        <f t="shared" si="779"/>
        <v>0</v>
      </c>
      <c r="T2817" s="49">
        <f t="shared" si="780"/>
        <v>0</v>
      </c>
      <c r="U2817" s="51">
        <f t="shared" si="781"/>
        <v>0</v>
      </c>
      <c r="V2817" s="52">
        <f>IF(0&lt;0.8,0,IF(0&lt;1,Sheet3!L561,1))*IF(G2817&lt;3,0.12 - O2817,0.01) *U2817</f>
        <v>0</v>
      </c>
      <c r="W2817" s="52">
        <f t="shared" si="782"/>
        <v>0</v>
      </c>
      <c r="X2817" s="53">
        <f t="shared" si="783"/>
        <v>0</v>
      </c>
      <c r="Y2817" s="53">
        <f t="shared" si="784"/>
        <v>0</v>
      </c>
      <c r="Z2817" s="54">
        <f t="shared" si="773"/>
        <v>0</v>
      </c>
      <c r="AA2817" s="54">
        <f t="shared" si="785"/>
        <v>0</v>
      </c>
      <c r="AB2817" s="55">
        <f t="shared" si="775"/>
        <v>0</v>
      </c>
      <c r="AC2817" s="55">
        <f t="shared" si="786"/>
        <v>0</v>
      </c>
      <c r="AD2817" s="56">
        <f t="shared" si="787"/>
        <v>0</v>
      </c>
    </row>
    <row r="2818" spans="3:30">
      <c r="C2818" s="43" t="s">
        <v>5259</v>
      </c>
      <c r="D2818" s="44" t="s">
        <v>995</v>
      </c>
      <c r="E2818" s="44"/>
      <c r="F2818" s="45">
        <v>43316.667905092589</v>
      </c>
      <c r="G2818" s="46">
        <v>1</v>
      </c>
      <c r="H2818" s="47">
        <v>43431</v>
      </c>
      <c r="I2818" s="47">
        <v>43462</v>
      </c>
      <c r="J2818" s="46">
        <v>211232</v>
      </c>
      <c r="K2818" s="46">
        <v>0</v>
      </c>
      <c r="L2818" s="46">
        <v>0</v>
      </c>
      <c r="M2818" s="46">
        <f t="shared" si="776"/>
        <v>211232</v>
      </c>
      <c r="N2818" s="46">
        <v>308620</v>
      </c>
      <c r="O2818" s="48">
        <f t="shared" si="777"/>
        <v>0.31555958784265437</v>
      </c>
      <c r="P2818" s="46">
        <v>0</v>
      </c>
      <c r="Q2818" s="46">
        <v>0</v>
      </c>
      <c r="R2818" s="49">
        <f t="shared" si="778"/>
        <v>0</v>
      </c>
      <c r="S2818" s="50">
        <f t="shared" si="779"/>
        <v>0</v>
      </c>
      <c r="T2818" s="49">
        <f t="shared" si="780"/>
        <v>0</v>
      </c>
      <c r="U2818" s="51">
        <f t="shared" si="781"/>
        <v>0</v>
      </c>
      <c r="V2818" s="52">
        <f>IF(0&lt;0.8,0,IF(0&lt;1,Sheet3!L561,1))*IF(G2818&lt;3,0.12 - O2818,0.01) *U2818</f>
        <v>0</v>
      </c>
      <c r="W2818" s="52">
        <f t="shared" si="782"/>
        <v>0</v>
      </c>
      <c r="X2818" s="53">
        <f t="shared" si="783"/>
        <v>0</v>
      </c>
      <c r="Y2818" s="53">
        <f t="shared" si="784"/>
        <v>0</v>
      </c>
      <c r="Z2818" s="54">
        <f t="shared" ref="Z2818:Z2835" si="788">IF(R2818=1,0,0)</f>
        <v>0</v>
      </c>
      <c r="AA2818" s="54">
        <f t="shared" si="785"/>
        <v>0</v>
      </c>
      <c r="AB2818" s="55">
        <f t="shared" si="775"/>
        <v>0</v>
      </c>
      <c r="AC2818" s="55">
        <f t="shared" si="786"/>
        <v>0</v>
      </c>
      <c r="AD2818" s="56">
        <f t="shared" si="787"/>
        <v>0</v>
      </c>
    </row>
    <row r="2819" spans="3:30">
      <c r="C2819" s="43" t="s">
        <v>5260</v>
      </c>
      <c r="D2819" s="44" t="s">
        <v>995</v>
      </c>
      <c r="E2819" s="44"/>
      <c r="F2819" s="45">
        <v>43316.668460648143</v>
      </c>
      <c r="G2819" s="46">
        <v>1</v>
      </c>
      <c r="H2819" s="47">
        <v>43431</v>
      </c>
      <c r="I2819" s="47">
        <v>43462</v>
      </c>
      <c r="J2819" s="46">
        <v>196481</v>
      </c>
      <c r="K2819" s="46">
        <v>0</v>
      </c>
      <c r="L2819" s="46">
        <v>0</v>
      </c>
      <c r="M2819" s="46">
        <f t="shared" si="776"/>
        <v>196481</v>
      </c>
      <c r="N2819" s="46">
        <v>286891</v>
      </c>
      <c r="O2819" s="48">
        <f t="shared" si="777"/>
        <v>0.31513710782143745</v>
      </c>
      <c r="P2819" s="46">
        <v>0</v>
      </c>
      <c r="Q2819" s="46">
        <v>0</v>
      </c>
      <c r="R2819" s="49">
        <f t="shared" si="778"/>
        <v>0</v>
      </c>
      <c r="S2819" s="50">
        <f t="shared" si="779"/>
        <v>0</v>
      </c>
      <c r="T2819" s="49">
        <f t="shared" si="780"/>
        <v>0</v>
      </c>
      <c r="U2819" s="51">
        <f t="shared" si="781"/>
        <v>0</v>
      </c>
      <c r="V2819" s="52">
        <f>IF(0&lt;0.8,0,IF(0&lt;1,Sheet3!L561,1))*IF(G2819&lt;3,0.12 - O2819,0.01) *U2819</f>
        <v>0</v>
      </c>
      <c r="W2819" s="52">
        <f t="shared" si="782"/>
        <v>0</v>
      </c>
      <c r="X2819" s="53">
        <f t="shared" si="783"/>
        <v>0</v>
      </c>
      <c r="Y2819" s="53">
        <f t="shared" si="784"/>
        <v>0</v>
      </c>
      <c r="Z2819" s="54">
        <f t="shared" si="788"/>
        <v>0</v>
      </c>
      <c r="AA2819" s="54">
        <f t="shared" si="785"/>
        <v>0</v>
      </c>
      <c r="AB2819" s="55">
        <f t="shared" si="775"/>
        <v>0</v>
      </c>
      <c r="AC2819" s="55">
        <f t="shared" si="786"/>
        <v>0</v>
      </c>
      <c r="AD2819" s="56">
        <f t="shared" si="787"/>
        <v>0</v>
      </c>
    </row>
    <row r="2820" spans="3:30">
      <c r="C2820" s="43" t="s">
        <v>5261</v>
      </c>
      <c r="D2820" s="44" t="s">
        <v>995</v>
      </c>
      <c r="E2820" s="44"/>
      <c r="F2820" s="45">
        <v>43316.669074074074</v>
      </c>
      <c r="G2820" s="46">
        <v>1</v>
      </c>
      <c r="H2820" s="47">
        <v>43431</v>
      </c>
      <c r="I2820" s="47">
        <v>43462</v>
      </c>
      <c r="J2820" s="46">
        <v>493074</v>
      </c>
      <c r="K2820" s="46">
        <v>0</v>
      </c>
      <c r="L2820" s="46">
        <v>0</v>
      </c>
      <c r="M2820" s="46">
        <f t="shared" si="776"/>
        <v>493074</v>
      </c>
      <c r="N2820" s="46">
        <v>690012</v>
      </c>
      <c r="O2820" s="48">
        <f t="shared" si="777"/>
        <v>0.28541242760995456</v>
      </c>
      <c r="P2820" s="46">
        <v>0</v>
      </c>
      <c r="Q2820" s="46">
        <v>0</v>
      </c>
      <c r="R2820" s="49">
        <f t="shared" si="778"/>
        <v>0</v>
      </c>
      <c r="S2820" s="50">
        <f t="shared" si="779"/>
        <v>0</v>
      </c>
      <c r="T2820" s="49">
        <f t="shared" si="780"/>
        <v>0</v>
      </c>
      <c r="U2820" s="51">
        <f t="shared" si="781"/>
        <v>0</v>
      </c>
      <c r="V2820" s="52">
        <f>IF(0&lt;0.8,0,IF(0&lt;1,Sheet3!L561,1))*IF(G2820&lt;3,0.12 - O2820,0.01) *U2820</f>
        <v>0</v>
      </c>
      <c r="W2820" s="52">
        <f t="shared" si="782"/>
        <v>0</v>
      </c>
      <c r="X2820" s="53">
        <f t="shared" si="783"/>
        <v>0</v>
      </c>
      <c r="Y2820" s="53">
        <f t="shared" si="784"/>
        <v>0</v>
      </c>
      <c r="Z2820" s="54">
        <f t="shared" si="788"/>
        <v>0</v>
      </c>
      <c r="AA2820" s="54">
        <f t="shared" si="785"/>
        <v>0</v>
      </c>
      <c r="AB2820" s="55">
        <f t="shared" si="775"/>
        <v>0</v>
      </c>
      <c r="AC2820" s="55">
        <f t="shared" si="786"/>
        <v>0</v>
      </c>
      <c r="AD2820" s="56">
        <f t="shared" si="787"/>
        <v>0</v>
      </c>
    </row>
    <row r="2821" spans="3:30">
      <c r="C2821" s="43" t="s">
        <v>5262</v>
      </c>
      <c r="D2821" s="44" t="s">
        <v>995</v>
      </c>
      <c r="E2821" s="44"/>
      <c r="F2821" s="45">
        <v>43316.669641203705</v>
      </c>
      <c r="G2821" s="46">
        <v>1</v>
      </c>
      <c r="H2821" s="47">
        <v>43431</v>
      </c>
      <c r="I2821" s="47">
        <v>43462</v>
      </c>
      <c r="J2821" s="46">
        <v>326360</v>
      </c>
      <c r="K2821" s="46">
        <v>0</v>
      </c>
      <c r="L2821" s="46">
        <v>0</v>
      </c>
      <c r="M2821" s="46">
        <f t="shared" si="776"/>
        <v>326360</v>
      </c>
      <c r="N2821" s="46">
        <v>375443</v>
      </c>
      <c r="O2821" s="48">
        <f t="shared" si="777"/>
        <v>0.13073356008768311</v>
      </c>
      <c r="P2821" s="46">
        <v>0</v>
      </c>
      <c r="Q2821" s="46">
        <v>0</v>
      </c>
      <c r="R2821" s="49">
        <f t="shared" si="778"/>
        <v>0</v>
      </c>
      <c r="S2821" s="50">
        <f t="shared" si="779"/>
        <v>0</v>
      </c>
      <c r="T2821" s="49">
        <f t="shared" si="780"/>
        <v>0</v>
      </c>
      <c r="U2821" s="51">
        <f t="shared" si="781"/>
        <v>0</v>
      </c>
      <c r="V2821" s="52">
        <f>IF(0&lt;0.8,0,IF(0&lt;1,Sheet3!L561,1))*IF(G2821&lt;3,0.12 - O2821,0.01) *U2821</f>
        <v>0</v>
      </c>
      <c r="W2821" s="52">
        <f t="shared" si="782"/>
        <v>0</v>
      </c>
      <c r="X2821" s="53">
        <f t="shared" si="783"/>
        <v>0</v>
      </c>
      <c r="Y2821" s="53">
        <f t="shared" si="784"/>
        <v>0</v>
      </c>
      <c r="Z2821" s="54">
        <f t="shared" si="788"/>
        <v>0</v>
      </c>
      <c r="AA2821" s="54">
        <f t="shared" si="785"/>
        <v>0</v>
      </c>
      <c r="AB2821" s="55">
        <f t="shared" si="775"/>
        <v>0</v>
      </c>
      <c r="AC2821" s="55">
        <f t="shared" si="786"/>
        <v>0</v>
      </c>
      <c r="AD2821" s="56">
        <f t="shared" si="787"/>
        <v>0</v>
      </c>
    </row>
    <row r="2822" spans="3:30">
      <c r="C2822" s="43" t="s">
        <v>5263</v>
      </c>
      <c r="D2822" s="44" t="s">
        <v>995</v>
      </c>
      <c r="E2822" s="44"/>
      <c r="F2822" s="45">
        <v>43316.670208333329</v>
      </c>
      <c r="G2822" s="46">
        <v>1</v>
      </c>
      <c r="H2822" s="47">
        <v>43431</v>
      </c>
      <c r="I2822" s="47">
        <v>43460</v>
      </c>
      <c r="J2822" s="46">
        <v>306012</v>
      </c>
      <c r="K2822" s="46">
        <v>0</v>
      </c>
      <c r="L2822" s="46">
        <v>0</v>
      </c>
      <c r="M2822" s="46">
        <f t="shared" si="776"/>
        <v>306012</v>
      </c>
      <c r="N2822" s="46">
        <v>443656</v>
      </c>
      <c r="O2822" s="48">
        <f t="shared" si="777"/>
        <v>0.31024938240438538</v>
      </c>
      <c r="P2822" s="46">
        <v>0</v>
      </c>
      <c r="Q2822" s="46">
        <v>0</v>
      </c>
      <c r="R2822" s="49">
        <f t="shared" si="778"/>
        <v>0</v>
      </c>
      <c r="S2822" s="50">
        <f t="shared" si="779"/>
        <v>0</v>
      </c>
      <c r="T2822" s="49">
        <f t="shared" si="780"/>
        <v>0</v>
      </c>
      <c r="U2822" s="51">
        <f t="shared" si="781"/>
        <v>0</v>
      </c>
      <c r="V2822" s="52">
        <f>IF(0&lt;0.8,0,IF(0&lt;1,Sheet3!L561,1))*IF(G2822&lt;3,0.12 - O2822,0.01) *U2822</f>
        <v>0</v>
      </c>
      <c r="W2822" s="52">
        <f t="shared" si="782"/>
        <v>0</v>
      </c>
      <c r="X2822" s="53">
        <f t="shared" si="783"/>
        <v>0</v>
      </c>
      <c r="Y2822" s="53">
        <f t="shared" si="784"/>
        <v>0</v>
      </c>
      <c r="Z2822" s="54">
        <f t="shared" si="788"/>
        <v>0</v>
      </c>
      <c r="AA2822" s="54">
        <f t="shared" si="785"/>
        <v>0</v>
      </c>
      <c r="AB2822" s="55">
        <f t="shared" si="775"/>
        <v>0</v>
      </c>
      <c r="AC2822" s="55">
        <f t="shared" si="786"/>
        <v>0</v>
      </c>
      <c r="AD2822" s="56">
        <f t="shared" si="787"/>
        <v>0</v>
      </c>
    </row>
    <row r="2823" spans="3:30">
      <c r="C2823" s="43" t="s">
        <v>5264</v>
      </c>
      <c r="D2823" s="44" t="s">
        <v>995</v>
      </c>
      <c r="E2823" s="44"/>
      <c r="F2823" s="45">
        <v>43316.670740740738</v>
      </c>
      <c r="G2823" s="46">
        <v>1</v>
      </c>
      <c r="H2823" s="47">
        <v>43431</v>
      </c>
      <c r="I2823" s="47">
        <v>43462</v>
      </c>
      <c r="J2823" s="46">
        <v>343414</v>
      </c>
      <c r="K2823" s="46">
        <v>0</v>
      </c>
      <c r="L2823" s="46">
        <v>0</v>
      </c>
      <c r="M2823" s="46">
        <f t="shared" si="776"/>
        <v>343414</v>
      </c>
      <c r="N2823" s="46">
        <v>508926</v>
      </c>
      <c r="O2823" s="48">
        <f t="shared" si="777"/>
        <v>0.32521820461127948</v>
      </c>
      <c r="P2823" s="46">
        <v>0</v>
      </c>
      <c r="Q2823" s="46">
        <v>0</v>
      </c>
      <c r="R2823" s="49">
        <f t="shared" si="778"/>
        <v>0</v>
      </c>
      <c r="S2823" s="50">
        <f t="shared" si="779"/>
        <v>0</v>
      </c>
      <c r="T2823" s="49">
        <f t="shared" si="780"/>
        <v>0</v>
      </c>
      <c r="U2823" s="51">
        <f t="shared" si="781"/>
        <v>0</v>
      </c>
      <c r="V2823" s="52">
        <f>IF(0&lt;0.8,0,IF(0&lt;1,Sheet3!L561,1))*IF(G2823&lt;3,0.12 - O2823,0.01) *U2823</f>
        <v>0</v>
      </c>
      <c r="W2823" s="52">
        <f t="shared" si="782"/>
        <v>0</v>
      </c>
      <c r="X2823" s="53">
        <f t="shared" si="783"/>
        <v>0</v>
      </c>
      <c r="Y2823" s="53">
        <f t="shared" si="784"/>
        <v>0</v>
      </c>
      <c r="Z2823" s="54">
        <f t="shared" si="788"/>
        <v>0</v>
      </c>
      <c r="AA2823" s="54">
        <f t="shared" si="785"/>
        <v>0</v>
      </c>
      <c r="AB2823" s="55">
        <f t="shared" si="775"/>
        <v>0</v>
      </c>
      <c r="AC2823" s="55">
        <f t="shared" si="786"/>
        <v>0</v>
      </c>
      <c r="AD2823" s="56">
        <f t="shared" si="787"/>
        <v>0</v>
      </c>
    </row>
    <row r="2824" spans="3:30">
      <c r="C2824" s="43" t="s">
        <v>5265</v>
      </c>
      <c r="D2824" s="44" t="s">
        <v>995</v>
      </c>
      <c r="E2824" s="44"/>
      <c r="F2824" s="45">
        <v>43316.671331018515</v>
      </c>
      <c r="G2824" s="46">
        <v>1</v>
      </c>
      <c r="H2824" s="47">
        <v>43431</v>
      </c>
      <c r="I2824" s="47">
        <v>43462</v>
      </c>
      <c r="J2824" s="46">
        <v>84973</v>
      </c>
      <c r="K2824" s="46">
        <v>0</v>
      </c>
      <c r="L2824" s="46">
        <v>0</v>
      </c>
      <c r="M2824" s="46">
        <f t="shared" si="776"/>
        <v>84973</v>
      </c>
      <c r="N2824" s="46">
        <v>137698</v>
      </c>
      <c r="O2824" s="48">
        <f t="shared" si="777"/>
        <v>0.38290316489709364</v>
      </c>
      <c r="P2824" s="46">
        <v>0</v>
      </c>
      <c r="Q2824" s="46">
        <v>0</v>
      </c>
      <c r="R2824" s="49">
        <f t="shared" si="778"/>
        <v>0</v>
      </c>
      <c r="S2824" s="50">
        <f t="shared" si="779"/>
        <v>0</v>
      </c>
      <c r="T2824" s="49">
        <f t="shared" si="780"/>
        <v>0</v>
      </c>
      <c r="U2824" s="51">
        <f t="shared" si="781"/>
        <v>0</v>
      </c>
      <c r="V2824" s="52">
        <f>IF(0&lt;0.8,0,IF(0&lt;1,Sheet3!L561,1))*IF(G2824&lt;3,0.12 - O2824,0.01) *U2824</f>
        <v>0</v>
      </c>
      <c r="W2824" s="52">
        <f t="shared" si="782"/>
        <v>0</v>
      </c>
      <c r="X2824" s="53">
        <f t="shared" si="783"/>
        <v>0</v>
      </c>
      <c r="Y2824" s="53">
        <f t="shared" si="784"/>
        <v>0</v>
      </c>
      <c r="Z2824" s="54">
        <f t="shared" si="788"/>
        <v>0</v>
      </c>
      <c r="AA2824" s="54">
        <f t="shared" si="785"/>
        <v>0</v>
      </c>
      <c r="AB2824" s="55">
        <f t="shared" si="775"/>
        <v>0</v>
      </c>
      <c r="AC2824" s="55">
        <f t="shared" si="786"/>
        <v>0</v>
      </c>
      <c r="AD2824" s="56">
        <f t="shared" si="787"/>
        <v>0</v>
      </c>
    </row>
    <row r="2825" spans="3:30">
      <c r="C2825" s="43" t="s">
        <v>5266</v>
      </c>
      <c r="D2825" s="44" t="s">
        <v>995</v>
      </c>
      <c r="E2825" s="44"/>
      <c r="F2825" s="45">
        <v>43316.672002314815</v>
      </c>
      <c r="G2825" s="46">
        <v>1</v>
      </c>
      <c r="H2825" s="47">
        <v>43431</v>
      </c>
      <c r="I2825" s="47">
        <v>43495</v>
      </c>
      <c r="J2825" s="46">
        <v>526409</v>
      </c>
      <c r="K2825" s="46">
        <v>0</v>
      </c>
      <c r="L2825" s="46">
        <v>0</v>
      </c>
      <c r="M2825" s="46">
        <f t="shared" si="776"/>
        <v>526409</v>
      </c>
      <c r="N2825" s="46">
        <v>674403</v>
      </c>
      <c r="O2825" s="48">
        <f t="shared" si="777"/>
        <v>0.21944445680105218</v>
      </c>
      <c r="P2825" s="46">
        <v>0</v>
      </c>
      <c r="Q2825" s="46">
        <v>0</v>
      </c>
      <c r="R2825" s="49">
        <f t="shared" si="778"/>
        <v>0</v>
      </c>
      <c r="S2825" s="50">
        <f t="shared" si="779"/>
        <v>0</v>
      </c>
      <c r="T2825" s="49">
        <f t="shared" si="780"/>
        <v>0</v>
      </c>
      <c r="U2825" s="51">
        <f t="shared" si="781"/>
        <v>0</v>
      </c>
      <c r="V2825" s="52">
        <f>IF(0&lt;0.8,0,IF(0&lt;1,Sheet3!L561,1))*IF(G2825&lt;3,0.12 - O2825,0.01) *U2825</f>
        <v>0</v>
      </c>
      <c r="W2825" s="52">
        <f t="shared" si="782"/>
        <v>0</v>
      </c>
      <c r="X2825" s="53">
        <f t="shared" si="783"/>
        <v>0</v>
      </c>
      <c r="Y2825" s="53">
        <f t="shared" si="784"/>
        <v>0</v>
      </c>
      <c r="Z2825" s="54">
        <f t="shared" si="788"/>
        <v>0</v>
      </c>
      <c r="AA2825" s="54">
        <f t="shared" si="785"/>
        <v>0</v>
      </c>
      <c r="AB2825" s="55">
        <f t="shared" si="775"/>
        <v>0</v>
      </c>
      <c r="AC2825" s="55">
        <f t="shared" si="786"/>
        <v>0</v>
      </c>
      <c r="AD2825" s="56">
        <f t="shared" si="787"/>
        <v>0</v>
      </c>
    </row>
    <row r="2826" spans="3:30">
      <c r="C2826" s="43" t="s">
        <v>5267</v>
      </c>
      <c r="D2826" s="44" t="s">
        <v>995</v>
      </c>
      <c r="E2826" s="44"/>
      <c r="F2826" s="45">
        <v>43316.672488425924</v>
      </c>
      <c r="G2826" s="46">
        <v>1</v>
      </c>
      <c r="H2826" s="47">
        <v>43431</v>
      </c>
      <c r="I2826" s="47">
        <v>43462</v>
      </c>
      <c r="J2826" s="46">
        <v>260952</v>
      </c>
      <c r="K2826" s="46">
        <v>0</v>
      </c>
      <c r="L2826" s="46">
        <v>0</v>
      </c>
      <c r="M2826" s="46">
        <f t="shared" si="776"/>
        <v>260952</v>
      </c>
      <c r="N2826" s="46">
        <v>375049</v>
      </c>
      <c r="O2826" s="48">
        <f t="shared" si="777"/>
        <v>0.30421891539505508</v>
      </c>
      <c r="P2826" s="46">
        <v>0</v>
      </c>
      <c r="Q2826" s="46">
        <v>0</v>
      </c>
      <c r="R2826" s="49">
        <f t="shared" si="778"/>
        <v>0</v>
      </c>
      <c r="S2826" s="50">
        <f t="shared" si="779"/>
        <v>0</v>
      </c>
      <c r="T2826" s="49">
        <f t="shared" si="780"/>
        <v>0</v>
      </c>
      <c r="U2826" s="51">
        <f t="shared" si="781"/>
        <v>0</v>
      </c>
      <c r="V2826" s="52">
        <f>IF(0&lt;0.8,0,IF(0&lt;1,Sheet3!L561,1))*IF(G2826&lt;3,0.12 - O2826,0.01) *U2826</f>
        <v>0</v>
      </c>
      <c r="W2826" s="52">
        <f t="shared" si="782"/>
        <v>0</v>
      </c>
      <c r="X2826" s="53">
        <f t="shared" si="783"/>
        <v>0</v>
      </c>
      <c r="Y2826" s="53">
        <f t="shared" si="784"/>
        <v>0</v>
      </c>
      <c r="Z2826" s="54">
        <f t="shared" si="788"/>
        <v>0</v>
      </c>
      <c r="AA2826" s="54">
        <f t="shared" si="785"/>
        <v>0</v>
      </c>
      <c r="AB2826" s="55">
        <f t="shared" si="775"/>
        <v>0</v>
      </c>
      <c r="AC2826" s="55">
        <f t="shared" si="786"/>
        <v>0</v>
      </c>
      <c r="AD2826" s="56">
        <f t="shared" si="787"/>
        <v>0</v>
      </c>
    </row>
    <row r="2827" spans="3:30">
      <c r="C2827" s="43" t="s">
        <v>5268</v>
      </c>
      <c r="D2827" s="44" t="s">
        <v>995</v>
      </c>
      <c r="E2827" s="44"/>
      <c r="F2827" s="45">
        <v>43316.673101851848</v>
      </c>
      <c r="G2827" s="46">
        <v>1</v>
      </c>
      <c r="H2827" s="47">
        <v>43431</v>
      </c>
      <c r="I2827" s="47">
        <v>43462</v>
      </c>
      <c r="J2827" s="46">
        <v>853462</v>
      </c>
      <c r="K2827" s="46">
        <v>0</v>
      </c>
      <c r="L2827" s="46">
        <v>0</v>
      </c>
      <c r="M2827" s="46">
        <f t="shared" si="776"/>
        <v>853462</v>
      </c>
      <c r="N2827" s="46">
        <v>1069156</v>
      </c>
      <c r="O2827" s="48">
        <f t="shared" si="777"/>
        <v>0.2017423088866358</v>
      </c>
      <c r="P2827" s="46">
        <v>0</v>
      </c>
      <c r="Q2827" s="46">
        <v>0</v>
      </c>
      <c r="R2827" s="49">
        <f t="shared" si="778"/>
        <v>0</v>
      </c>
      <c r="S2827" s="50">
        <f t="shared" si="779"/>
        <v>0</v>
      </c>
      <c r="T2827" s="49">
        <f t="shared" si="780"/>
        <v>0</v>
      </c>
      <c r="U2827" s="51">
        <f t="shared" si="781"/>
        <v>0</v>
      </c>
      <c r="V2827" s="52">
        <f>IF(0&lt;0.8,0,IF(0&lt;1,Sheet3!L561,1))*IF(G2827&lt;3,0.12 - O2827,0.01) *U2827</f>
        <v>0</v>
      </c>
      <c r="W2827" s="52">
        <f t="shared" si="782"/>
        <v>0</v>
      </c>
      <c r="X2827" s="53">
        <f t="shared" si="783"/>
        <v>0</v>
      </c>
      <c r="Y2827" s="53">
        <f t="shared" si="784"/>
        <v>0</v>
      </c>
      <c r="Z2827" s="54">
        <f t="shared" si="788"/>
        <v>0</v>
      </c>
      <c r="AA2827" s="54">
        <f t="shared" si="785"/>
        <v>0</v>
      </c>
      <c r="AB2827" s="55">
        <f t="shared" si="775"/>
        <v>0</v>
      </c>
      <c r="AC2827" s="55">
        <f t="shared" si="786"/>
        <v>0</v>
      </c>
      <c r="AD2827" s="56">
        <f t="shared" si="787"/>
        <v>0</v>
      </c>
    </row>
    <row r="2828" spans="3:30">
      <c r="C2828" s="43" t="s">
        <v>5269</v>
      </c>
      <c r="D2828" s="44" t="s">
        <v>995</v>
      </c>
      <c r="E2828" s="44"/>
      <c r="F2828" s="45">
        <v>43316.673773148148</v>
      </c>
      <c r="G2828" s="46">
        <v>1</v>
      </c>
      <c r="H2828" s="47">
        <v>43431</v>
      </c>
      <c r="I2828" s="47">
        <v>43462</v>
      </c>
      <c r="J2828" s="46">
        <v>339570</v>
      </c>
      <c r="K2828" s="46">
        <v>0</v>
      </c>
      <c r="L2828" s="46">
        <v>0</v>
      </c>
      <c r="M2828" s="46">
        <f t="shared" si="776"/>
        <v>339570</v>
      </c>
      <c r="N2828" s="46">
        <v>495132</v>
      </c>
      <c r="O2828" s="48">
        <f t="shared" si="777"/>
        <v>0.31418288456411625</v>
      </c>
      <c r="P2828" s="46">
        <v>0</v>
      </c>
      <c r="Q2828" s="46">
        <v>0</v>
      </c>
      <c r="R2828" s="49">
        <f t="shared" si="778"/>
        <v>0</v>
      </c>
      <c r="S2828" s="50">
        <f t="shared" si="779"/>
        <v>0</v>
      </c>
      <c r="T2828" s="49">
        <f t="shared" si="780"/>
        <v>0</v>
      </c>
      <c r="U2828" s="51">
        <f t="shared" si="781"/>
        <v>0</v>
      </c>
      <c r="V2828" s="52">
        <f>IF(0&lt;0.8,0,IF(0&lt;1,Sheet3!L561,1))*IF(G2828&lt;3,0.12 - O2828,0.01) *U2828</f>
        <v>0</v>
      </c>
      <c r="W2828" s="52">
        <f t="shared" si="782"/>
        <v>0</v>
      </c>
      <c r="X2828" s="53">
        <f t="shared" si="783"/>
        <v>0</v>
      </c>
      <c r="Y2828" s="53">
        <f t="shared" si="784"/>
        <v>0</v>
      </c>
      <c r="Z2828" s="54">
        <f t="shared" si="788"/>
        <v>0</v>
      </c>
      <c r="AA2828" s="54">
        <f t="shared" si="785"/>
        <v>0</v>
      </c>
      <c r="AB2828" s="55">
        <f t="shared" si="775"/>
        <v>0</v>
      </c>
      <c r="AC2828" s="55">
        <f t="shared" si="786"/>
        <v>0</v>
      </c>
      <c r="AD2828" s="56">
        <f t="shared" si="787"/>
        <v>0</v>
      </c>
    </row>
    <row r="2829" spans="3:30">
      <c r="C2829" s="43" t="s">
        <v>5270</v>
      </c>
      <c r="D2829" s="44" t="s">
        <v>995</v>
      </c>
      <c r="E2829" s="44"/>
      <c r="F2829" s="45">
        <v>43316.674351851849</v>
      </c>
      <c r="G2829" s="46">
        <v>1</v>
      </c>
      <c r="H2829" s="47">
        <v>43431</v>
      </c>
      <c r="I2829" s="47">
        <v>43462</v>
      </c>
      <c r="J2829" s="46">
        <v>33229</v>
      </c>
      <c r="K2829" s="46">
        <v>0</v>
      </c>
      <c r="L2829" s="46">
        <v>0</v>
      </c>
      <c r="M2829" s="46">
        <f t="shared" si="776"/>
        <v>33229</v>
      </c>
      <c r="N2829" s="46">
        <v>53240</v>
      </c>
      <c r="O2829" s="48">
        <f t="shared" si="777"/>
        <v>0.37586401202103681</v>
      </c>
      <c r="P2829" s="46">
        <v>0</v>
      </c>
      <c r="Q2829" s="46">
        <v>0</v>
      </c>
      <c r="R2829" s="49">
        <f t="shared" si="778"/>
        <v>0</v>
      </c>
      <c r="S2829" s="50">
        <f t="shared" si="779"/>
        <v>0</v>
      </c>
      <c r="T2829" s="49">
        <f t="shared" si="780"/>
        <v>0</v>
      </c>
      <c r="U2829" s="51">
        <f t="shared" si="781"/>
        <v>0</v>
      </c>
      <c r="V2829" s="52">
        <f>IF(0&lt;0.8,0,IF(0&lt;1,Sheet3!L561,1))*IF(G2829&lt;3,0.12 - O2829,0.01) *U2829</f>
        <v>0</v>
      </c>
      <c r="W2829" s="52">
        <f t="shared" si="782"/>
        <v>0</v>
      </c>
      <c r="X2829" s="53">
        <f t="shared" si="783"/>
        <v>0</v>
      </c>
      <c r="Y2829" s="53">
        <f t="shared" si="784"/>
        <v>0</v>
      </c>
      <c r="Z2829" s="54">
        <f t="shared" si="788"/>
        <v>0</v>
      </c>
      <c r="AA2829" s="54">
        <f t="shared" si="785"/>
        <v>0</v>
      </c>
      <c r="AB2829" s="55">
        <f t="shared" si="775"/>
        <v>0</v>
      </c>
      <c r="AC2829" s="55">
        <f t="shared" si="786"/>
        <v>0</v>
      </c>
      <c r="AD2829" s="56">
        <f t="shared" si="787"/>
        <v>0</v>
      </c>
    </row>
    <row r="2830" spans="3:30">
      <c r="C2830" s="43" t="s">
        <v>5271</v>
      </c>
      <c r="D2830" s="44" t="s">
        <v>995</v>
      </c>
      <c r="E2830" s="44"/>
      <c r="F2830" s="45">
        <v>43316.692488425921</v>
      </c>
      <c r="G2830" s="46">
        <v>1</v>
      </c>
      <c r="H2830" s="47">
        <v>43431</v>
      </c>
      <c r="I2830" s="47">
        <v>43462</v>
      </c>
      <c r="J2830" s="46">
        <v>185614</v>
      </c>
      <c r="K2830" s="46">
        <v>0</v>
      </c>
      <c r="L2830" s="46">
        <v>0</v>
      </c>
      <c r="M2830" s="46">
        <f t="shared" si="776"/>
        <v>185614</v>
      </c>
      <c r="N2830" s="46">
        <v>275547</v>
      </c>
      <c r="O2830" s="48">
        <f t="shared" si="777"/>
        <v>0.32637989163373216</v>
      </c>
      <c r="P2830" s="46">
        <v>0</v>
      </c>
      <c r="Q2830" s="46">
        <v>0</v>
      </c>
      <c r="R2830" s="49">
        <f t="shared" si="778"/>
        <v>0</v>
      </c>
      <c r="S2830" s="50">
        <f t="shared" si="779"/>
        <v>0</v>
      </c>
      <c r="T2830" s="49">
        <f t="shared" si="780"/>
        <v>0</v>
      </c>
      <c r="U2830" s="51">
        <f t="shared" si="781"/>
        <v>0</v>
      </c>
      <c r="V2830" s="52">
        <f>IF(0&lt;0.8,0,IF(0&lt;1,Sheet3!L561,1))*IF(G2830&lt;3,0.12 - O2830,0.01) *U2830</f>
        <v>0</v>
      </c>
      <c r="W2830" s="52">
        <f t="shared" si="782"/>
        <v>0</v>
      </c>
      <c r="X2830" s="53">
        <f t="shared" si="783"/>
        <v>0</v>
      </c>
      <c r="Y2830" s="53">
        <f t="shared" si="784"/>
        <v>0</v>
      </c>
      <c r="Z2830" s="54">
        <f t="shared" si="788"/>
        <v>0</v>
      </c>
      <c r="AA2830" s="54">
        <f t="shared" si="785"/>
        <v>0</v>
      </c>
      <c r="AB2830" s="55">
        <f t="shared" si="775"/>
        <v>0</v>
      </c>
      <c r="AC2830" s="55">
        <f t="shared" si="786"/>
        <v>0</v>
      </c>
      <c r="AD2830" s="56">
        <f t="shared" si="787"/>
        <v>0</v>
      </c>
    </row>
    <row r="2831" spans="3:30">
      <c r="C2831" s="43" t="s">
        <v>5272</v>
      </c>
      <c r="D2831" s="44" t="s">
        <v>995</v>
      </c>
      <c r="E2831" s="44"/>
      <c r="F2831" s="45">
        <v>43316.693078703705</v>
      </c>
      <c r="G2831" s="46">
        <v>1</v>
      </c>
      <c r="H2831" s="47">
        <v>43431</v>
      </c>
      <c r="I2831" s="47">
        <v>43462</v>
      </c>
      <c r="J2831" s="46">
        <v>172719</v>
      </c>
      <c r="K2831" s="46">
        <v>0</v>
      </c>
      <c r="L2831" s="46">
        <v>0</v>
      </c>
      <c r="M2831" s="46">
        <f t="shared" si="776"/>
        <v>172719</v>
      </c>
      <c r="N2831" s="46">
        <v>257609</v>
      </c>
      <c r="O2831" s="48">
        <f t="shared" si="777"/>
        <v>0.32953041236913305</v>
      </c>
      <c r="P2831" s="46">
        <v>0</v>
      </c>
      <c r="Q2831" s="46">
        <v>0</v>
      </c>
      <c r="R2831" s="49">
        <f t="shared" si="778"/>
        <v>0</v>
      </c>
      <c r="S2831" s="50">
        <f t="shared" si="779"/>
        <v>0</v>
      </c>
      <c r="T2831" s="49">
        <f t="shared" si="780"/>
        <v>0</v>
      </c>
      <c r="U2831" s="51">
        <f t="shared" si="781"/>
        <v>0</v>
      </c>
      <c r="V2831" s="52">
        <f>IF(0&lt;0.8,0,IF(0&lt;1,Sheet3!L561,1))*IF(G2831&lt;3,0.12 - O2831,0.01) *U2831</f>
        <v>0</v>
      </c>
      <c r="W2831" s="52">
        <f t="shared" si="782"/>
        <v>0</v>
      </c>
      <c r="X2831" s="53">
        <f t="shared" si="783"/>
        <v>0</v>
      </c>
      <c r="Y2831" s="53">
        <f t="shared" si="784"/>
        <v>0</v>
      </c>
      <c r="Z2831" s="54">
        <f t="shared" si="788"/>
        <v>0</v>
      </c>
      <c r="AA2831" s="54">
        <f t="shared" si="785"/>
        <v>0</v>
      </c>
      <c r="AB2831" s="55">
        <f t="shared" si="775"/>
        <v>0</v>
      </c>
      <c r="AC2831" s="55">
        <f t="shared" si="786"/>
        <v>0</v>
      </c>
      <c r="AD2831" s="56">
        <f t="shared" si="787"/>
        <v>0</v>
      </c>
    </row>
    <row r="2832" spans="3:30">
      <c r="C2832" s="43" t="s">
        <v>5273</v>
      </c>
      <c r="D2832" s="44" t="s">
        <v>995</v>
      </c>
      <c r="E2832" s="44"/>
      <c r="F2832" s="45">
        <v>43316.69363425926</v>
      </c>
      <c r="G2832" s="46">
        <v>1</v>
      </c>
      <c r="H2832" s="47">
        <v>43431</v>
      </c>
      <c r="I2832" s="47">
        <v>43462</v>
      </c>
      <c r="J2832" s="46">
        <v>103935</v>
      </c>
      <c r="K2832" s="46">
        <v>0</v>
      </c>
      <c r="L2832" s="46">
        <v>0</v>
      </c>
      <c r="M2832" s="46">
        <f t="shared" si="776"/>
        <v>103935</v>
      </c>
      <c r="N2832" s="46">
        <v>172667</v>
      </c>
      <c r="O2832" s="48">
        <f t="shared" si="777"/>
        <v>0.39806100760423246</v>
      </c>
      <c r="P2832" s="46">
        <v>0</v>
      </c>
      <c r="Q2832" s="46">
        <v>0</v>
      </c>
      <c r="R2832" s="49">
        <f t="shared" si="778"/>
        <v>0</v>
      </c>
      <c r="S2832" s="50">
        <f t="shared" si="779"/>
        <v>0</v>
      </c>
      <c r="T2832" s="49">
        <f t="shared" si="780"/>
        <v>0</v>
      </c>
      <c r="U2832" s="51">
        <f t="shared" si="781"/>
        <v>0</v>
      </c>
      <c r="V2832" s="52">
        <f>IF(0&lt;0.8,0,IF(0&lt;1,Sheet3!L561,1))*IF(G2832&lt;3,0.12 - O2832,0.01) *U2832</f>
        <v>0</v>
      </c>
      <c r="W2832" s="52">
        <f t="shared" si="782"/>
        <v>0</v>
      </c>
      <c r="X2832" s="53">
        <f t="shared" si="783"/>
        <v>0</v>
      </c>
      <c r="Y2832" s="53">
        <f t="shared" si="784"/>
        <v>0</v>
      </c>
      <c r="Z2832" s="54">
        <f t="shared" si="788"/>
        <v>0</v>
      </c>
      <c r="AA2832" s="54">
        <f t="shared" si="785"/>
        <v>0</v>
      </c>
      <c r="AB2832" s="55">
        <f t="shared" si="775"/>
        <v>0</v>
      </c>
      <c r="AC2832" s="55">
        <f t="shared" si="786"/>
        <v>0</v>
      </c>
      <c r="AD2832" s="56">
        <f t="shared" si="787"/>
        <v>0</v>
      </c>
    </row>
    <row r="2833" spans="3:30">
      <c r="C2833" s="43" t="s">
        <v>5274</v>
      </c>
      <c r="D2833" s="44" t="s">
        <v>995</v>
      </c>
      <c r="E2833" s="44"/>
      <c r="F2833" s="45">
        <v>43316.694201388884</v>
      </c>
      <c r="G2833" s="46">
        <v>1</v>
      </c>
      <c r="H2833" s="47">
        <v>43431</v>
      </c>
      <c r="I2833" s="47">
        <v>43462</v>
      </c>
      <c r="J2833" s="46">
        <v>97562</v>
      </c>
      <c r="K2833" s="46">
        <v>0</v>
      </c>
      <c r="L2833" s="46">
        <v>0</v>
      </c>
      <c r="M2833" s="46">
        <f t="shared" si="776"/>
        <v>97562</v>
      </c>
      <c r="N2833" s="46">
        <v>149798</v>
      </c>
      <c r="O2833" s="48">
        <f t="shared" si="777"/>
        <v>0.34870959558872616</v>
      </c>
      <c r="P2833" s="46">
        <v>0</v>
      </c>
      <c r="Q2833" s="46">
        <v>0</v>
      </c>
      <c r="R2833" s="49">
        <f t="shared" si="778"/>
        <v>0</v>
      </c>
      <c r="S2833" s="50">
        <f t="shared" si="779"/>
        <v>0</v>
      </c>
      <c r="T2833" s="49">
        <f t="shared" si="780"/>
        <v>0</v>
      </c>
      <c r="U2833" s="51">
        <f t="shared" si="781"/>
        <v>0</v>
      </c>
      <c r="V2833" s="52">
        <f>IF(0&lt;0.8,0,IF(0&lt;1,Sheet3!L561,1))*IF(G2833&lt;3,0.12 - O2833,0.01) *U2833</f>
        <v>0</v>
      </c>
      <c r="W2833" s="52">
        <f t="shared" si="782"/>
        <v>0</v>
      </c>
      <c r="X2833" s="53">
        <f t="shared" si="783"/>
        <v>0</v>
      </c>
      <c r="Y2833" s="53">
        <f t="shared" si="784"/>
        <v>0</v>
      </c>
      <c r="Z2833" s="54">
        <f t="shared" si="788"/>
        <v>0</v>
      </c>
      <c r="AA2833" s="54">
        <f t="shared" si="785"/>
        <v>0</v>
      </c>
      <c r="AB2833" s="55">
        <f t="shared" si="775"/>
        <v>0</v>
      </c>
      <c r="AC2833" s="55">
        <f t="shared" si="786"/>
        <v>0</v>
      </c>
      <c r="AD2833" s="56">
        <f t="shared" si="787"/>
        <v>0</v>
      </c>
    </row>
    <row r="2834" spans="3:30">
      <c r="C2834" s="43" t="s">
        <v>5275</v>
      </c>
      <c r="D2834" s="44" t="s">
        <v>5276</v>
      </c>
      <c r="E2834" s="44"/>
      <c r="F2834" s="45">
        <v>42107.538425925923</v>
      </c>
      <c r="G2834" s="46">
        <v>41</v>
      </c>
      <c r="H2834" s="47">
        <v>43405</v>
      </c>
      <c r="I2834" s="47">
        <v>43431</v>
      </c>
      <c r="J2834" s="46">
        <v>3686960</v>
      </c>
      <c r="K2834" s="46">
        <v>0</v>
      </c>
      <c r="L2834" s="46">
        <v>0</v>
      </c>
      <c r="M2834" s="46">
        <f t="shared" si="776"/>
        <v>3686960</v>
      </c>
      <c r="N2834" s="46">
        <v>5989500</v>
      </c>
      <c r="O2834" s="48">
        <f t="shared" si="777"/>
        <v>0.38442941814842646</v>
      </c>
      <c r="P2834" s="46">
        <v>0</v>
      </c>
      <c r="Q2834" s="46">
        <v>3686960</v>
      </c>
      <c r="R2834" s="49">
        <f t="shared" si="778"/>
        <v>1</v>
      </c>
      <c r="S2834" s="50">
        <f t="shared" si="779"/>
        <v>0.01</v>
      </c>
      <c r="T2834" s="49">
        <f t="shared" si="780"/>
        <v>36869.599999999999</v>
      </c>
      <c r="U2834" s="51">
        <f t="shared" si="781"/>
        <v>0</v>
      </c>
      <c r="V2834" s="52">
        <f>IF(0&lt;0.8,0,IF(0&lt;1,Sheet3!L561,1))*IF(G2834&lt;3,0.12 - O2834,0.01) *U2834</f>
        <v>0</v>
      </c>
      <c r="W2834" s="52">
        <f t="shared" si="782"/>
        <v>0</v>
      </c>
      <c r="X2834" s="53">
        <f t="shared" si="783"/>
        <v>0</v>
      </c>
      <c r="Y2834" s="53">
        <f t="shared" si="784"/>
        <v>0</v>
      </c>
      <c r="Z2834" s="54">
        <f t="shared" si="788"/>
        <v>0</v>
      </c>
      <c r="AA2834" s="54">
        <f t="shared" si="785"/>
        <v>0</v>
      </c>
      <c r="AB2834" s="55">
        <f t="shared" si="775"/>
        <v>0</v>
      </c>
      <c r="AC2834" s="55">
        <f t="shared" si="786"/>
        <v>0</v>
      </c>
      <c r="AD2834" s="56">
        <f t="shared" si="787"/>
        <v>36869.599999999999</v>
      </c>
    </row>
    <row r="2835" spans="3:30">
      <c r="C2835" s="43" t="s">
        <v>5277</v>
      </c>
      <c r="D2835" s="44" t="s">
        <v>5278</v>
      </c>
      <c r="E2835" s="44"/>
      <c r="F2835" s="45">
        <v>42203.424317129626</v>
      </c>
      <c r="G2835" s="46">
        <v>38</v>
      </c>
      <c r="H2835" s="47">
        <v>43412</v>
      </c>
      <c r="I2835" s="47">
        <v>43420</v>
      </c>
      <c r="J2835" s="46">
        <v>697971</v>
      </c>
      <c r="K2835" s="46">
        <v>0</v>
      </c>
      <c r="L2835" s="46">
        <v>0</v>
      </c>
      <c r="M2835" s="46">
        <f t="shared" si="776"/>
        <v>697971</v>
      </c>
      <c r="N2835" s="46">
        <v>2145000</v>
      </c>
      <c r="O2835" s="48">
        <f t="shared" si="777"/>
        <v>0.67460559440559442</v>
      </c>
      <c r="P2835" s="46">
        <v>0</v>
      </c>
      <c r="Q2835" s="46">
        <v>703779</v>
      </c>
      <c r="R2835" s="49">
        <f t="shared" si="778"/>
        <v>1</v>
      </c>
      <c r="S2835" s="50">
        <f t="shared" si="779"/>
        <v>0.01</v>
      </c>
      <c r="T2835" s="49">
        <f t="shared" si="780"/>
        <v>6979.71</v>
      </c>
      <c r="U2835" s="51">
        <f t="shared" si="781"/>
        <v>0</v>
      </c>
      <c r="V2835" s="52">
        <f>IF(0&lt;0.8,0,IF(0&lt;1,Sheet3!L561,1))*IF(G2835&lt;3,0.12 - O2835,0.01) *U2835</f>
        <v>0</v>
      </c>
      <c r="W2835" s="52">
        <f t="shared" si="782"/>
        <v>0</v>
      </c>
      <c r="X2835" s="53">
        <f t="shared" si="783"/>
        <v>0</v>
      </c>
      <c r="Y2835" s="53">
        <f t="shared" si="784"/>
        <v>0</v>
      </c>
      <c r="Z2835" s="54">
        <f t="shared" si="788"/>
        <v>0</v>
      </c>
      <c r="AA2835" s="54">
        <f t="shared" si="785"/>
        <v>0</v>
      </c>
      <c r="AB2835" s="55">
        <f t="shared" si="775"/>
        <v>0</v>
      </c>
      <c r="AC2835" s="55">
        <f t="shared" si="786"/>
        <v>0</v>
      </c>
      <c r="AD2835" s="56">
        <f t="shared" si="787"/>
        <v>6979.71</v>
      </c>
    </row>
    <row r="2836" spans="3:30">
      <c r="C2836" s="43" t="s">
        <v>5279</v>
      </c>
      <c r="D2836" s="44" t="s">
        <v>5280</v>
      </c>
      <c r="E2836" s="44"/>
      <c r="F2836" s="45">
        <v>42314.703287037039</v>
      </c>
      <c r="G2836" s="46">
        <v>34</v>
      </c>
      <c r="H2836" s="47" t="s">
        <v>24</v>
      </c>
      <c r="I2836" s="47" t="s">
        <v>24</v>
      </c>
      <c r="J2836" s="46">
        <v>0</v>
      </c>
      <c r="K2836" s="46">
        <v>0</v>
      </c>
      <c r="L2836" s="46">
        <v>0</v>
      </c>
      <c r="M2836" s="46">
        <f t="shared" si="776"/>
        <v>0</v>
      </c>
      <c r="N2836" s="46">
        <v>94099500</v>
      </c>
      <c r="O2836" s="48">
        <f t="shared" si="777"/>
        <v>1</v>
      </c>
      <c r="P2836" s="46">
        <v>0</v>
      </c>
      <c r="Q2836" s="46">
        <v>0</v>
      </c>
      <c r="R2836" s="49">
        <f t="shared" si="778"/>
        <v>1</v>
      </c>
      <c r="S2836" s="50">
        <f t="shared" si="779"/>
        <v>0.01</v>
      </c>
      <c r="T2836" s="49">
        <f t="shared" si="780"/>
        <v>0</v>
      </c>
      <c r="U2836" s="51">
        <f t="shared" si="781"/>
        <v>0</v>
      </c>
      <c r="V2836" s="52">
        <f>IF(0&lt;0.8,0,IF(0&lt;1,Sheet3!L561,1))*IF(G2836&lt;3,0.12 - O2836,0.01) *U2836</f>
        <v>0</v>
      </c>
      <c r="W2836" s="52">
        <f t="shared" si="782"/>
        <v>0</v>
      </c>
      <c r="X2836" s="53">
        <f t="shared" si="783"/>
        <v>0</v>
      </c>
      <c r="Y2836" s="53">
        <f t="shared" si="784"/>
        <v>0</v>
      </c>
      <c r="Z2836" s="54">
        <f>IF(R2836=1,0,"")</f>
        <v>0</v>
      </c>
      <c r="AA2836" s="54">
        <f t="shared" si="785"/>
        <v>0</v>
      </c>
      <c r="AB2836" s="55">
        <f>IF(R2836=0,"",0)</f>
        <v>0</v>
      </c>
      <c r="AC2836" s="55">
        <f t="shared" si="786"/>
        <v>0</v>
      </c>
      <c r="AD2836" s="56">
        <f t="shared" si="787"/>
        <v>0</v>
      </c>
    </row>
    <row r="2837" spans="3:30">
      <c r="C2837" s="43" t="s">
        <v>5281</v>
      </c>
      <c r="D2837" s="44" t="s">
        <v>5282</v>
      </c>
      <c r="E2837" s="44"/>
      <c r="F2837" s="45">
        <v>42447.451631944445</v>
      </c>
      <c r="G2837" s="46">
        <v>30</v>
      </c>
      <c r="H2837" s="47">
        <v>43417</v>
      </c>
      <c r="I2837" s="47">
        <v>43448</v>
      </c>
      <c r="J2837" s="46">
        <v>977542</v>
      </c>
      <c r="K2837" s="46">
        <v>0</v>
      </c>
      <c r="L2837" s="46">
        <v>0</v>
      </c>
      <c r="M2837" s="46">
        <f t="shared" si="776"/>
        <v>977542</v>
      </c>
      <c r="N2837" s="46">
        <v>148500</v>
      </c>
      <c r="O2837" s="48">
        <f t="shared" si="777"/>
        <v>0</v>
      </c>
      <c r="P2837" s="46">
        <v>0</v>
      </c>
      <c r="Q2837" s="46">
        <v>1005042</v>
      </c>
      <c r="R2837" s="49">
        <f t="shared" si="778"/>
        <v>1</v>
      </c>
      <c r="S2837" s="50">
        <f t="shared" si="779"/>
        <v>0.01</v>
      </c>
      <c r="T2837" s="49">
        <f t="shared" si="780"/>
        <v>9775.42</v>
      </c>
      <c r="U2837" s="51">
        <f t="shared" si="781"/>
        <v>0</v>
      </c>
      <c r="V2837" s="52">
        <f>IF(0&lt;0.8,0,IF(0&lt;1,Sheet3!L561,1))*IF(G2837&lt;3,0.12 - O2837,0.01) *U2837</f>
        <v>0</v>
      </c>
      <c r="W2837" s="52">
        <f t="shared" si="782"/>
        <v>0</v>
      </c>
      <c r="X2837" s="53">
        <f t="shared" si="783"/>
        <v>0</v>
      </c>
      <c r="Y2837" s="53">
        <f t="shared" si="784"/>
        <v>0</v>
      </c>
      <c r="Z2837" s="54">
        <f t="shared" ref="Z2837:Z2843" si="789">IF(R2837=1,0,0)</f>
        <v>0</v>
      </c>
      <c r="AA2837" s="54">
        <f t="shared" si="785"/>
        <v>0</v>
      </c>
      <c r="AB2837" s="55">
        <f t="shared" ref="AB2837:AB2843" si="790">IF(R2837=0,0,0)</f>
        <v>0</v>
      </c>
      <c r="AC2837" s="55">
        <f t="shared" si="786"/>
        <v>0</v>
      </c>
      <c r="AD2837" s="56">
        <f t="shared" si="787"/>
        <v>9775.42</v>
      </c>
    </row>
    <row r="2838" spans="3:30">
      <c r="C2838" s="43" t="s">
        <v>5283</v>
      </c>
      <c r="D2838" s="44" t="s">
        <v>5284</v>
      </c>
      <c r="E2838" s="44"/>
      <c r="F2838" s="45">
        <v>42515.436342592591</v>
      </c>
      <c r="G2838" s="46">
        <v>28</v>
      </c>
      <c r="H2838" s="47" t="s">
        <v>24</v>
      </c>
      <c r="I2838" s="47" t="s">
        <v>24</v>
      </c>
      <c r="J2838" s="46">
        <v>5720500</v>
      </c>
      <c r="K2838" s="46">
        <v>0</v>
      </c>
      <c r="L2838" s="46">
        <v>0</v>
      </c>
      <c r="M2838" s="46">
        <f t="shared" si="776"/>
        <v>5720500</v>
      </c>
      <c r="N2838" s="46">
        <v>2920500</v>
      </c>
      <c r="O2838" s="48">
        <f t="shared" si="777"/>
        <v>0</v>
      </c>
      <c r="P2838" s="46">
        <v>0</v>
      </c>
      <c r="Q2838" s="46">
        <v>5720500</v>
      </c>
      <c r="R2838" s="49">
        <f t="shared" si="778"/>
        <v>1</v>
      </c>
      <c r="S2838" s="50">
        <f t="shared" si="779"/>
        <v>0.01</v>
      </c>
      <c r="T2838" s="49">
        <f t="shared" si="780"/>
        <v>57205</v>
      </c>
      <c r="U2838" s="51">
        <f t="shared" si="781"/>
        <v>0</v>
      </c>
      <c r="V2838" s="52">
        <f>IF(0&lt;0.8,0,IF(0&lt;1,Sheet3!L561,1))*IF(G2838&lt;3,0.12 - O2838,0.01) *U2838</f>
        <v>0</v>
      </c>
      <c r="W2838" s="52">
        <f t="shared" si="782"/>
        <v>0</v>
      </c>
      <c r="X2838" s="53">
        <f t="shared" si="783"/>
        <v>0</v>
      </c>
      <c r="Y2838" s="53">
        <f t="shared" si="784"/>
        <v>0</v>
      </c>
      <c r="Z2838" s="54">
        <f t="shared" si="789"/>
        <v>0</v>
      </c>
      <c r="AA2838" s="54">
        <f t="shared" si="785"/>
        <v>0</v>
      </c>
      <c r="AB2838" s="55">
        <f t="shared" si="790"/>
        <v>0</v>
      </c>
      <c r="AC2838" s="55">
        <f t="shared" si="786"/>
        <v>0</v>
      </c>
      <c r="AD2838" s="56">
        <f t="shared" si="787"/>
        <v>57205</v>
      </c>
    </row>
    <row r="2839" spans="3:30">
      <c r="C2839" s="43" t="s">
        <v>5285</v>
      </c>
      <c r="D2839" s="44" t="s">
        <v>5286</v>
      </c>
      <c r="E2839" s="44"/>
      <c r="F2839" s="45">
        <v>42635.159803240742</v>
      </c>
      <c r="G2839" s="46">
        <v>24</v>
      </c>
      <c r="H2839" s="47">
        <v>43403</v>
      </c>
      <c r="I2839" s="47">
        <v>43410</v>
      </c>
      <c r="J2839" s="46">
        <v>1883200</v>
      </c>
      <c r="K2839" s="46">
        <v>0</v>
      </c>
      <c r="L2839" s="46">
        <v>0</v>
      </c>
      <c r="M2839" s="46">
        <f t="shared" si="776"/>
        <v>1883200</v>
      </c>
      <c r="N2839" s="46">
        <v>231000</v>
      </c>
      <c r="O2839" s="48">
        <f t="shared" si="777"/>
        <v>0</v>
      </c>
      <c r="P2839" s="46">
        <v>0</v>
      </c>
      <c r="Q2839" s="46">
        <v>1883200</v>
      </c>
      <c r="R2839" s="49">
        <f t="shared" si="778"/>
        <v>1</v>
      </c>
      <c r="S2839" s="50">
        <f t="shared" si="779"/>
        <v>0.01</v>
      </c>
      <c r="T2839" s="49">
        <f t="shared" si="780"/>
        <v>18832</v>
      </c>
      <c r="U2839" s="51">
        <f t="shared" si="781"/>
        <v>0</v>
      </c>
      <c r="V2839" s="52">
        <f>IF(0&lt;0.8,0,IF(0&lt;1,Sheet3!L561,1))*IF(G2839&lt;3,0.12 - O2839,0.01) *U2839</f>
        <v>0</v>
      </c>
      <c r="W2839" s="52">
        <f t="shared" si="782"/>
        <v>0</v>
      </c>
      <c r="X2839" s="53">
        <f t="shared" si="783"/>
        <v>0</v>
      </c>
      <c r="Y2839" s="53">
        <f t="shared" si="784"/>
        <v>0</v>
      </c>
      <c r="Z2839" s="54">
        <f t="shared" si="789"/>
        <v>0</v>
      </c>
      <c r="AA2839" s="54">
        <f t="shared" si="785"/>
        <v>0</v>
      </c>
      <c r="AB2839" s="55">
        <f t="shared" si="790"/>
        <v>0</v>
      </c>
      <c r="AC2839" s="55">
        <f t="shared" si="786"/>
        <v>0</v>
      </c>
      <c r="AD2839" s="56">
        <f t="shared" si="787"/>
        <v>18832</v>
      </c>
    </row>
    <row r="2840" spans="3:30">
      <c r="C2840" s="43" t="s">
        <v>5287</v>
      </c>
      <c r="D2840" s="44" t="s">
        <v>5288</v>
      </c>
      <c r="E2840" s="44"/>
      <c r="F2840" s="45">
        <v>42775.182314814811</v>
      </c>
      <c r="G2840" s="46">
        <v>19</v>
      </c>
      <c r="H2840" s="47">
        <v>43404</v>
      </c>
      <c r="I2840" s="47">
        <v>43417</v>
      </c>
      <c r="J2840" s="46">
        <v>1326028</v>
      </c>
      <c r="K2840" s="46">
        <v>0</v>
      </c>
      <c r="L2840" s="46">
        <v>0</v>
      </c>
      <c r="M2840" s="46">
        <f t="shared" si="776"/>
        <v>1326028</v>
      </c>
      <c r="N2840" s="46">
        <v>412500</v>
      </c>
      <c r="O2840" s="48">
        <f t="shared" si="777"/>
        <v>0</v>
      </c>
      <c r="P2840" s="46">
        <v>0</v>
      </c>
      <c r="Q2840" s="46">
        <v>1326028</v>
      </c>
      <c r="R2840" s="49">
        <f t="shared" si="778"/>
        <v>1</v>
      </c>
      <c r="S2840" s="50">
        <f t="shared" si="779"/>
        <v>0.01</v>
      </c>
      <c r="T2840" s="49">
        <f t="shared" si="780"/>
        <v>13260.28</v>
      </c>
      <c r="U2840" s="51">
        <f t="shared" si="781"/>
        <v>0</v>
      </c>
      <c r="V2840" s="52">
        <f>IF(0&lt;0.8,0,IF(0&lt;1,Sheet3!L561,1))*IF(G2840&lt;3,0.12 - O2840,0.01) *U2840</f>
        <v>0</v>
      </c>
      <c r="W2840" s="52">
        <f t="shared" si="782"/>
        <v>0</v>
      </c>
      <c r="X2840" s="53">
        <f t="shared" si="783"/>
        <v>0</v>
      </c>
      <c r="Y2840" s="53">
        <f t="shared" si="784"/>
        <v>0</v>
      </c>
      <c r="Z2840" s="54">
        <f t="shared" si="789"/>
        <v>0</v>
      </c>
      <c r="AA2840" s="54">
        <f t="shared" si="785"/>
        <v>0</v>
      </c>
      <c r="AB2840" s="55">
        <f t="shared" si="790"/>
        <v>0</v>
      </c>
      <c r="AC2840" s="55">
        <f t="shared" si="786"/>
        <v>0</v>
      </c>
      <c r="AD2840" s="56">
        <f t="shared" si="787"/>
        <v>13260.28</v>
      </c>
    </row>
    <row r="2841" spans="3:30">
      <c r="C2841" s="43" t="s">
        <v>5289</v>
      </c>
      <c r="D2841" s="44" t="s">
        <v>5290</v>
      </c>
      <c r="E2841" s="44"/>
      <c r="F2841" s="45">
        <v>42787.191874999997</v>
      </c>
      <c r="G2841" s="46">
        <v>19</v>
      </c>
      <c r="H2841" s="47">
        <v>43404</v>
      </c>
      <c r="I2841" s="47">
        <v>43461</v>
      </c>
      <c r="J2841" s="46">
        <v>255530</v>
      </c>
      <c r="K2841" s="46">
        <v>0</v>
      </c>
      <c r="L2841" s="46">
        <v>0</v>
      </c>
      <c r="M2841" s="46">
        <f t="shared" si="776"/>
        <v>255530</v>
      </c>
      <c r="N2841" s="46">
        <v>198000</v>
      </c>
      <c r="O2841" s="48">
        <f t="shared" si="777"/>
        <v>0</v>
      </c>
      <c r="P2841" s="46">
        <v>0</v>
      </c>
      <c r="Q2841" s="46">
        <v>275858</v>
      </c>
      <c r="R2841" s="49">
        <f t="shared" si="778"/>
        <v>1</v>
      </c>
      <c r="S2841" s="50">
        <f t="shared" si="779"/>
        <v>0.01</v>
      </c>
      <c r="T2841" s="49">
        <f t="shared" si="780"/>
        <v>2555.3000000000002</v>
      </c>
      <c r="U2841" s="51">
        <f t="shared" si="781"/>
        <v>0</v>
      </c>
      <c r="V2841" s="52">
        <f>IF(0&lt;0.8,0,IF(0&lt;1,Sheet3!L561,1))*IF(G2841&lt;3,0.12 - O2841,0.01) *U2841</f>
        <v>0</v>
      </c>
      <c r="W2841" s="52">
        <f t="shared" si="782"/>
        <v>0</v>
      </c>
      <c r="X2841" s="53">
        <f t="shared" si="783"/>
        <v>0</v>
      </c>
      <c r="Y2841" s="53">
        <f t="shared" si="784"/>
        <v>0</v>
      </c>
      <c r="Z2841" s="54">
        <f t="shared" si="789"/>
        <v>0</v>
      </c>
      <c r="AA2841" s="54">
        <f t="shared" si="785"/>
        <v>0</v>
      </c>
      <c r="AB2841" s="55">
        <f t="shared" si="790"/>
        <v>0</v>
      </c>
      <c r="AC2841" s="55">
        <f t="shared" si="786"/>
        <v>0</v>
      </c>
      <c r="AD2841" s="56">
        <f t="shared" si="787"/>
        <v>2555.3000000000002</v>
      </c>
    </row>
    <row r="2842" spans="3:30">
      <c r="C2842" s="43" t="s">
        <v>5291</v>
      </c>
      <c r="D2842" s="44" t="s">
        <v>5292</v>
      </c>
      <c r="E2842" s="44"/>
      <c r="F2842" s="45">
        <v>42884.403067129628</v>
      </c>
      <c r="G2842" s="46">
        <v>16</v>
      </c>
      <c r="H2842" s="47" t="s">
        <v>24</v>
      </c>
      <c r="I2842" s="47" t="s">
        <v>24</v>
      </c>
      <c r="J2842" s="46">
        <v>136500</v>
      </c>
      <c r="K2842" s="46">
        <v>0</v>
      </c>
      <c r="L2842" s="46">
        <v>0</v>
      </c>
      <c r="M2842" s="46">
        <f t="shared" si="776"/>
        <v>136500</v>
      </c>
      <c r="N2842" s="46">
        <v>115500</v>
      </c>
      <c r="O2842" s="48">
        <f t="shared" si="777"/>
        <v>0</v>
      </c>
      <c r="P2842" s="46">
        <v>0</v>
      </c>
      <c r="Q2842" s="46">
        <v>136500</v>
      </c>
      <c r="R2842" s="49">
        <f t="shared" si="778"/>
        <v>1</v>
      </c>
      <c r="S2842" s="50">
        <f t="shared" si="779"/>
        <v>0.01</v>
      </c>
      <c r="T2842" s="49">
        <f t="shared" si="780"/>
        <v>1365</v>
      </c>
      <c r="U2842" s="51">
        <f t="shared" si="781"/>
        <v>0</v>
      </c>
      <c r="V2842" s="52">
        <f>IF(0&lt;0.8,0,IF(0&lt;1,Sheet3!L561,1))*IF(G2842&lt;3,0.12 - O2842,0.01) *U2842</f>
        <v>0</v>
      </c>
      <c r="W2842" s="52">
        <f t="shared" si="782"/>
        <v>0</v>
      </c>
      <c r="X2842" s="53">
        <f t="shared" si="783"/>
        <v>0</v>
      </c>
      <c r="Y2842" s="53">
        <f t="shared" si="784"/>
        <v>0</v>
      </c>
      <c r="Z2842" s="54">
        <f t="shared" si="789"/>
        <v>0</v>
      </c>
      <c r="AA2842" s="54">
        <f t="shared" si="785"/>
        <v>0</v>
      </c>
      <c r="AB2842" s="55">
        <f t="shared" si="790"/>
        <v>0</v>
      </c>
      <c r="AC2842" s="55">
        <f t="shared" si="786"/>
        <v>0</v>
      </c>
      <c r="AD2842" s="56">
        <f t="shared" si="787"/>
        <v>1365</v>
      </c>
    </row>
    <row r="2843" spans="3:30">
      <c r="C2843" s="43" t="s">
        <v>5293</v>
      </c>
      <c r="D2843" s="44" t="s">
        <v>5294</v>
      </c>
      <c r="E2843" s="44"/>
      <c r="F2843" s="45">
        <v>42947.345497685186</v>
      </c>
      <c r="G2843" s="46">
        <v>14</v>
      </c>
      <c r="H2843" s="47" t="s">
        <v>24</v>
      </c>
      <c r="I2843" s="47" t="s">
        <v>24</v>
      </c>
      <c r="J2843" s="46">
        <v>5944545</v>
      </c>
      <c r="K2843" s="46">
        <v>0</v>
      </c>
      <c r="L2843" s="46">
        <v>0</v>
      </c>
      <c r="M2843" s="46">
        <f t="shared" si="776"/>
        <v>5944545</v>
      </c>
      <c r="N2843" s="46">
        <v>2508000</v>
      </c>
      <c r="O2843" s="48">
        <f t="shared" si="777"/>
        <v>0</v>
      </c>
      <c r="P2843" s="46">
        <v>0</v>
      </c>
      <c r="Q2843" s="46">
        <v>5944545</v>
      </c>
      <c r="R2843" s="49">
        <f t="shared" si="778"/>
        <v>1</v>
      </c>
      <c r="S2843" s="50">
        <f t="shared" si="779"/>
        <v>0.01</v>
      </c>
      <c r="T2843" s="49">
        <f t="shared" si="780"/>
        <v>59445.450000000004</v>
      </c>
      <c r="U2843" s="51">
        <f t="shared" si="781"/>
        <v>0</v>
      </c>
      <c r="V2843" s="52">
        <f>IF(0&lt;0.8,0,IF(0&lt;1,Sheet3!L561,1))*IF(G2843&lt;3,0.12 - O2843,0.01) *U2843</f>
        <v>0</v>
      </c>
      <c r="W2843" s="52">
        <f t="shared" si="782"/>
        <v>0</v>
      </c>
      <c r="X2843" s="53">
        <f t="shared" si="783"/>
        <v>0</v>
      </c>
      <c r="Y2843" s="53">
        <f t="shared" si="784"/>
        <v>0</v>
      </c>
      <c r="Z2843" s="54">
        <f t="shared" si="789"/>
        <v>0</v>
      </c>
      <c r="AA2843" s="54">
        <f t="shared" si="785"/>
        <v>0</v>
      </c>
      <c r="AB2843" s="55">
        <f t="shared" si="790"/>
        <v>0</v>
      </c>
      <c r="AC2843" s="55">
        <f t="shared" si="786"/>
        <v>0</v>
      </c>
      <c r="AD2843" s="56">
        <f t="shared" si="787"/>
        <v>59445.450000000004</v>
      </c>
    </row>
    <row r="2844" spans="3:30">
      <c r="C2844" s="43" t="s">
        <v>5295</v>
      </c>
      <c r="D2844" s="44" t="s">
        <v>5296</v>
      </c>
      <c r="E2844" s="44"/>
      <c r="F2844" s="45">
        <v>43073.11137731481</v>
      </c>
      <c r="G2844" s="46">
        <v>9</v>
      </c>
      <c r="H2844" s="47" t="s">
        <v>24</v>
      </c>
      <c r="I2844" s="47" t="s">
        <v>24</v>
      </c>
      <c r="J2844" s="46">
        <v>0</v>
      </c>
      <c r="K2844" s="46">
        <v>0</v>
      </c>
      <c r="L2844" s="46">
        <v>0</v>
      </c>
      <c r="M2844" s="46">
        <f t="shared" si="776"/>
        <v>0</v>
      </c>
      <c r="N2844" s="46">
        <v>3234000</v>
      </c>
      <c r="O2844" s="48">
        <f t="shared" si="777"/>
        <v>1</v>
      </c>
      <c r="P2844" s="46">
        <v>0</v>
      </c>
      <c r="Q2844" s="46">
        <v>0</v>
      </c>
      <c r="R2844" s="49">
        <f t="shared" si="778"/>
        <v>1</v>
      </c>
      <c r="S2844" s="50">
        <f t="shared" si="779"/>
        <v>0.01</v>
      </c>
      <c r="T2844" s="49">
        <f t="shared" si="780"/>
        <v>0</v>
      </c>
      <c r="U2844" s="51">
        <f t="shared" si="781"/>
        <v>0</v>
      </c>
      <c r="V2844" s="52">
        <f>IF(0&lt;0.8,0,IF(0&lt;1,Sheet3!L561,1))*IF(G2844&lt;3,0.12 - O2844,0.01) *U2844</f>
        <v>0</v>
      </c>
      <c r="W2844" s="52">
        <f t="shared" si="782"/>
        <v>0</v>
      </c>
      <c r="X2844" s="53">
        <f t="shared" si="783"/>
        <v>0</v>
      </c>
      <c r="Y2844" s="53">
        <f t="shared" si="784"/>
        <v>0</v>
      </c>
      <c r="Z2844" s="54">
        <f>IF(R2844=1,0,"")</f>
        <v>0</v>
      </c>
      <c r="AA2844" s="54">
        <f t="shared" si="785"/>
        <v>0</v>
      </c>
      <c r="AB2844" s="55">
        <f>IF(R2844=0,"",0)</f>
        <v>0</v>
      </c>
      <c r="AC2844" s="55">
        <f t="shared" si="786"/>
        <v>0</v>
      </c>
      <c r="AD2844" s="56">
        <f t="shared" si="787"/>
        <v>0</v>
      </c>
    </row>
    <row r="2845" spans="3:30">
      <c r="C2845" s="43" t="s">
        <v>5297</v>
      </c>
      <c r="D2845" s="44" t="s">
        <v>5298</v>
      </c>
      <c r="E2845" s="44"/>
      <c r="F2845" s="45">
        <v>43193.48165509259</v>
      </c>
      <c r="G2845" s="46">
        <v>5</v>
      </c>
      <c r="H2845" s="47" t="s">
        <v>24</v>
      </c>
      <c r="I2845" s="47" t="s">
        <v>24</v>
      </c>
      <c r="J2845" s="46">
        <v>0</v>
      </c>
      <c r="K2845" s="46">
        <v>0</v>
      </c>
      <c r="L2845" s="46">
        <v>0</v>
      </c>
      <c r="M2845" s="46">
        <f t="shared" si="776"/>
        <v>0</v>
      </c>
      <c r="N2845" s="46">
        <v>2475000</v>
      </c>
      <c r="O2845" s="48">
        <f t="shared" si="777"/>
        <v>1</v>
      </c>
      <c r="P2845" s="46">
        <v>0</v>
      </c>
      <c r="Q2845" s="46">
        <v>0</v>
      </c>
      <c r="R2845" s="49">
        <f t="shared" si="778"/>
        <v>1</v>
      </c>
      <c r="S2845" s="50">
        <f t="shared" si="779"/>
        <v>0.01</v>
      </c>
      <c r="T2845" s="49">
        <f t="shared" si="780"/>
        <v>0</v>
      </c>
      <c r="U2845" s="51">
        <f t="shared" si="781"/>
        <v>0</v>
      </c>
      <c r="V2845" s="52">
        <f>IF(0&lt;0.8,0,IF(0&lt;1,Sheet3!L561,1))*IF(G2845&lt;3,0.12 - O2845,0.01) *U2845</f>
        <v>0</v>
      </c>
      <c r="W2845" s="52">
        <f t="shared" si="782"/>
        <v>0</v>
      </c>
      <c r="X2845" s="53">
        <f t="shared" si="783"/>
        <v>0</v>
      </c>
      <c r="Y2845" s="53">
        <f t="shared" si="784"/>
        <v>0</v>
      </c>
      <c r="Z2845" s="54">
        <f>IF(R2845=1,0,"")</f>
        <v>0</v>
      </c>
      <c r="AA2845" s="54">
        <f t="shared" si="785"/>
        <v>0</v>
      </c>
      <c r="AB2845" s="55">
        <f>IF(R2845=0,"",0)</f>
        <v>0</v>
      </c>
      <c r="AC2845" s="55">
        <f t="shared" si="786"/>
        <v>0</v>
      </c>
      <c r="AD2845" s="56">
        <f t="shared" si="787"/>
        <v>0</v>
      </c>
    </row>
    <row r="2846" spans="3:30">
      <c r="C2846" s="43" t="s">
        <v>5299</v>
      </c>
      <c r="D2846" s="44" t="s">
        <v>5300</v>
      </c>
      <c r="E2846" s="44"/>
      <c r="F2846" s="45">
        <v>43244.295740740738</v>
      </c>
      <c r="G2846" s="46">
        <v>4</v>
      </c>
      <c r="H2846" s="47" t="s">
        <v>24</v>
      </c>
      <c r="I2846" s="47" t="s">
        <v>24</v>
      </c>
      <c r="J2846" s="46">
        <v>36000</v>
      </c>
      <c r="K2846" s="46">
        <v>0</v>
      </c>
      <c r="L2846" s="46">
        <v>0</v>
      </c>
      <c r="M2846" s="46">
        <f t="shared" si="776"/>
        <v>36000</v>
      </c>
      <c r="N2846" s="46">
        <v>49500</v>
      </c>
      <c r="O2846" s="48">
        <f t="shared" si="777"/>
        <v>0.27272727272727271</v>
      </c>
      <c r="P2846" s="46">
        <v>0</v>
      </c>
      <c r="Q2846" s="46">
        <v>36000</v>
      </c>
      <c r="R2846" s="49">
        <f t="shared" si="778"/>
        <v>1</v>
      </c>
      <c r="S2846" s="50">
        <f t="shared" si="779"/>
        <v>0.01</v>
      </c>
      <c r="T2846" s="49">
        <f t="shared" si="780"/>
        <v>360</v>
      </c>
      <c r="U2846" s="51">
        <f t="shared" si="781"/>
        <v>0</v>
      </c>
      <c r="V2846" s="52">
        <f>IF(0&lt;0.8,0,IF(0&lt;1,Sheet3!L561,1))*IF(G2846&lt;3,0.12 - O2846,0.01) *U2846</f>
        <v>0</v>
      </c>
      <c r="W2846" s="52">
        <f t="shared" si="782"/>
        <v>0</v>
      </c>
      <c r="X2846" s="53">
        <f t="shared" si="783"/>
        <v>0</v>
      </c>
      <c r="Y2846" s="53">
        <f t="shared" si="784"/>
        <v>0</v>
      </c>
      <c r="Z2846" s="54">
        <f>IF(R2846=1,0,0)</f>
        <v>0</v>
      </c>
      <c r="AA2846" s="54">
        <f t="shared" si="785"/>
        <v>0</v>
      </c>
      <c r="AB2846" s="55">
        <f>IF(R2846=0,0,0)</f>
        <v>0</v>
      </c>
      <c r="AC2846" s="55">
        <f t="shared" si="786"/>
        <v>0</v>
      </c>
      <c r="AD2846" s="56">
        <f t="shared" si="787"/>
        <v>360</v>
      </c>
    </row>
    <row r="2847" spans="3:30">
      <c r="C2847" s="43" t="s">
        <v>5301</v>
      </c>
      <c r="D2847" s="44" t="s">
        <v>5302</v>
      </c>
      <c r="E2847" s="44"/>
      <c r="F2847" s="45">
        <v>43288.168692129628</v>
      </c>
      <c r="G2847" s="46">
        <v>2</v>
      </c>
      <c r="H2847" s="47" t="s">
        <v>24</v>
      </c>
      <c r="I2847" s="47" t="s">
        <v>24</v>
      </c>
      <c r="J2847" s="46">
        <v>0</v>
      </c>
      <c r="K2847" s="46">
        <v>0</v>
      </c>
      <c r="L2847" s="46">
        <v>0</v>
      </c>
      <c r="M2847" s="46">
        <f t="shared" si="776"/>
        <v>0</v>
      </c>
      <c r="N2847" s="46">
        <v>15708000</v>
      </c>
      <c r="O2847" s="48">
        <f t="shared" si="777"/>
        <v>1</v>
      </c>
      <c r="P2847" s="46">
        <v>0</v>
      </c>
      <c r="Q2847" s="46">
        <v>0</v>
      </c>
      <c r="R2847" s="49">
        <f t="shared" si="778"/>
        <v>0</v>
      </c>
      <c r="S2847" s="50">
        <f t="shared" si="779"/>
        <v>0</v>
      </c>
      <c r="T2847" s="49">
        <f t="shared" si="780"/>
        <v>0</v>
      </c>
      <c r="U2847" s="51">
        <f t="shared" si="781"/>
        <v>0</v>
      </c>
      <c r="V2847" s="52">
        <f>IF(0&lt;0.8,0,IF(0&lt;1,Sheet3!L561,1))*IF(G2847&lt;3,0.12 - O2847,0.01) *U2847</f>
        <v>0</v>
      </c>
      <c r="W2847" s="52">
        <f t="shared" si="782"/>
        <v>0</v>
      </c>
      <c r="X2847" s="53">
        <f t="shared" si="783"/>
        <v>0</v>
      </c>
      <c r="Y2847" s="53">
        <f t="shared" si="784"/>
        <v>0</v>
      </c>
      <c r="Z2847" s="54" t="str">
        <f>IF(R2847=1,0,"")</f>
        <v/>
      </c>
      <c r="AA2847" s="54">
        <f t="shared" si="785"/>
        <v>0</v>
      </c>
      <c r="AB2847" s="55" t="str">
        <f>IF(R2847=0,"",0)</f>
        <v/>
      </c>
      <c r="AC2847" s="55">
        <f t="shared" si="786"/>
        <v>0</v>
      </c>
      <c r="AD2847" s="56">
        <f t="shared" si="787"/>
        <v>0</v>
      </c>
    </row>
    <row r="2848" spans="3:30">
      <c r="C2848" s="43" t="s">
        <v>5303</v>
      </c>
      <c r="D2848" s="44" t="s">
        <v>5304</v>
      </c>
      <c r="E2848" s="44"/>
      <c r="F2848" s="45">
        <v>43343.163715277777</v>
      </c>
      <c r="G2848" s="46">
        <v>1</v>
      </c>
      <c r="H2848" s="47" t="s">
        <v>24</v>
      </c>
      <c r="I2848" s="47" t="s">
        <v>24</v>
      </c>
      <c r="J2848" s="46">
        <v>0</v>
      </c>
      <c r="K2848" s="46">
        <v>0</v>
      </c>
      <c r="L2848" s="46">
        <v>0</v>
      </c>
      <c r="M2848" s="46">
        <f t="shared" si="776"/>
        <v>0</v>
      </c>
      <c r="N2848" s="46">
        <v>23694000</v>
      </c>
      <c r="O2848" s="48">
        <f t="shared" si="777"/>
        <v>1</v>
      </c>
      <c r="P2848" s="46">
        <v>0</v>
      </c>
      <c r="Q2848" s="46">
        <v>0</v>
      </c>
      <c r="R2848" s="49">
        <f t="shared" si="778"/>
        <v>0</v>
      </c>
      <c r="S2848" s="50">
        <f t="shared" si="779"/>
        <v>0</v>
      </c>
      <c r="T2848" s="49">
        <f t="shared" si="780"/>
        <v>0</v>
      </c>
      <c r="U2848" s="51">
        <f t="shared" si="781"/>
        <v>0</v>
      </c>
      <c r="V2848" s="52">
        <f>IF(0&lt;0.8,0,IF(0&lt;1,Sheet3!L561,1))*IF(G2848&lt;3,0.12 - O2848,0.01) *U2848</f>
        <v>0</v>
      </c>
      <c r="W2848" s="52">
        <f t="shared" si="782"/>
        <v>0</v>
      </c>
      <c r="X2848" s="53">
        <f t="shared" si="783"/>
        <v>0</v>
      </c>
      <c r="Y2848" s="53">
        <f t="shared" si="784"/>
        <v>0</v>
      </c>
      <c r="Z2848" s="54" t="str">
        <f>IF(R2848=1,0,"")</f>
        <v/>
      </c>
      <c r="AA2848" s="54">
        <f t="shared" si="785"/>
        <v>0</v>
      </c>
      <c r="AB2848" s="55" t="str">
        <f>IF(R2848=0,"",0)</f>
        <v/>
      </c>
      <c r="AC2848" s="55">
        <f t="shared" si="786"/>
        <v>0</v>
      </c>
      <c r="AD2848" s="56">
        <f t="shared" si="787"/>
        <v>0</v>
      </c>
    </row>
    <row r="2849" spans="3:30">
      <c r="C2849" s="43" t="s">
        <v>5305</v>
      </c>
      <c r="D2849" s="44" t="s">
        <v>5306</v>
      </c>
      <c r="E2849" s="44"/>
      <c r="F2849" s="45">
        <v>43349.159999999996</v>
      </c>
      <c r="G2849" s="46">
        <v>0</v>
      </c>
      <c r="H2849" s="47" t="s">
        <v>24</v>
      </c>
      <c r="I2849" s="47" t="s">
        <v>24</v>
      </c>
      <c r="J2849" s="46">
        <v>0</v>
      </c>
      <c r="K2849" s="46">
        <v>0</v>
      </c>
      <c r="L2849" s="46">
        <v>0</v>
      </c>
      <c r="M2849" s="46">
        <f t="shared" si="776"/>
        <v>0</v>
      </c>
      <c r="N2849" s="46">
        <v>792000</v>
      </c>
      <c r="O2849" s="48">
        <f t="shared" si="777"/>
        <v>1</v>
      </c>
      <c r="P2849" s="46">
        <v>0</v>
      </c>
      <c r="Q2849" s="46">
        <v>0</v>
      </c>
      <c r="R2849" s="49">
        <f t="shared" si="778"/>
        <v>0</v>
      </c>
      <c r="S2849" s="50">
        <f t="shared" si="779"/>
        <v>0</v>
      </c>
      <c r="T2849" s="49">
        <f t="shared" si="780"/>
        <v>0</v>
      </c>
      <c r="U2849" s="51">
        <f t="shared" si="781"/>
        <v>0</v>
      </c>
      <c r="V2849" s="52">
        <f>IF(0&lt;0.8,0,IF(0&lt;1,Sheet3!L561,1))*IF(G2849&lt;3,0.12 - O2849,0.01) *U2849</f>
        <v>0</v>
      </c>
      <c r="W2849" s="52">
        <f t="shared" si="782"/>
        <v>0</v>
      </c>
      <c r="X2849" s="53">
        <f t="shared" si="783"/>
        <v>0</v>
      </c>
      <c r="Y2849" s="53">
        <f t="shared" si="784"/>
        <v>0</v>
      </c>
      <c r="Z2849" s="54" t="str">
        <f>IF(R2849=1,0,"")</f>
        <v/>
      </c>
      <c r="AA2849" s="54">
        <f t="shared" si="785"/>
        <v>0</v>
      </c>
      <c r="AB2849" s="55" t="str">
        <f>IF(R2849=0,"",0)</f>
        <v/>
      </c>
      <c r="AC2849" s="55">
        <f t="shared" si="786"/>
        <v>0</v>
      </c>
      <c r="AD2849" s="56">
        <f t="shared" si="787"/>
        <v>0</v>
      </c>
    </row>
    <row r="2850" spans="3:30">
      <c r="C2850" s="43" t="s">
        <v>5307</v>
      </c>
      <c r="D2850" s="44" t="s">
        <v>5308</v>
      </c>
      <c r="E2850" s="44"/>
      <c r="F2850" s="45">
        <v>43362.1718287037</v>
      </c>
      <c r="G2850" s="46">
        <v>0</v>
      </c>
      <c r="H2850" s="47" t="s">
        <v>24</v>
      </c>
      <c r="I2850" s="47" t="s">
        <v>24</v>
      </c>
      <c r="J2850" s="46">
        <v>33320</v>
      </c>
      <c r="K2850" s="46">
        <v>0</v>
      </c>
      <c r="L2850" s="46">
        <v>0</v>
      </c>
      <c r="M2850" s="46">
        <f t="shared" si="776"/>
        <v>33320</v>
      </c>
      <c r="N2850" s="46">
        <v>528000</v>
      </c>
      <c r="O2850" s="48">
        <f t="shared" si="777"/>
        <v>0.93689393939393939</v>
      </c>
      <c r="P2850" s="46">
        <v>0</v>
      </c>
      <c r="Q2850" s="46">
        <v>0</v>
      </c>
      <c r="R2850" s="49">
        <f t="shared" si="778"/>
        <v>0</v>
      </c>
      <c r="S2850" s="50">
        <f t="shared" si="779"/>
        <v>0</v>
      </c>
      <c r="T2850" s="49">
        <f t="shared" si="780"/>
        <v>0</v>
      </c>
      <c r="U2850" s="51">
        <f t="shared" si="781"/>
        <v>0</v>
      </c>
      <c r="V2850" s="52">
        <f>IF(0&lt;0.8,0,IF(0&lt;1,Sheet3!L561,1))*IF(G2850&lt;3,0.12 - O2850,0.01) *U2850</f>
        <v>0</v>
      </c>
      <c r="W2850" s="52">
        <f t="shared" si="782"/>
        <v>0</v>
      </c>
      <c r="X2850" s="53">
        <f t="shared" si="783"/>
        <v>0</v>
      </c>
      <c r="Y2850" s="53">
        <f t="shared" si="784"/>
        <v>0</v>
      </c>
      <c r="Z2850" s="54">
        <f>IF(R2850=1,0,0)</f>
        <v>0</v>
      </c>
      <c r="AA2850" s="54">
        <f t="shared" si="785"/>
        <v>0</v>
      </c>
      <c r="AB2850" s="55">
        <f>IF(R2850=0,0,0)</f>
        <v>0</v>
      </c>
      <c r="AC2850" s="55">
        <f t="shared" si="786"/>
        <v>0</v>
      </c>
      <c r="AD2850" s="56">
        <f t="shared" si="787"/>
        <v>0</v>
      </c>
    </row>
    <row r="2851" spans="3:30">
      <c r="C2851" s="43" t="s">
        <v>5309</v>
      </c>
      <c r="D2851" s="44" t="s">
        <v>5310</v>
      </c>
      <c r="E2851" s="44"/>
      <c r="F2851" s="45">
        <v>43363.111412037033</v>
      </c>
      <c r="G2851" s="46">
        <v>0</v>
      </c>
      <c r="H2851" s="47" t="s">
        <v>24</v>
      </c>
      <c r="I2851" s="47" t="s">
        <v>24</v>
      </c>
      <c r="J2851" s="46">
        <v>0</v>
      </c>
      <c r="K2851" s="46">
        <v>0</v>
      </c>
      <c r="L2851" s="46">
        <v>0</v>
      </c>
      <c r="M2851" s="46">
        <f t="shared" si="776"/>
        <v>0</v>
      </c>
      <c r="N2851" s="46">
        <v>462000</v>
      </c>
      <c r="O2851" s="48">
        <f t="shared" si="777"/>
        <v>1</v>
      </c>
      <c r="P2851" s="46">
        <v>0</v>
      </c>
      <c r="Q2851" s="46">
        <v>0</v>
      </c>
      <c r="R2851" s="49">
        <f t="shared" si="778"/>
        <v>0</v>
      </c>
      <c r="S2851" s="50">
        <f t="shared" si="779"/>
        <v>0</v>
      </c>
      <c r="T2851" s="49">
        <f t="shared" si="780"/>
        <v>0</v>
      </c>
      <c r="U2851" s="51">
        <f t="shared" si="781"/>
        <v>0</v>
      </c>
      <c r="V2851" s="52">
        <f>IF(0&lt;0.8,0,IF(0&lt;1,Sheet3!L561,1))*IF(G2851&lt;3,0.12 - O2851,0.01) *U2851</f>
        <v>0</v>
      </c>
      <c r="W2851" s="52">
        <f t="shared" si="782"/>
        <v>0</v>
      </c>
      <c r="X2851" s="53">
        <f t="shared" si="783"/>
        <v>0</v>
      </c>
      <c r="Y2851" s="53">
        <f t="shared" si="784"/>
        <v>0</v>
      </c>
      <c r="Z2851" s="54" t="str">
        <f>IF(R2851=1,0,"")</f>
        <v/>
      </c>
      <c r="AA2851" s="54">
        <f t="shared" si="785"/>
        <v>0</v>
      </c>
      <c r="AB2851" s="55" t="str">
        <f>IF(R2851=0,"",0)</f>
        <v/>
      </c>
      <c r="AC2851" s="55">
        <f t="shared" si="786"/>
        <v>0</v>
      </c>
      <c r="AD2851" s="56">
        <f t="shared" si="787"/>
        <v>0</v>
      </c>
    </row>
    <row r="2852" spans="3:30">
      <c r="C2852" s="43" t="s">
        <v>5311</v>
      </c>
      <c r="D2852" s="44" t="s">
        <v>5312</v>
      </c>
      <c r="E2852" s="44"/>
      <c r="F2852" s="45">
        <v>41401.399976851848</v>
      </c>
      <c r="G2852" s="46">
        <v>64</v>
      </c>
      <c r="H2852" s="47">
        <v>43389</v>
      </c>
      <c r="I2852" s="47">
        <v>43402</v>
      </c>
      <c r="J2852" s="46">
        <v>2949477</v>
      </c>
      <c r="K2852" s="46">
        <v>0</v>
      </c>
      <c r="L2852" s="46">
        <v>0</v>
      </c>
      <c r="M2852" s="46">
        <f t="shared" si="776"/>
        <v>2949477</v>
      </c>
      <c r="N2852" s="46">
        <v>7095000</v>
      </c>
      <c r="O2852" s="48">
        <f t="shared" si="777"/>
        <v>0.58428794926004235</v>
      </c>
      <c r="P2852" s="46">
        <v>0</v>
      </c>
      <c r="Q2852" s="46">
        <v>2969739</v>
      </c>
      <c r="R2852" s="49">
        <f t="shared" si="778"/>
        <v>1</v>
      </c>
      <c r="S2852" s="50">
        <f t="shared" si="779"/>
        <v>0.01</v>
      </c>
      <c r="T2852" s="49">
        <f t="shared" si="780"/>
        <v>29494.77</v>
      </c>
      <c r="U2852" s="51">
        <f t="shared" si="781"/>
        <v>0</v>
      </c>
      <c r="V2852" s="52">
        <f>IF(0&lt;0.8,0,IF(0&lt;1,Sheet3!L561,1))*IF(G2852&lt;3,0.12 - O2852,0.01) *U2852</f>
        <v>0</v>
      </c>
      <c r="W2852" s="52">
        <f t="shared" si="782"/>
        <v>0</v>
      </c>
      <c r="X2852" s="53">
        <f t="shared" si="783"/>
        <v>0</v>
      </c>
      <c r="Y2852" s="53">
        <f t="shared" si="784"/>
        <v>0</v>
      </c>
      <c r="Z2852" s="54">
        <f t="shared" ref="Z2852:Z2915" si="791">IF(R2852=1,0,0)</f>
        <v>0</v>
      </c>
      <c r="AA2852" s="54">
        <f t="shared" si="785"/>
        <v>0</v>
      </c>
      <c r="AB2852" s="55">
        <f t="shared" ref="AB2852:AB2915" si="792">IF(R2852=0,0,0)</f>
        <v>0</v>
      </c>
      <c r="AC2852" s="55">
        <f t="shared" si="786"/>
        <v>0</v>
      </c>
      <c r="AD2852" s="56">
        <f t="shared" si="787"/>
        <v>29494.77</v>
      </c>
    </row>
    <row r="2853" spans="3:30">
      <c r="C2853" s="43" t="s">
        <v>5313</v>
      </c>
      <c r="D2853" s="44" t="s">
        <v>5314</v>
      </c>
      <c r="E2853" s="44"/>
      <c r="F2853" s="45">
        <v>38961.726284722223</v>
      </c>
      <c r="G2853" s="46">
        <v>144</v>
      </c>
      <c r="H2853" s="47">
        <v>43404</v>
      </c>
      <c r="I2853" s="47">
        <v>43445</v>
      </c>
      <c r="J2853" s="46">
        <v>10821255</v>
      </c>
      <c r="K2853" s="46">
        <v>0</v>
      </c>
      <c r="L2853" s="46">
        <v>0</v>
      </c>
      <c r="M2853" s="46">
        <f t="shared" si="776"/>
        <v>10821255</v>
      </c>
      <c r="N2853" s="46">
        <v>10725826</v>
      </c>
      <c r="O2853" s="48">
        <f t="shared" si="777"/>
        <v>0</v>
      </c>
      <c r="P2853" s="46">
        <v>0</v>
      </c>
      <c r="Q2853" s="46">
        <v>10821255</v>
      </c>
      <c r="R2853" s="49">
        <f t="shared" si="778"/>
        <v>1</v>
      </c>
      <c r="S2853" s="50">
        <f t="shared" si="779"/>
        <v>0.01</v>
      </c>
      <c r="T2853" s="49">
        <f t="shared" si="780"/>
        <v>108212.55</v>
      </c>
      <c r="U2853" s="51">
        <f t="shared" si="781"/>
        <v>0</v>
      </c>
      <c r="V2853" s="52">
        <f>IF(0&lt;0.8,0,IF(0&lt;1,Sheet3!L561,1))*IF(G2853&lt;3,0.12 - O2853,0.01) *U2853</f>
        <v>0</v>
      </c>
      <c r="W2853" s="52">
        <f t="shared" si="782"/>
        <v>0</v>
      </c>
      <c r="X2853" s="53">
        <f t="shared" si="783"/>
        <v>0</v>
      </c>
      <c r="Y2853" s="53">
        <f t="shared" si="784"/>
        <v>0</v>
      </c>
      <c r="Z2853" s="54">
        <f t="shared" si="791"/>
        <v>0</v>
      </c>
      <c r="AA2853" s="54">
        <f t="shared" si="785"/>
        <v>0</v>
      </c>
      <c r="AB2853" s="55">
        <f t="shared" si="792"/>
        <v>0</v>
      </c>
      <c r="AC2853" s="55">
        <f t="shared" si="786"/>
        <v>0</v>
      </c>
      <c r="AD2853" s="56">
        <f t="shared" si="787"/>
        <v>108212.55</v>
      </c>
    </row>
    <row r="2854" spans="3:30">
      <c r="C2854" s="43" t="s">
        <v>5315</v>
      </c>
      <c r="D2854" s="44" t="s">
        <v>5316</v>
      </c>
      <c r="E2854" s="44"/>
      <c r="F2854" s="45">
        <v>38964.616585648146</v>
      </c>
      <c r="G2854" s="46">
        <v>144</v>
      </c>
      <c r="H2854" s="47">
        <v>43372</v>
      </c>
      <c r="I2854" s="47">
        <v>43383</v>
      </c>
      <c r="J2854" s="46">
        <v>495011</v>
      </c>
      <c r="K2854" s="46">
        <v>0</v>
      </c>
      <c r="L2854" s="46">
        <v>0</v>
      </c>
      <c r="M2854" s="46">
        <f t="shared" si="776"/>
        <v>495011</v>
      </c>
      <c r="N2854" s="46">
        <v>495011</v>
      </c>
      <c r="O2854" s="48">
        <f t="shared" si="777"/>
        <v>0</v>
      </c>
      <c r="P2854" s="46">
        <v>0</v>
      </c>
      <c r="Q2854" s="46">
        <v>495011</v>
      </c>
      <c r="R2854" s="49">
        <f t="shared" si="778"/>
        <v>1</v>
      </c>
      <c r="S2854" s="50">
        <f t="shared" si="779"/>
        <v>0.01</v>
      </c>
      <c r="T2854" s="49">
        <f t="shared" si="780"/>
        <v>4950.1099999999997</v>
      </c>
      <c r="U2854" s="51">
        <f t="shared" si="781"/>
        <v>0</v>
      </c>
      <c r="V2854" s="52">
        <f>IF(0&lt;0.8,0,IF(0&lt;1,Sheet3!L561,1))*IF(G2854&lt;3,0.12 - O2854,0.01) *U2854</f>
        <v>0</v>
      </c>
      <c r="W2854" s="52">
        <f t="shared" si="782"/>
        <v>0</v>
      </c>
      <c r="X2854" s="53">
        <f t="shared" si="783"/>
        <v>0</v>
      </c>
      <c r="Y2854" s="53">
        <f t="shared" si="784"/>
        <v>0</v>
      </c>
      <c r="Z2854" s="54">
        <f t="shared" si="791"/>
        <v>0</v>
      </c>
      <c r="AA2854" s="54">
        <f t="shared" si="785"/>
        <v>0</v>
      </c>
      <c r="AB2854" s="55">
        <f t="shared" si="792"/>
        <v>0</v>
      </c>
      <c r="AC2854" s="55">
        <f t="shared" si="786"/>
        <v>0</v>
      </c>
      <c r="AD2854" s="56">
        <f t="shared" si="787"/>
        <v>4950.1099999999997</v>
      </c>
    </row>
    <row r="2855" spans="3:30">
      <c r="C2855" s="43" t="s">
        <v>5317</v>
      </c>
      <c r="D2855" s="44" t="s">
        <v>5318</v>
      </c>
      <c r="E2855" s="44"/>
      <c r="F2855" s="45">
        <v>38964.707731481481</v>
      </c>
      <c r="G2855" s="46">
        <v>144</v>
      </c>
      <c r="H2855" s="47">
        <v>43372</v>
      </c>
      <c r="I2855" s="47">
        <v>43419</v>
      </c>
      <c r="J2855" s="46">
        <v>24907209</v>
      </c>
      <c r="K2855" s="46">
        <v>0</v>
      </c>
      <c r="L2855" s="46">
        <v>0</v>
      </c>
      <c r="M2855" s="46">
        <f t="shared" si="776"/>
        <v>24907209</v>
      </c>
      <c r="N2855" s="46">
        <v>28723464</v>
      </c>
      <c r="O2855" s="48">
        <f t="shared" si="777"/>
        <v>0.13286193475828678</v>
      </c>
      <c r="P2855" s="46">
        <v>0</v>
      </c>
      <c r="Q2855" s="46">
        <v>24907209</v>
      </c>
      <c r="R2855" s="49">
        <f t="shared" si="778"/>
        <v>1</v>
      </c>
      <c r="S2855" s="50">
        <f t="shared" si="779"/>
        <v>0.01</v>
      </c>
      <c r="T2855" s="49">
        <f t="shared" si="780"/>
        <v>249072.09</v>
      </c>
      <c r="U2855" s="51">
        <f t="shared" si="781"/>
        <v>0</v>
      </c>
      <c r="V2855" s="52">
        <f>IF(0&lt;0.8,0,IF(0&lt;1,Sheet3!L561,1))*IF(G2855&lt;3,0.12 - O2855,0.01) *U2855</f>
        <v>0</v>
      </c>
      <c r="W2855" s="52">
        <f t="shared" si="782"/>
        <v>0</v>
      </c>
      <c r="X2855" s="53">
        <f t="shared" si="783"/>
        <v>0</v>
      </c>
      <c r="Y2855" s="53">
        <f t="shared" si="784"/>
        <v>0</v>
      </c>
      <c r="Z2855" s="54">
        <f t="shared" si="791"/>
        <v>0</v>
      </c>
      <c r="AA2855" s="54">
        <f t="shared" si="785"/>
        <v>0</v>
      </c>
      <c r="AB2855" s="55">
        <f t="shared" si="792"/>
        <v>0</v>
      </c>
      <c r="AC2855" s="55">
        <f t="shared" si="786"/>
        <v>0</v>
      </c>
      <c r="AD2855" s="56">
        <f t="shared" si="787"/>
        <v>249072.09</v>
      </c>
    </row>
    <row r="2856" spans="3:30">
      <c r="C2856" s="43" t="s">
        <v>5319</v>
      </c>
      <c r="D2856" s="44" t="s">
        <v>5320</v>
      </c>
      <c r="E2856" s="44"/>
      <c r="F2856" s="45">
        <v>38964.719317129631</v>
      </c>
      <c r="G2856" s="46">
        <v>144</v>
      </c>
      <c r="H2856" s="47">
        <v>43372</v>
      </c>
      <c r="I2856" s="47">
        <v>43409</v>
      </c>
      <c r="J2856" s="46">
        <v>2222580</v>
      </c>
      <c r="K2856" s="46">
        <v>0</v>
      </c>
      <c r="L2856" s="46">
        <v>0</v>
      </c>
      <c r="M2856" s="46">
        <f t="shared" si="776"/>
        <v>2222580</v>
      </c>
      <c r="N2856" s="46">
        <v>1966370</v>
      </c>
      <c r="O2856" s="48">
        <f t="shared" si="777"/>
        <v>0</v>
      </c>
      <c r="P2856" s="46">
        <v>0</v>
      </c>
      <c r="Q2856" s="46">
        <v>2222580</v>
      </c>
      <c r="R2856" s="49">
        <f t="shared" si="778"/>
        <v>1</v>
      </c>
      <c r="S2856" s="50">
        <f t="shared" si="779"/>
        <v>0.01</v>
      </c>
      <c r="T2856" s="49">
        <f t="shared" si="780"/>
        <v>22225.8</v>
      </c>
      <c r="U2856" s="51">
        <f t="shared" si="781"/>
        <v>0</v>
      </c>
      <c r="V2856" s="52">
        <f>IF(0&lt;0.8,0,IF(0&lt;1,Sheet3!L561,1))*IF(G2856&lt;3,0.12 - O2856,0.01) *U2856</f>
        <v>0</v>
      </c>
      <c r="W2856" s="52">
        <f t="shared" si="782"/>
        <v>0</v>
      </c>
      <c r="X2856" s="53">
        <f t="shared" si="783"/>
        <v>0</v>
      </c>
      <c r="Y2856" s="53">
        <f t="shared" si="784"/>
        <v>0</v>
      </c>
      <c r="Z2856" s="54">
        <f t="shared" si="791"/>
        <v>0</v>
      </c>
      <c r="AA2856" s="54">
        <f t="shared" si="785"/>
        <v>0</v>
      </c>
      <c r="AB2856" s="55">
        <f t="shared" si="792"/>
        <v>0</v>
      </c>
      <c r="AC2856" s="55">
        <f t="shared" si="786"/>
        <v>0</v>
      </c>
      <c r="AD2856" s="56">
        <f t="shared" si="787"/>
        <v>22225.8</v>
      </c>
    </row>
    <row r="2857" spans="3:30">
      <c r="C2857" s="43" t="s">
        <v>5321</v>
      </c>
      <c r="D2857" s="44" t="s">
        <v>5322</v>
      </c>
      <c r="E2857" s="44"/>
      <c r="F2857" s="45">
        <v>39279.592638888884</v>
      </c>
      <c r="G2857" s="46">
        <v>134</v>
      </c>
      <c r="H2857" s="47">
        <v>43449</v>
      </c>
      <c r="I2857" s="47">
        <v>43462</v>
      </c>
      <c r="J2857" s="46">
        <v>308264243</v>
      </c>
      <c r="K2857" s="46">
        <v>0</v>
      </c>
      <c r="L2857" s="46">
        <v>0</v>
      </c>
      <c r="M2857" s="46">
        <f t="shared" si="776"/>
        <v>308264243</v>
      </c>
      <c r="N2857" s="46">
        <v>602581528</v>
      </c>
      <c r="O2857" s="48">
        <f t="shared" si="777"/>
        <v>0.48842732696578772</v>
      </c>
      <c r="P2857" s="46">
        <v>0</v>
      </c>
      <c r="Q2857" s="46">
        <v>310825043</v>
      </c>
      <c r="R2857" s="49">
        <f t="shared" si="778"/>
        <v>1</v>
      </c>
      <c r="S2857" s="50">
        <f t="shared" si="779"/>
        <v>0.01</v>
      </c>
      <c r="T2857" s="49">
        <f t="shared" si="780"/>
        <v>3082642.43</v>
      </c>
      <c r="U2857" s="51">
        <f t="shared" si="781"/>
        <v>0</v>
      </c>
      <c r="V2857" s="52">
        <f>IF(0&lt;0.8,0,IF(0&lt;1,Sheet3!L561,1))*IF(G2857&lt;3,0.12 - O2857,0.01) *U2857</f>
        <v>0</v>
      </c>
      <c r="W2857" s="52">
        <f t="shared" si="782"/>
        <v>0</v>
      </c>
      <c r="X2857" s="53">
        <f t="shared" si="783"/>
        <v>0</v>
      </c>
      <c r="Y2857" s="53">
        <f t="shared" si="784"/>
        <v>0</v>
      </c>
      <c r="Z2857" s="54">
        <f t="shared" si="791"/>
        <v>0</v>
      </c>
      <c r="AA2857" s="54">
        <f t="shared" si="785"/>
        <v>0</v>
      </c>
      <c r="AB2857" s="55">
        <f t="shared" si="792"/>
        <v>0</v>
      </c>
      <c r="AC2857" s="55">
        <f t="shared" si="786"/>
        <v>0</v>
      </c>
      <c r="AD2857" s="56">
        <f t="shared" si="787"/>
        <v>3082642.43</v>
      </c>
    </row>
    <row r="2858" spans="3:30">
      <c r="C2858" s="43" t="s">
        <v>5323</v>
      </c>
      <c r="D2858" s="44" t="s">
        <v>5324</v>
      </c>
      <c r="E2858" s="44"/>
      <c r="F2858" s="45">
        <v>39338.647986111107</v>
      </c>
      <c r="G2858" s="46">
        <v>132</v>
      </c>
      <c r="H2858" s="47">
        <v>43393</v>
      </c>
      <c r="I2858" s="47">
        <v>43420</v>
      </c>
      <c r="J2858" s="46">
        <v>11723919</v>
      </c>
      <c r="K2858" s="46">
        <v>0</v>
      </c>
      <c r="L2858" s="46">
        <v>0</v>
      </c>
      <c r="M2858" s="46">
        <f t="shared" si="776"/>
        <v>11723919</v>
      </c>
      <c r="N2858" s="46">
        <v>11723919</v>
      </c>
      <c r="O2858" s="48">
        <f t="shared" si="777"/>
        <v>0</v>
      </c>
      <c r="P2858" s="46">
        <v>0</v>
      </c>
      <c r="Q2858" s="46">
        <v>11723919</v>
      </c>
      <c r="R2858" s="49">
        <f t="shared" si="778"/>
        <v>1</v>
      </c>
      <c r="S2858" s="50">
        <f t="shared" si="779"/>
        <v>0.01</v>
      </c>
      <c r="T2858" s="49">
        <f t="shared" si="780"/>
        <v>117239.19</v>
      </c>
      <c r="U2858" s="51">
        <f t="shared" si="781"/>
        <v>0</v>
      </c>
      <c r="V2858" s="52">
        <f>IF(0&lt;0.8,0,IF(0&lt;1,Sheet3!L561,1))*IF(G2858&lt;3,0.12 - O2858,0.01) *U2858</f>
        <v>0</v>
      </c>
      <c r="W2858" s="52">
        <f t="shared" si="782"/>
        <v>0</v>
      </c>
      <c r="X2858" s="53">
        <f t="shared" si="783"/>
        <v>0</v>
      </c>
      <c r="Y2858" s="53">
        <f t="shared" si="784"/>
        <v>0</v>
      </c>
      <c r="Z2858" s="54">
        <f t="shared" si="791"/>
        <v>0</v>
      </c>
      <c r="AA2858" s="54">
        <f t="shared" si="785"/>
        <v>0</v>
      </c>
      <c r="AB2858" s="55">
        <f t="shared" si="792"/>
        <v>0</v>
      </c>
      <c r="AC2858" s="55">
        <f t="shared" si="786"/>
        <v>0</v>
      </c>
      <c r="AD2858" s="56">
        <f t="shared" si="787"/>
        <v>117239.19</v>
      </c>
    </row>
    <row r="2859" spans="3:30">
      <c r="C2859" s="43" t="s">
        <v>5325</v>
      </c>
      <c r="D2859" s="44" t="s">
        <v>5326</v>
      </c>
      <c r="E2859" s="44"/>
      <c r="F2859" s="45">
        <v>39373.352719907409</v>
      </c>
      <c r="G2859" s="46">
        <v>131</v>
      </c>
      <c r="H2859" s="47">
        <v>43372</v>
      </c>
      <c r="I2859" s="47">
        <v>43388</v>
      </c>
      <c r="J2859" s="46">
        <v>208604</v>
      </c>
      <c r="K2859" s="46">
        <v>0</v>
      </c>
      <c r="L2859" s="46">
        <v>0</v>
      </c>
      <c r="M2859" s="46">
        <f t="shared" si="776"/>
        <v>208604</v>
      </c>
      <c r="N2859" s="46">
        <v>208604</v>
      </c>
      <c r="O2859" s="48">
        <f t="shared" si="777"/>
        <v>0</v>
      </c>
      <c r="P2859" s="46">
        <v>0</v>
      </c>
      <c r="Q2859" s="46">
        <v>208604</v>
      </c>
      <c r="R2859" s="49">
        <f t="shared" si="778"/>
        <v>1</v>
      </c>
      <c r="S2859" s="50">
        <f t="shared" si="779"/>
        <v>0.01</v>
      </c>
      <c r="T2859" s="49">
        <f t="shared" si="780"/>
        <v>2086.04</v>
      </c>
      <c r="U2859" s="51">
        <f t="shared" si="781"/>
        <v>0</v>
      </c>
      <c r="V2859" s="52">
        <f>IF(0&lt;0.8,0,IF(0&lt;1,Sheet3!L561,1))*IF(G2859&lt;3,0.12 - O2859,0.01) *U2859</f>
        <v>0</v>
      </c>
      <c r="W2859" s="52">
        <f t="shared" si="782"/>
        <v>0</v>
      </c>
      <c r="X2859" s="53">
        <f t="shared" si="783"/>
        <v>0</v>
      </c>
      <c r="Y2859" s="53">
        <f t="shared" si="784"/>
        <v>0</v>
      </c>
      <c r="Z2859" s="54">
        <f t="shared" si="791"/>
        <v>0</v>
      </c>
      <c r="AA2859" s="54">
        <f t="shared" si="785"/>
        <v>0</v>
      </c>
      <c r="AB2859" s="55">
        <f t="shared" si="792"/>
        <v>0</v>
      </c>
      <c r="AC2859" s="55">
        <f t="shared" si="786"/>
        <v>0</v>
      </c>
      <c r="AD2859" s="56">
        <f t="shared" si="787"/>
        <v>2086.04</v>
      </c>
    </row>
    <row r="2860" spans="3:30">
      <c r="C2860" s="43" t="s">
        <v>5327</v>
      </c>
      <c r="D2860" s="44" t="s">
        <v>5328</v>
      </c>
      <c r="E2860" s="44"/>
      <c r="F2860" s="45">
        <v>39521.640567129631</v>
      </c>
      <c r="G2860" s="46">
        <v>126</v>
      </c>
      <c r="H2860" s="47">
        <v>43402</v>
      </c>
      <c r="I2860" s="47">
        <v>43418</v>
      </c>
      <c r="J2860" s="46">
        <v>10282191</v>
      </c>
      <c r="K2860" s="46">
        <v>0</v>
      </c>
      <c r="L2860" s="46">
        <v>0</v>
      </c>
      <c r="M2860" s="46">
        <f t="shared" si="776"/>
        <v>10282191</v>
      </c>
      <c r="N2860" s="46">
        <v>11303447</v>
      </c>
      <c r="O2860" s="48">
        <f t="shared" si="777"/>
        <v>9.0349076702000763E-2</v>
      </c>
      <c r="P2860" s="46">
        <v>0</v>
      </c>
      <c r="Q2860" s="46">
        <v>10282191</v>
      </c>
      <c r="R2860" s="49">
        <f t="shared" si="778"/>
        <v>1</v>
      </c>
      <c r="S2860" s="50">
        <f t="shared" si="779"/>
        <v>0.01</v>
      </c>
      <c r="T2860" s="49">
        <f t="shared" si="780"/>
        <v>102821.91</v>
      </c>
      <c r="U2860" s="51">
        <f t="shared" si="781"/>
        <v>0</v>
      </c>
      <c r="V2860" s="52">
        <f>IF(0&lt;0.8,0,IF(0&lt;1,Sheet3!L561,1))*IF(G2860&lt;3,0.12 - O2860,0.01) *U2860</f>
        <v>0</v>
      </c>
      <c r="W2860" s="52">
        <f t="shared" si="782"/>
        <v>0</v>
      </c>
      <c r="X2860" s="53">
        <f t="shared" si="783"/>
        <v>0</v>
      </c>
      <c r="Y2860" s="53">
        <f t="shared" si="784"/>
        <v>0</v>
      </c>
      <c r="Z2860" s="54">
        <f t="shared" si="791"/>
        <v>0</v>
      </c>
      <c r="AA2860" s="54">
        <f t="shared" si="785"/>
        <v>0</v>
      </c>
      <c r="AB2860" s="55">
        <f t="shared" si="792"/>
        <v>0</v>
      </c>
      <c r="AC2860" s="55">
        <f t="shared" si="786"/>
        <v>0</v>
      </c>
      <c r="AD2860" s="56">
        <f t="shared" si="787"/>
        <v>102821.91</v>
      </c>
    </row>
    <row r="2861" spans="3:30">
      <c r="C2861" s="43" t="s">
        <v>5329</v>
      </c>
      <c r="D2861" s="44" t="s">
        <v>5330</v>
      </c>
      <c r="E2861" s="44"/>
      <c r="F2861" s="45">
        <v>41877.438564814816</v>
      </c>
      <c r="G2861" s="46">
        <v>49</v>
      </c>
      <c r="H2861" s="47">
        <v>43372</v>
      </c>
      <c r="I2861" s="47">
        <v>43399</v>
      </c>
      <c r="J2861" s="46">
        <v>1505482</v>
      </c>
      <c r="K2861" s="46">
        <v>0</v>
      </c>
      <c r="L2861" s="46">
        <v>0</v>
      </c>
      <c r="M2861" s="46">
        <f t="shared" si="776"/>
        <v>1505482</v>
      </c>
      <c r="N2861" s="46">
        <v>1505482</v>
      </c>
      <c r="O2861" s="48">
        <f t="shared" si="777"/>
        <v>0</v>
      </c>
      <c r="P2861" s="46">
        <v>0</v>
      </c>
      <c r="Q2861" s="46">
        <v>1505482</v>
      </c>
      <c r="R2861" s="49">
        <f t="shared" si="778"/>
        <v>1</v>
      </c>
      <c r="S2861" s="50">
        <f t="shared" si="779"/>
        <v>0.01</v>
      </c>
      <c r="T2861" s="49">
        <f t="shared" si="780"/>
        <v>15054.82</v>
      </c>
      <c r="U2861" s="51">
        <f t="shared" si="781"/>
        <v>0</v>
      </c>
      <c r="V2861" s="52">
        <f>IF(0&lt;0.8,0,IF(0&lt;1,Sheet3!L561,1))*IF(G2861&lt;3,0.12 - O2861,0.01) *U2861</f>
        <v>0</v>
      </c>
      <c r="W2861" s="52">
        <f t="shared" si="782"/>
        <v>0</v>
      </c>
      <c r="X2861" s="53">
        <f t="shared" si="783"/>
        <v>0</v>
      </c>
      <c r="Y2861" s="53">
        <f t="shared" si="784"/>
        <v>0</v>
      </c>
      <c r="Z2861" s="54">
        <f t="shared" si="791"/>
        <v>0</v>
      </c>
      <c r="AA2861" s="54">
        <f t="shared" si="785"/>
        <v>0</v>
      </c>
      <c r="AB2861" s="55">
        <f t="shared" si="792"/>
        <v>0</v>
      </c>
      <c r="AC2861" s="55">
        <f t="shared" si="786"/>
        <v>0</v>
      </c>
      <c r="AD2861" s="56">
        <f t="shared" si="787"/>
        <v>15054.82</v>
      </c>
    </row>
    <row r="2862" spans="3:30">
      <c r="C2862" s="43" t="s">
        <v>5331</v>
      </c>
      <c r="D2862" s="44" t="s">
        <v>5332</v>
      </c>
      <c r="E2862" s="44"/>
      <c r="F2862" s="45">
        <v>40065.376203703701</v>
      </c>
      <c r="G2862" s="46">
        <v>108</v>
      </c>
      <c r="H2862" s="47">
        <v>43372</v>
      </c>
      <c r="I2862" s="47">
        <v>43382</v>
      </c>
      <c r="J2862" s="46">
        <v>2900128</v>
      </c>
      <c r="K2862" s="46">
        <v>0</v>
      </c>
      <c r="L2862" s="46">
        <v>0</v>
      </c>
      <c r="M2862" s="46">
        <f t="shared" si="776"/>
        <v>2900128</v>
      </c>
      <c r="N2862" s="46">
        <v>2900128</v>
      </c>
      <c r="O2862" s="48">
        <f t="shared" si="777"/>
        <v>0</v>
      </c>
      <c r="P2862" s="46">
        <v>0</v>
      </c>
      <c r="Q2862" s="46">
        <v>2900128</v>
      </c>
      <c r="R2862" s="49">
        <f t="shared" si="778"/>
        <v>1</v>
      </c>
      <c r="S2862" s="50">
        <f t="shared" si="779"/>
        <v>0.01</v>
      </c>
      <c r="T2862" s="49">
        <f t="shared" si="780"/>
        <v>29001.279999999999</v>
      </c>
      <c r="U2862" s="51">
        <f t="shared" si="781"/>
        <v>0</v>
      </c>
      <c r="V2862" s="52">
        <f>IF(0&lt;0.8,0,IF(0&lt;1,Sheet3!L561,1))*IF(G2862&lt;3,0.12 - O2862,0.01) *U2862</f>
        <v>0</v>
      </c>
      <c r="W2862" s="52">
        <f t="shared" si="782"/>
        <v>0</v>
      </c>
      <c r="X2862" s="53">
        <f t="shared" si="783"/>
        <v>0</v>
      </c>
      <c r="Y2862" s="53">
        <f t="shared" si="784"/>
        <v>0</v>
      </c>
      <c r="Z2862" s="54">
        <f t="shared" si="791"/>
        <v>0</v>
      </c>
      <c r="AA2862" s="54">
        <f t="shared" si="785"/>
        <v>0</v>
      </c>
      <c r="AB2862" s="55">
        <f t="shared" si="792"/>
        <v>0</v>
      </c>
      <c r="AC2862" s="55">
        <f t="shared" si="786"/>
        <v>0</v>
      </c>
      <c r="AD2862" s="56">
        <f t="shared" si="787"/>
        <v>29001.279999999999</v>
      </c>
    </row>
    <row r="2863" spans="3:30">
      <c r="C2863" s="43" t="s">
        <v>5333</v>
      </c>
      <c r="D2863" s="44" t="s">
        <v>5334</v>
      </c>
      <c r="E2863" s="44"/>
      <c r="F2863" s="45">
        <v>40333.609293981477</v>
      </c>
      <c r="G2863" s="46">
        <v>99</v>
      </c>
      <c r="H2863" s="47">
        <v>43400</v>
      </c>
      <c r="I2863" s="47">
        <v>43430</v>
      </c>
      <c r="J2863" s="46">
        <v>134923240</v>
      </c>
      <c r="K2863" s="46">
        <v>0</v>
      </c>
      <c r="L2863" s="46">
        <v>0</v>
      </c>
      <c r="M2863" s="46">
        <f t="shared" si="776"/>
        <v>134923240</v>
      </c>
      <c r="N2863" s="46">
        <v>135943467</v>
      </c>
      <c r="O2863" s="48">
        <f t="shared" si="777"/>
        <v>7.5047887369239508E-3</v>
      </c>
      <c r="P2863" s="46">
        <v>0</v>
      </c>
      <c r="Q2863" s="46">
        <v>134923240</v>
      </c>
      <c r="R2863" s="49">
        <f t="shared" si="778"/>
        <v>1</v>
      </c>
      <c r="S2863" s="50">
        <f t="shared" si="779"/>
        <v>0.01</v>
      </c>
      <c r="T2863" s="49">
        <f t="shared" si="780"/>
        <v>1349232.4000000001</v>
      </c>
      <c r="U2863" s="51">
        <f t="shared" si="781"/>
        <v>0</v>
      </c>
      <c r="V2863" s="52">
        <f>IF(0&lt;0.8,0,IF(0&lt;1,Sheet3!L561,1))*IF(G2863&lt;3,0.12 - O2863,0.01) *U2863</f>
        <v>0</v>
      </c>
      <c r="W2863" s="52">
        <f t="shared" si="782"/>
        <v>0</v>
      </c>
      <c r="X2863" s="53">
        <f t="shared" si="783"/>
        <v>0</v>
      </c>
      <c r="Y2863" s="53">
        <f t="shared" si="784"/>
        <v>0</v>
      </c>
      <c r="Z2863" s="54">
        <f t="shared" si="791"/>
        <v>0</v>
      </c>
      <c r="AA2863" s="54">
        <f t="shared" si="785"/>
        <v>0</v>
      </c>
      <c r="AB2863" s="55">
        <f t="shared" si="792"/>
        <v>0</v>
      </c>
      <c r="AC2863" s="55">
        <f t="shared" si="786"/>
        <v>0</v>
      </c>
      <c r="AD2863" s="56">
        <f t="shared" si="787"/>
        <v>1349232.4000000001</v>
      </c>
    </row>
    <row r="2864" spans="3:30">
      <c r="C2864" s="43" t="s">
        <v>5335</v>
      </c>
      <c r="D2864" s="44" t="s">
        <v>5336</v>
      </c>
      <c r="E2864" s="44"/>
      <c r="F2864" s="45">
        <v>40892.642731481479</v>
      </c>
      <c r="G2864" s="46">
        <v>81</v>
      </c>
      <c r="H2864" s="47">
        <v>43404</v>
      </c>
      <c r="I2864" s="47">
        <v>43453</v>
      </c>
      <c r="J2864" s="46">
        <v>74597978</v>
      </c>
      <c r="K2864" s="46">
        <v>0</v>
      </c>
      <c r="L2864" s="46">
        <v>0</v>
      </c>
      <c r="M2864" s="46">
        <f t="shared" si="776"/>
        <v>74597978</v>
      </c>
      <c r="N2864" s="46">
        <v>70181239</v>
      </c>
      <c r="O2864" s="48">
        <f t="shared" si="777"/>
        <v>0</v>
      </c>
      <c r="P2864" s="46">
        <v>0</v>
      </c>
      <c r="Q2864" s="46">
        <v>74597978</v>
      </c>
      <c r="R2864" s="49">
        <f t="shared" si="778"/>
        <v>1</v>
      </c>
      <c r="S2864" s="50">
        <f t="shared" si="779"/>
        <v>0.01</v>
      </c>
      <c r="T2864" s="49">
        <f t="shared" si="780"/>
        <v>745979.78</v>
      </c>
      <c r="U2864" s="51">
        <f t="shared" si="781"/>
        <v>0</v>
      </c>
      <c r="V2864" s="52">
        <f>IF(0&lt;0.8,0,IF(0&lt;1,Sheet3!L561,1))*IF(G2864&lt;3,0.12 - O2864,0.01) *U2864</f>
        <v>0</v>
      </c>
      <c r="W2864" s="52">
        <f t="shared" si="782"/>
        <v>0</v>
      </c>
      <c r="X2864" s="53">
        <f t="shared" si="783"/>
        <v>0</v>
      </c>
      <c r="Y2864" s="53">
        <f t="shared" si="784"/>
        <v>0</v>
      </c>
      <c r="Z2864" s="54">
        <f t="shared" si="791"/>
        <v>0</v>
      </c>
      <c r="AA2864" s="54">
        <f t="shared" si="785"/>
        <v>0</v>
      </c>
      <c r="AB2864" s="55">
        <f t="shared" si="792"/>
        <v>0</v>
      </c>
      <c r="AC2864" s="55">
        <f t="shared" si="786"/>
        <v>0</v>
      </c>
      <c r="AD2864" s="56">
        <f t="shared" si="787"/>
        <v>745979.78</v>
      </c>
    </row>
    <row r="2865" spans="3:30">
      <c r="C2865" s="43" t="s">
        <v>5337</v>
      </c>
      <c r="D2865" s="44" t="s">
        <v>5338</v>
      </c>
      <c r="E2865" s="44"/>
      <c r="F2865" s="45">
        <v>40130.410543981481</v>
      </c>
      <c r="G2865" s="46">
        <v>106</v>
      </c>
      <c r="H2865" s="47">
        <v>43385</v>
      </c>
      <c r="I2865" s="47">
        <v>43432</v>
      </c>
      <c r="J2865" s="46">
        <v>30736860</v>
      </c>
      <c r="K2865" s="46">
        <v>0</v>
      </c>
      <c r="L2865" s="46">
        <v>0</v>
      </c>
      <c r="M2865" s="46">
        <f t="shared" si="776"/>
        <v>30736860</v>
      </c>
      <c r="N2865" s="46">
        <v>35192705</v>
      </c>
      <c r="O2865" s="48">
        <f t="shared" si="777"/>
        <v>0.12661274545392287</v>
      </c>
      <c r="P2865" s="46">
        <v>0</v>
      </c>
      <c r="Q2865" s="46">
        <v>30736860</v>
      </c>
      <c r="R2865" s="49">
        <f t="shared" si="778"/>
        <v>1</v>
      </c>
      <c r="S2865" s="50">
        <f t="shared" si="779"/>
        <v>0.01</v>
      </c>
      <c r="T2865" s="49">
        <f t="shared" si="780"/>
        <v>307368.60000000003</v>
      </c>
      <c r="U2865" s="51">
        <f t="shared" si="781"/>
        <v>0</v>
      </c>
      <c r="V2865" s="52">
        <f>IF(0&lt;0.8,0,IF(0&lt;1,Sheet3!L561,1))*IF(G2865&lt;3,0.12 - O2865,0.01) *U2865</f>
        <v>0</v>
      </c>
      <c r="W2865" s="52">
        <f t="shared" si="782"/>
        <v>0</v>
      </c>
      <c r="X2865" s="53">
        <f t="shared" si="783"/>
        <v>0</v>
      </c>
      <c r="Y2865" s="53">
        <f t="shared" si="784"/>
        <v>0</v>
      </c>
      <c r="Z2865" s="54">
        <f t="shared" si="791"/>
        <v>0</v>
      </c>
      <c r="AA2865" s="54">
        <f t="shared" si="785"/>
        <v>0</v>
      </c>
      <c r="AB2865" s="55">
        <f t="shared" si="792"/>
        <v>0</v>
      </c>
      <c r="AC2865" s="55">
        <f t="shared" si="786"/>
        <v>0</v>
      </c>
      <c r="AD2865" s="56">
        <f t="shared" si="787"/>
        <v>307368.60000000003</v>
      </c>
    </row>
    <row r="2866" spans="3:30">
      <c r="C2866" s="43" t="s">
        <v>5339</v>
      </c>
      <c r="D2866" s="44" t="s">
        <v>5340</v>
      </c>
      <c r="E2866" s="44"/>
      <c r="F2866" s="45">
        <v>40992.458067129628</v>
      </c>
      <c r="G2866" s="46">
        <v>78</v>
      </c>
      <c r="H2866" s="47">
        <v>43372</v>
      </c>
      <c r="I2866" s="47">
        <v>43390</v>
      </c>
      <c r="J2866" s="46">
        <v>1844282</v>
      </c>
      <c r="K2866" s="46">
        <v>0</v>
      </c>
      <c r="L2866" s="46">
        <v>0</v>
      </c>
      <c r="M2866" s="46">
        <f t="shared" si="776"/>
        <v>1844282</v>
      </c>
      <c r="N2866" s="46">
        <v>1844282</v>
      </c>
      <c r="O2866" s="48">
        <f t="shared" si="777"/>
        <v>0</v>
      </c>
      <c r="P2866" s="46">
        <v>0</v>
      </c>
      <c r="Q2866" s="46">
        <v>1844282</v>
      </c>
      <c r="R2866" s="49">
        <f t="shared" si="778"/>
        <v>1</v>
      </c>
      <c r="S2866" s="50">
        <f t="shared" si="779"/>
        <v>0.01</v>
      </c>
      <c r="T2866" s="49">
        <f t="shared" si="780"/>
        <v>18442.82</v>
      </c>
      <c r="U2866" s="51">
        <f t="shared" si="781"/>
        <v>0</v>
      </c>
      <c r="V2866" s="52">
        <f>IF(0&lt;0.8,0,IF(0&lt;1,Sheet3!L561,1))*IF(G2866&lt;3,0.12 - O2866,0.01) *U2866</f>
        <v>0</v>
      </c>
      <c r="W2866" s="52">
        <f t="shared" si="782"/>
        <v>0</v>
      </c>
      <c r="X2866" s="53">
        <f t="shared" si="783"/>
        <v>0</v>
      </c>
      <c r="Y2866" s="53">
        <f t="shared" si="784"/>
        <v>0</v>
      </c>
      <c r="Z2866" s="54">
        <f t="shared" si="791"/>
        <v>0</v>
      </c>
      <c r="AA2866" s="54">
        <f t="shared" si="785"/>
        <v>0</v>
      </c>
      <c r="AB2866" s="55">
        <f t="shared" si="792"/>
        <v>0</v>
      </c>
      <c r="AC2866" s="55">
        <f t="shared" si="786"/>
        <v>0</v>
      </c>
      <c r="AD2866" s="56">
        <f t="shared" si="787"/>
        <v>18442.82</v>
      </c>
    </row>
    <row r="2867" spans="3:30">
      <c r="C2867" s="43" t="s">
        <v>5341</v>
      </c>
      <c r="D2867" s="44" t="s">
        <v>5342</v>
      </c>
      <c r="E2867" s="44"/>
      <c r="F2867" s="45">
        <v>41180.612430555557</v>
      </c>
      <c r="G2867" s="46">
        <v>72</v>
      </c>
      <c r="H2867" s="47">
        <v>43404</v>
      </c>
      <c r="I2867" s="47">
        <v>43413</v>
      </c>
      <c r="J2867" s="46">
        <v>1454235</v>
      </c>
      <c r="K2867" s="46">
        <v>0</v>
      </c>
      <c r="L2867" s="46">
        <v>0</v>
      </c>
      <c r="M2867" s="46">
        <f t="shared" ref="M2867:M2930" si="793">IFERROR(J2867-K2867-L2867,0)</f>
        <v>1454235</v>
      </c>
      <c r="N2867" s="46">
        <v>1896194</v>
      </c>
      <c r="O2867" s="48">
        <f t="shared" ref="O2867:O2930" si="794">IFERROR(IF(1 - M2867/N2867&lt;0,0,1-M2867/N2867),0)</f>
        <v>0.23307688981190744</v>
      </c>
      <c r="P2867" s="46">
        <v>0</v>
      </c>
      <c r="Q2867" s="46">
        <v>1454235</v>
      </c>
      <c r="R2867" s="49">
        <f t="shared" ref="R2867:R2930" si="795">IF(F2867&lt;DATEVALUE("2018-07-01"),1,0)</f>
        <v>1</v>
      </c>
      <c r="S2867" s="50">
        <f t="shared" ref="S2867:S2930" si="796">IF(R2867=1,1%,0)</f>
        <v>0.01</v>
      </c>
      <c r="T2867" s="49">
        <f t="shared" ref="T2867:T2930" si="797">IFERROR(S2867*M2867,0)</f>
        <v>14542.35</v>
      </c>
      <c r="U2867" s="51">
        <f t="shared" ref="U2867:U2930" si="798">IF(O2867&lt;=0.12,1,0)*(1-R2867)*M2867</f>
        <v>0</v>
      </c>
      <c r="V2867" s="52">
        <f>IF(0&lt;0.8,0,IF(0&lt;1,Sheet3!L561,1))*IF(G2867&lt;3,0.12 - O2867,0.01) *U2867</f>
        <v>0</v>
      </c>
      <c r="W2867" s="52">
        <f t="shared" ref="W2867:W2930" si="799">IF(0&gt;1,IF(0&lt;=1.1,1,IF(0&lt;=1.2,2,IF(0&lt;=1.5,3,5))),0) * 1000000</f>
        <v>0</v>
      </c>
      <c r="X2867" s="53">
        <f t="shared" ref="X2867:X2930" si="800">IF(AND(P2867&gt;=150000000,P2867&lt;300000000),5000000,IF(AND(P2867&gt;=300000000,P2867&lt;500000000),10000000,IF(AND(P2867&gt;=300000000,P2867&lt;500000000),15000000,IF(AND(P2867&gt;=500000000,P2867&lt;3000000000),20000000,IF(P2867&gt;=30000000000,35000000,0))))) * (1-R2867)</f>
        <v>0</v>
      </c>
      <c r="Y2867" s="53">
        <f t="shared" ref="Y2867:Y2930" si="801">IFERROR(Q2867 * (1-R2867),0)</f>
        <v>0</v>
      </c>
      <c r="Z2867" s="54">
        <f t="shared" si="791"/>
        <v>0</v>
      </c>
      <c r="AA2867" s="54">
        <f t="shared" ref="AA2867:AA2930" si="802">IFERROR((1-R2867) * Z2867 * 2%,0)</f>
        <v>0</v>
      </c>
      <c r="AB2867" s="55">
        <f t="shared" si="792"/>
        <v>0</v>
      </c>
      <c r="AC2867" s="55">
        <f t="shared" ref="AC2867:AC2930" si="803">IFERROR(AB2867 * (1-R2867) * 2%,0)</f>
        <v>0</v>
      </c>
      <c r="AD2867" s="56">
        <f t="shared" ref="AD2867:AD2930" si="804">T2867+V2867+W2867+X2867+AA2867+AC2867</f>
        <v>14542.35</v>
      </c>
    </row>
    <row r="2868" spans="3:30">
      <c r="C2868" s="43" t="s">
        <v>5343</v>
      </c>
      <c r="D2868" s="44" t="s">
        <v>5344</v>
      </c>
      <c r="E2868" s="44"/>
      <c r="F2868" s="45">
        <v>41274.463587962964</v>
      </c>
      <c r="G2868" s="46">
        <v>69</v>
      </c>
      <c r="H2868" s="47">
        <v>43404</v>
      </c>
      <c r="I2868" s="47">
        <v>43413</v>
      </c>
      <c r="J2868" s="46">
        <v>4694776</v>
      </c>
      <c r="K2868" s="46">
        <v>0</v>
      </c>
      <c r="L2868" s="46">
        <v>0</v>
      </c>
      <c r="M2868" s="46">
        <f t="shared" si="793"/>
        <v>4694776</v>
      </c>
      <c r="N2868" s="46">
        <v>6097505</v>
      </c>
      <c r="O2868" s="48">
        <f t="shared" si="794"/>
        <v>0.23004966785595093</v>
      </c>
      <c r="P2868" s="46">
        <v>0</v>
      </c>
      <c r="Q2868" s="46">
        <v>4694776</v>
      </c>
      <c r="R2868" s="49">
        <f t="shared" si="795"/>
        <v>1</v>
      </c>
      <c r="S2868" s="50">
        <f t="shared" si="796"/>
        <v>0.01</v>
      </c>
      <c r="T2868" s="49">
        <f t="shared" si="797"/>
        <v>46947.76</v>
      </c>
      <c r="U2868" s="51">
        <f t="shared" si="798"/>
        <v>0</v>
      </c>
      <c r="V2868" s="52">
        <f>IF(0&lt;0.8,0,IF(0&lt;1,Sheet3!L561,1))*IF(G2868&lt;3,0.12 - O2868,0.01) *U2868</f>
        <v>0</v>
      </c>
      <c r="W2868" s="52">
        <f t="shared" si="799"/>
        <v>0</v>
      </c>
      <c r="X2868" s="53">
        <f t="shared" si="800"/>
        <v>0</v>
      </c>
      <c r="Y2868" s="53">
        <f t="shared" si="801"/>
        <v>0</v>
      </c>
      <c r="Z2868" s="54">
        <f t="shared" si="791"/>
        <v>0</v>
      </c>
      <c r="AA2868" s="54">
        <f t="shared" si="802"/>
        <v>0</v>
      </c>
      <c r="AB2868" s="55">
        <f t="shared" si="792"/>
        <v>0</v>
      </c>
      <c r="AC2868" s="55">
        <f t="shared" si="803"/>
        <v>0</v>
      </c>
      <c r="AD2868" s="56">
        <f t="shared" si="804"/>
        <v>46947.76</v>
      </c>
    </row>
    <row r="2869" spans="3:30">
      <c r="C2869" s="43" t="s">
        <v>5345</v>
      </c>
      <c r="D2869" s="44" t="s">
        <v>5346</v>
      </c>
      <c r="E2869" s="44"/>
      <c r="F2869" s="45">
        <v>41386.592997685184</v>
      </c>
      <c r="G2869" s="46">
        <v>65</v>
      </c>
      <c r="H2869" s="47">
        <v>43372</v>
      </c>
      <c r="I2869" s="47">
        <v>43382</v>
      </c>
      <c r="J2869" s="46">
        <v>6439198</v>
      </c>
      <c r="K2869" s="46">
        <v>0</v>
      </c>
      <c r="L2869" s="46">
        <v>0</v>
      </c>
      <c r="M2869" s="46">
        <f t="shared" si="793"/>
        <v>6439198</v>
      </c>
      <c r="N2869" s="46">
        <v>5946486</v>
      </c>
      <c r="O2869" s="48">
        <f t="shared" si="794"/>
        <v>0</v>
      </c>
      <c r="P2869" s="46">
        <v>0</v>
      </c>
      <c r="Q2869" s="46">
        <v>6439198</v>
      </c>
      <c r="R2869" s="49">
        <f t="shared" si="795"/>
        <v>1</v>
      </c>
      <c r="S2869" s="50">
        <f t="shared" si="796"/>
        <v>0.01</v>
      </c>
      <c r="T2869" s="49">
        <f t="shared" si="797"/>
        <v>64391.98</v>
      </c>
      <c r="U2869" s="51">
        <f t="shared" si="798"/>
        <v>0</v>
      </c>
      <c r="V2869" s="52">
        <f>IF(0&lt;0.8,0,IF(0&lt;1,Sheet3!L561,1))*IF(G2869&lt;3,0.12 - O2869,0.01) *U2869</f>
        <v>0</v>
      </c>
      <c r="W2869" s="52">
        <f t="shared" si="799"/>
        <v>0</v>
      </c>
      <c r="X2869" s="53">
        <f t="shared" si="800"/>
        <v>0</v>
      </c>
      <c r="Y2869" s="53">
        <f t="shared" si="801"/>
        <v>0</v>
      </c>
      <c r="Z2869" s="54">
        <f t="shared" si="791"/>
        <v>0</v>
      </c>
      <c r="AA2869" s="54">
        <f t="shared" si="802"/>
        <v>0</v>
      </c>
      <c r="AB2869" s="55">
        <f t="shared" si="792"/>
        <v>0</v>
      </c>
      <c r="AC2869" s="55">
        <f t="shared" si="803"/>
        <v>0</v>
      </c>
      <c r="AD2869" s="56">
        <f t="shared" si="804"/>
        <v>64391.98</v>
      </c>
    </row>
    <row r="2870" spans="3:30">
      <c r="C2870" s="43" t="s">
        <v>5347</v>
      </c>
      <c r="D2870" s="44" t="s">
        <v>5348</v>
      </c>
      <c r="E2870" s="44"/>
      <c r="F2870" s="45">
        <v>41386.593414351853</v>
      </c>
      <c r="G2870" s="46">
        <v>65</v>
      </c>
      <c r="H2870" s="47">
        <v>43372</v>
      </c>
      <c r="I2870" s="47">
        <v>43406</v>
      </c>
      <c r="J2870" s="46">
        <v>1451103</v>
      </c>
      <c r="K2870" s="46">
        <v>0</v>
      </c>
      <c r="L2870" s="46">
        <v>0</v>
      </c>
      <c r="M2870" s="46">
        <f t="shared" si="793"/>
        <v>1451103</v>
      </c>
      <c r="N2870" s="46">
        <v>1451103</v>
      </c>
      <c r="O2870" s="48">
        <f t="shared" si="794"/>
        <v>0</v>
      </c>
      <c r="P2870" s="46">
        <v>0</v>
      </c>
      <c r="Q2870" s="46">
        <v>1451103</v>
      </c>
      <c r="R2870" s="49">
        <f t="shared" si="795"/>
        <v>1</v>
      </c>
      <c r="S2870" s="50">
        <f t="shared" si="796"/>
        <v>0.01</v>
      </c>
      <c r="T2870" s="49">
        <f t="shared" si="797"/>
        <v>14511.03</v>
      </c>
      <c r="U2870" s="51">
        <f t="shared" si="798"/>
        <v>0</v>
      </c>
      <c r="V2870" s="52">
        <f>IF(0&lt;0.8,0,IF(0&lt;1,Sheet3!L561,1))*IF(G2870&lt;3,0.12 - O2870,0.01) *U2870</f>
        <v>0</v>
      </c>
      <c r="W2870" s="52">
        <f t="shared" si="799"/>
        <v>0</v>
      </c>
      <c r="X2870" s="53">
        <f t="shared" si="800"/>
        <v>0</v>
      </c>
      <c r="Y2870" s="53">
        <f t="shared" si="801"/>
        <v>0</v>
      </c>
      <c r="Z2870" s="54">
        <f t="shared" si="791"/>
        <v>0</v>
      </c>
      <c r="AA2870" s="54">
        <f t="shared" si="802"/>
        <v>0</v>
      </c>
      <c r="AB2870" s="55">
        <f t="shared" si="792"/>
        <v>0</v>
      </c>
      <c r="AC2870" s="55">
        <f t="shared" si="803"/>
        <v>0</v>
      </c>
      <c r="AD2870" s="56">
        <f t="shared" si="804"/>
        <v>14511.03</v>
      </c>
    </row>
    <row r="2871" spans="3:30">
      <c r="C2871" s="43" t="s">
        <v>5349</v>
      </c>
      <c r="D2871" s="44" t="s">
        <v>5350</v>
      </c>
      <c r="E2871" s="44"/>
      <c r="F2871" s="45">
        <v>41501.623032407406</v>
      </c>
      <c r="G2871" s="46">
        <v>61</v>
      </c>
      <c r="H2871" s="47">
        <v>43372</v>
      </c>
      <c r="I2871" s="47">
        <v>43402</v>
      </c>
      <c r="J2871" s="46">
        <v>2158398</v>
      </c>
      <c r="K2871" s="46">
        <v>0</v>
      </c>
      <c r="L2871" s="46">
        <v>0</v>
      </c>
      <c r="M2871" s="46">
        <f t="shared" si="793"/>
        <v>2158398</v>
      </c>
      <c r="N2871" s="46">
        <v>2158398</v>
      </c>
      <c r="O2871" s="48">
        <f t="shared" si="794"/>
        <v>0</v>
      </c>
      <c r="P2871" s="46">
        <v>0</v>
      </c>
      <c r="Q2871" s="46">
        <v>2158398</v>
      </c>
      <c r="R2871" s="49">
        <f t="shared" si="795"/>
        <v>1</v>
      </c>
      <c r="S2871" s="50">
        <f t="shared" si="796"/>
        <v>0.01</v>
      </c>
      <c r="T2871" s="49">
        <f t="shared" si="797"/>
        <v>21583.98</v>
      </c>
      <c r="U2871" s="51">
        <f t="shared" si="798"/>
        <v>0</v>
      </c>
      <c r="V2871" s="52">
        <f>IF(0&lt;0.8,0,IF(0&lt;1,Sheet3!L561,1))*IF(G2871&lt;3,0.12 - O2871,0.01) *U2871</f>
        <v>0</v>
      </c>
      <c r="W2871" s="52">
        <f t="shared" si="799"/>
        <v>0</v>
      </c>
      <c r="X2871" s="53">
        <f t="shared" si="800"/>
        <v>0</v>
      </c>
      <c r="Y2871" s="53">
        <f t="shared" si="801"/>
        <v>0</v>
      </c>
      <c r="Z2871" s="54">
        <f t="shared" si="791"/>
        <v>0</v>
      </c>
      <c r="AA2871" s="54">
        <f t="shared" si="802"/>
        <v>0</v>
      </c>
      <c r="AB2871" s="55">
        <f t="shared" si="792"/>
        <v>0</v>
      </c>
      <c r="AC2871" s="55">
        <f t="shared" si="803"/>
        <v>0</v>
      </c>
      <c r="AD2871" s="56">
        <f t="shared" si="804"/>
        <v>21583.98</v>
      </c>
    </row>
    <row r="2872" spans="3:30">
      <c r="C2872" s="43" t="s">
        <v>5351</v>
      </c>
      <c r="D2872" s="44" t="s">
        <v>5352</v>
      </c>
      <c r="E2872" s="44"/>
      <c r="F2872" s="45">
        <v>41556.445856481478</v>
      </c>
      <c r="G2872" s="46">
        <v>59</v>
      </c>
      <c r="H2872" s="47">
        <v>43404</v>
      </c>
      <c r="I2872" s="47">
        <v>43434</v>
      </c>
      <c r="J2872" s="46">
        <v>5639540</v>
      </c>
      <c r="K2872" s="46">
        <v>0</v>
      </c>
      <c r="L2872" s="46">
        <v>0</v>
      </c>
      <c r="M2872" s="46">
        <f t="shared" si="793"/>
        <v>5639540</v>
      </c>
      <c r="N2872" s="46">
        <v>5638502</v>
      </c>
      <c r="O2872" s="48">
        <f t="shared" si="794"/>
        <v>0</v>
      </c>
      <c r="P2872" s="46">
        <v>0</v>
      </c>
      <c r="Q2872" s="46">
        <v>5639540</v>
      </c>
      <c r="R2872" s="49">
        <f t="shared" si="795"/>
        <v>1</v>
      </c>
      <c r="S2872" s="50">
        <f t="shared" si="796"/>
        <v>0.01</v>
      </c>
      <c r="T2872" s="49">
        <f t="shared" si="797"/>
        <v>56395.4</v>
      </c>
      <c r="U2872" s="51">
        <f t="shared" si="798"/>
        <v>0</v>
      </c>
      <c r="V2872" s="52">
        <f>IF(0&lt;0.8,0,IF(0&lt;1,Sheet3!L561,1))*IF(G2872&lt;3,0.12 - O2872,0.01) *U2872</f>
        <v>0</v>
      </c>
      <c r="W2872" s="52">
        <f t="shared" si="799"/>
        <v>0</v>
      </c>
      <c r="X2872" s="53">
        <f t="shared" si="800"/>
        <v>0</v>
      </c>
      <c r="Y2872" s="53">
        <f t="shared" si="801"/>
        <v>0</v>
      </c>
      <c r="Z2872" s="54">
        <f t="shared" si="791"/>
        <v>0</v>
      </c>
      <c r="AA2872" s="54">
        <f t="shared" si="802"/>
        <v>0</v>
      </c>
      <c r="AB2872" s="55">
        <f t="shared" si="792"/>
        <v>0</v>
      </c>
      <c r="AC2872" s="55">
        <f t="shared" si="803"/>
        <v>0</v>
      </c>
      <c r="AD2872" s="56">
        <f t="shared" si="804"/>
        <v>56395.4</v>
      </c>
    </row>
    <row r="2873" spans="3:30">
      <c r="C2873" s="43" t="s">
        <v>5353</v>
      </c>
      <c r="D2873" s="44" t="s">
        <v>5354</v>
      </c>
      <c r="E2873" s="44"/>
      <c r="F2873" s="45">
        <v>41621.587719907402</v>
      </c>
      <c r="G2873" s="46">
        <v>57</v>
      </c>
      <c r="H2873" s="47">
        <v>43404</v>
      </c>
      <c r="I2873" s="47">
        <v>43413</v>
      </c>
      <c r="J2873" s="46">
        <v>2350275</v>
      </c>
      <c r="K2873" s="46">
        <v>0</v>
      </c>
      <c r="L2873" s="46">
        <v>0</v>
      </c>
      <c r="M2873" s="46">
        <f t="shared" si="793"/>
        <v>2350275</v>
      </c>
      <c r="N2873" s="46">
        <v>3059431</v>
      </c>
      <c r="O2873" s="48">
        <f t="shared" si="794"/>
        <v>0.23179342825512328</v>
      </c>
      <c r="P2873" s="46">
        <v>0</v>
      </c>
      <c r="Q2873" s="46">
        <v>2350275</v>
      </c>
      <c r="R2873" s="49">
        <f t="shared" si="795"/>
        <v>1</v>
      </c>
      <c r="S2873" s="50">
        <f t="shared" si="796"/>
        <v>0.01</v>
      </c>
      <c r="T2873" s="49">
        <f t="shared" si="797"/>
        <v>23502.75</v>
      </c>
      <c r="U2873" s="51">
        <f t="shared" si="798"/>
        <v>0</v>
      </c>
      <c r="V2873" s="52">
        <f>IF(0&lt;0.8,0,IF(0&lt;1,Sheet3!L561,1))*IF(G2873&lt;3,0.12 - O2873,0.01) *U2873</f>
        <v>0</v>
      </c>
      <c r="W2873" s="52">
        <f t="shared" si="799"/>
        <v>0</v>
      </c>
      <c r="X2873" s="53">
        <f t="shared" si="800"/>
        <v>0</v>
      </c>
      <c r="Y2873" s="53">
        <f t="shared" si="801"/>
        <v>0</v>
      </c>
      <c r="Z2873" s="54">
        <f t="shared" si="791"/>
        <v>0</v>
      </c>
      <c r="AA2873" s="54">
        <f t="shared" si="802"/>
        <v>0</v>
      </c>
      <c r="AB2873" s="55">
        <f t="shared" si="792"/>
        <v>0</v>
      </c>
      <c r="AC2873" s="55">
        <f t="shared" si="803"/>
        <v>0</v>
      </c>
      <c r="AD2873" s="56">
        <f t="shared" si="804"/>
        <v>23502.75</v>
      </c>
    </row>
    <row r="2874" spans="3:30">
      <c r="C2874" s="43" t="s">
        <v>5355</v>
      </c>
      <c r="D2874" s="44" t="s">
        <v>5356</v>
      </c>
      <c r="E2874" s="44"/>
      <c r="F2874" s="45">
        <v>41696.423217592594</v>
      </c>
      <c r="G2874" s="46">
        <v>55</v>
      </c>
      <c r="H2874" s="47">
        <v>43372</v>
      </c>
      <c r="I2874" s="47">
        <v>43417</v>
      </c>
      <c r="J2874" s="46">
        <v>1003389</v>
      </c>
      <c r="K2874" s="46">
        <v>0</v>
      </c>
      <c r="L2874" s="46">
        <v>0</v>
      </c>
      <c r="M2874" s="46">
        <f t="shared" si="793"/>
        <v>1003389</v>
      </c>
      <c r="N2874" s="46">
        <v>1003389</v>
      </c>
      <c r="O2874" s="48">
        <f t="shared" si="794"/>
        <v>0</v>
      </c>
      <c r="P2874" s="46">
        <v>0</v>
      </c>
      <c r="Q2874" s="46">
        <v>1003389</v>
      </c>
      <c r="R2874" s="49">
        <f t="shared" si="795"/>
        <v>1</v>
      </c>
      <c r="S2874" s="50">
        <f t="shared" si="796"/>
        <v>0.01</v>
      </c>
      <c r="T2874" s="49">
        <f t="shared" si="797"/>
        <v>10033.89</v>
      </c>
      <c r="U2874" s="51">
        <f t="shared" si="798"/>
        <v>0</v>
      </c>
      <c r="V2874" s="52">
        <f>IF(0&lt;0.8,0,IF(0&lt;1,Sheet3!L561,1))*IF(G2874&lt;3,0.12 - O2874,0.01) *U2874</f>
        <v>0</v>
      </c>
      <c r="W2874" s="52">
        <f t="shared" si="799"/>
        <v>0</v>
      </c>
      <c r="X2874" s="53">
        <f t="shared" si="800"/>
        <v>0</v>
      </c>
      <c r="Y2874" s="53">
        <f t="shared" si="801"/>
        <v>0</v>
      </c>
      <c r="Z2874" s="54">
        <f t="shared" si="791"/>
        <v>0</v>
      </c>
      <c r="AA2874" s="54">
        <f t="shared" si="802"/>
        <v>0</v>
      </c>
      <c r="AB2874" s="55">
        <f t="shared" si="792"/>
        <v>0</v>
      </c>
      <c r="AC2874" s="55">
        <f t="shared" si="803"/>
        <v>0</v>
      </c>
      <c r="AD2874" s="56">
        <f t="shared" si="804"/>
        <v>10033.89</v>
      </c>
    </row>
    <row r="2875" spans="3:30">
      <c r="C2875" s="43" t="s">
        <v>5357</v>
      </c>
      <c r="D2875" s="44" t="s">
        <v>5358</v>
      </c>
      <c r="E2875" s="44"/>
      <c r="F2875" s="45">
        <v>41696.43268518518</v>
      </c>
      <c r="G2875" s="46">
        <v>55</v>
      </c>
      <c r="H2875" s="47">
        <v>43372</v>
      </c>
      <c r="I2875" s="47">
        <v>43390</v>
      </c>
      <c r="J2875" s="46">
        <v>254100</v>
      </c>
      <c r="K2875" s="46">
        <v>0</v>
      </c>
      <c r="L2875" s="46">
        <v>0</v>
      </c>
      <c r="M2875" s="46">
        <f t="shared" si="793"/>
        <v>254100</v>
      </c>
      <c r="N2875" s="46">
        <v>254100</v>
      </c>
      <c r="O2875" s="48">
        <f t="shared" si="794"/>
        <v>0</v>
      </c>
      <c r="P2875" s="46">
        <v>0</v>
      </c>
      <c r="Q2875" s="46">
        <v>254100</v>
      </c>
      <c r="R2875" s="49">
        <f t="shared" si="795"/>
        <v>1</v>
      </c>
      <c r="S2875" s="50">
        <f t="shared" si="796"/>
        <v>0.01</v>
      </c>
      <c r="T2875" s="49">
        <f t="shared" si="797"/>
        <v>2541</v>
      </c>
      <c r="U2875" s="51">
        <f t="shared" si="798"/>
        <v>0</v>
      </c>
      <c r="V2875" s="52">
        <f>IF(0&lt;0.8,0,IF(0&lt;1,Sheet3!L561,1))*IF(G2875&lt;3,0.12 - O2875,0.01) *U2875</f>
        <v>0</v>
      </c>
      <c r="W2875" s="52">
        <f t="shared" si="799"/>
        <v>0</v>
      </c>
      <c r="X2875" s="53">
        <f t="shared" si="800"/>
        <v>0</v>
      </c>
      <c r="Y2875" s="53">
        <f t="shared" si="801"/>
        <v>0</v>
      </c>
      <c r="Z2875" s="54">
        <f t="shared" si="791"/>
        <v>0</v>
      </c>
      <c r="AA2875" s="54">
        <f t="shared" si="802"/>
        <v>0</v>
      </c>
      <c r="AB2875" s="55">
        <f t="shared" si="792"/>
        <v>0</v>
      </c>
      <c r="AC2875" s="55">
        <f t="shared" si="803"/>
        <v>0</v>
      </c>
      <c r="AD2875" s="56">
        <f t="shared" si="804"/>
        <v>2541</v>
      </c>
    </row>
    <row r="2876" spans="3:30">
      <c r="C2876" s="43" t="s">
        <v>5359</v>
      </c>
      <c r="D2876" s="44" t="s">
        <v>5360</v>
      </c>
      <c r="E2876" s="44"/>
      <c r="F2876" s="45">
        <v>41730.702557870369</v>
      </c>
      <c r="G2876" s="46">
        <v>53</v>
      </c>
      <c r="H2876" s="47">
        <v>43404</v>
      </c>
      <c r="I2876" s="47">
        <v>43413</v>
      </c>
      <c r="J2876" s="46">
        <v>3958598</v>
      </c>
      <c r="K2876" s="46">
        <v>0</v>
      </c>
      <c r="L2876" s="46">
        <v>0</v>
      </c>
      <c r="M2876" s="46">
        <f t="shared" si="793"/>
        <v>3958598</v>
      </c>
      <c r="N2876" s="46">
        <v>5339819</v>
      </c>
      <c r="O2876" s="48">
        <f t="shared" si="794"/>
        <v>0.25866438544077996</v>
      </c>
      <c r="P2876" s="46">
        <v>0</v>
      </c>
      <c r="Q2876" s="46">
        <v>3958598</v>
      </c>
      <c r="R2876" s="49">
        <f t="shared" si="795"/>
        <v>1</v>
      </c>
      <c r="S2876" s="50">
        <f t="shared" si="796"/>
        <v>0.01</v>
      </c>
      <c r="T2876" s="49">
        <f t="shared" si="797"/>
        <v>39585.980000000003</v>
      </c>
      <c r="U2876" s="51">
        <f t="shared" si="798"/>
        <v>0</v>
      </c>
      <c r="V2876" s="52">
        <f>IF(0&lt;0.8,0,IF(0&lt;1,Sheet3!L561,1))*IF(G2876&lt;3,0.12 - O2876,0.01) *U2876</f>
        <v>0</v>
      </c>
      <c r="W2876" s="52">
        <f t="shared" si="799"/>
        <v>0</v>
      </c>
      <c r="X2876" s="53">
        <f t="shared" si="800"/>
        <v>0</v>
      </c>
      <c r="Y2876" s="53">
        <f t="shared" si="801"/>
        <v>0</v>
      </c>
      <c r="Z2876" s="54">
        <f t="shared" si="791"/>
        <v>0</v>
      </c>
      <c r="AA2876" s="54">
        <f t="shared" si="802"/>
        <v>0</v>
      </c>
      <c r="AB2876" s="55">
        <f t="shared" si="792"/>
        <v>0</v>
      </c>
      <c r="AC2876" s="55">
        <f t="shared" si="803"/>
        <v>0</v>
      </c>
      <c r="AD2876" s="56">
        <f t="shared" si="804"/>
        <v>39585.980000000003</v>
      </c>
    </row>
    <row r="2877" spans="3:30">
      <c r="C2877" s="43" t="s">
        <v>5361</v>
      </c>
      <c r="D2877" s="44" t="s">
        <v>5362</v>
      </c>
      <c r="E2877" s="44"/>
      <c r="F2877" s="45">
        <v>41852.576099537036</v>
      </c>
      <c r="G2877" s="46">
        <v>49</v>
      </c>
      <c r="H2877" s="47">
        <v>43404</v>
      </c>
      <c r="I2877" s="47">
        <v>43413</v>
      </c>
      <c r="J2877" s="46">
        <v>1783801</v>
      </c>
      <c r="K2877" s="46">
        <v>0</v>
      </c>
      <c r="L2877" s="46">
        <v>0</v>
      </c>
      <c r="M2877" s="46">
        <f t="shared" si="793"/>
        <v>1783801</v>
      </c>
      <c r="N2877" s="46">
        <v>2323303</v>
      </c>
      <c r="O2877" s="48">
        <f t="shared" si="794"/>
        <v>0.23221336175264273</v>
      </c>
      <c r="P2877" s="46">
        <v>0</v>
      </c>
      <c r="Q2877" s="46">
        <v>1783801</v>
      </c>
      <c r="R2877" s="49">
        <f t="shared" si="795"/>
        <v>1</v>
      </c>
      <c r="S2877" s="50">
        <f t="shared" si="796"/>
        <v>0.01</v>
      </c>
      <c r="T2877" s="49">
        <f t="shared" si="797"/>
        <v>17838.010000000002</v>
      </c>
      <c r="U2877" s="51">
        <f t="shared" si="798"/>
        <v>0</v>
      </c>
      <c r="V2877" s="52">
        <f>IF(0&lt;0.8,0,IF(0&lt;1,Sheet3!L561,1))*IF(G2877&lt;3,0.12 - O2877,0.01) *U2877</f>
        <v>0</v>
      </c>
      <c r="W2877" s="52">
        <f t="shared" si="799"/>
        <v>0</v>
      </c>
      <c r="X2877" s="53">
        <f t="shared" si="800"/>
        <v>0</v>
      </c>
      <c r="Y2877" s="53">
        <f t="shared" si="801"/>
        <v>0</v>
      </c>
      <c r="Z2877" s="54">
        <f t="shared" si="791"/>
        <v>0</v>
      </c>
      <c r="AA2877" s="54">
        <f t="shared" si="802"/>
        <v>0</v>
      </c>
      <c r="AB2877" s="55">
        <f t="shared" si="792"/>
        <v>0</v>
      </c>
      <c r="AC2877" s="55">
        <f t="shared" si="803"/>
        <v>0</v>
      </c>
      <c r="AD2877" s="56">
        <f t="shared" si="804"/>
        <v>17838.010000000002</v>
      </c>
    </row>
    <row r="2878" spans="3:30">
      <c r="C2878" s="43" t="s">
        <v>5363</v>
      </c>
      <c r="D2878" s="44" t="s">
        <v>5364</v>
      </c>
      <c r="E2878" s="44"/>
      <c r="F2878" s="45">
        <v>41909.609398148146</v>
      </c>
      <c r="G2878" s="46">
        <v>48</v>
      </c>
      <c r="H2878" s="47">
        <v>43372</v>
      </c>
      <c r="I2878" s="47">
        <v>43417</v>
      </c>
      <c r="J2878" s="46">
        <v>275154</v>
      </c>
      <c r="K2878" s="46">
        <v>0</v>
      </c>
      <c r="L2878" s="46">
        <v>0</v>
      </c>
      <c r="M2878" s="46">
        <f t="shared" si="793"/>
        <v>275154</v>
      </c>
      <c r="N2878" s="46">
        <v>275154</v>
      </c>
      <c r="O2878" s="48">
        <f t="shared" si="794"/>
        <v>0</v>
      </c>
      <c r="P2878" s="46">
        <v>0</v>
      </c>
      <c r="Q2878" s="46">
        <v>275154</v>
      </c>
      <c r="R2878" s="49">
        <f t="shared" si="795"/>
        <v>1</v>
      </c>
      <c r="S2878" s="50">
        <f t="shared" si="796"/>
        <v>0.01</v>
      </c>
      <c r="T2878" s="49">
        <f t="shared" si="797"/>
        <v>2751.54</v>
      </c>
      <c r="U2878" s="51">
        <f t="shared" si="798"/>
        <v>0</v>
      </c>
      <c r="V2878" s="52">
        <f>IF(0&lt;0.8,0,IF(0&lt;1,Sheet3!L561,1))*IF(G2878&lt;3,0.12 - O2878,0.01) *U2878</f>
        <v>0</v>
      </c>
      <c r="W2878" s="52">
        <f t="shared" si="799"/>
        <v>0</v>
      </c>
      <c r="X2878" s="53">
        <f t="shared" si="800"/>
        <v>0</v>
      </c>
      <c r="Y2878" s="53">
        <f t="shared" si="801"/>
        <v>0</v>
      </c>
      <c r="Z2878" s="54">
        <f t="shared" si="791"/>
        <v>0</v>
      </c>
      <c r="AA2878" s="54">
        <f t="shared" si="802"/>
        <v>0</v>
      </c>
      <c r="AB2878" s="55">
        <f t="shared" si="792"/>
        <v>0</v>
      </c>
      <c r="AC2878" s="55">
        <f t="shared" si="803"/>
        <v>0</v>
      </c>
      <c r="AD2878" s="56">
        <f t="shared" si="804"/>
        <v>2751.54</v>
      </c>
    </row>
    <row r="2879" spans="3:30">
      <c r="C2879" s="43" t="s">
        <v>5365</v>
      </c>
      <c r="D2879" s="44" t="s">
        <v>5366</v>
      </c>
      <c r="E2879" s="44"/>
      <c r="F2879" s="45">
        <v>41912.46193287037</v>
      </c>
      <c r="G2879" s="46">
        <v>48</v>
      </c>
      <c r="H2879" s="47">
        <v>43372</v>
      </c>
      <c r="I2879" s="47">
        <v>43398</v>
      </c>
      <c r="J2879" s="46">
        <v>285439</v>
      </c>
      <c r="K2879" s="46">
        <v>0</v>
      </c>
      <c r="L2879" s="46">
        <v>0</v>
      </c>
      <c r="M2879" s="46">
        <f t="shared" si="793"/>
        <v>285439</v>
      </c>
      <c r="N2879" s="46">
        <v>285439</v>
      </c>
      <c r="O2879" s="48">
        <f t="shared" si="794"/>
        <v>0</v>
      </c>
      <c r="P2879" s="46">
        <v>0</v>
      </c>
      <c r="Q2879" s="46">
        <v>285439</v>
      </c>
      <c r="R2879" s="49">
        <f t="shared" si="795"/>
        <v>1</v>
      </c>
      <c r="S2879" s="50">
        <f t="shared" si="796"/>
        <v>0.01</v>
      </c>
      <c r="T2879" s="49">
        <f t="shared" si="797"/>
        <v>2854.39</v>
      </c>
      <c r="U2879" s="51">
        <f t="shared" si="798"/>
        <v>0</v>
      </c>
      <c r="V2879" s="52">
        <f>IF(0&lt;0.8,0,IF(0&lt;1,Sheet3!L561,1))*IF(G2879&lt;3,0.12 - O2879,0.01) *U2879</f>
        <v>0</v>
      </c>
      <c r="W2879" s="52">
        <f t="shared" si="799"/>
        <v>0</v>
      </c>
      <c r="X2879" s="53">
        <f t="shared" si="800"/>
        <v>0</v>
      </c>
      <c r="Y2879" s="53">
        <f t="shared" si="801"/>
        <v>0</v>
      </c>
      <c r="Z2879" s="54">
        <f t="shared" si="791"/>
        <v>0</v>
      </c>
      <c r="AA2879" s="54">
        <f t="shared" si="802"/>
        <v>0</v>
      </c>
      <c r="AB2879" s="55">
        <f t="shared" si="792"/>
        <v>0</v>
      </c>
      <c r="AC2879" s="55">
        <f t="shared" si="803"/>
        <v>0</v>
      </c>
      <c r="AD2879" s="56">
        <f t="shared" si="804"/>
        <v>2854.39</v>
      </c>
    </row>
    <row r="2880" spans="3:30">
      <c r="C2880" s="43" t="s">
        <v>5367</v>
      </c>
      <c r="D2880" s="44" t="s">
        <v>5368</v>
      </c>
      <c r="E2880" s="44"/>
      <c r="F2880" s="45">
        <v>42016.435752314814</v>
      </c>
      <c r="G2880" s="46">
        <v>44</v>
      </c>
      <c r="H2880" s="47">
        <v>43379</v>
      </c>
      <c r="I2880" s="47">
        <v>43417</v>
      </c>
      <c r="J2880" s="46">
        <v>1112716</v>
      </c>
      <c r="K2880" s="46">
        <v>0</v>
      </c>
      <c r="L2880" s="46">
        <v>0</v>
      </c>
      <c r="M2880" s="46">
        <f t="shared" si="793"/>
        <v>1112716</v>
      </c>
      <c r="N2880" s="46">
        <v>984456</v>
      </c>
      <c r="O2880" s="48">
        <f t="shared" si="794"/>
        <v>0</v>
      </c>
      <c r="P2880" s="46">
        <v>0</v>
      </c>
      <c r="Q2880" s="46">
        <v>1112716</v>
      </c>
      <c r="R2880" s="49">
        <f t="shared" si="795"/>
        <v>1</v>
      </c>
      <c r="S2880" s="50">
        <f t="shared" si="796"/>
        <v>0.01</v>
      </c>
      <c r="T2880" s="49">
        <f t="shared" si="797"/>
        <v>11127.16</v>
      </c>
      <c r="U2880" s="51">
        <f t="shared" si="798"/>
        <v>0</v>
      </c>
      <c r="V2880" s="52">
        <f>IF(0&lt;0.8,0,IF(0&lt;1,Sheet3!L561,1))*IF(G2880&lt;3,0.12 - O2880,0.01) *U2880</f>
        <v>0</v>
      </c>
      <c r="W2880" s="52">
        <f t="shared" si="799"/>
        <v>0</v>
      </c>
      <c r="X2880" s="53">
        <f t="shared" si="800"/>
        <v>0</v>
      </c>
      <c r="Y2880" s="53">
        <f t="shared" si="801"/>
        <v>0</v>
      </c>
      <c r="Z2880" s="54">
        <f t="shared" si="791"/>
        <v>0</v>
      </c>
      <c r="AA2880" s="54">
        <f t="shared" si="802"/>
        <v>0</v>
      </c>
      <c r="AB2880" s="55">
        <f t="shared" si="792"/>
        <v>0</v>
      </c>
      <c r="AC2880" s="55">
        <f t="shared" si="803"/>
        <v>0</v>
      </c>
      <c r="AD2880" s="56">
        <f t="shared" si="804"/>
        <v>11127.16</v>
      </c>
    </row>
    <row r="2881" spans="3:30">
      <c r="C2881" s="43" t="s">
        <v>5369</v>
      </c>
      <c r="D2881" s="44" t="s">
        <v>5370</v>
      </c>
      <c r="E2881" s="44"/>
      <c r="F2881" s="45">
        <v>42031.633726851847</v>
      </c>
      <c r="G2881" s="46">
        <v>44</v>
      </c>
      <c r="H2881" s="47">
        <v>43372</v>
      </c>
      <c r="I2881" s="47">
        <v>43390</v>
      </c>
      <c r="J2881" s="46">
        <v>384344</v>
      </c>
      <c r="K2881" s="46">
        <v>0</v>
      </c>
      <c r="L2881" s="46">
        <v>0</v>
      </c>
      <c r="M2881" s="46">
        <f t="shared" si="793"/>
        <v>384344</v>
      </c>
      <c r="N2881" s="46">
        <v>384344</v>
      </c>
      <c r="O2881" s="48">
        <f t="shared" si="794"/>
        <v>0</v>
      </c>
      <c r="P2881" s="46">
        <v>0</v>
      </c>
      <c r="Q2881" s="46">
        <v>384344</v>
      </c>
      <c r="R2881" s="49">
        <f t="shared" si="795"/>
        <v>1</v>
      </c>
      <c r="S2881" s="50">
        <f t="shared" si="796"/>
        <v>0.01</v>
      </c>
      <c r="T2881" s="49">
        <f t="shared" si="797"/>
        <v>3843.44</v>
      </c>
      <c r="U2881" s="51">
        <f t="shared" si="798"/>
        <v>0</v>
      </c>
      <c r="V2881" s="52">
        <f>IF(0&lt;0.8,0,IF(0&lt;1,Sheet3!L561,1))*IF(G2881&lt;3,0.12 - O2881,0.01) *U2881</f>
        <v>0</v>
      </c>
      <c r="W2881" s="52">
        <f t="shared" si="799"/>
        <v>0</v>
      </c>
      <c r="X2881" s="53">
        <f t="shared" si="800"/>
        <v>0</v>
      </c>
      <c r="Y2881" s="53">
        <f t="shared" si="801"/>
        <v>0</v>
      </c>
      <c r="Z2881" s="54">
        <f t="shared" si="791"/>
        <v>0</v>
      </c>
      <c r="AA2881" s="54">
        <f t="shared" si="802"/>
        <v>0</v>
      </c>
      <c r="AB2881" s="55">
        <f t="shared" si="792"/>
        <v>0</v>
      </c>
      <c r="AC2881" s="55">
        <f t="shared" si="803"/>
        <v>0</v>
      </c>
      <c r="AD2881" s="56">
        <f t="shared" si="804"/>
        <v>3843.44</v>
      </c>
    </row>
    <row r="2882" spans="3:30">
      <c r="C2882" s="43" t="s">
        <v>5371</v>
      </c>
      <c r="D2882" s="44" t="s">
        <v>5372</v>
      </c>
      <c r="E2882" s="44"/>
      <c r="F2882" s="45">
        <v>42041.590405092589</v>
      </c>
      <c r="G2882" s="46">
        <v>43</v>
      </c>
      <c r="H2882" s="47">
        <v>43404</v>
      </c>
      <c r="I2882" s="47">
        <v>43434</v>
      </c>
      <c r="J2882" s="46">
        <v>1228890</v>
      </c>
      <c r="K2882" s="46">
        <v>0</v>
      </c>
      <c r="L2882" s="46">
        <v>0</v>
      </c>
      <c r="M2882" s="46">
        <f t="shared" si="793"/>
        <v>1228890</v>
      </c>
      <c r="N2882" s="46">
        <v>1219510</v>
      </c>
      <c r="O2882" s="48">
        <f t="shared" si="794"/>
        <v>0</v>
      </c>
      <c r="P2882" s="46">
        <v>0</v>
      </c>
      <c r="Q2882" s="46">
        <v>1228890</v>
      </c>
      <c r="R2882" s="49">
        <f t="shared" si="795"/>
        <v>1</v>
      </c>
      <c r="S2882" s="50">
        <f t="shared" si="796"/>
        <v>0.01</v>
      </c>
      <c r="T2882" s="49">
        <f t="shared" si="797"/>
        <v>12288.9</v>
      </c>
      <c r="U2882" s="51">
        <f t="shared" si="798"/>
        <v>0</v>
      </c>
      <c r="V2882" s="52">
        <f>IF(0&lt;0.8,0,IF(0&lt;1,Sheet3!L561,1))*IF(G2882&lt;3,0.12 - O2882,0.01) *U2882</f>
        <v>0</v>
      </c>
      <c r="W2882" s="52">
        <f t="shared" si="799"/>
        <v>0</v>
      </c>
      <c r="X2882" s="53">
        <f t="shared" si="800"/>
        <v>0</v>
      </c>
      <c r="Y2882" s="53">
        <f t="shared" si="801"/>
        <v>0</v>
      </c>
      <c r="Z2882" s="54">
        <f t="shared" si="791"/>
        <v>0</v>
      </c>
      <c r="AA2882" s="54">
        <f t="shared" si="802"/>
        <v>0</v>
      </c>
      <c r="AB2882" s="55">
        <f t="shared" si="792"/>
        <v>0</v>
      </c>
      <c r="AC2882" s="55">
        <f t="shared" si="803"/>
        <v>0</v>
      </c>
      <c r="AD2882" s="56">
        <f t="shared" si="804"/>
        <v>12288.9</v>
      </c>
    </row>
    <row r="2883" spans="3:30">
      <c r="C2883" s="43" t="s">
        <v>5373</v>
      </c>
      <c r="D2883" s="44" t="s">
        <v>5374</v>
      </c>
      <c r="E2883" s="44"/>
      <c r="F2883" s="45">
        <v>42065.617916666662</v>
      </c>
      <c r="G2883" s="46">
        <v>42</v>
      </c>
      <c r="H2883" s="47">
        <v>43404</v>
      </c>
      <c r="I2883" s="47">
        <v>43413</v>
      </c>
      <c r="J2883" s="46">
        <v>4315662</v>
      </c>
      <c r="K2883" s="46">
        <v>0</v>
      </c>
      <c r="L2883" s="46">
        <v>0</v>
      </c>
      <c r="M2883" s="46">
        <f t="shared" si="793"/>
        <v>4315662</v>
      </c>
      <c r="N2883" s="46">
        <v>4818576</v>
      </c>
      <c r="O2883" s="48">
        <f t="shared" si="794"/>
        <v>0.10436983872413763</v>
      </c>
      <c r="P2883" s="46">
        <v>0</v>
      </c>
      <c r="Q2883" s="46">
        <v>4315662</v>
      </c>
      <c r="R2883" s="49">
        <f t="shared" si="795"/>
        <v>1</v>
      </c>
      <c r="S2883" s="50">
        <f t="shared" si="796"/>
        <v>0.01</v>
      </c>
      <c r="T2883" s="49">
        <f t="shared" si="797"/>
        <v>43156.62</v>
      </c>
      <c r="U2883" s="51">
        <f t="shared" si="798"/>
        <v>0</v>
      </c>
      <c r="V2883" s="52">
        <f>IF(0&lt;0.8,0,IF(0&lt;1,Sheet3!L561,1))*IF(G2883&lt;3,0.12 - O2883,0.01) *U2883</f>
        <v>0</v>
      </c>
      <c r="W2883" s="52">
        <f t="shared" si="799"/>
        <v>0</v>
      </c>
      <c r="X2883" s="53">
        <f t="shared" si="800"/>
        <v>0</v>
      </c>
      <c r="Y2883" s="53">
        <f t="shared" si="801"/>
        <v>0</v>
      </c>
      <c r="Z2883" s="54">
        <f t="shared" si="791"/>
        <v>0</v>
      </c>
      <c r="AA2883" s="54">
        <f t="shared" si="802"/>
        <v>0</v>
      </c>
      <c r="AB2883" s="55">
        <f t="shared" si="792"/>
        <v>0</v>
      </c>
      <c r="AC2883" s="55">
        <f t="shared" si="803"/>
        <v>0</v>
      </c>
      <c r="AD2883" s="56">
        <f t="shared" si="804"/>
        <v>43156.62</v>
      </c>
    </row>
    <row r="2884" spans="3:30">
      <c r="C2884" s="43" t="s">
        <v>5375</v>
      </c>
      <c r="D2884" s="44" t="s">
        <v>5376</v>
      </c>
      <c r="E2884" s="44"/>
      <c r="F2884" s="45">
        <v>42157.492696759255</v>
      </c>
      <c r="G2884" s="46">
        <v>39</v>
      </c>
      <c r="H2884" s="47">
        <v>43404</v>
      </c>
      <c r="I2884" s="47">
        <v>43413</v>
      </c>
      <c r="J2884" s="46">
        <v>3486911</v>
      </c>
      <c r="K2884" s="46">
        <v>0</v>
      </c>
      <c r="L2884" s="46">
        <v>0</v>
      </c>
      <c r="M2884" s="46">
        <f t="shared" si="793"/>
        <v>3486911</v>
      </c>
      <c r="N2884" s="46">
        <v>4553921</v>
      </c>
      <c r="O2884" s="48">
        <f t="shared" si="794"/>
        <v>0.23430577737294955</v>
      </c>
      <c r="P2884" s="46">
        <v>0</v>
      </c>
      <c r="Q2884" s="46">
        <v>3486911</v>
      </c>
      <c r="R2884" s="49">
        <f t="shared" si="795"/>
        <v>1</v>
      </c>
      <c r="S2884" s="50">
        <f t="shared" si="796"/>
        <v>0.01</v>
      </c>
      <c r="T2884" s="49">
        <f t="shared" si="797"/>
        <v>34869.11</v>
      </c>
      <c r="U2884" s="51">
        <f t="shared" si="798"/>
        <v>0</v>
      </c>
      <c r="V2884" s="52">
        <f>IF(0&lt;0.8,0,IF(0&lt;1,Sheet3!L561,1))*IF(G2884&lt;3,0.12 - O2884,0.01) *U2884</f>
        <v>0</v>
      </c>
      <c r="W2884" s="52">
        <f t="shared" si="799"/>
        <v>0</v>
      </c>
      <c r="X2884" s="53">
        <f t="shared" si="800"/>
        <v>0</v>
      </c>
      <c r="Y2884" s="53">
        <f t="shared" si="801"/>
        <v>0</v>
      </c>
      <c r="Z2884" s="54">
        <f t="shared" si="791"/>
        <v>0</v>
      </c>
      <c r="AA2884" s="54">
        <f t="shared" si="802"/>
        <v>0</v>
      </c>
      <c r="AB2884" s="55">
        <f t="shared" si="792"/>
        <v>0</v>
      </c>
      <c r="AC2884" s="55">
        <f t="shared" si="803"/>
        <v>0</v>
      </c>
      <c r="AD2884" s="56">
        <f t="shared" si="804"/>
        <v>34869.11</v>
      </c>
    </row>
    <row r="2885" spans="3:30">
      <c r="C2885" s="43" t="s">
        <v>5377</v>
      </c>
      <c r="D2885" s="44" t="s">
        <v>5378</v>
      </c>
      <c r="E2885" s="44"/>
      <c r="F2885" s="45">
        <v>42192.564733796295</v>
      </c>
      <c r="G2885" s="46">
        <v>38</v>
      </c>
      <c r="H2885" s="47">
        <v>43372</v>
      </c>
      <c r="I2885" s="47">
        <v>43417</v>
      </c>
      <c r="J2885" s="46">
        <v>630773</v>
      </c>
      <c r="K2885" s="46">
        <v>0</v>
      </c>
      <c r="L2885" s="46">
        <v>0</v>
      </c>
      <c r="M2885" s="46">
        <f t="shared" si="793"/>
        <v>630773</v>
      </c>
      <c r="N2885" s="46">
        <v>630773</v>
      </c>
      <c r="O2885" s="48">
        <f t="shared" si="794"/>
        <v>0</v>
      </c>
      <c r="P2885" s="46">
        <v>0</v>
      </c>
      <c r="Q2885" s="46">
        <v>630773</v>
      </c>
      <c r="R2885" s="49">
        <f t="shared" si="795"/>
        <v>1</v>
      </c>
      <c r="S2885" s="50">
        <f t="shared" si="796"/>
        <v>0.01</v>
      </c>
      <c r="T2885" s="49">
        <f t="shared" si="797"/>
        <v>6307.7300000000005</v>
      </c>
      <c r="U2885" s="51">
        <f t="shared" si="798"/>
        <v>0</v>
      </c>
      <c r="V2885" s="52">
        <f>IF(0&lt;0.8,0,IF(0&lt;1,Sheet3!L561,1))*IF(G2885&lt;3,0.12 - O2885,0.01) *U2885</f>
        <v>0</v>
      </c>
      <c r="W2885" s="52">
        <f t="shared" si="799"/>
        <v>0</v>
      </c>
      <c r="X2885" s="53">
        <f t="shared" si="800"/>
        <v>0</v>
      </c>
      <c r="Y2885" s="53">
        <f t="shared" si="801"/>
        <v>0</v>
      </c>
      <c r="Z2885" s="54">
        <f t="shared" si="791"/>
        <v>0</v>
      </c>
      <c r="AA2885" s="54">
        <f t="shared" si="802"/>
        <v>0</v>
      </c>
      <c r="AB2885" s="55">
        <f t="shared" si="792"/>
        <v>0</v>
      </c>
      <c r="AC2885" s="55">
        <f t="shared" si="803"/>
        <v>0</v>
      </c>
      <c r="AD2885" s="56">
        <f t="shared" si="804"/>
        <v>6307.7300000000005</v>
      </c>
    </row>
    <row r="2886" spans="3:30">
      <c r="C2886" s="43" t="s">
        <v>5379</v>
      </c>
      <c r="D2886" s="44" t="s">
        <v>5380</v>
      </c>
      <c r="E2886" s="44"/>
      <c r="F2886" s="45">
        <v>42210.466377314813</v>
      </c>
      <c r="G2886" s="46">
        <v>38</v>
      </c>
      <c r="H2886" s="47">
        <v>43372</v>
      </c>
      <c r="I2886" s="47">
        <v>43392</v>
      </c>
      <c r="J2886" s="46">
        <v>227480</v>
      </c>
      <c r="K2886" s="46">
        <v>0</v>
      </c>
      <c r="L2886" s="46">
        <v>0</v>
      </c>
      <c r="M2886" s="46">
        <f t="shared" si="793"/>
        <v>227480</v>
      </c>
      <c r="N2886" s="46">
        <v>227480</v>
      </c>
      <c r="O2886" s="48">
        <f t="shared" si="794"/>
        <v>0</v>
      </c>
      <c r="P2886" s="46">
        <v>0</v>
      </c>
      <c r="Q2886" s="46">
        <v>227480</v>
      </c>
      <c r="R2886" s="49">
        <f t="shared" si="795"/>
        <v>1</v>
      </c>
      <c r="S2886" s="50">
        <f t="shared" si="796"/>
        <v>0.01</v>
      </c>
      <c r="T2886" s="49">
        <f t="shared" si="797"/>
        <v>2274.8000000000002</v>
      </c>
      <c r="U2886" s="51">
        <f t="shared" si="798"/>
        <v>0</v>
      </c>
      <c r="V2886" s="52">
        <f>IF(0&lt;0.8,0,IF(0&lt;1,Sheet3!L561,1))*IF(G2886&lt;3,0.12 - O2886,0.01) *U2886</f>
        <v>0</v>
      </c>
      <c r="W2886" s="52">
        <f t="shared" si="799"/>
        <v>0</v>
      </c>
      <c r="X2886" s="53">
        <f t="shared" si="800"/>
        <v>0</v>
      </c>
      <c r="Y2886" s="53">
        <f t="shared" si="801"/>
        <v>0</v>
      </c>
      <c r="Z2886" s="54">
        <f t="shared" si="791"/>
        <v>0</v>
      </c>
      <c r="AA2886" s="54">
        <f t="shared" si="802"/>
        <v>0</v>
      </c>
      <c r="AB2886" s="55">
        <f t="shared" si="792"/>
        <v>0</v>
      </c>
      <c r="AC2886" s="55">
        <f t="shared" si="803"/>
        <v>0</v>
      </c>
      <c r="AD2886" s="56">
        <f t="shared" si="804"/>
        <v>2274.8000000000002</v>
      </c>
    </row>
    <row r="2887" spans="3:30">
      <c r="C2887" s="43" t="s">
        <v>5381</v>
      </c>
      <c r="D2887" s="44" t="s">
        <v>5382</v>
      </c>
      <c r="E2887" s="44"/>
      <c r="F2887" s="45">
        <v>42220.571655092594</v>
      </c>
      <c r="G2887" s="46">
        <v>37</v>
      </c>
      <c r="H2887" s="47">
        <v>43372</v>
      </c>
      <c r="I2887" s="47">
        <v>43390</v>
      </c>
      <c r="J2887" s="46">
        <v>492929</v>
      </c>
      <c r="K2887" s="46">
        <v>0</v>
      </c>
      <c r="L2887" s="46">
        <v>0</v>
      </c>
      <c r="M2887" s="46">
        <f t="shared" si="793"/>
        <v>492929</v>
      </c>
      <c r="N2887" s="46">
        <v>492929</v>
      </c>
      <c r="O2887" s="48">
        <f t="shared" si="794"/>
        <v>0</v>
      </c>
      <c r="P2887" s="46">
        <v>0</v>
      </c>
      <c r="Q2887" s="46">
        <v>492929</v>
      </c>
      <c r="R2887" s="49">
        <f t="shared" si="795"/>
        <v>1</v>
      </c>
      <c r="S2887" s="50">
        <f t="shared" si="796"/>
        <v>0.01</v>
      </c>
      <c r="T2887" s="49">
        <f t="shared" si="797"/>
        <v>4929.29</v>
      </c>
      <c r="U2887" s="51">
        <f t="shared" si="798"/>
        <v>0</v>
      </c>
      <c r="V2887" s="52">
        <f>IF(0&lt;0.8,0,IF(0&lt;1,Sheet3!L561,1))*IF(G2887&lt;3,0.12 - O2887,0.01) *U2887</f>
        <v>0</v>
      </c>
      <c r="W2887" s="52">
        <f t="shared" si="799"/>
        <v>0</v>
      </c>
      <c r="X2887" s="53">
        <f t="shared" si="800"/>
        <v>0</v>
      </c>
      <c r="Y2887" s="53">
        <f t="shared" si="801"/>
        <v>0</v>
      </c>
      <c r="Z2887" s="54">
        <f t="shared" si="791"/>
        <v>0</v>
      </c>
      <c r="AA2887" s="54">
        <f t="shared" si="802"/>
        <v>0</v>
      </c>
      <c r="AB2887" s="55">
        <f t="shared" si="792"/>
        <v>0</v>
      </c>
      <c r="AC2887" s="55">
        <f t="shared" si="803"/>
        <v>0</v>
      </c>
      <c r="AD2887" s="56">
        <f t="shared" si="804"/>
        <v>4929.29</v>
      </c>
    </row>
    <row r="2888" spans="3:30">
      <c r="C2888" s="43" t="s">
        <v>5383</v>
      </c>
      <c r="D2888" s="44" t="s">
        <v>5384</v>
      </c>
      <c r="E2888" s="44"/>
      <c r="F2888" s="45">
        <v>42222.587337962963</v>
      </c>
      <c r="G2888" s="46">
        <v>37</v>
      </c>
      <c r="H2888" s="47">
        <v>43372</v>
      </c>
      <c r="I2888" s="47">
        <v>43399</v>
      </c>
      <c r="J2888" s="46">
        <v>898380</v>
      </c>
      <c r="K2888" s="46">
        <v>0</v>
      </c>
      <c r="L2888" s="46">
        <v>0</v>
      </c>
      <c r="M2888" s="46">
        <f t="shared" si="793"/>
        <v>898380</v>
      </c>
      <c r="N2888" s="46">
        <v>897578</v>
      </c>
      <c r="O2888" s="48">
        <f t="shared" si="794"/>
        <v>0</v>
      </c>
      <c r="P2888" s="46">
        <v>0</v>
      </c>
      <c r="Q2888" s="46">
        <v>898380</v>
      </c>
      <c r="R2888" s="49">
        <f t="shared" si="795"/>
        <v>1</v>
      </c>
      <c r="S2888" s="50">
        <f t="shared" si="796"/>
        <v>0.01</v>
      </c>
      <c r="T2888" s="49">
        <f t="shared" si="797"/>
        <v>8983.8000000000011</v>
      </c>
      <c r="U2888" s="51">
        <f t="shared" si="798"/>
        <v>0</v>
      </c>
      <c r="V2888" s="52">
        <f>IF(0&lt;0.8,0,IF(0&lt;1,Sheet3!L561,1))*IF(G2888&lt;3,0.12 - O2888,0.01) *U2888</f>
        <v>0</v>
      </c>
      <c r="W2888" s="52">
        <f t="shared" si="799"/>
        <v>0</v>
      </c>
      <c r="X2888" s="53">
        <f t="shared" si="800"/>
        <v>0</v>
      </c>
      <c r="Y2888" s="53">
        <f t="shared" si="801"/>
        <v>0</v>
      </c>
      <c r="Z2888" s="54">
        <f t="shared" si="791"/>
        <v>0</v>
      </c>
      <c r="AA2888" s="54">
        <f t="shared" si="802"/>
        <v>0</v>
      </c>
      <c r="AB2888" s="55">
        <f t="shared" si="792"/>
        <v>0</v>
      </c>
      <c r="AC2888" s="55">
        <f t="shared" si="803"/>
        <v>0</v>
      </c>
      <c r="AD2888" s="56">
        <f t="shared" si="804"/>
        <v>8983.8000000000011</v>
      </c>
    </row>
    <row r="2889" spans="3:30">
      <c r="C2889" s="43" t="s">
        <v>5385</v>
      </c>
      <c r="D2889" s="44" t="s">
        <v>5386</v>
      </c>
      <c r="E2889" s="44"/>
      <c r="F2889" s="45">
        <v>42222.59034722222</v>
      </c>
      <c r="G2889" s="46">
        <v>37</v>
      </c>
      <c r="H2889" s="47">
        <v>43372</v>
      </c>
      <c r="I2889" s="47">
        <v>43425</v>
      </c>
      <c r="J2889" s="46">
        <v>1469109</v>
      </c>
      <c r="K2889" s="46">
        <v>0</v>
      </c>
      <c r="L2889" s="46">
        <v>0</v>
      </c>
      <c r="M2889" s="46">
        <f t="shared" si="793"/>
        <v>1469109</v>
      </c>
      <c r="N2889" s="46">
        <v>1400909</v>
      </c>
      <c r="O2889" s="48">
        <f t="shared" si="794"/>
        <v>0</v>
      </c>
      <c r="P2889" s="46">
        <v>0</v>
      </c>
      <c r="Q2889" s="46">
        <v>1469109</v>
      </c>
      <c r="R2889" s="49">
        <f t="shared" si="795"/>
        <v>1</v>
      </c>
      <c r="S2889" s="50">
        <f t="shared" si="796"/>
        <v>0.01</v>
      </c>
      <c r="T2889" s="49">
        <f t="shared" si="797"/>
        <v>14691.09</v>
      </c>
      <c r="U2889" s="51">
        <f t="shared" si="798"/>
        <v>0</v>
      </c>
      <c r="V2889" s="52">
        <f>IF(0&lt;0.8,0,IF(0&lt;1,Sheet3!L561,1))*IF(G2889&lt;3,0.12 - O2889,0.01) *U2889</f>
        <v>0</v>
      </c>
      <c r="W2889" s="52">
        <f t="shared" si="799"/>
        <v>0</v>
      </c>
      <c r="X2889" s="53">
        <f t="shared" si="800"/>
        <v>0</v>
      </c>
      <c r="Y2889" s="53">
        <f t="shared" si="801"/>
        <v>0</v>
      </c>
      <c r="Z2889" s="54">
        <f t="shared" si="791"/>
        <v>0</v>
      </c>
      <c r="AA2889" s="54">
        <f t="shared" si="802"/>
        <v>0</v>
      </c>
      <c r="AB2889" s="55">
        <f t="shared" si="792"/>
        <v>0</v>
      </c>
      <c r="AC2889" s="55">
        <f t="shared" si="803"/>
        <v>0</v>
      </c>
      <c r="AD2889" s="56">
        <f t="shared" si="804"/>
        <v>14691.09</v>
      </c>
    </row>
    <row r="2890" spans="3:30">
      <c r="C2890" s="43" t="s">
        <v>5387</v>
      </c>
      <c r="D2890" s="44" t="s">
        <v>5388</v>
      </c>
      <c r="E2890" s="44"/>
      <c r="F2890" s="45">
        <v>42243.392037037032</v>
      </c>
      <c r="G2890" s="46">
        <v>37</v>
      </c>
      <c r="H2890" s="47">
        <v>43404</v>
      </c>
      <c r="I2890" s="47">
        <v>43413</v>
      </c>
      <c r="J2890" s="46">
        <v>1745190</v>
      </c>
      <c r="K2890" s="46">
        <v>0</v>
      </c>
      <c r="L2890" s="46">
        <v>0</v>
      </c>
      <c r="M2890" s="46">
        <f t="shared" si="793"/>
        <v>1745190</v>
      </c>
      <c r="N2890" s="46">
        <v>2310745</v>
      </c>
      <c r="O2890" s="48">
        <f t="shared" si="794"/>
        <v>0.24475006978268909</v>
      </c>
      <c r="P2890" s="46">
        <v>0</v>
      </c>
      <c r="Q2890" s="46">
        <v>1745190</v>
      </c>
      <c r="R2890" s="49">
        <f t="shared" si="795"/>
        <v>1</v>
      </c>
      <c r="S2890" s="50">
        <f t="shared" si="796"/>
        <v>0.01</v>
      </c>
      <c r="T2890" s="49">
        <f t="shared" si="797"/>
        <v>17451.900000000001</v>
      </c>
      <c r="U2890" s="51">
        <f t="shared" si="798"/>
        <v>0</v>
      </c>
      <c r="V2890" s="52">
        <f>IF(0&lt;0.8,0,IF(0&lt;1,Sheet3!L561,1))*IF(G2890&lt;3,0.12 - O2890,0.01) *U2890</f>
        <v>0</v>
      </c>
      <c r="W2890" s="52">
        <f t="shared" si="799"/>
        <v>0</v>
      </c>
      <c r="X2890" s="53">
        <f t="shared" si="800"/>
        <v>0</v>
      </c>
      <c r="Y2890" s="53">
        <f t="shared" si="801"/>
        <v>0</v>
      </c>
      <c r="Z2890" s="54">
        <f t="shared" si="791"/>
        <v>0</v>
      </c>
      <c r="AA2890" s="54">
        <f t="shared" si="802"/>
        <v>0</v>
      </c>
      <c r="AB2890" s="55">
        <f t="shared" si="792"/>
        <v>0</v>
      </c>
      <c r="AC2890" s="55">
        <f t="shared" si="803"/>
        <v>0</v>
      </c>
      <c r="AD2890" s="56">
        <f t="shared" si="804"/>
        <v>17451.900000000001</v>
      </c>
    </row>
    <row r="2891" spans="3:30">
      <c r="C2891" s="43" t="s">
        <v>5389</v>
      </c>
      <c r="D2891" s="44" t="s">
        <v>5390</v>
      </c>
      <c r="E2891" s="44"/>
      <c r="F2891" s="45">
        <v>42270.440254629626</v>
      </c>
      <c r="G2891" s="46">
        <v>36</v>
      </c>
      <c r="H2891" s="47">
        <v>43372</v>
      </c>
      <c r="I2891" s="47">
        <v>43392</v>
      </c>
      <c r="J2891" s="46">
        <v>3265524</v>
      </c>
      <c r="K2891" s="46">
        <v>0</v>
      </c>
      <c r="L2891" s="46">
        <v>0</v>
      </c>
      <c r="M2891" s="46">
        <f t="shared" si="793"/>
        <v>3265524</v>
      </c>
      <c r="N2891" s="46">
        <v>3137264</v>
      </c>
      <c r="O2891" s="48">
        <f t="shared" si="794"/>
        <v>0</v>
      </c>
      <c r="P2891" s="46">
        <v>0</v>
      </c>
      <c r="Q2891" s="46">
        <v>3265524</v>
      </c>
      <c r="R2891" s="49">
        <f t="shared" si="795"/>
        <v>1</v>
      </c>
      <c r="S2891" s="50">
        <f t="shared" si="796"/>
        <v>0.01</v>
      </c>
      <c r="T2891" s="49">
        <f t="shared" si="797"/>
        <v>32655.24</v>
      </c>
      <c r="U2891" s="51">
        <f t="shared" si="798"/>
        <v>0</v>
      </c>
      <c r="V2891" s="52">
        <f>IF(0&lt;0.8,0,IF(0&lt;1,Sheet3!L561,1))*IF(G2891&lt;3,0.12 - O2891,0.01) *U2891</f>
        <v>0</v>
      </c>
      <c r="W2891" s="52">
        <f t="shared" si="799"/>
        <v>0</v>
      </c>
      <c r="X2891" s="53">
        <f t="shared" si="800"/>
        <v>0</v>
      </c>
      <c r="Y2891" s="53">
        <f t="shared" si="801"/>
        <v>0</v>
      </c>
      <c r="Z2891" s="54">
        <f t="shared" si="791"/>
        <v>0</v>
      </c>
      <c r="AA2891" s="54">
        <f t="shared" si="802"/>
        <v>0</v>
      </c>
      <c r="AB2891" s="55">
        <f t="shared" si="792"/>
        <v>0</v>
      </c>
      <c r="AC2891" s="55">
        <f t="shared" si="803"/>
        <v>0</v>
      </c>
      <c r="AD2891" s="56">
        <f t="shared" si="804"/>
        <v>32655.24</v>
      </c>
    </row>
    <row r="2892" spans="3:30">
      <c r="C2892" s="43" t="s">
        <v>5391</v>
      </c>
      <c r="D2892" s="44" t="s">
        <v>5388</v>
      </c>
      <c r="E2892" s="44"/>
      <c r="F2892" s="45">
        <v>42381.615937499999</v>
      </c>
      <c r="G2892" s="46">
        <v>32</v>
      </c>
      <c r="H2892" s="47">
        <v>43404</v>
      </c>
      <c r="I2892" s="47">
        <v>43413</v>
      </c>
      <c r="J2892" s="46">
        <v>2692942</v>
      </c>
      <c r="K2892" s="46">
        <v>0</v>
      </c>
      <c r="L2892" s="46">
        <v>0</v>
      </c>
      <c r="M2892" s="46">
        <f t="shared" si="793"/>
        <v>2692942</v>
      </c>
      <c r="N2892" s="46">
        <v>3569394</v>
      </c>
      <c r="O2892" s="48">
        <f t="shared" si="794"/>
        <v>0.24554644289758987</v>
      </c>
      <c r="P2892" s="46">
        <v>0</v>
      </c>
      <c r="Q2892" s="46">
        <v>2692942</v>
      </c>
      <c r="R2892" s="49">
        <f t="shared" si="795"/>
        <v>1</v>
      </c>
      <c r="S2892" s="50">
        <f t="shared" si="796"/>
        <v>0.01</v>
      </c>
      <c r="T2892" s="49">
        <f t="shared" si="797"/>
        <v>26929.420000000002</v>
      </c>
      <c r="U2892" s="51">
        <f t="shared" si="798"/>
        <v>0</v>
      </c>
      <c r="V2892" s="52">
        <f>IF(0&lt;0.8,0,IF(0&lt;1,Sheet3!L561,1))*IF(G2892&lt;3,0.12 - O2892,0.01) *U2892</f>
        <v>0</v>
      </c>
      <c r="W2892" s="52">
        <f t="shared" si="799"/>
        <v>0</v>
      </c>
      <c r="X2892" s="53">
        <f t="shared" si="800"/>
        <v>0</v>
      </c>
      <c r="Y2892" s="53">
        <f t="shared" si="801"/>
        <v>0</v>
      </c>
      <c r="Z2892" s="54">
        <f t="shared" si="791"/>
        <v>0</v>
      </c>
      <c r="AA2892" s="54">
        <f t="shared" si="802"/>
        <v>0</v>
      </c>
      <c r="AB2892" s="55">
        <f t="shared" si="792"/>
        <v>0</v>
      </c>
      <c r="AC2892" s="55">
        <f t="shared" si="803"/>
        <v>0</v>
      </c>
      <c r="AD2892" s="56">
        <f t="shared" si="804"/>
        <v>26929.420000000002</v>
      </c>
    </row>
    <row r="2893" spans="3:30">
      <c r="C2893" s="43" t="s">
        <v>5392</v>
      </c>
      <c r="D2893" s="44" t="s">
        <v>5393</v>
      </c>
      <c r="E2893" s="44"/>
      <c r="F2893" s="45">
        <v>42398.380636574075</v>
      </c>
      <c r="G2893" s="46">
        <v>32</v>
      </c>
      <c r="H2893" s="47">
        <v>43372</v>
      </c>
      <c r="I2893" s="47">
        <v>43382</v>
      </c>
      <c r="J2893" s="46">
        <v>1937573</v>
      </c>
      <c r="K2893" s="46">
        <v>0</v>
      </c>
      <c r="L2893" s="46">
        <v>0</v>
      </c>
      <c r="M2893" s="46">
        <f t="shared" si="793"/>
        <v>1937573</v>
      </c>
      <c r="N2893" s="46">
        <v>1937573</v>
      </c>
      <c r="O2893" s="48">
        <f t="shared" si="794"/>
        <v>0</v>
      </c>
      <c r="P2893" s="46">
        <v>0</v>
      </c>
      <c r="Q2893" s="46">
        <v>1937573</v>
      </c>
      <c r="R2893" s="49">
        <f t="shared" si="795"/>
        <v>1</v>
      </c>
      <c r="S2893" s="50">
        <f t="shared" si="796"/>
        <v>0.01</v>
      </c>
      <c r="T2893" s="49">
        <f t="shared" si="797"/>
        <v>19375.73</v>
      </c>
      <c r="U2893" s="51">
        <f t="shared" si="798"/>
        <v>0</v>
      </c>
      <c r="V2893" s="52">
        <f>IF(0&lt;0.8,0,IF(0&lt;1,Sheet3!L561,1))*IF(G2893&lt;3,0.12 - O2893,0.01) *U2893</f>
        <v>0</v>
      </c>
      <c r="W2893" s="52">
        <f t="shared" si="799"/>
        <v>0</v>
      </c>
      <c r="X2893" s="53">
        <f t="shared" si="800"/>
        <v>0</v>
      </c>
      <c r="Y2893" s="53">
        <f t="shared" si="801"/>
        <v>0</v>
      </c>
      <c r="Z2893" s="54">
        <f t="shared" si="791"/>
        <v>0</v>
      </c>
      <c r="AA2893" s="54">
        <f t="shared" si="802"/>
        <v>0</v>
      </c>
      <c r="AB2893" s="55">
        <f t="shared" si="792"/>
        <v>0</v>
      </c>
      <c r="AC2893" s="55">
        <f t="shared" si="803"/>
        <v>0</v>
      </c>
      <c r="AD2893" s="56">
        <f t="shared" si="804"/>
        <v>19375.73</v>
      </c>
    </row>
    <row r="2894" spans="3:30">
      <c r="C2894" s="43" t="s">
        <v>5394</v>
      </c>
      <c r="D2894" s="44" t="s">
        <v>5395</v>
      </c>
      <c r="E2894" s="44"/>
      <c r="F2894" s="45">
        <v>42446.4527662037</v>
      </c>
      <c r="G2894" s="46">
        <v>30</v>
      </c>
      <c r="H2894" s="47">
        <v>43372</v>
      </c>
      <c r="I2894" s="47">
        <v>43377</v>
      </c>
      <c r="J2894" s="46">
        <v>602641</v>
      </c>
      <c r="K2894" s="46">
        <v>0</v>
      </c>
      <c r="L2894" s="46">
        <v>0</v>
      </c>
      <c r="M2894" s="46">
        <f t="shared" si="793"/>
        <v>602641</v>
      </c>
      <c r="N2894" s="46">
        <v>602641</v>
      </c>
      <c r="O2894" s="48">
        <f t="shared" si="794"/>
        <v>0</v>
      </c>
      <c r="P2894" s="46">
        <v>0</v>
      </c>
      <c r="Q2894" s="46">
        <v>602641</v>
      </c>
      <c r="R2894" s="49">
        <f t="shared" si="795"/>
        <v>1</v>
      </c>
      <c r="S2894" s="50">
        <f t="shared" si="796"/>
        <v>0.01</v>
      </c>
      <c r="T2894" s="49">
        <f t="shared" si="797"/>
        <v>6026.41</v>
      </c>
      <c r="U2894" s="51">
        <f t="shared" si="798"/>
        <v>0</v>
      </c>
      <c r="V2894" s="52">
        <f>IF(0&lt;0.8,0,IF(0&lt;1,Sheet3!L561,1))*IF(G2894&lt;3,0.12 - O2894,0.01) *U2894</f>
        <v>0</v>
      </c>
      <c r="W2894" s="52">
        <f t="shared" si="799"/>
        <v>0</v>
      </c>
      <c r="X2894" s="53">
        <f t="shared" si="800"/>
        <v>0</v>
      </c>
      <c r="Y2894" s="53">
        <f t="shared" si="801"/>
        <v>0</v>
      </c>
      <c r="Z2894" s="54">
        <f t="shared" si="791"/>
        <v>0</v>
      </c>
      <c r="AA2894" s="54">
        <f t="shared" si="802"/>
        <v>0</v>
      </c>
      <c r="AB2894" s="55">
        <f t="shared" si="792"/>
        <v>0</v>
      </c>
      <c r="AC2894" s="55">
        <f t="shared" si="803"/>
        <v>0</v>
      </c>
      <c r="AD2894" s="56">
        <f t="shared" si="804"/>
        <v>6026.41</v>
      </c>
    </row>
    <row r="2895" spans="3:30">
      <c r="C2895" s="43" t="s">
        <v>5396</v>
      </c>
      <c r="D2895" s="44" t="s">
        <v>5397</v>
      </c>
      <c r="E2895" s="44"/>
      <c r="F2895" s="45">
        <v>42460.492951388886</v>
      </c>
      <c r="G2895" s="46">
        <v>30</v>
      </c>
      <c r="H2895" s="47">
        <v>43404</v>
      </c>
      <c r="I2895" s="47">
        <v>43413</v>
      </c>
      <c r="J2895" s="46">
        <v>1359090</v>
      </c>
      <c r="K2895" s="46">
        <v>0</v>
      </c>
      <c r="L2895" s="46">
        <v>0</v>
      </c>
      <c r="M2895" s="46">
        <f t="shared" si="793"/>
        <v>1359090</v>
      </c>
      <c r="N2895" s="46">
        <v>1812701</v>
      </c>
      <c r="O2895" s="48">
        <f t="shared" si="794"/>
        <v>0.25024038713499908</v>
      </c>
      <c r="P2895" s="46">
        <v>0</v>
      </c>
      <c r="Q2895" s="46">
        <v>1359090</v>
      </c>
      <c r="R2895" s="49">
        <f t="shared" si="795"/>
        <v>1</v>
      </c>
      <c r="S2895" s="50">
        <f t="shared" si="796"/>
        <v>0.01</v>
      </c>
      <c r="T2895" s="49">
        <f t="shared" si="797"/>
        <v>13590.9</v>
      </c>
      <c r="U2895" s="51">
        <f t="shared" si="798"/>
        <v>0</v>
      </c>
      <c r="V2895" s="52">
        <f>IF(0&lt;0.8,0,IF(0&lt;1,Sheet3!L561,1))*IF(G2895&lt;3,0.12 - O2895,0.01) *U2895</f>
        <v>0</v>
      </c>
      <c r="W2895" s="52">
        <f t="shared" si="799"/>
        <v>0</v>
      </c>
      <c r="X2895" s="53">
        <f t="shared" si="800"/>
        <v>0</v>
      </c>
      <c r="Y2895" s="53">
        <f t="shared" si="801"/>
        <v>0</v>
      </c>
      <c r="Z2895" s="54">
        <f t="shared" si="791"/>
        <v>0</v>
      </c>
      <c r="AA2895" s="54">
        <f t="shared" si="802"/>
        <v>0</v>
      </c>
      <c r="AB2895" s="55">
        <f t="shared" si="792"/>
        <v>0</v>
      </c>
      <c r="AC2895" s="55">
        <f t="shared" si="803"/>
        <v>0</v>
      </c>
      <c r="AD2895" s="56">
        <f t="shared" si="804"/>
        <v>13590.9</v>
      </c>
    </row>
    <row r="2896" spans="3:30">
      <c r="C2896" s="43" t="s">
        <v>5398</v>
      </c>
      <c r="D2896" s="44" t="s">
        <v>5399</v>
      </c>
      <c r="E2896" s="44"/>
      <c r="F2896" s="45">
        <v>42465.68341435185</v>
      </c>
      <c r="G2896" s="46">
        <v>29</v>
      </c>
      <c r="H2896" s="47">
        <v>43372</v>
      </c>
      <c r="I2896" s="47">
        <v>43398</v>
      </c>
      <c r="J2896" s="46">
        <v>30057004</v>
      </c>
      <c r="K2896" s="46">
        <v>0</v>
      </c>
      <c r="L2896" s="46">
        <v>0</v>
      </c>
      <c r="M2896" s="46">
        <f t="shared" si="793"/>
        <v>30057004</v>
      </c>
      <c r="N2896" s="46">
        <v>30059126</v>
      </c>
      <c r="O2896" s="48">
        <f t="shared" si="794"/>
        <v>7.0594201574625259E-5</v>
      </c>
      <c r="P2896" s="46">
        <v>0</v>
      </c>
      <c r="Q2896" s="46">
        <v>30057004</v>
      </c>
      <c r="R2896" s="49">
        <f t="shared" si="795"/>
        <v>1</v>
      </c>
      <c r="S2896" s="50">
        <f t="shared" si="796"/>
        <v>0.01</v>
      </c>
      <c r="T2896" s="49">
        <f t="shared" si="797"/>
        <v>300570.03999999998</v>
      </c>
      <c r="U2896" s="51">
        <f t="shared" si="798"/>
        <v>0</v>
      </c>
      <c r="V2896" s="52">
        <f>IF(0&lt;0.8,0,IF(0&lt;1,Sheet3!L561,1))*IF(G2896&lt;3,0.12 - O2896,0.01) *U2896</f>
        <v>0</v>
      </c>
      <c r="W2896" s="52">
        <f t="shared" si="799"/>
        <v>0</v>
      </c>
      <c r="X2896" s="53">
        <f t="shared" si="800"/>
        <v>0</v>
      </c>
      <c r="Y2896" s="53">
        <f t="shared" si="801"/>
        <v>0</v>
      </c>
      <c r="Z2896" s="54">
        <f t="shared" si="791"/>
        <v>0</v>
      </c>
      <c r="AA2896" s="54">
        <f t="shared" si="802"/>
        <v>0</v>
      </c>
      <c r="AB2896" s="55">
        <f t="shared" si="792"/>
        <v>0</v>
      </c>
      <c r="AC2896" s="55">
        <f t="shared" si="803"/>
        <v>0</v>
      </c>
      <c r="AD2896" s="56">
        <f t="shared" si="804"/>
        <v>300570.03999999998</v>
      </c>
    </row>
    <row r="2897" spans="3:30">
      <c r="C2897" s="43" t="s">
        <v>5400</v>
      </c>
      <c r="D2897" s="44" t="s">
        <v>5401</v>
      </c>
      <c r="E2897" s="44"/>
      <c r="F2897" s="45">
        <v>42566.413043981476</v>
      </c>
      <c r="G2897" s="46">
        <v>26</v>
      </c>
      <c r="H2897" s="47">
        <v>43430</v>
      </c>
      <c r="I2897" s="47">
        <v>43434</v>
      </c>
      <c r="J2897" s="46">
        <v>5595306</v>
      </c>
      <c r="K2897" s="46">
        <v>4164623</v>
      </c>
      <c r="L2897" s="46">
        <v>0</v>
      </c>
      <c r="M2897" s="46">
        <f t="shared" si="793"/>
        <v>1430683</v>
      </c>
      <c r="N2897" s="46">
        <v>6197327</v>
      </c>
      <c r="O2897" s="48">
        <f t="shared" si="794"/>
        <v>0.76914514919093346</v>
      </c>
      <c r="P2897" s="46">
        <v>0</v>
      </c>
      <c r="Q2897" s="46">
        <v>1514469</v>
      </c>
      <c r="R2897" s="49">
        <f t="shared" si="795"/>
        <v>1</v>
      </c>
      <c r="S2897" s="50">
        <f t="shared" si="796"/>
        <v>0.01</v>
      </c>
      <c r="T2897" s="49">
        <f t="shared" si="797"/>
        <v>14306.83</v>
      </c>
      <c r="U2897" s="51">
        <f t="shared" si="798"/>
        <v>0</v>
      </c>
      <c r="V2897" s="52">
        <f>IF(0&lt;0.8,0,IF(0&lt;1,Sheet3!L561,1))*IF(G2897&lt;3,0.12 - O2897,0.01) *U2897</f>
        <v>0</v>
      </c>
      <c r="W2897" s="52">
        <f t="shared" si="799"/>
        <v>0</v>
      </c>
      <c r="X2897" s="53">
        <f t="shared" si="800"/>
        <v>0</v>
      </c>
      <c r="Y2897" s="53">
        <f t="shared" si="801"/>
        <v>0</v>
      </c>
      <c r="Z2897" s="54">
        <f t="shared" si="791"/>
        <v>0</v>
      </c>
      <c r="AA2897" s="54">
        <f t="shared" si="802"/>
        <v>0</v>
      </c>
      <c r="AB2897" s="55">
        <f t="shared" si="792"/>
        <v>0</v>
      </c>
      <c r="AC2897" s="55">
        <f t="shared" si="803"/>
        <v>0</v>
      </c>
      <c r="AD2897" s="56">
        <f t="shared" si="804"/>
        <v>14306.83</v>
      </c>
    </row>
    <row r="2898" spans="3:30">
      <c r="C2898" s="43" t="s">
        <v>5402</v>
      </c>
      <c r="D2898" s="44" t="s">
        <v>5401</v>
      </c>
      <c r="E2898" s="44"/>
      <c r="F2898" s="45">
        <v>42566.413680555554</v>
      </c>
      <c r="G2898" s="46">
        <v>26</v>
      </c>
      <c r="H2898" s="47">
        <v>43458</v>
      </c>
      <c r="I2898" s="47">
        <v>43496</v>
      </c>
      <c r="J2898" s="46">
        <v>3829373</v>
      </c>
      <c r="K2898" s="46">
        <v>0</v>
      </c>
      <c r="L2898" s="46">
        <v>0</v>
      </c>
      <c r="M2898" s="46">
        <f t="shared" si="793"/>
        <v>3829373</v>
      </c>
      <c r="N2898" s="46">
        <v>4200840</v>
      </c>
      <c r="O2898" s="48">
        <f t="shared" si="794"/>
        <v>8.8426838441835409E-2</v>
      </c>
      <c r="P2898" s="46">
        <v>0</v>
      </c>
      <c r="Q2898" s="46">
        <v>3970877</v>
      </c>
      <c r="R2898" s="49">
        <f t="shared" si="795"/>
        <v>1</v>
      </c>
      <c r="S2898" s="50">
        <f t="shared" si="796"/>
        <v>0.01</v>
      </c>
      <c r="T2898" s="49">
        <f t="shared" si="797"/>
        <v>38293.730000000003</v>
      </c>
      <c r="U2898" s="51">
        <f t="shared" si="798"/>
        <v>0</v>
      </c>
      <c r="V2898" s="52">
        <f>IF(0&lt;0.8,0,IF(0&lt;1,Sheet3!L561,1))*IF(G2898&lt;3,0.12 - O2898,0.01) *U2898</f>
        <v>0</v>
      </c>
      <c r="W2898" s="52">
        <f t="shared" si="799"/>
        <v>0</v>
      </c>
      <c r="X2898" s="53">
        <f t="shared" si="800"/>
        <v>0</v>
      </c>
      <c r="Y2898" s="53">
        <f t="shared" si="801"/>
        <v>0</v>
      </c>
      <c r="Z2898" s="54">
        <f t="shared" si="791"/>
        <v>0</v>
      </c>
      <c r="AA2898" s="54">
        <f t="shared" si="802"/>
        <v>0</v>
      </c>
      <c r="AB2898" s="55">
        <f t="shared" si="792"/>
        <v>0</v>
      </c>
      <c r="AC2898" s="55">
        <f t="shared" si="803"/>
        <v>0</v>
      </c>
      <c r="AD2898" s="56">
        <f t="shared" si="804"/>
        <v>38293.730000000003</v>
      </c>
    </row>
    <row r="2899" spans="3:30">
      <c r="C2899" s="43" t="s">
        <v>5403</v>
      </c>
      <c r="D2899" s="44" t="s">
        <v>5401</v>
      </c>
      <c r="E2899" s="44"/>
      <c r="F2899" s="45">
        <v>42566.414247685185</v>
      </c>
      <c r="G2899" s="46">
        <v>26</v>
      </c>
      <c r="H2899" s="47">
        <v>43404</v>
      </c>
      <c r="I2899" s="47">
        <v>43413</v>
      </c>
      <c r="J2899" s="46">
        <v>1826276</v>
      </c>
      <c r="K2899" s="46">
        <v>0</v>
      </c>
      <c r="L2899" s="46">
        <v>0</v>
      </c>
      <c r="M2899" s="46">
        <f t="shared" si="793"/>
        <v>1826276</v>
      </c>
      <c r="N2899" s="46">
        <v>2311757</v>
      </c>
      <c r="O2899" s="48">
        <f t="shared" si="794"/>
        <v>0.21000520383414001</v>
      </c>
      <c r="P2899" s="46">
        <v>0</v>
      </c>
      <c r="Q2899" s="46">
        <v>1826276</v>
      </c>
      <c r="R2899" s="49">
        <f t="shared" si="795"/>
        <v>1</v>
      </c>
      <c r="S2899" s="50">
        <f t="shared" si="796"/>
        <v>0.01</v>
      </c>
      <c r="T2899" s="49">
        <f t="shared" si="797"/>
        <v>18262.760000000002</v>
      </c>
      <c r="U2899" s="51">
        <f t="shared" si="798"/>
        <v>0</v>
      </c>
      <c r="V2899" s="52">
        <f>IF(0&lt;0.8,0,IF(0&lt;1,Sheet3!L561,1))*IF(G2899&lt;3,0.12 - O2899,0.01) *U2899</f>
        <v>0</v>
      </c>
      <c r="W2899" s="52">
        <f t="shared" si="799"/>
        <v>0</v>
      </c>
      <c r="X2899" s="53">
        <f t="shared" si="800"/>
        <v>0</v>
      </c>
      <c r="Y2899" s="53">
        <f t="shared" si="801"/>
        <v>0</v>
      </c>
      <c r="Z2899" s="54">
        <f t="shared" si="791"/>
        <v>0</v>
      </c>
      <c r="AA2899" s="54">
        <f t="shared" si="802"/>
        <v>0</v>
      </c>
      <c r="AB2899" s="55">
        <f t="shared" si="792"/>
        <v>0</v>
      </c>
      <c r="AC2899" s="55">
        <f t="shared" si="803"/>
        <v>0</v>
      </c>
      <c r="AD2899" s="56">
        <f t="shared" si="804"/>
        <v>18262.760000000002</v>
      </c>
    </row>
    <row r="2900" spans="3:30">
      <c r="C2900" s="43" t="s">
        <v>5404</v>
      </c>
      <c r="D2900" s="44" t="s">
        <v>5405</v>
      </c>
      <c r="E2900" s="44"/>
      <c r="F2900" s="45">
        <v>42604.111840277779</v>
      </c>
      <c r="G2900" s="46">
        <v>25</v>
      </c>
      <c r="H2900" s="47">
        <v>43399</v>
      </c>
      <c r="I2900" s="47">
        <v>43433</v>
      </c>
      <c r="J2900" s="46">
        <v>490456</v>
      </c>
      <c r="K2900" s="46">
        <v>0</v>
      </c>
      <c r="L2900" s="46">
        <v>0</v>
      </c>
      <c r="M2900" s="46">
        <f t="shared" si="793"/>
        <v>490456</v>
      </c>
      <c r="N2900" s="46">
        <v>594352</v>
      </c>
      <c r="O2900" s="48">
        <f t="shared" si="794"/>
        <v>0.17480550246318682</v>
      </c>
      <c r="P2900" s="46">
        <v>0</v>
      </c>
      <c r="Q2900" s="46">
        <v>490456</v>
      </c>
      <c r="R2900" s="49">
        <f t="shared" si="795"/>
        <v>1</v>
      </c>
      <c r="S2900" s="50">
        <f t="shared" si="796"/>
        <v>0.01</v>
      </c>
      <c r="T2900" s="49">
        <f t="shared" si="797"/>
        <v>4904.5600000000004</v>
      </c>
      <c r="U2900" s="51">
        <f t="shared" si="798"/>
        <v>0</v>
      </c>
      <c r="V2900" s="52">
        <f>IF(0&lt;0.8,0,IF(0&lt;1,Sheet3!L561,1))*IF(G2900&lt;3,0.12 - O2900,0.01) *U2900</f>
        <v>0</v>
      </c>
      <c r="W2900" s="52">
        <f t="shared" si="799"/>
        <v>0</v>
      </c>
      <c r="X2900" s="53">
        <f t="shared" si="800"/>
        <v>0</v>
      </c>
      <c r="Y2900" s="53">
        <f t="shared" si="801"/>
        <v>0</v>
      </c>
      <c r="Z2900" s="54">
        <f t="shared" si="791"/>
        <v>0</v>
      </c>
      <c r="AA2900" s="54">
        <f t="shared" si="802"/>
        <v>0</v>
      </c>
      <c r="AB2900" s="55">
        <f t="shared" si="792"/>
        <v>0</v>
      </c>
      <c r="AC2900" s="55">
        <f t="shared" si="803"/>
        <v>0</v>
      </c>
      <c r="AD2900" s="56">
        <f t="shared" si="804"/>
        <v>4904.5600000000004</v>
      </c>
    </row>
    <row r="2901" spans="3:30">
      <c r="C2901" s="43" t="s">
        <v>5406</v>
      </c>
      <c r="D2901" s="44" t="s">
        <v>5407</v>
      </c>
      <c r="E2901" s="44"/>
      <c r="F2901" s="45">
        <v>42637.177476851852</v>
      </c>
      <c r="G2901" s="46">
        <v>24</v>
      </c>
      <c r="H2901" s="47">
        <v>43404</v>
      </c>
      <c r="I2901" s="47">
        <v>43413</v>
      </c>
      <c r="J2901" s="46">
        <v>2203424</v>
      </c>
      <c r="K2901" s="46">
        <v>0</v>
      </c>
      <c r="L2901" s="46">
        <v>0</v>
      </c>
      <c r="M2901" s="46">
        <f t="shared" si="793"/>
        <v>2203424</v>
      </c>
      <c r="N2901" s="46">
        <v>2807079</v>
      </c>
      <c r="O2901" s="48">
        <f t="shared" si="794"/>
        <v>0.21504738555630243</v>
      </c>
      <c r="P2901" s="46">
        <v>0</v>
      </c>
      <c r="Q2901" s="46">
        <v>2203424</v>
      </c>
      <c r="R2901" s="49">
        <f t="shared" si="795"/>
        <v>1</v>
      </c>
      <c r="S2901" s="50">
        <f t="shared" si="796"/>
        <v>0.01</v>
      </c>
      <c r="T2901" s="49">
        <f t="shared" si="797"/>
        <v>22034.240000000002</v>
      </c>
      <c r="U2901" s="51">
        <f t="shared" si="798"/>
        <v>0</v>
      </c>
      <c r="V2901" s="52">
        <f>IF(0&lt;0.8,0,IF(0&lt;1,Sheet3!L561,1))*IF(G2901&lt;3,0.12 - O2901,0.01) *U2901</f>
        <v>0</v>
      </c>
      <c r="W2901" s="52">
        <f t="shared" si="799"/>
        <v>0</v>
      </c>
      <c r="X2901" s="53">
        <f t="shared" si="800"/>
        <v>0</v>
      </c>
      <c r="Y2901" s="53">
        <f t="shared" si="801"/>
        <v>0</v>
      </c>
      <c r="Z2901" s="54">
        <f t="shared" si="791"/>
        <v>0</v>
      </c>
      <c r="AA2901" s="54">
        <f t="shared" si="802"/>
        <v>0</v>
      </c>
      <c r="AB2901" s="55">
        <f t="shared" si="792"/>
        <v>0</v>
      </c>
      <c r="AC2901" s="55">
        <f t="shared" si="803"/>
        <v>0</v>
      </c>
      <c r="AD2901" s="56">
        <f t="shared" si="804"/>
        <v>22034.240000000002</v>
      </c>
    </row>
    <row r="2902" spans="3:30">
      <c r="C2902" s="43" t="s">
        <v>5408</v>
      </c>
      <c r="D2902" s="44" t="s">
        <v>5407</v>
      </c>
      <c r="E2902" s="44"/>
      <c r="F2902" s="45">
        <v>42681.371192129627</v>
      </c>
      <c r="G2902" s="46">
        <v>22</v>
      </c>
      <c r="H2902" s="47">
        <v>43404</v>
      </c>
      <c r="I2902" s="47">
        <v>43413</v>
      </c>
      <c r="J2902" s="46">
        <v>1251696</v>
      </c>
      <c r="K2902" s="46">
        <v>0</v>
      </c>
      <c r="L2902" s="46">
        <v>0</v>
      </c>
      <c r="M2902" s="46">
        <f t="shared" si="793"/>
        <v>1251696</v>
      </c>
      <c r="N2902" s="46">
        <v>1640709</v>
      </c>
      <c r="O2902" s="48">
        <f t="shared" si="794"/>
        <v>0.23710054616632203</v>
      </c>
      <c r="P2902" s="46">
        <v>0</v>
      </c>
      <c r="Q2902" s="46">
        <v>1251696</v>
      </c>
      <c r="R2902" s="49">
        <f t="shared" si="795"/>
        <v>1</v>
      </c>
      <c r="S2902" s="50">
        <f t="shared" si="796"/>
        <v>0.01</v>
      </c>
      <c r="T2902" s="49">
        <f t="shared" si="797"/>
        <v>12516.960000000001</v>
      </c>
      <c r="U2902" s="51">
        <f t="shared" si="798"/>
        <v>0</v>
      </c>
      <c r="V2902" s="52">
        <f>IF(0&lt;0.8,0,IF(0&lt;1,Sheet3!L561,1))*IF(G2902&lt;3,0.12 - O2902,0.01) *U2902</f>
        <v>0</v>
      </c>
      <c r="W2902" s="52">
        <f t="shared" si="799"/>
        <v>0</v>
      </c>
      <c r="X2902" s="53">
        <f t="shared" si="800"/>
        <v>0</v>
      </c>
      <c r="Y2902" s="53">
        <f t="shared" si="801"/>
        <v>0</v>
      </c>
      <c r="Z2902" s="54">
        <f t="shared" si="791"/>
        <v>0</v>
      </c>
      <c r="AA2902" s="54">
        <f t="shared" si="802"/>
        <v>0</v>
      </c>
      <c r="AB2902" s="55">
        <f t="shared" si="792"/>
        <v>0</v>
      </c>
      <c r="AC2902" s="55">
        <f t="shared" si="803"/>
        <v>0</v>
      </c>
      <c r="AD2902" s="56">
        <f t="shared" si="804"/>
        <v>12516.960000000001</v>
      </c>
    </row>
    <row r="2903" spans="3:30">
      <c r="C2903" s="43" t="s">
        <v>5409</v>
      </c>
      <c r="D2903" s="44" t="s">
        <v>5410</v>
      </c>
      <c r="E2903" s="44"/>
      <c r="F2903" s="45">
        <v>42691.185358796298</v>
      </c>
      <c r="G2903" s="46">
        <v>22</v>
      </c>
      <c r="H2903" s="47">
        <v>43372</v>
      </c>
      <c r="I2903" s="47">
        <v>43402</v>
      </c>
      <c r="J2903" s="46">
        <v>27467218</v>
      </c>
      <c r="K2903" s="46">
        <v>0</v>
      </c>
      <c r="L2903" s="46">
        <v>0</v>
      </c>
      <c r="M2903" s="46">
        <f t="shared" si="793"/>
        <v>27467218</v>
      </c>
      <c r="N2903" s="46">
        <v>28911481</v>
      </c>
      <c r="O2903" s="48">
        <f t="shared" si="794"/>
        <v>4.995465296295265E-2</v>
      </c>
      <c r="P2903" s="46">
        <v>0</v>
      </c>
      <c r="Q2903" s="46">
        <v>27467218</v>
      </c>
      <c r="R2903" s="49">
        <f t="shared" si="795"/>
        <v>1</v>
      </c>
      <c r="S2903" s="50">
        <f t="shared" si="796"/>
        <v>0.01</v>
      </c>
      <c r="T2903" s="49">
        <f t="shared" si="797"/>
        <v>274672.18</v>
      </c>
      <c r="U2903" s="51">
        <f t="shared" si="798"/>
        <v>0</v>
      </c>
      <c r="V2903" s="52">
        <f>IF(0&lt;0.8,0,IF(0&lt;1,Sheet3!L561,1))*IF(G2903&lt;3,0.12 - O2903,0.01) *U2903</f>
        <v>0</v>
      </c>
      <c r="W2903" s="52">
        <f t="shared" si="799"/>
        <v>0</v>
      </c>
      <c r="X2903" s="53">
        <f t="shared" si="800"/>
        <v>0</v>
      </c>
      <c r="Y2903" s="53">
        <f t="shared" si="801"/>
        <v>0</v>
      </c>
      <c r="Z2903" s="54">
        <f t="shared" si="791"/>
        <v>0</v>
      </c>
      <c r="AA2903" s="54">
        <f t="shared" si="802"/>
        <v>0</v>
      </c>
      <c r="AB2903" s="55">
        <f t="shared" si="792"/>
        <v>0</v>
      </c>
      <c r="AC2903" s="55">
        <f t="shared" si="803"/>
        <v>0</v>
      </c>
      <c r="AD2903" s="56">
        <f t="shared" si="804"/>
        <v>274672.18</v>
      </c>
    </row>
    <row r="2904" spans="3:30">
      <c r="C2904" s="43" t="s">
        <v>5411</v>
      </c>
      <c r="D2904" s="44" t="s">
        <v>5412</v>
      </c>
      <c r="E2904" s="44"/>
      <c r="F2904" s="45">
        <v>42730.210590277777</v>
      </c>
      <c r="G2904" s="46">
        <v>21</v>
      </c>
      <c r="H2904" s="47">
        <v>43404</v>
      </c>
      <c r="I2904" s="47">
        <v>43413</v>
      </c>
      <c r="J2904" s="46">
        <v>306845</v>
      </c>
      <c r="K2904" s="46">
        <v>0</v>
      </c>
      <c r="L2904" s="46">
        <v>0</v>
      </c>
      <c r="M2904" s="46">
        <f t="shared" si="793"/>
        <v>306845</v>
      </c>
      <c r="N2904" s="46">
        <v>372438</v>
      </c>
      <c r="O2904" s="48">
        <f t="shared" si="794"/>
        <v>0.1761179041880796</v>
      </c>
      <c r="P2904" s="46">
        <v>0</v>
      </c>
      <c r="Q2904" s="46">
        <v>306845</v>
      </c>
      <c r="R2904" s="49">
        <f t="shared" si="795"/>
        <v>1</v>
      </c>
      <c r="S2904" s="50">
        <f t="shared" si="796"/>
        <v>0.01</v>
      </c>
      <c r="T2904" s="49">
        <f t="shared" si="797"/>
        <v>3068.4500000000003</v>
      </c>
      <c r="U2904" s="51">
        <f t="shared" si="798"/>
        <v>0</v>
      </c>
      <c r="V2904" s="52">
        <f>IF(0&lt;0.8,0,IF(0&lt;1,Sheet3!L561,1))*IF(G2904&lt;3,0.12 - O2904,0.01) *U2904</f>
        <v>0</v>
      </c>
      <c r="W2904" s="52">
        <f t="shared" si="799"/>
        <v>0</v>
      </c>
      <c r="X2904" s="53">
        <f t="shared" si="800"/>
        <v>0</v>
      </c>
      <c r="Y2904" s="53">
        <f t="shared" si="801"/>
        <v>0</v>
      </c>
      <c r="Z2904" s="54">
        <f t="shared" si="791"/>
        <v>0</v>
      </c>
      <c r="AA2904" s="54">
        <f t="shared" si="802"/>
        <v>0</v>
      </c>
      <c r="AB2904" s="55">
        <f t="shared" si="792"/>
        <v>0</v>
      </c>
      <c r="AC2904" s="55">
        <f t="shared" si="803"/>
        <v>0</v>
      </c>
      <c r="AD2904" s="56">
        <f t="shared" si="804"/>
        <v>3068.4500000000003</v>
      </c>
    </row>
    <row r="2905" spans="3:30">
      <c r="C2905" s="43" t="s">
        <v>5413</v>
      </c>
      <c r="D2905" s="44" t="s">
        <v>5414</v>
      </c>
      <c r="E2905" s="44"/>
      <c r="F2905" s="45">
        <v>42745.25980324074</v>
      </c>
      <c r="G2905" s="46">
        <v>20</v>
      </c>
      <c r="H2905" s="47">
        <v>43372</v>
      </c>
      <c r="I2905" s="47">
        <v>43424</v>
      </c>
      <c r="J2905" s="46">
        <v>1494605</v>
      </c>
      <c r="K2905" s="46">
        <v>0</v>
      </c>
      <c r="L2905" s="46">
        <v>0</v>
      </c>
      <c r="M2905" s="46">
        <f t="shared" si="793"/>
        <v>1494605</v>
      </c>
      <c r="N2905" s="46">
        <v>1494605</v>
      </c>
      <c r="O2905" s="48">
        <f t="shared" si="794"/>
        <v>0</v>
      </c>
      <c r="P2905" s="46">
        <v>0</v>
      </c>
      <c r="Q2905" s="46">
        <v>1494605</v>
      </c>
      <c r="R2905" s="49">
        <f t="shared" si="795"/>
        <v>1</v>
      </c>
      <c r="S2905" s="50">
        <f t="shared" si="796"/>
        <v>0.01</v>
      </c>
      <c r="T2905" s="49">
        <f t="shared" si="797"/>
        <v>14946.050000000001</v>
      </c>
      <c r="U2905" s="51">
        <f t="shared" si="798"/>
        <v>0</v>
      </c>
      <c r="V2905" s="52">
        <f>IF(0&lt;0.8,0,IF(0&lt;1,Sheet3!L561,1))*IF(G2905&lt;3,0.12 - O2905,0.01) *U2905</f>
        <v>0</v>
      </c>
      <c r="W2905" s="52">
        <f t="shared" si="799"/>
        <v>0</v>
      </c>
      <c r="X2905" s="53">
        <f t="shared" si="800"/>
        <v>0</v>
      </c>
      <c r="Y2905" s="53">
        <f t="shared" si="801"/>
        <v>0</v>
      </c>
      <c r="Z2905" s="54">
        <f t="shared" si="791"/>
        <v>0</v>
      </c>
      <c r="AA2905" s="54">
        <f t="shared" si="802"/>
        <v>0</v>
      </c>
      <c r="AB2905" s="55">
        <f t="shared" si="792"/>
        <v>0</v>
      </c>
      <c r="AC2905" s="55">
        <f t="shared" si="803"/>
        <v>0</v>
      </c>
      <c r="AD2905" s="56">
        <f t="shared" si="804"/>
        <v>14946.050000000001</v>
      </c>
    </row>
    <row r="2906" spans="3:30">
      <c r="C2906" s="43" t="s">
        <v>5415</v>
      </c>
      <c r="D2906" s="44" t="s">
        <v>5416</v>
      </c>
      <c r="E2906" s="44"/>
      <c r="F2906" s="45">
        <v>42867.37363425926</v>
      </c>
      <c r="G2906" s="46">
        <v>16</v>
      </c>
      <c r="H2906" s="47">
        <v>43404</v>
      </c>
      <c r="I2906" s="47">
        <v>43413</v>
      </c>
      <c r="J2906" s="46">
        <v>1469383</v>
      </c>
      <c r="K2906" s="46">
        <v>0</v>
      </c>
      <c r="L2906" s="46">
        <v>0</v>
      </c>
      <c r="M2906" s="46">
        <f t="shared" si="793"/>
        <v>1469383</v>
      </c>
      <c r="N2906" s="46">
        <v>1931199</v>
      </c>
      <c r="O2906" s="48">
        <f t="shared" si="794"/>
        <v>0.23913434089392138</v>
      </c>
      <c r="P2906" s="46">
        <v>0</v>
      </c>
      <c r="Q2906" s="46">
        <v>1469383</v>
      </c>
      <c r="R2906" s="49">
        <f t="shared" si="795"/>
        <v>1</v>
      </c>
      <c r="S2906" s="50">
        <f t="shared" si="796"/>
        <v>0.01</v>
      </c>
      <c r="T2906" s="49">
        <f t="shared" si="797"/>
        <v>14693.83</v>
      </c>
      <c r="U2906" s="51">
        <f t="shared" si="798"/>
        <v>0</v>
      </c>
      <c r="V2906" s="52">
        <f>IF(0&lt;0.8,0,IF(0&lt;1,Sheet3!L561,1))*IF(G2906&lt;3,0.12 - O2906,0.01) *U2906</f>
        <v>0</v>
      </c>
      <c r="W2906" s="52">
        <f t="shared" si="799"/>
        <v>0</v>
      </c>
      <c r="X2906" s="53">
        <f t="shared" si="800"/>
        <v>0</v>
      </c>
      <c r="Y2906" s="53">
        <f t="shared" si="801"/>
        <v>0</v>
      </c>
      <c r="Z2906" s="54">
        <f t="shared" si="791"/>
        <v>0</v>
      </c>
      <c r="AA2906" s="54">
        <f t="shared" si="802"/>
        <v>0</v>
      </c>
      <c r="AB2906" s="55">
        <f t="shared" si="792"/>
        <v>0</v>
      </c>
      <c r="AC2906" s="55">
        <f t="shared" si="803"/>
        <v>0</v>
      </c>
      <c r="AD2906" s="56">
        <f t="shared" si="804"/>
        <v>14693.83</v>
      </c>
    </row>
    <row r="2907" spans="3:30">
      <c r="C2907" s="43" t="s">
        <v>5417</v>
      </c>
      <c r="D2907" s="44" t="s">
        <v>5418</v>
      </c>
      <c r="E2907" s="44"/>
      <c r="F2907" s="45">
        <v>42905.362314814811</v>
      </c>
      <c r="G2907" s="46">
        <v>15</v>
      </c>
      <c r="H2907" s="47">
        <v>43372</v>
      </c>
      <c r="I2907" s="47">
        <v>43383</v>
      </c>
      <c r="J2907" s="46">
        <v>225617</v>
      </c>
      <c r="K2907" s="46">
        <v>0</v>
      </c>
      <c r="L2907" s="46">
        <v>0</v>
      </c>
      <c r="M2907" s="46">
        <f t="shared" si="793"/>
        <v>225617</v>
      </c>
      <c r="N2907" s="46">
        <v>225617</v>
      </c>
      <c r="O2907" s="48">
        <f t="shared" si="794"/>
        <v>0</v>
      </c>
      <c r="P2907" s="46">
        <v>0</v>
      </c>
      <c r="Q2907" s="46">
        <v>225617</v>
      </c>
      <c r="R2907" s="49">
        <f t="shared" si="795"/>
        <v>1</v>
      </c>
      <c r="S2907" s="50">
        <f t="shared" si="796"/>
        <v>0.01</v>
      </c>
      <c r="T2907" s="49">
        <f t="shared" si="797"/>
        <v>2256.17</v>
      </c>
      <c r="U2907" s="51">
        <f t="shared" si="798"/>
        <v>0</v>
      </c>
      <c r="V2907" s="52">
        <f>IF(0&lt;0.8,0,IF(0&lt;1,Sheet3!L561,1))*IF(G2907&lt;3,0.12 - O2907,0.01) *U2907</f>
        <v>0</v>
      </c>
      <c r="W2907" s="52">
        <f t="shared" si="799"/>
        <v>0</v>
      </c>
      <c r="X2907" s="53">
        <f t="shared" si="800"/>
        <v>0</v>
      </c>
      <c r="Y2907" s="53">
        <f t="shared" si="801"/>
        <v>0</v>
      </c>
      <c r="Z2907" s="54">
        <f t="shared" si="791"/>
        <v>0</v>
      </c>
      <c r="AA2907" s="54">
        <f t="shared" si="802"/>
        <v>0</v>
      </c>
      <c r="AB2907" s="55">
        <f t="shared" si="792"/>
        <v>0</v>
      </c>
      <c r="AC2907" s="55">
        <f t="shared" si="803"/>
        <v>0</v>
      </c>
      <c r="AD2907" s="56">
        <f t="shared" si="804"/>
        <v>2256.17</v>
      </c>
    </row>
    <row r="2908" spans="3:30">
      <c r="C2908" s="43" t="s">
        <v>5419</v>
      </c>
      <c r="D2908" s="44" t="s">
        <v>5420</v>
      </c>
      <c r="E2908" s="44"/>
      <c r="F2908" s="45">
        <v>42937.399583333332</v>
      </c>
      <c r="G2908" s="46">
        <v>14</v>
      </c>
      <c r="H2908" s="47">
        <v>43372</v>
      </c>
      <c r="I2908" s="47">
        <v>43389</v>
      </c>
      <c r="J2908" s="46">
        <v>9327170</v>
      </c>
      <c r="K2908" s="46">
        <v>0</v>
      </c>
      <c r="L2908" s="46">
        <v>0</v>
      </c>
      <c r="M2908" s="46">
        <f t="shared" si="793"/>
        <v>9327170</v>
      </c>
      <c r="N2908" s="46">
        <v>9327170</v>
      </c>
      <c r="O2908" s="48">
        <f t="shared" si="794"/>
        <v>0</v>
      </c>
      <c r="P2908" s="46">
        <v>0</v>
      </c>
      <c r="Q2908" s="46">
        <v>9327170</v>
      </c>
      <c r="R2908" s="49">
        <f t="shared" si="795"/>
        <v>1</v>
      </c>
      <c r="S2908" s="50">
        <f t="shared" si="796"/>
        <v>0.01</v>
      </c>
      <c r="T2908" s="49">
        <f t="shared" si="797"/>
        <v>93271.7</v>
      </c>
      <c r="U2908" s="51">
        <f t="shared" si="798"/>
        <v>0</v>
      </c>
      <c r="V2908" s="52">
        <f>IF(0&lt;0.8,0,IF(0&lt;1,Sheet3!L561,1))*IF(G2908&lt;3,0.12 - O2908,0.01) *U2908</f>
        <v>0</v>
      </c>
      <c r="W2908" s="52">
        <f t="shared" si="799"/>
        <v>0</v>
      </c>
      <c r="X2908" s="53">
        <f t="shared" si="800"/>
        <v>0</v>
      </c>
      <c r="Y2908" s="53">
        <f t="shared" si="801"/>
        <v>0</v>
      </c>
      <c r="Z2908" s="54">
        <f t="shared" si="791"/>
        <v>0</v>
      </c>
      <c r="AA2908" s="54">
        <f t="shared" si="802"/>
        <v>0</v>
      </c>
      <c r="AB2908" s="55">
        <f t="shared" si="792"/>
        <v>0</v>
      </c>
      <c r="AC2908" s="55">
        <f t="shared" si="803"/>
        <v>0</v>
      </c>
      <c r="AD2908" s="56">
        <f t="shared" si="804"/>
        <v>93271.7</v>
      </c>
    </row>
    <row r="2909" spans="3:30">
      <c r="C2909" s="43" t="s">
        <v>5421</v>
      </c>
      <c r="D2909" s="44" t="s">
        <v>5422</v>
      </c>
      <c r="E2909" s="44"/>
      <c r="F2909" s="45">
        <v>42944.067384259259</v>
      </c>
      <c r="G2909" s="46">
        <v>14</v>
      </c>
      <c r="H2909" s="47">
        <v>43404</v>
      </c>
      <c r="I2909" s="47">
        <v>43413</v>
      </c>
      <c r="J2909" s="46">
        <v>4258599</v>
      </c>
      <c r="K2909" s="46">
        <v>0</v>
      </c>
      <c r="L2909" s="46">
        <v>0</v>
      </c>
      <c r="M2909" s="46">
        <f t="shared" si="793"/>
        <v>4258599</v>
      </c>
      <c r="N2909" s="46">
        <v>4725758</v>
      </c>
      <c r="O2909" s="48">
        <f t="shared" si="794"/>
        <v>9.8853771183374128E-2</v>
      </c>
      <c r="P2909" s="46">
        <v>0</v>
      </c>
      <c r="Q2909" s="46">
        <v>4341099</v>
      </c>
      <c r="R2909" s="49">
        <f t="shared" si="795"/>
        <v>1</v>
      </c>
      <c r="S2909" s="50">
        <f t="shared" si="796"/>
        <v>0.01</v>
      </c>
      <c r="T2909" s="49">
        <f t="shared" si="797"/>
        <v>42585.99</v>
      </c>
      <c r="U2909" s="51">
        <f t="shared" si="798"/>
        <v>0</v>
      </c>
      <c r="V2909" s="52">
        <f>IF(0&lt;0.8,0,IF(0&lt;1,Sheet3!L561,1))*IF(G2909&lt;3,0.12 - O2909,0.01) *U2909</f>
        <v>0</v>
      </c>
      <c r="W2909" s="52">
        <f t="shared" si="799"/>
        <v>0</v>
      </c>
      <c r="X2909" s="53">
        <f t="shared" si="800"/>
        <v>0</v>
      </c>
      <c r="Y2909" s="53">
        <f t="shared" si="801"/>
        <v>0</v>
      </c>
      <c r="Z2909" s="54">
        <f t="shared" si="791"/>
        <v>0</v>
      </c>
      <c r="AA2909" s="54">
        <f t="shared" si="802"/>
        <v>0</v>
      </c>
      <c r="AB2909" s="55">
        <f t="shared" si="792"/>
        <v>0</v>
      </c>
      <c r="AC2909" s="55">
        <f t="shared" si="803"/>
        <v>0</v>
      </c>
      <c r="AD2909" s="56">
        <f t="shared" si="804"/>
        <v>42585.99</v>
      </c>
    </row>
    <row r="2910" spans="3:30">
      <c r="C2910" s="43" t="s">
        <v>5423</v>
      </c>
      <c r="D2910" s="44" t="s">
        <v>5424</v>
      </c>
      <c r="E2910" s="44"/>
      <c r="F2910" s="45">
        <v>42971.183391203704</v>
      </c>
      <c r="G2910" s="46">
        <v>13</v>
      </c>
      <c r="H2910" s="47">
        <v>43404</v>
      </c>
      <c r="I2910" s="47">
        <v>43413</v>
      </c>
      <c r="J2910" s="46">
        <v>647895</v>
      </c>
      <c r="K2910" s="46">
        <v>0</v>
      </c>
      <c r="L2910" s="46">
        <v>0</v>
      </c>
      <c r="M2910" s="46">
        <f t="shared" si="793"/>
        <v>647895</v>
      </c>
      <c r="N2910" s="46">
        <v>861915</v>
      </c>
      <c r="O2910" s="48">
        <f t="shared" si="794"/>
        <v>0.24830754772802421</v>
      </c>
      <c r="P2910" s="46">
        <v>0</v>
      </c>
      <c r="Q2910" s="46">
        <v>647895</v>
      </c>
      <c r="R2910" s="49">
        <f t="shared" si="795"/>
        <v>1</v>
      </c>
      <c r="S2910" s="50">
        <f t="shared" si="796"/>
        <v>0.01</v>
      </c>
      <c r="T2910" s="49">
        <f t="shared" si="797"/>
        <v>6478.95</v>
      </c>
      <c r="U2910" s="51">
        <f t="shared" si="798"/>
        <v>0</v>
      </c>
      <c r="V2910" s="52">
        <f>IF(0&lt;0.8,0,IF(0&lt;1,Sheet3!L561,1))*IF(G2910&lt;3,0.12 - O2910,0.01) *U2910</f>
        <v>0</v>
      </c>
      <c r="W2910" s="52">
        <f t="shared" si="799"/>
        <v>0</v>
      </c>
      <c r="X2910" s="53">
        <f t="shared" si="800"/>
        <v>0</v>
      </c>
      <c r="Y2910" s="53">
        <f t="shared" si="801"/>
        <v>0</v>
      </c>
      <c r="Z2910" s="54">
        <f t="shared" si="791"/>
        <v>0</v>
      </c>
      <c r="AA2910" s="54">
        <f t="shared" si="802"/>
        <v>0</v>
      </c>
      <c r="AB2910" s="55">
        <f t="shared" si="792"/>
        <v>0</v>
      </c>
      <c r="AC2910" s="55">
        <f t="shared" si="803"/>
        <v>0</v>
      </c>
      <c r="AD2910" s="56">
        <f t="shared" si="804"/>
        <v>6478.95</v>
      </c>
    </row>
    <row r="2911" spans="3:30">
      <c r="C2911" s="43" t="s">
        <v>5425</v>
      </c>
      <c r="D2911" s="44" t="s">
        <v>5426</v>
      </c>
      <c r="E2911" s="44"/>
      <c r="F2911" s="45">
        <v>43004.268460648149</v>
      </c>
      <c r="G2911" s="46">
        <v>12</v>
      </c>
      <c r="H2911" s="47">
        <v>43420</v>
      </c>
      <c r="I2911" s="47">
        <v>43430</v>
      </c>
      <c r="J2911" s="46">
        <v>156640</v>
      </c>
      <c r="K2911" s="46">
        <v>0</v>
      </c>
      <c r="L2911" s="46">
        <v>0</v>
      </c>
      <c r="M2911" s="46">
        <f t="shared" si="793"/>
        <v>156640</v>
      </c>
      <c r="N2911" s="46">
        <v>185493</v>
      </c>
      <c r="O2911" s="48">
        <f t="shared" si="794"/>
        <v>0.1555476486983336</v>
      </c>
      <c r="P2911" s="46">
        <v>0</v>
      </c>
      <c r="Q2911" s="46">
        <v>156640</v>
      </c>
      <c r="R2911" s="49">
        <f t="shared" si="795"/>
        <v>1</v>
      </c>
      <c r="S2911" s="50">
        <f t="shared" si="796"/>
        <v>0.01</v>
      </c>
      <c r="T2911" s="49">
        <f t="shared" si="797"/>
        <v>1566.4</v>
      </c>
      <c r="U2911" s="51">
        <f t="shared" si="798"/>
        <v>0</v>
      </c>
      <c r="V2911" s="52">
        <f>IF(0&lt;0.8,0,IF(0&lt;1,Sheet3!L561,1))*IF(G2911&lt;3,0.12 - O2911,0.01) *U2911</f>
        <v>0</v>
      </c>
      <c r="W2911" s="52">
        <f t="shared" si="799"/>
        <v>0</v>
      </c>
      <c r="X2911" s="53">
        <f t="shared" si="800"/>
        <v>0</v>
      </c>
      <c r="Y2911" s="53">
        <f t="shared" si="801"/>
        <v>0</v>
      </c>
      <c r="Z2911" s="54">
        <f t="shared" si="791"/>
        <v>0</v>
      </c>
      <c r="AA2911" s="54">
        <f t="shared" si="802"/>
        <v>0</v>
      </c>
      <c r="AB2911" s="55">
        <f t="shared" si="792"/>
        <v>0</v>
      </c>
      <c r="AC2911" s="55">
        <f t="shared" si="803"/>
        <v>0</v>
      </c>
      <c r="AD2911" s="56">
        <f t="shared" si="804"/>
        <v>1566.4</v>
      </c>
    </row>
    <row r="2912" spans="3:30">
      <c r="C2912" s="43" t="s">
        <v>5427</v>
      </c>
      <c r="D2912" s="44" t="s">
        <v>5428</v>
      </c>
      <c r="E2912" s="44"/>
      <c r="F2912" s="45">
        <v>43032.164212962962</v>
      </c>
      <c r="G2912" s="46">
        <v>11</v>
      </c>
      <c r="H2912" s="47">
        <v>43372</v>
      </c>
      <c r="I2912" s="47">
        <v>43413</v>
      </c>
      <c r="J2912" s="46">
        <v>790735</v>
      </c>
      <c r="K2912" s="46">
        <v>0</v>
      </c>
      <c r="L2912" s="46">
        <v>0</v>
      </c>
      <c r="M2912" s="46">
        <f t="shared" si="793"/>
        <v>790735</v>
      </c>
      <c r="N2912" s="46">
        <v>790735</v>
      </c>
      <c r="O2912" s="48">
        <f t="shared" si="794"/>
        <v>0</v>
      </c>
      <c r="P2912" s="46">
        <v>0</v>
      </c>
      <c r="Q2912" s="46">
        <v>790735</v>
      </c>
      <c r="R2912" s="49">
        <f t="shared" si="795"/>
        <v>1</v>
      </c>
      <c r="S2912" s="50">
        <f t="shared" si="796"/>
        <v>0.01</v>
      </c>
      <c r="T2912" s="49">
        <f t="shared" si="797"/>
        <v>7907.35</v>
      </c>
      <c r="U2912" s="51">
        <f t="shared" si="798"/>
        <v>0</v>
      </c>
      <c r="V2912" s="52">
        <f>IF(0&lt;0.8,0,IF(0&lt;1,Sheet3!L561,1))*IF(G2912&lt;3,0.12 - O2912,0.01) *U2912</f>
        <v>0</v>
      </c>
      <c r="W2912" s="52">
        <f t="shared" si="799"/>
        <v>0</v>
      </c>
      <c r="X2912" s="53">
        <f t="shared" si="800"/>
        <v>0</v>
      </c>
      <c r="Y2912" s="53">
        <f t="shared" si="801"/>
        <v>0</v>
      </c>
      <c r="Z2912" s="54">
        <f t="shared" si="791"/>
        <v>0</v>
      </c>
      <c r="AA2912" s="54">
        <f t="shared" si="802"/>
        <v>0</v>
      </c>
      <c r="AB2912" s="55">
        <f t="shared" si="792"/>
        <v>0</v>
      </c>
      <c r="AC2912" s="55">
        <f t="shared" si="803"/>
        <v>0</v>
      </c>
      <c r="AD2912" s="56">
        <f t="shared" si="804"/>
        <v>7907.35</v>
      </c>
    </row>
    <row r="2913" spans="3:30">
      <c r="C2913" s="43" t="s">
        <v>5429</v>
      </c>
      <c r="D2913" s="44" t="s">
        <v>5430</v>
      </c>
      <c r="E2913" s="44"/>
      <c r="F2913" s="45">
        <v>43033.332071759258</v>
      </c>
      <c r="G2913" s="46">
        <v>11</v>
      </c>
      <c r="H2913" s="47">
        <v>43372</v>
      </c>
      <c r="I2913" s="47">
        <v>43419</v>
      </c>
      <c r="J2913" s="46">
        <v>428437</v>
      </c>
      <c r="K2913" s="46">
        <v>0</v>
      </c>
      <c r="L2913" s="46">
        <v>0</v>
      </c>
      <c r="M2913" s="46">
        <f t="shared" si="793"/>
        <v>428437</v>
      </c>
      <c r="N2913" s="46">
        <v>419846</v>
      </c>
      <c r="O2913" s="48">
        <f t="shared" si="794"/>
        <v>0</v>
      </c>
      <c r="P2913" s="46">
        <v>0</v>
      </c>
      <c r="Q2913" s="46">
        <v>428437</v>
      </c>
      <c r="R2913" s="49">
        <f t="shared" si="795"/>
        <v>1</v>
      </c>
      <c r="S2913" s="50">
        <f t="shared" si="796"/>
        <v>0.01</v>
      </c>
      <c r="T2913" s="49">
        <f t="shared" si="797"/>
        <v>4284.37</v>
      </c>
      <c r="U2913" s="51">
        <f t="shared" si="798"/>
        <v>0</v>
      </c>
      <c r="V2913" s="52">
        <f>IF(0&lt;0.8,0,IF(0&lt;1,Sheet3!L561,1))*IF(G2913&lt;3,0.12 - O2913,0.01) *U2913</f>
        <v>0</v>
      </c>
      <c r="W2913" s="52">
        <f t="shared" si="799"/>
        <v>0</v>
      </c>
      <c r="X2913" s="53">
        <f t="shared" si="800"/>
        <v>0</v>
      </c>
      <c r="Y2913" s="53">
        <f t="shared" si="801"/>
        <v>0</v>
      </c>
      <c r="Z2913" s="54">
        <f t="shared" si="791"/>
        <v>0</v>
      </c>
      <c r="AA2913" s="54">
        <f t="shared" si="802"/>
        <v>0</v>
      </c>
      <c r="AB2913" s="55">
        <f t="shared" si="792"/>
        <v>0</v>
      </c>
      <c r="AC2913" s="55">
        <f t="shared" si="803"/>
        <v>0</v>
      </c>
      <c r="AD2913" s="56">
        <f t="shared" si="804"/>
        <v>4284.37</v>
      </c>
    </row>
    <row r="2914" spans="3:30">
      <c r="C2914" s="43" t="s">
        <v>5431</v>
      </c>
      <c r="D2914" s="44" t="s">
        <v>5432</v>
      </c>
      <c r="E2914" s="44"/>
      <c r="F2914" s="45">
        <v>43041.272280092591</v>
      </c>
      <c r="G2914" s="46">
        <v>10</v>
      </c>
      <c r="H2914" s="47">
        <v>43372</v>
      </c>
      <c r="I2914" s="47">
        <v>43452</v>
      </c>
      <c r="J2914" s="46">
        <v>913550</v>
      </c>
      <c r="K2914" s="46">
        <v>0</v>
      </c>
      <c r="L2914" s="46">
        <v>0</v>
      </c>
      <c r="M2914" s="46">
        <f t="shared" si="793"/>
        <v>913550</v>
      </c>
      <c r="N2914" s="46">
        <v>913550</v>
      </c>
      <c r="O2914" s="48">
        <f t="shared" si="794"/>
        <v>0</v>
      </c>
      <c r="P2914" s="46">
        <v>0</v>
      </c>
      <c r="Q2914" s="46">
        <v>913550</v>
      </c>
      <c r="R2914" s="49">
        <f t="shared" si="795"/>
        <v>1</v>
      </c>
      <c r="S2914" s="50">
        <f t="shared" si="796"/>
        <v>0.01</v>
      </c>
      <c r="T2914" s="49">
        <f t="shared" si="797"/>
        <v>9135.5</v>
      </c>
      <c r="U2914" s="51">
        <f t="shared" si="798"/>
        <v>0</v>
      </c>
      <c r="V2914" s="52">
        <f>IF(0&lt;0.8,0,IF(0&lt;1,Sheet3!L561,1))*IF(G2914&lt;3,0.12 - O2914,0.01) *U2914</f>
        <v>0</v>
      </c>
      <c r="W2914" s="52">
        <f t="shared" si="799"/>
        <v>0</v>
      </c>
      <c r="X2914" s="53">
        <f t="shared" si="800"/>
        <v>0</v>
      </c>
      <c r="Y2914" s="53">
        <f t="shared" si="801"/>
        <v>0</v>
      </c>
      <c r="Z2914" s="54">
        <f t="shared" si="791"/>
        <v>0</v>
      </c>
      <c r="AA2914" s="54">
        <f t="shared" si="802"/>
        <v>0</v>
      </c>
      <c r="AB2914" s="55">
        <f t="shared" si="792"/>
        <v>0</v>
      </c>
      <c r="AC2914" s="55">
        <f t="shared" si="803"/>
        <v>0</v>
      </c>
      <c r="AD2914" s="56">
        <f t="shared" si="804"/>
        <v>9135.5</v>
      </c>
    </row>
    <row r="2915" spans="3:30">
      <c r="C2915" s="43" t="s">
        <v>5433</v>
      </c>
      <c r="D2915" s="44" t="s">
        <v>410</v>
      </c>
      <c r="E2915" s="44"/>
      <c r="F2915" s="45">
        <v>43059.256805555553</v>
      </c>
      <c r="G2915" s="46">
        <v>10</v>
      </c>
      <c r="H2915" s="47" t="s">
        <v>24</v>
      </c>
      <c r="I2915" s="47" t="s">
        <v>24</v>
      </c>
      <c r="J2915" s="46">
        <v>286891</v>
      </c>
      <c r="K2915" s="46">
        <v>0</v>
      </c>
      <c r="L2915" s="46">
        <v>0</v>
      </c>
      <c r="M2915" s="46">
        <f t="shared" si="793"/>
        <v>286891</v>
      </c>
      <c r="N2915" s="46">
        <v>286891</v>
      </c>
      <c r="O2915" s="48">
        <f t="shared" si="794"/>
        <v>0</v>
      </c>
      <c r="P2915" s="46">
        <v>0</v>
      </c>
      <c r="Q2915" s="46">
        <v>286891</v>
      </c>
      <c r="R2915" s="49">
        <f t="shared" si="795"/>
        <v>1</v>
      </c>
      <c r="S2915" s="50">
        <f t="shared" si="796"/>
        <v>0.01</v>
      </c>
      <c r="T2915" s="49">
        <f t="shared" si="797"/>
        <v>2868.91</v>
      </c>
      <c r="U2915" s="51">
        <f t="shared" si="798"/>
        <v>0</v>
      </c>
      <c r="V2915" s="52">
        <f>IF(0&lt;0.8,0,IF(0&lt;1,Sheet3!L561,1))*IF(G2915&lt;3,0.12 - O2915,0.01) *U2915</f>
        <v>0</v>
      </c>
      <c r="W2915" s="52">
        <f t="shared" si="799"/>
        <v>0</v>
      </c>
      <c r="X2915" s="53">
        <f t="shared" si="800"/>
        <v>0</v>
      </c>
      <c r="Y2915" s="53">
        <f t="shared" si="801"/>
        <v>0</v>
      </c>
      <c r="Z2915" s="54">
        <f t="shared" si="791"/>
        <v>0</v>
      </c>
      <c r="AA2915" s="54">
        <f t="shared" si="802"/>
        <v>0</v>
      </c>
      <c r="AB2915" s="55">
        <f t="shared" si="792"/>
        <v>0</v>
      </c>
      <c r="AC2915" s="55">
        <f t="shared" si="803"/>
        <v>0</v>
      </c>
      <c r="AD2915" s="56">
        <f t="shared" si="804"/>
        <v>2868.91</v>
      </c>
    </row>
    <row r="2916" spans="3:30">
      <c r="C2916" s="43" t="s">
        <v>5434</v>
      </c>
      <c r="D2916" s="44" t="s">
        <v>5435</v>
      </c>
      <c r="E2916" s="44"/>
      <c r="F2916" s="45">
        <v>43129.107870370368</v>
      </c>
      <c r="G2916" s="46">
        <v>8</v>
      </c>
      <c r="H2916" s="47">
        <v>43402</v>
      </c>
      <c r="I2916" s="47">
        <v>43430</v>
      </c>
      <c r="J2916" s="46">
        <v>5075140</v>
      </c>
      <c r="K2916" s="46">
        <v>0</v>
      </c>
      <c r="L2916" s="46">
        <v>0</v>
      </c>
      <c r="M2916" s="46">
        <f t="shared" si="793"/>
        <v>5075140</v>
      </c>
      <c r="N2916" s="46">
        <v>5519052</v>
      </c>
      <c r="O2916" s="48">
        <f t="shared" si="794"/>
        <v>8.0432654013768978E-2</v>
      </c>
      <c r="P2916" s="46">
        <v>0</v>
      </c>
      <c r="Q2916" s="46">
        <v>5075140</v>
      </c>
      <c r="R2916" s="49">
        <f t="shared" si="795"/>
        <v>1</v>
      </c>
      <c r="S2916" s="50">
        <f t="shared" si="796"/>
        <v>0.01</v>
      </c>
      <c r="T2916" s="49">
        <f t="shared" si="797"/>
        <v>50751.4</v>
      </c>
      <c r="U2916" s="51">
        <f t="shared" si="798"/>
        <v>0</v>
      </c>
      <c r="V2916" s="52">
        <f>IF(0&lt;0.8,0,IF(0&lt;1,Sheet3!L561,1))*IF(G2916&lt;3,0.12 - O2916,0.01) *U2916</f>
        <v>0</v>
      </c>
      <c r="W2916" s="52">
        <f t="shared" si="799"/>
        <v>0</v>
      </c>
      <c r="X2916" s="53">
        <f t="shared" si="800"/>
        <v>0</v>
      </c>
      <c r="Y2916" s="53">
        <f t="shared" si="801"/>
        <v>0</v>
      </c>
      <c r="Z2916" s="54">
        <f t="shared" ref="Z2916:Z2952" si="805">IF(R2916=1,0,0)</f>
        <v>0</v>
      </c>
      <c r="AA2916" s="54">
        <f t="shared" si="802"/>
        <v>0</v>
      </c>
      <c r="AB2916" s="55">
        <f t="shared" ref="AB2916:AB2952" si="806">IF(R2916=0,0,0)</f>
        <v>0</v>
      </c>
      <c r="AC2916" s="55">
        <f t="shared" si="803"/>
        <v>0</v>
      </c>
      <c r="AD2916" s="56">
        <f t="shared" si="804"/>
        <v>50751.4</v>
      </c>
    </row>
    <row r="2917" spans="3:30">
      <c r="C2917" s="43" t="s">
        <v>5436</v>
      </c>
      <c r="D2917" s="44" t="s">
        <v>5437</v>
      </c>
      <c r="E2917" s="44"/>
      <c r="F2917" s="45">
        <v>43223.185787037037</v>
      </c>
      <c r="G2917" s="46">
        <v>4</v>
      </c>
      <c r="H2917" s="47">
        <v>43404</v>
      </c>
      <c r="I2917" s="47">
        <v>43413</v>
      </c>
      <c r="J2917" s="46">
        <v>2497811</v>
      </c>
      <c r="K2917" s="46">
        <v>1452000</v>
      </c>
      <c r="L2917" s="46">
        <v>0</v>
      </c>
      <c r="M2917" s="46">
        <f t="shared" si="793"/>
        <v>1045811</v>
      </c>
      <c r="N2917" s="46">
        <v>2745373</v>
      </c>
      <c r="O2917" s="48">
        <f t="shared" si="794"/>
        <v>0.61906414902455875</v>
      </c>
      <c r="P2917" s="46">
        <v>0</v>
      </c>
      <c r="Q2917" s="46">
        <v>2497811</v>
      </c>
      <c r="R2917" s="49">
        <f t="shared" si="795"/>
        <v>1</v>
      </c>
      <c r="S2917" s="50">
        <f t="shared" si="796"/>
        <v>0.01</v>
      </c>
      <c r="T2917" s="49">
        <f t="shared" si="797"/>
        <v>10458.11</v>
      </c>
      <c r="U2917" s="51">
        <f t="shared" si="798"/>
        <v>0</v>
      </c>
      <c r="V2917" s="52">
        <f>IF(0&lt;0.8,0,IF(0&lt;1,Sheet3!L561,1))*IF(G2917&lt;3,0.12 - O2917,0.01) *U2917</f>
        <v>0</v>
      </c>
      <c r="W2917" s="52">
        <f t="shared" si="799"/>
        <v>0</v>
      </c>
      <c r="X2917" s="53">
        <f t="shared" si="800"/>
        <v>0</v>
      </c>
      <c r="Y2917" s="53">
        <f t="shared" si="801"/>
        <v>0</v>
      </c>
      <c r="Z2917" s="54">
        <f t="shared" si="805"/>
        <v>0</v>
      </c>
      <c r="AA2917" s="54">
        <f t="shared" si="802"/>
        <v>0</v>
      </c>
      <c r="AB2917" s="55">
        <f t="shared" si="806"/>
        <v>0</v>
      </c>
      <c r="AC2917" s="55">
        <f t="shared" si="803"/>
        <v>0</v>
      </c>
      <c r="AD2917" s="56">
        <f t="shared" si="804"/>
        <v>10458.11</v>
      </c>
    </row>
    <row r="2918" spans="3:30">
      <c r="C2918" s="43" t="s">
        <v>5438</v>
      </c>
      <c r="D2918" s="44" t="s">
        <v>5439</v>
      </c>
      <c r="E2918" s="44"/>
      <c r="F2918" s="45">
        <v>43227.13921296296</v>
      </c>
      <c r="G2918" s="46">
        <v>4</v>
      </c>
      <c r="H2918" s="47">
        <v>43372</v>
      </c>
      <c r="I2918" s="47">
        <v>43384</v>
      </c>
      <c r="J2918" s="46">
        <v>348964</v>
      </c>
      <c r="K2918" s="46">
        <v>0</v>
      </c>
      <c r="L2918" s="46">
        <v>0</v>
      </c>
      <c r="M2918" s="46">
        <f t="shared" si="793"/>
        <v>348964</v>
      </c>
      <c r="N2918" s="46">
        <v>348964</v>
      </c>
      <c r="O2918" s="48">
        <f t="shared" si="794"/>
        <v>0</v>
      </c>
      <c r="P2918" s="46">
        <v>0</v>
      </c>
      <c r="Q2918" s="46">
        <v>348964</v>
      </c>
      <c r="R2918" s="49">
        <f t="shared" si="795"/>
        <v>1</v>
      </c>
      <c r="S2918" s="50">
        <f t="shared" si="796"/>
        <v>0.01</v>
      </c>
      <c r="T2918" s="49">
        <f t="shared" si="797"/>
        <v>3489.64</v>
      </c>
      <c r="U2918" s="51">
        <f t="shared" si="798"/>
        <v>0</v>
      </c>
      <c r="V2918" s="52">
        <f>IF(0&lt;0.8,0,IF(0&lt;1,Sheet3!L561,1))*IF(G2918&lt;3,0.12 - O2918,0.01) *U2918</f>
        <v>0</v>
      </c>
      <c r="W2918" s="52">
        <f t="shared" si="799"/>
        <v>0</v>
      </c>
      <c r="X2918" s="53">
        <f t="shared" si="800"/>
        <v>0</v>
      </c>
      <c r="Y2918" s="53">
        <f t="shared" si="801"/>
        <v>0</v>
      </c>
      <c r="Z2918" s="54">
        <f t="shared" si="805"/>
        <v>0</v>
      </c>
      <c r="AA2918" s="54">
        <f t="shared" si="802"/>
        <v>0</v>
      </c>
      <c r="AB2918" s="55">
        <f t="shared" si="806"/>
        <v>0</v>
      </c>
      <c r="AC2918" s="55">
        <f t="shared" si="803"/>
        <v>0</v>
      </c>
      <c r="AD2918" s="56">
        <f t="shared" si="804"/>
        <v>3489.64</v>
      </c>
    </row>
    <row r="2919" spans="3:30">
      <c r="C2919" s="43" t="s">
        <v>5440</v>
      </c>
      <c r="D2919" s="44" t="s">
        <v>5441</v>
      </c>
      <c r="E2919" s="44"/>
      <c r="F2919" s="45">
        <v>43238.081273148149</v>
      </c>
      <c r="G2919" s="46">
        <v>4</v>
      </c>
      <c r="H2919" s="47">
        <v>43404</v>
      </c>
      <c r="I2919" s="47">
        <v>43413</v>
      </c>
      <c r="J2919" s="46">
        <v>1412401</v>
      </c>
      <c r="K2919" s="46">
        <v>0</v>
      </c>
      <c r="L2919" s="46">
        <v>0</v>
      </c>
      <c r="M2919" s="46">
        <f t="shared" si="793"/>
        <v>1412401</v>
      </c>
      <c r="N2919" s="46">
        <v>1724976</v>
      </c>
      <c r="O2919" s="48">
        <f t="shared" si="794"/>
        <v>0.18120541966960702</v>
      </c>
      <c r="P2919" s="46">
        <v>0</v>
      </c>
      <c r="Q2919" s="46">
        <v>1412401</v>
      </c>
      <c r="R2919" s="49">
        <f t="shared" si="795"/>
        <v>1</v>
      </c>
      <c r="S2919" s="50">
        <f t="shared" si="796"/>
        <v>0.01</v>
      </c>
      <c r="T2919" s="49">
        <f t="shared" si="797"/>
        <v>14124.01</v>
      </c>
      <c r="U2919" s="51">
        <f t="shared" si="798"/>
        <v>0</v>
      </c>
      <c r="V2919" s="52">
        <f>IF(0&lt;0.8,0,IF(0&lt;1,Sheet3!L561,1))*IF(G2919&lt;3,0.12 - O2919,0.01) *U2919</f>
        <v>0</v>
      </c>
      <c r="W2919" s="52">
        <f t="shared" si="799"/>
        <v>0</v>
      </c>
      <c r="X2919" s="53">
        <f t="shared" si="800"/>
        <v>0</v>
      </c>
      <c r="Y2919" s="53">
        <f t="shared" si="801"/>
        <v>0</v>
      </c>
      <c r="Z2919" s="54">
        <f t="shared" si="805"/>
        <v>0</v>
      </c>
      <c r="AA2919" s="54">
        <f t="shared" si="802"/>
        <v>0</v>
      </c>
      <c r="AB2919" s="55">
        <f t="shared" si="806"/>
        <v>0</v>
      </c>
      <c r="AC2919" s="55">
        <f t="shared" si="803"/>
        <v>0</v>
      </c>
      <c r="AD2919" s="56">
        <f t="shared" si="804"/>
        <v>14124.01</v>
      </c>
    </row>
    <row r="2920" spans="3:30">
      <c r="C2920" s="43" t="s">
        <v>5442</v>
      </c>
      <c r="D2920" s="44" t="s">
        <v>5443</v>
      </c>
      <c r="E2920" s="44"/>
      <c r="F2920" s="45">
        <v>43367.181967592594</v>
      </c>
      <c r="G2920" s="46">
        <v>0</v>
      </c>
      <c r="H2920" s="47">
        <v>43372</v>
      </c>
      <c r="I2920" s="47">
        <v>43383</v>
      </c>
      <c r="J2920" s="46">
        <v>43197</v>
      </c>
      <c r="K2920" s="46">
        <v>0</v>
      </c>
      <c r="L2920" s="46">
        <v>0</v>
      </c>
      <c r="M2920" s="46">
        <f t="shared" si="793"/>
        <v>43197</v>
      </c>
      <c r="N2920" s="46">
        <v>43197</v>
      </c>
      <c r="O2920" s="48">
        <f t="shared" si="794"/>
        <v>0</v>
      </c>
      <c r="P2920" s="46">
        <v>0</v>
      </c>
      <c r="Q2920" s="46">
        <v>0</v>
      </c>
      <c r="R2920" s="49">
        <f t="shared" si="795"/>
        <v>0</v>
      </c>
      <c r="S2920" s="50">
        <f t="shared" si="796"/>
        <v>0</v>
      </c>
      <c r="T2920" s="49">
        <f t="shared" si="797"/>
        <v>0</v>
      </c>
      <c r="U2920" s="51">
        <f t="shared" si="798"/>
        <v>43197</v>
      </c>
      <c r="V2920" s="52">
        <f>IF(0&lt;0.8,0,IF(0&lt;1,Sheet3!L561,1))*IF(G2920&lt;3,0.12 - O2920,0.01) *U2920</f>
        <v>0</v>
      </c>
      <c r="W2920" s="52">
        <f t="shared" si="799"/>
        <v>0</v>
      </c>
      <c r="X2920" s="53">
        <f t="shared" si="800"/>
        <v>0</v>
      </c>
      <c r="Y2920" s="53">
        <f t="shared" si="801"/>
        <v>0</v>
      </c>
      <c r="Z2920" s="54">
        <f t="shared" si="805"/>
        <v>0</v>
      </c>
      <c r="AA2920" s="54">
        <f t="shared" si="802"/>
        <v>0</v>
      </c>
      <c r="AB2920" s="55">
        <f t="shared" si="806"/>
        <v>0</v>
      </c>
      <c r="AC2920" s="55">
        <f t="shared" si="803"/>
        <v>0</v>
      </c>
      <c r="AD2920" s="56">
        <f t="shared" si="804"/>
        <v>0</v>
      </c>
    </row>
    <row r="2921" spans="3:30">
      <c r="C2921" s="43" t="s">
        <v>5444</v>
      </c>
      <c r="D2921" s="44" t="s">
        <v>5445</v>
      </c>
      <c r="E2921" s="44"/>
      <c r="F2921" s="45">
        <v>42521.366168981476</v>
      </c>
      <c r="G2921" s="46">
        <v>28</v>
      </c>
      <c r="H2921" s="47" t="s">
        <v>24</v>
      </c>
      <c r="I2921" s="47" t="s">
        <v>24</v>
      </c>
      <c r="J2921" s="46">
        <v>1033710</v>
      </c>
      <c r="K2921" s="46">
        <v>0</v>
      </c>
      <c r="L2921" s="46">
        <v>0</v>
      </c>
      <c r="M2921" s="46">
        <f t="shared" si="793"/>
        <v>1033710</v>
      </c>
      <c r="N2921" s="46">
        <v>5751432</v>
      </c>
      <c r="O2921" s="48">
        <f t="shared" si="794"/>
        <v>0.82026910863242408</v>
      </c>
      <c r="P2921" s="46">
        <v>0</v>
      </c>
      <c r="Q2921" s="46">
        <v>0</v>
      </c>
      <c r="R2921" s="49">
        <f t="shared" si="795"/>
        <v>1</v>
      </c>
      <c r="S2921" s="50">
        <f t="shared" si="796"/>
        <v>0.01</v>
      </c>
      <c r="T2921" s="49">
        <f t="shared" si="797"/>
        <v>10337.1</v>
      </c>
      <c r="U2921" s="51">
        <f t="shared" si="798"/>
        <v>0</v>
      </c>
      <c r="V2921" s="52">
        <f>IF(0&lt;0.8,0,IF(0&lt;1,Sheet3!L561,1))*IF(G2921&lt;3,0.12 - O2921,0.01) *U2921</f>
        <v>0</v>
      </c>
      <c r="W2921" s="52">
        <f t="shared" si="799"/>
        <v>0</v>
      </c>
      <c r="X2921" s="53">
        <f t="shared" si="800"/>
        <v>0</v>
      </c>
      <c r="Y2921" s="53">
        <f t="shared" si="801"/>
        <v>0</v>
      </c>
      <c r="Z2921" s="54">
        <f>IF(R2921=1,0,"")</f>
        <v>0</v>
      </c>
      <c r="AA2921" s="54">
        <f t="shared" si="802"/>
        <v>0</v>
      </c>
      <c r="AB2921" s="55">
        <f>IF(R2921=0,"",0)</f>
        <v>0</v>
      </c>
      <c r="AC2921" s="55">
        <f t="shared" si="803"/>
        <v>0</v>
      </c>
      <c r="AD2921" s="56">
        <f t="shared" si="804"/>
        <v>10337.1</v>
      </c>
    </row>
    <row r="2922" spans="3:30">
      <c r="C2922" s="43" t="s">
        <v>5446</v>
      </c>
      <c r="D2922" s="44" t="s">
        <v>995</v>
      </c>
      <c r="E2922" s="44"/>
      <c r="F2922" s="45">
        <v>43316.254131944443</v>
      </c>
      <c r="G2922" s="46">
        <v>1</v>
      </c>
      <c r="H2922" s="47">
        <v>43431</v>
      </c>
      <c r="I2922" s="47">
        <v>43462</v>
      </c>
      <c r="J2922" s="46">
        <v>1042232</v>
      </c>
      <c r="K2922" s="46">
        <v>0</v>
      </c>
      <c r="L2922" s="46">
        <v>0</v>
      </c>
      <c r="M2922" s="46">
        <f t="shared" si="793"/>
        <v>1042232</v>
      </c>
      <c r="N2922" s="46">
        <v>1448007</v>
      </c>
      <c r="O2922" s="48">
        <f t="shared" si="794"/>
        <v>0.28022999888812694</v>
      </c>
      <c r="P2922" s="46">
        <v>0</v>
      </c>
      <c r="Q2922" s="46">
        <v>0</v>
      </c>
      <c r="R2922" s="49">
        <f t="shared" si="795"/>
        <v>0</v>
      </c>
      <c r="S2922" s="50">
        <f t="shared" si="796"/>
        <v>0</v>
      </c>
      <c r="T2922" s="49">
        <f t="shared" si="797"/>
        <v>0</v>
      </c>
      <c r="U2922" s="51">
        <f t="shared" si="798"/>
        <v>0</v>
      </c>
      <c r="V2922" s="52">
        <f>IF(0&lt;0.8,0,IF(0&lt;1,Sheet3!L561,1))*IF(G2922&lt;3,0.12 - O2922,0.01) *U2922</f>
        <v>0</v>
      </c>
      <c r="W2922" s="52">
        <f t="shared" si="799"/>
        <v>0</v>
      </c>
      <c r="X2922" s="53">
        <f t="shared" si="800"/>
        <v>0</v>
      </c>
      <c r="Y2922" s="53">
        <f t="shared" si="801"/>
        <v>0</v>
      </c>
      <c r="Z2922" s="54">
        <f t="shared" ref="Z2922:Z2948" si="807">IF(R2922=1,0,0)</f>
        <v>0</v>
      </c>
      <c r="AA2922" s="54">
        <f t="shared" si="802"/>
        <v>0</v>
      </c>
      <c r="AB2922" s="55">
        <f t="shared" ref="AB2922:AB2984" si="808">IF(R2922=0,0,0)</f>
        <v>0</v>
      </c>
      <c r="AC2922" s="55">
        <f t="shared" si="803"/>
        <v>0</v>
      </c>
      <c r="AD2922" s="56">
        <f t="shared" si="804"/>
        <v>0</v>
      </c>
    </row>
    <row r="2923" spans="3:30">
      <c r="C2923" s="43" t="s">
        <v>5447</v>
      </c>
      <c r="D2923" s="44" t="s">
        <v>995</v>
      </c>
      <c r="E2923" s="44"/>
      <c r="F2923" s="45">
        <v>43316.25476851852</v>
      </c>
      <c r="G2923" s="46">
        <v>1</v>
      </c>
      <c r="H2923" s="47">
        <v>43431</v>
      </c>
      <c r="I2923" s="47">
        <v>43460</v>
      </c>
      <c r="J2923" s="46">
        <v>508448</v>
      </c>
      <c r="K2923" s="46">
        <v>0</v>
      </c>
      <c r="L2923" s="46">
        <v>0</v>
      </c>
      <c r="M2923" s="46">
        <f t="shared" si="793"/>
        <v>508448</v>
      </c>
      <c r="N2923" s="46">
        <v>749837</v>
      </c>
      <c r="O2923" s="48">
        <f t="shared" si="794"/>
        <v>0.32192196437359055</v>
      </c>
      <c r="P2923" s="46">
        <v>0</v>
      </c>
      <c r="Q2923" s="46">
        <v>0</v>
      </c>
      <c r="R2923" s="49">
        <f t="shared" si="795"/>
        <v>0</v>
      </c>
      <c r="S2923" s="50">
        <f t="shared" si="796"/>
        <v>0</v>
      </c>
      <c r="T2923" s="49">
        <f t="shared" si="797"/>
        <v>0</v>
      </c>
      <c r="U2923" s="51">
        <f t="shared" si="798"/>
        <v>0</v>
      </c>
      <c r="V2923" s="52">
        <f>IF(0&lt;0.8,0,IF(0&lt;1,Sheet3!L561,1))*IF(G2923&lt;3,0.12 - O2923,0.01) *U2923</f>
        <v>0</v>
      </c>
      <c r="W2923" s="52">
        <f t="shared" si="799"/>
        <v>0</v>
      </c>
      <c r="X2923" s="53">
        <f t="shared" si="800"/>
        <v>0</v>
      </c>
      <c r="Y2923" s="53">
        <f t="shared" si="801"/>
        <v>0</v>
      </c>
      <c r="Z2923" s="54">
        <f t="shared" si="807"/>
        <v>0</v>
      </c>
      <c r="AA2923" s="54">
        <f t="shared" si="802"/>
        <v>0</v>
      </c>
      <c r="AB2923" s="55">
        <f t="shared" si="808"/>
        <v>0</v>
      </c>
      <c r="AC2923" s="55">
        <f t="shared" si="803"/>
        <v>0</v>
      </c>
      <c r="AD2923" s="56">
        <f t="shared" si="804"/>
        <v>0</v>
      </c>
    </row>
    <row r="2924" spans="3:30">
      <c r="C2924" s="43" t="s">
        <v>5448</v>
      </c>
      <c r="D2924" s="44" t="s">
        <v>995</v>
      </c>
      <c r="E2924" s="44"/>
      <c r="F2924" s="45">
        <v>43316.255381944444</v>
      </c>
      <c r="G2924" s="46">
        <v>1</v>
      </c>
      <c r="H2924" s="47">
        <v>43431</v>
      </c>
      <c r="I2924" s="47">
        <v>43462</v>
      </c>
      <c r="J2924" s="46">
        <v>483100</v>
      </c>
      <c r="K2924" s="46">
        <v>0</v>
      </c>
      <c r="L2924" s="46">
        <v>0</v>
      </c>
      <c r="M2924" s="46">
        <f t="shared" si="793"/>
        <v>483100</v>
      </c>
      <c r="N2924" s="46">
        <v>720676</v>
      </c>
      <c r="O2924" s="48">
        <f t="shared" si="794"/>
        <v>0.32965715522648176</v>
      </c>
      <c r="P2924" s="46">
        <v>0</v>
      </c>
      <c r="Q2924" s="46">
        <v>0</v>
      </c>
      <c r="R2924" s="49">
        <f t="shared" si="795"/>
        <v>0</v>
      </c>
      <c r="S2924" s="50">
        <f t="shared" si="796"/>
        <v>0</v>
      </c>
      <c r="T2924" s="49">
        <f t="shared" si="797"/>
        <v>0</v>
      </c>
      <c r="U2924" s="51">
        <f t="shared" si="798"/>
        <v>0</v>
      </c>
      <c r="V2924" s="52">
        <f>IF(0&lt;0.8,0,IF(0&lt;1,Sheet3!L561,1))*IF(G2924&lt;3,0.12 - O2924,0.01) *U2924</f>
        <v>0</v>
      </c>
      <c r="W2924" s="52">
        <f t="shared" si="799"/>
        <v>0</v>
      </c>
      <c r="X2924" s="53">
        <f t="shared" si="800"/>
        <v>0</v>
      </c>
      <c r="Y2924" s="53">
        <f t="shared" si="801"/>
        <v>0</v>
      </c>
      <c r="Z2924" s="54">
        <f t="shared" si="807"/>
        <v>0</v>
      </c>
      <c r="AA2924" s="54">
        <f t="shared" si="802"/>
        <v>0</v>
      </c>
      <c r="AB2924" s="55">
        <f t="shared" si="808"/>
        <v>0</v>
      </c>
      <c r="AC2924" s="55">
        <f t="shared" si="803"/>
        <v>0</v>
      </c>
      <c r="AD2924" s="56">
        <f t="shared" si="804"/>
        <v>0</v>
      </c>
    </row>
    <row r="2925" spans="3:30">
      <c r="C2925" s="43" t="s">
        <v>5449</v>
      </c>
      <c r="D2925" s="44" t="s">
        <v>995</v>
      </c>
      <c r="E2925" s="44"/>
      <c r="F2925" s="45">
        <v>43316.488032407404</v>
      </c>
      <c r="G2925" s="46">
        <v>1</v>
      </c>
      <c r="H2925" s="47">
        <v>43431</v>
      </c>
      <c r="I2925" s="47">
        <v>43462</v>
      </c>
      <c r="J2925" s="46">
        <v>708091</v>
      </c>
      <c r="K2925" s="46">
        <v>0</v>
      </c>
      <c r="L2925" s="46">
        <v>0</v>
      </c>
      <c r="M2925" s="46">
        <f t="shared" si="793"/>
        <v>708091</v>
      </c>
      <c r="N2925" s="46">
        <v>981673</v>
      </c>
      <c r="O2925" s="48">
        <f t="shared" si="794"/>
        <v>0.27868954325931339</v>
      </c>
      <c r="P2925" s="46">
        <v>0</v>
      </c>
      <c r="Q2925" s="46">
        <v>0</v>
      </c>
      <c r="R2925" s="49">
        <f t="shared" si="795"/>
        <v>0</v>
      </c>
      <c r="S2925" s="50">
        <f t="shared" si="796"/>
        <v>0</v>
      </c>
      <c r="T2925" s="49">
        <f t="shared" si="797"/>
        <v>0</v>
      </c>
      <c r="U2925" s="51">
        <f t="shared" si="798"/>
        <v>0</v>
      </c>
      <c r="V2925" s="52">
        <f>IF(0&lt;0.8,0,IF(0&lt;1,Sheet3!L561,1))*IF(G2925&lt;3,0.12 - O2925,0.01) *U2925</f>
        <v>0</v>
      </c>
      <c r="W2925" s="52">
        <f t="shared" si="799"/>
        <v>0</v>
      </c>
      <c r="X2925" s="53">
        <f t="shared" si="800"/>
        <v>0</v>
      </c>
      <c r="Y2925" s="53">
        <f t="shared" si="801"/>
        <v>0</v>
      </c>
      <c r="Z2925" s="54">
        <f t="shared" si="807"/>
        <v>0</v>
      </c>
      <c r="AA2925" s="54">
        <f t="shared" si="802"/>
        <v>0</v>
      </c>
      <c r="AB2925" s="55">
        <f t="shared" si="808"/>
        <v>0</v>
      </c>
      <c r="AC2925" s="55">
        <f t="shared" si="803"/>
        <v>0</v>
      </c>
      <c r="AD2925" s="56">
        <f t="shared" si="804"/>
        <v>0</v>
      </c>
    </row>
    <row r="2926" spans="3:30">
      <c r="C2926" s="43" t="s">
        <v>5450</v>
      </c>
      <c r="D2926" s="44" t="s">
        <v>995</v>
      </c>
      <c r="E2926" s="44"/>
      <c r="F2926" s="45">
        <v>43316.48909722222</v>
      </c>
      <c r="G2926" s="46">
        <v>1</v>
      </c>
      <c r="H2926" s="47">
        <v>43431</v>
      </c>
      <c r="I2926" s="47">
        <v>43462</v>
      </c>
      <c r="J2926" s="46">
        <v>736853</v>
      </c>
      <c r="K2926" s="46">
        <v>0</v>
      </c>
      <c r="L2926" s="46">
        <v>0</v>
      </c>
      <c r="M2926" s="46">
        <f t="shared" si="793"/>
        <v>736853</v>
      </c>
      <c r="N2926" s="46">
        <v>1088032</v>
      </c>
      <c r="O2926" s="48">
        <f t="shared" si="794"/>
        <v>0.32276532307873296</v>
      </c>
      <c r="P2926" s="46">
        <v>0</v>
      </c>
      <c r="Q2926" s="46">
        <v>0</v>
      </c>
      <c r="R2926" s="49">
        <f t="shared" si="795"/>
        <v>0</v>
      </c>
      <c r="S2926" s="50">
        <f t="shared" si="796"/>
        <v>0</v>
      </c>
      <c r="T2926" s="49">
        <f t="shared" si="797"/>
        <v>0</v>
      </c>
      <c r="U2926" s="51">
        <f t="shared" si="798"/>
        <v>0</v>
      </c>
      <c r="V2926" s="52">
        <f>IF(0&lt;0.8,0,IF(0&lt;1,Sheet3!L561,1))*IF(G2926&lt;3,0.12 - O2926,0.01) *U2926</f>
        <v>0</v>
      </c>
      <c r="W2926" s="52">
        <f t="shared" si="799"/>
        <v>0</v>
      </c>
      <c r="X2926" s="53">
        <f t="shared" si="800"/>
        <v>0</v>
      </c>
      <c r="Y2926" s="53">
        <f t="shared" si="801"/>
        <v>0</v>
      </c>
      <c r="Z2926" s="54">
        <f t="shared" si="807"/>
        <v>0</v>
      </c>
      <c r="AA2926" s="54">
        <f t="shared" si="802"/>
        <v>0</v>
      </c>
      <c r="AB2926" s="55">
        <f t="shared" si="808"/>
        <v>0</v>
      </c>
      <c r="AC2926" s="55">
        <f t="shared" si="803"/>
        <v>0</v>
      </c>
      <c r="AD2926" s="56">
        <f t="shared" si="804"/>
        <v>0</v>
      </c>
    </row>
    <row r="2927" spans="3:30">
      <c r="C2927" s="43" t="s">
        <v>5451</v>
      </c>
      <c r="D2927" s="44" t="s">
        <v>995</v>
      </c>
      <c r="E2927" s="44"/>
      <c r="F2927" s="45">
        <v>43316.48982638889</v>
      </c>
      <c r="G2927" s="46">
        <v>1</v>
      </c>
      <c r="H2927" s="47">
        <v>43431</v>
      </c>
      <c r="I2927" s="47">
        <v>43462</v>
      </c>
      <c r="J2927" s="46">
        <v>396108</v>
      </c>
      <c r="K2927" s="46">
        <v>0</v>
      </c>
      <c r="L2927" s="46">
        <v>0</v>
      </c>
      <c r="M2927" s="46">
        <f t="shared" si="793"/>
        <v>396108</v>
      </c>
      <c r="N2927" s="46">
        <v>590480</v>
      </c>
      <c r="O2927" s="48">
        <f t="shared" si="794"/>
        <v>0.3291762633789459</v>
      </c>
      <c r="P2927" s="46">
        <v>0</v>
      </c>
      <c r="Q2927" s="46">
        <v>0</v>
      </c>
      <c r="R2927" s="49">
        <f t="shared" si="795"/>
        <v>0</v>
      </c>
      <c r="S2927" s="50">
        <f t="shared" si="796"/>
        <v>0</v>
      </c>
      <c r="T2927" s="49">
        <f t="shared" si="797"/>
        <v>0</v>
      </c>
      <c r="U2927" s="51">
        <f t="shared" si="798"/>
        <v>0</v>
      </c>
      <c r="V2927" s="52">
        <f>IF(0&lt;0.8,0,IF(0&lt;1,Sheet3!L561,1))*IF(G2927&lt;3,0.12 - O2927,0.01) *U2927</f>
        <v>0</v>
      </c>
      <c r="W2927" s="52">
        <f t="shared" si="799"/>
        <v>0</v>
      </c>
      <c r="X2927" s="53">
        <f t="shared" si="800"/>
        <v>0</v>
      </c>
      <c r="Y2927" s="53">
        <f t="shared" si="801"/>
        <v>0</v>
      </c>
      <c r="Z2927" s="54">
        <f t="shared" si="807"/>
        <v>0</v>
      </c>
      <c r="AA2927" s="54">
        <f t="shared" si="802"/>
        <v>0</v>
      </c>
      <c r="AB2927" s="55">
        <f t="shared" si="808"/>
        <v>0</v>
      </c>
      <c r="AC2927" s="55">
        <f t="shared" si="803"/>
        <v>0</v>
      </c>
      <c r="AD2927" s="56">
        <f t="shared" si="804"/>
        <v>0</v>
      </c>
    </row>
    <row r="2928" spans="3:30">
      <c r="C2928" s="43" t="s">
        <v>5452</v>
      </c>
      <c r="D2928" s="44" t="s">
        <v>995</v>
      </c>
      <c r="E2928" s="44"/>
      <c r="F2928" s="45">
        <v>43316.490405092591</v>
      </c>
      <c r="G2928" s="46">
        <v>1</v>
      </c>
      <c r="H2928" s="47">
        <v>43431</v>
      </c>
      <c r="I2928" s="47">
        <v>43462</v>
      </c>
      <c r="J2928" s="46">
        <v>560093</v>
      </c>
      <c r="K2928" s="46">
        <v>0</v>
      </c>
      <c r="L2928" s="46">
        <v>0</v>
      </c>
      <c r="M2928" s="46">
        <f t="shared" si="793"/>
        <v>560093</v>
      </c>
      <c r="N2928" s="46">
        <v>777909</v>
      </c>
      <c r="O2928" s="48">
        <f t="shared" si="794"/>
        <v>0.28000190253615787</v>
      </c>
      <c r="P2928" s="46">
        <v>0</v>
      </c>
      <c r="Q2928" s="46">
        <v>0</v>
      </c>
      <c r="R2928" s="49">
        <f t="shared" si="795"/>
        <v>0</v>
      </c>
      <c r="S2928" s="50">
        <f t="shared" si="796"/>
        <v>0</v>
      </c>
      <c r="T2928" s="49">
        <f t="shared" si="797"/>
        <v>0</v>
      </c>
      <c r="U2928" s="51">
        <f t="shared" si="798"/>
        <v>0</v>
      </c>
      <c r="V2928" s="52">
        <f>IF(0&lt;0.8,0,IF(0&lt;1,Sheet3!L561,1))*IF(G2928&lt;3,0.12 - O2928,0.01) *U2928</f>
        <v>0</v>
      </c>
      <c r="W2928" s="52">
        <f t="shared" si="799"/>
        <v>0</v>
      </c>
      <c r="X2928" s="53">
        <f t="shared" si="800"/>
        <v>0</v>
      </c>
      <c r="Y2928" s="53">
        <f t="shared" si="801"/>
        <v>0</v>
      </c>
      <c r="Z2928" s="54">
        <f t="shared" si="807"/>
        <v>0</v>
      </c>
      <c r="AA2928" s="54">
        <f t="shared" si="802"/>
        <v>0</v>
      </c>
      <c r="AB2928" s="55">
        <f t="shared" si="808"/>
        <v>0</v>
      </c>
      <c r="AC2928" s="55">
        <f t="shared" si="803"/>
        <v>0</v>
      </c>
      <c r="AD2928" s="56">
        <f t="shared" si="804"/>
        <v>0</v>
      </c>
    </row>
    <row r="2929" spans="3:30">
      <c r="C2929" s="43" t="s">
        <v>5453</v>
      </c>
      <c r="D2929" s="44" t="s">
        <v>995</v>
      </c>
      <c r="E2929" s="44"/>
      <c r="F2929" s="45">
        <v>43316.49119212963</v>
      </c>
      <c r="G2929" s="46">
        <v>1</v>
      </c>
      <c r="H2929" s="47">
        <v>43431</v>
      </c>
      <c r="I2929" s="47">
        <v>43462</v>
      </c>
      <c r="J2929" s="46">
        <v>420701</v>
      </c>
      <c r="K2929" s="46">
        <v>0</v>
      </c>
      <c r="L2929" s="46">
        <v>0</v>
      </c>
      <c r="M2929" s="46">
        <f t="shared" si="793"/>
        <v>420701</v>
      </c>
      <c r="N2929" s="46">
        <v>616132</v>
      </c>
      <c r="O2929" s="48">
        <f t="shared" si="794"/>
        <v>0.31719014756578134</v>
      </c>
      <c r="P2929" s="46">
        <v>0</v>
      </c>
      <c r="Q2929" s="46">
        <v>0</v>
      </c>
      <c r="R2929" s="49">
        <f t="shared" si="795"/>
        <v>0</v>
      </c>
      <c r="S2929" s="50">
        <f t="shared" si="796"/>
        <v>0</v>
      </c>
      <c r="T2929" s="49">
        <f t="shared" si="797"/>
        <v>0</v>
      </c>
      <c r="U2929" s="51">
        <f t="shared" si="798"/>
        <v>0</v>
      </c>
      <c r="V2929" s="52">
        <f>IF(0&lt;0.8,0,IF(0&lt;1,Sheet3!L561,1))*IF(G2929&lt;3,0.12 - O2929,0.01) *U2929</f>
        <v>0</v>
      </c>
      <c r="W2929" s="52">
        <f t="shared" si="799"/>
        <v>0</v>
      </c>
      <c r="X2929" s="53">
        <f t="shared" si="800"/>
        <v>0</v>
      </c>
      <c r="Y2929" s="53">
        <f t="shared" si="801"/>
        <v>0</v>
      </c>
      <c r="Z2929" s="54">
        <f t="shared" si="807"/>
        <v>0</v>
      </c>
      <c r="AA2929" s="54">
        <f t="shared" si="802"/>
        <v>0</v>
      </c>
      <c r="AB2929" s="55">
        <f t="shared" si="808"/>
        <v>0</v>
      </c>
      <c r="AC2929" s="55">
        <f t="shared" si="803"/>
        <v>0</v>
      </c>
      <c r="AD2929" s="56">
        <f t="shared" si="804"/>
        <v>0</v>
      </c>
    </row>
    <row r="2930" spans="3:30">
      <c r="C2930" s="43" t="s">
        <v>5454</v>
      </c>
      <c r="D2930" s="44" t="s">
        <v>995</v>
      </c>
      <c r="E2930" s="44"/>
      <c r="F2930" s="45">
        <v>43316.695335648146</v>
      </c>
      <c r="G2930" s="46">
        <v>1</v>
      </c>
      <c r="H2930" s="47">
        <v>43431</v>
      </c>
      <c r="I2930" s="47">
        <v>43462</v>
      </c>
      <c r="J2930" s="46">
        <v>444831</v>
      </c>
      <c r="K2930" s="46">
        <v>0</v>
      </c>
      <c r="L2930" s="46">
        <v>0</v>
      </c>
      <c r="M2930" s="46">
        <f t="shared" si="793"/>
        <v>444831</v>
      </c>
      <c r="N2930" s="46">
        <v>654973</v>
      </c>
      <c r="O2930" s="48">
        <f t="shared" si="794"/>
        <v>0.32084070641079865</v>
      </c>
      <c r="P2930" s="46">
        <v>0</v>
      </c>
      <c r="Q2930" s="46">
        <v>0</v>
      </c>
      <c r="R2930" s="49">
        <f t="shared" si="795"/>
        <v>0</v>
      </c>
      <c r="S2930" s="50">
        <f t="shared" si="796"/>
        <v>0</v>
      </c>
      <c r="T2930" s="49">
        <f t="shared" si="797"/>
        <v>0</v>
      </c>
      <c r="U2930" s="51">
        <f t="shared" si="798"/>
        <v>0</v>
      </c>
      <c r="V2930" s="52">
        <f>IF(0&lt;0.8,0,IF(0&lt;1,Sheet3!L561,1))*IF(G2930&lt;3,0.12 - O2930,0.01) *U2930</f>
        <v>0</v>
      </c>
      <c r="W2930" s="52">
        <f t="shared" si="799"/>
        <v>0</v>
      </c>
      <c r="X2930" s="53">
        <f t="shared" si="800"/>
        <v>0</v>
      </c>
      <c r="Y2930" s="53">
        <f t="shared" si="801"/>
        <v>0</v>
      </c>
      <c r="Z2930" s="54">
        <f t="shared" si="807"/>
        <v>0</v>
      </c>
      <c r="AA2930" s="54">
        <f t="shared" si="802"/>
        <v>0</v>
      </c>
      <c r="AB2930" s="55">
        <f t="shared" si="808"/>
        <v>0</v>
      </c>
      <c r="AC2930" s="55">
        <f t="shared" si="803"/>
        <v>0</v>
      </c>
      <c r="AD2930" s="56">
        <f t="shared" si="804"/>
        <v>0</v>
      </c>
    </row>
    <row r="2931" spans="3:30">
      <c r="C2931" s="43" t="s">
        <v>5455</v>
      </c>
      <c r="D2931" s="44" t="s">
        <v>5456</v>
      </c>
      <c r="E2931" s="44"/>
      <c r="F2931" s="45">
        <v>38965.751620370371</v>
      </c>
      <c r="G2931" s="46">
        <v>144</v>
      </c>
      <c r="H2931" s="47">
        <v>43372</v>
      </c>
      <c r="I2931" s="47">
        <v>43397</v>
      </c>
      <c r="J2931" s="46">
        <v>11530333</v>
      </c>
      <c r="K2931" s="46">
        <v>0</v>
      </c>
      <c r="L2931" s="46">
        <v>0</v>
      </c>
      <c r="M2931" s="46">
        <f t="shared" ref="M2931:M2994" si="809">IFERROR(J2931-K2931-L2931,0)</f>
        <v>11530333</v>
      </c>
      <c r="N2931" s="46">
        <v>11530333</v>
      </c>
      <c r="O2931" s="48">
        <f t="shared" ref="O2931:O2994" si="810">IFERROR(IF(1 - M2931/N2931&lt;0,0,1-M2931/N2931),0)</f>
        <v>0</v>
      </c>
      <c r="P2931" s="46">
        <v>0</v>
      </c>
      <c r="Q2931" s="46">
        <v>11530333</v>
      </c>
      <c r="R2931" s="49">
        <f t="shared" ref="R2931:R2994" si="811">IF(F2931&lt;DATEVALUE("2018-07-01"),1,0)</f>
        <v>1</v>
      </c>
      <c r="S2931" s="50">
        <f t="shared" ref="S2931:S2994" si="812">IF(R2931=1,1%,0)</f>
        <v>0.01</v>
      </c>
      <c r="T2931" s="49">
        <f t="shared" ref="T2931:T2994" si="813">IFERROR(S2931*M2931,0)</f>
        <v>115303.33</v>
      </c>
      <c r="U2931" s="51">
        <f t="shared" ref="U2931:U2994" si="814">IF(O2931&lt;=0.12,1,0)*(1-R2931)*M2931</f>
        <v>0</v>
      </c>
      <c r="V2931" s="52">
        <f>IF(0&lt;0.8,0,IF(0&lt;1,Sheet3!L561,1))*IF(G2931&lt;3,0.12 - O2931,0.01) *U2931</f>
        <v>0</v>
      </c>
      <c r="W2931" s="52">
        <f t="shared" ref="W2931:W2994" si="815">IF(0&gt;1,IF(0&lt;=1.1,1,IF(0&lt;=1.2,2,IF(0&lt;=1.5,3,5))),0) * 1000000</f>
        <v>0</v>
      </c>
      <c r="X2931" s="53">
        <f t="shared" ref="X2931:X2994" si="816">IF(AND(P2931&gt;=150000000,P2931&lt;300000000),5000000,IF(AND(P2931&gt;=300000000,P2931&lt;500000000),10000000,IF(AND(P2931&gt;=300000000,P2931&lt;500000000),15000000,IF(AND(P2931&gt;=500000000,P2931&lt;3000000000),20000000,IF(P2931&gt;=30000000000,35000000,0))))) * (1-R2931)</f>
        <v>0</v>
      </c>
      <c r="Y2931" s="53">
        <f t="shared" ref="Y2931:Y2994" si="817">IFERROR(Q2931 * (1-R2931),0)</f>
        <v>0</v>
      </c>
      <c r="Z2931" s="54">
        <f t="shared" si="807"/>
        <v>0</v>
      </c>
      <c r="AA2931" s="54">
        <f t="shared" ref="AA2931:AA2994" si="818">IFERROR((1-R2931) * Z2931 * 2%,0)</f>
        <v>0</v>
      </c>
      <c r="AB2931" s="55">
        <f t="shared" si="808"/>
        <v>0</v>
      </c>
      <c r="AC2931" s="55">
        <f t="shared" ref="AC2931:AC2994" si="819">IFERROR(AB2931 * (1-R2931) * 2%,0)</f>
        <v>0</v>
      </c>
      <c r="AD2931" s="56">
        <f t="shared" ref="AD2931:AD2994" si="820">T2931+V2931+W2931+X2931+AA2931+AC2931</f>
        <v>115303.33</v>
      </c>
    </row>
    <row r="2932" spans="3:30">
      <c r="C2932" s="43" t="s">
        <v>5457</v>
      </c>
      <c r="D2932" s="44" t="s">
        <v>5458</v>
      </c>
      <c r="E2932" s="44"/>
      <c r="F2932" s="45">
        <v>39331.372152777774</v>
      </c>
      <c r="G2932" s="46">
        <v>132</v>
      </c>
      <c r="H2932" s="47">
        <v>43465</v>
      </c>
      <c r="I2932" s="47">
        <v>43495</v>
      </c>
      <c r="J2932" s="46">
        <v>13000</v>
      </c>
      <c r="K2932" s="46">
        <v>0</v>
      </c>
      <c r="L2932" s="46">
        <v>0</v>
      </c>
      <c r="M2932" s="46">
        <f t="shared" si="809"/>
        <v>13000</v>
      </c>
      <c r="N2932" s="46">
        <v>13310</v>
      </c>
      <c r="O2932" s="48">
        <f t="shared" si="810"/>
        <v>2.3290758827948954E-2</v>
      </c>
      <c r="P2932" s="46">
        <v>0</v>
      </c>
      <c r="Q2932" s="46">
        <v>13000</v>
      </c>
      <c r="R2932" s="49">
        <f t="shared" si="811"/>
        <v>1</v>
      </c>
      <c r="S2932" s="50">
        <f t="shared" si="812"/>
        <v>0.01</v>
      </c>
      <c r="T2932" s="49">
        <f t="shared" si="813"/>
        <v>130</v>
      </c>
      <c r="U2932" s="51">
        <f t="shared" si="814"/>
        <v>0</v>
      </c>
      <c r="V2932" s="52">
        <f>IF(0&lt;0.8,0,IF(0&lt;1,Sheet3!L561,1))*IF(G2932&lt;3,0.12 - O2932,0.01) *U2932</f>
        <v>0</v>
      </c>
      <c r="W2932" s="52">
        <f t="shared" si="815"/>
        <v>0</v>
      </c>
      <c r="X2932" s="53">
        <f t="shared" si="816"/>
        <v>0</v>
      </c>
      <c r="Y2932" s="53">
        <f t="shared" si="817"/>
        <v>0</v>
      </c>
      <c r="Z2932" s="54">
        <f t="shared" si="807"/>
        <v>0</v>
      </c>
      <c r="AA2932" s="54">
        <f t="shared" si="818"/>
        <v>0</v>
      </c>
      <c r="AB2932" s="55">
        <f t="shared" si="808"/>
        <v>0</v>
      </c>
      <c r="AC2932" s="55">
        <f t="shared" si="819"/>
        <v>0</v>
      </c>
      <c r="AD2932" s="56">
        <f t="shared" si="820"/>
        <v>130</v>
      </c>
    </row>
    <row r="2933" spans="3:30">
      <c r="C2933" s="43" t="s">
        <v>5459</v>
      </c>
      <c r="D2933" s="44" t="s">
        <v>5407</v>
      </c>
      <c r="E2933" s="44"/>
      <c r="F2933" s="45">
        <v>41204.634826388887</v>
      </c>
      <c r="G2933" s="46">
        <v>71</v>
      </c>
      <c r="H2933" s="47">
        <v>43398</v>
      </c>
      <c r="I2933" s="47">
        <v>43413</v>
      </c>
      <c r="J2933" s="46">
        <v>33430790</v>
      </c>
      <c r="K2933" s="46">
        <v>2916747</v>
      </c>
      <c r="L2933" s="46">
        <v>0</v>
      </c>
      <c r="M2933" s="46">
        <f t="shared" si="809"/>
        <v>30514043</v>
      </c>
      <c r="N2933" s="46">
        <v>42223090</v>
      </c>
      <c r="O2933" s="48">
        <f t="shared" si="810"/>
        <v>0.27731383468145032</v>
      </c>
      <c r="P2933" s="46">
        <v>0</v>
      </c>
      <c r="Q2933" s="46">
        <v>30511492</v>
      </c>
      <c r="R2933" s="49">
        <f t="shared" si="811"/>
        <v>1</v>
      </c>
      <c r="S2933" s="50">
        <f t="shared" si="812"/>
        <v>0.01</v>
      </c>
      <c r="T2933" s="49">
        <f t="shared" si="813"/>
        <v>305140.43</v>
      </c>
      <c r="U2933" s="51">
        <f t="shared" si="814"/>
        <v>0</v>
      </c>
      <c r="V2933" s="52">
        <f>IF(0&lt;0.8,0,IF(0&lt;1,Sheet3!L561,1))*IF(G2933&lt;3,0.12 - O2933,0.01) *U2933</f>
        <v>0</v>
      </c>
      <c r="W2933" s="52">
        <f t="shared" si="815"/>
        <v>0</v>
      </c>
      <c r="X2933" s="53">
        <f t="shared" si="816"/>
        <v>0</v>
      </c>
      <c r="Y2933" s="53">
        <f t="shared" si="817"/>
        <v>0</v>
      </c>
      <c r="Z2933" s="54">
        <f t="shared" si="807"/>
        <v>0</v>
      </c>
      <c r="AA2933" s="54">
        <f t="shared" si="818"/>
        <v>0</v>
      </c>
      <c r="AB2933" s="55">
        <f t="shared" si="808"/>
        <v>0</v>
      </c>
      <c r="AC2933" s="55">
        <f t="shared" si="819"/>
        <v>0</v>
      </c>
      <c r="AD2933" s="56">
        <f t="shared" si="820"/>
        <v>305140.43</v>
      </c>
    </row>
    <row r="2934" spans="3:30">
      <c r="C2934" s="43" t="s">
        <v>5460</v>
      </c>
      <c r="D2934" s="44" t="s">
        <v>5461</v>
      </c>
      <c r="E2934" s="44"/>
      <c r="F2934" s="45">
        <v>41215.625567129631</v>
      </c>
      <c r="G2934" s="46">
        <v>70</v>
      </c>
      <c r="H2934" s="47" t="s">
        <v>24</v>
      </c>
      <c r="I2934" s="47" t="s">
        <v>24</v>
      </c>
      <c r="J2934" s="46">
        <v>646744</v>
      </c>
      <c r="K2934" s="46">
        <v>0</v>
      </c>
      <c r="L2934" s="46">
        <v>0</v>
      </c>
      <c r="M2934" s="46">
        <f t="shared" si="809"/>
        <v>646744</v>
      </c>
      <c r="N2934" s="46">
        <v>646744</v>
      </c>
      <c r="O2934" s="48">
        <f t="shared" si="810"/>
        <v>0</v>
      </c>
      <c r="P2934" s="46">
        <v>0</v>
      </c>
      <c r="Q2934" s="46">
        <v>646744</v>
      </c>
      <c r="R2934" s="49">
        <f t="shared" si="811"/>
        <v>1</v>
      </c>
      <c r="S2934" s="50">
        <f t="shared" si="812"/>
        <v>0.01</v>
      </c>
      <c r="T2934" s="49">
        <f t="shared" si="813"/>
        <v>6467.4400000000005</v>
      </c>
      <c r="U2934" s="51">
        <f t="shared" si="814"/>
        <v>0</v>
      </c>
      <c r="V2934" s="52">
        <f>IF(0&lt;0.8,0,IF(0&lt;1,Sheet3!L561,1))*IF(G2934&lt;3,0.12 - O2934,0.01) *U2934</f>
        <v>0</v>
      </c>
      <c r="W2934" s="52">
        <f t="shared" si="815"/>
        <v>0</v>
      </c>
      <c r="X2934" s="53">
        <f t="shared" si="816"/>
        <v>0</v>
      </c>
      <c r="Y2934" s="53">
        <f t="shared" si="817"/>
        <v>0</v>
      </c>
      <c r="Z2934" s="54">
        <f t="shared" si="807"/>
        <v>0</v>
      </c>
      <c r="AA2934" s="54">
        <f t="shared" si="818"/>
        <v>0</v>
      </c>
      <c r="AB2934" s="55">
        <f t="shared" si="808"/>
        <v>0</v>
      </c>
      <c r="AC2934" s="55">
        <f t="shared" si="819"/>
        <v>0</v>
      </c>
      <c r="AD2934" s="56">
        <f t="shared" si="820"/>
        <v>6467.4400000000005</v>
      </c>
    </row>
    <row r="2935" spans="3:30">
      <c r="C2935" s="43" t="s">
        <v>5462</v>
      </c>
      <c r="D2935" s="44" t="s">
        <v>5463</v>
      </c>
      <c r="E2935" s="44"/>
      <c r="F2935" s="45">
        <v>38966.462893518517</v>
      </c>
      <c r="G2935" s="46">
        <v>144</v>
      </c>
      <c r="H2935" s="47">
        <v>43372</v>
      </c>
      <c r="I2935" s="47">
        <v>43395</v>
      </c>
      <c r="J2935" s="46">
        <v>5484325</v>
      </c>
      <c r="K2935" s="46">
        <v>0</v>
      </c>
      <c r="L2935" s="46">
        <v>0</v>
      </c>
      <c r="M2935" s="46">
        <f t="shared" si="809"/>
        <v>5484325</v>
      </c>
      <c r="N2935" s="46">
        <v>5484325</v>
      </c>
      <c r="O2935" s="48">
        <f t="shared" si="810"/>
        <v>0</v>
      </c>
      <c r="P2935" s="46">
        <v>0</v>
      </c>
      <c r="Q2935" s="46">
        <v>5484325</v>
      </c>
      <c r="R2935" s="49">
        <f t="shared" si="811"/>
        <v>1</v>
      </c>
      <c r="S2935" s="50">
        <f t="shared" si="812"/>
        <v>0.01</v>
      </c>
      <c r="T2935" s="49">
        <f t="shared" si="813"/>
        <v>54843.25</v>
      </c>
      <c r="U2935" s="51">
        <f t="shared" si="814"/>
        <v>0</v>
      </c>
      <c r="V2935" s="52">
        <f>IF(0&lt;0.8,0,IF(0&lt;1,Sheet3!L561,1))*IF(G2935&lt;3,0.12 - O2935,0.01) *U2935</f>
        <v>0</v>
      </c>
      <c r="W2935" s="52">
        <f t="shared" si="815"/>
        <v>0</v>
      </c>
      <c r="X2935" s="53">
        <f t="shared" si="816"/>
        <v>0</v>
      </c>
      <c r="Y2935" s="53">
        <f t="shared" si="817"/>
        <v>0</v>
      </c>
      <c r="Z2935" s="54">
        <f t="shared" si="807"/>
        <v>0</v>
      </c>
      <c r="AA2935" s="54">
        <f t="shared" si="818"/>
        <v>0</v>
      </c>
      <c r="AB2935" s="55">
        <f t="shared" si="808"/>
        <v>0</v>
      </c>
      <c r="AC2935" s="55">
        <f t="shared" si="819"/>
        <v>0</v>
      </c>
      <c r="AD2935" s="56">
        <f t="shared" si="820"/>
        <v>54843.25</v>
      </c>
    </row>
    <row r="2936" spans="3:30">
      <c r="C2936" s="43" t="s">
        <v>5464</v>
      </c>
      <c r="D2936" s="44" t="s">
        <v>5465</v>
      </c>
      <c r="E2936" s="44"/>
      <c r="F2936" s="45">
        <v>38966.714444444442</v>
      </c>
      <c r="G2936" s="46">
        <v>144</v>
      </c>
      <c r="H2936" s="47">
        <v>43404</v>
      </c>
      <c r="I2936" s="47">
        <v>43425</v>
      </c>
      <c r="J2936" s="46">
        <v>71573752</v>
      </c>
      <c r="K2936" s="46">
        <v>138424</v>
      </c>
      <c r="L2936" s="46">
        <v>0</v>
      </c>
      <c r="M2936" s="46">
        <f t="shared" si="809"/>
        <v>71435328</v>
      </c>
      <c r="N2936" s="46">
        <v>71573752</v>
      </c>
      <c r="O2936" s="48">
        <f t="shared" si="810"/>
        <v>1.9340050805216613E-3</v>
      </c>
      <c r="P2936" s="46">
        <v>0</v>
      </c>
      <c r="Q2936" s="46">
        <v>71435328</v>
      </c>
      <c r="R2936" s="49">
        <f t="shared" si="811"/>
        <v>1</v>
      </c>
      <c r="S2936" s="50">
        <f t="shared" si="812"/>
        <v>0.01</v>
      </c>
      <c r="T2936" s="49">
        <f t="shared" si="813"/>
        <v>714353.28</v>
      </c>
      <c r="U2936" s="51">
        <f t="shared" si="814"/>
        <v>0</v>
      </c>
      <c r="V2936" s="52">
        <f>IF(0&lt;0.8,0,IF(0&lt;1,Sheet3!L561,1))*IF(G2936&lt;3,0.12 - O2936,0.01) *U2936</f>
        <v>0</v>
      </c>
      <c r="W2936" s="52">
        <f t="shared" si="815"/>
        <v>0</v>
      </c>
      <c r="X2936" s="53">
        <f t="shared" si="816"/>
        <v>0</v>
      </c>
      <c r="Y2936" s="53">
        <f t="shared" si="817"/>
        <v>0</v>
      </c>
      <c r="Z2936" s="54">
        <f t="shared" si="807"/>
        <v>0</v>
      </c>
      <c r="AA2936" s="54">
        <f t="shared" si="818"/>
        <v>0</v>
      </c>
      <c r="AB2936" s="55">
        <f t="shared" si="808"/>
        <v>0</v>
      </c>
      <c r="AC2936" s="55">
        <f t="shared" si="819"/>
        <v>0</v>
      </c>
      <c r="AD2936" s="56">
        <f t="shared" si="820"/>
        <v>714353.28</v>
      </c>
    </row>
    <row r="2937" spans="3:30">
      <c r="C2937" s="43" t="s">
        <v>5466</v>
      </c>
      <c r="D2937" s="44" t="s">
        <v>5467</v>
      </c>
      <c r="E2937" s="44"/>
      <c r="F2937" s="45">
        <v>38966.74962962963</v>
      </c>
      <c r="G2937" s="46">
        <v>144</v>
      </c>
      <c r="H2937" s="47" t="s">
        <v>24</v>
      </c>
      <c r="I2937" s="47" t="s">
        <v>24</v>
      </c>
      <c r="J2937" s="46">
        <v>475409</v>
      </c>
      <c r="K2937" s="46">
        <v>0</v>
      </c>
      <c r="L2937" s="46">
        <v>0</v>
      </c>
      <c r="M2937" s="46">
        <f t="shared" si="809"/>
        <v>475409</v>
      </c>
      <c r="N2937" s="46">
        <v>475409</v>
      </c>
      <c r="O2937" s="48">
        <f t="shared" si="810"/>
        <v>0</v>
      </c>
      <c r="P2937" s="46">
        <v>0</v>
      </c>
      <c r="Q2937" s="46">
        <v>475409</v>
      </c>
      <c r="R2937" s="49">
        <f t="shared" si="811"/>
        <v>1</v>
      </c>
      <c r="S2937" s="50">
        <f t="shared" si="812"/>
        <v>0.01</v>
      </c>
      <c r="T2937" s="49">
        <f t="shared" si="813"/>
        <v>4754.09</v>
      </c>
      <c r="U2937" s="51">
        <f t="shared" si="814"/>
        <v>0</v>
      </c>
      <c r="V2937" s="52">
        <f>IF(0&lt;0.8,0,IF(0&lt;1,Sheet3!L561,1))*IF(G2937&lt;3,0.12 - O2937,0.01) *U2937</f>
        <v>0</v>
      </c>
      <c r="W2937" s="52">
        <f t="shared" si="815"/>
        <v>0</v>
      </c>
      <c r="X2937" s="53">
        <f t="shared" si="816"/>
        <v>0</v>
      </c>
      <c r="Y2937" s="53">
        <f t="shared" si="817"/>
        <v>0</v>
      </c>
      <c r="Z2937" s="54">
        <f t="shared" si="807"/>
        <v>0</v>
      </c>
      <c r="AA2937" s="54">
        <f t="shared" si="818"/>
        <v>0</v>
      </c>
      <c r="AB2937" s="55">
        <f t="shared" si="808"/>
        <v>0</v>
      </c>
      <c r="AC2937" s="55">
        <f t="shared" si="819"/>
        <v>0</v>
      </c>
      <c r="AD2937" s="56">
        <f t="shared" si="820"/>
        <v>4754.09</v>
      </c>
    </row>
    <row r="2938" spans="3:30">
      <c r="C2938" s="43" t="s">
        <v>5468</v>
      </c>
      <c r="D2938" s="44" t="s">
        <v>5469</v>
      </c>
      <c r="E2938" s="44"/>
      <c r="F2938" s="45">
        <v>38967.462719907409</v>
      </c>
      <c r="G2938" s="46">
        <v>144</v>
      </c>
      <c r="H2938" s="47">
        <v>43372</v>
      </c>
      <c r="I2938" s="47">
        <v>43399</v>
      </c>
      <c r="J2938" s="46">
        <v>6591596</v>
      </c>
      <c r="K2938" s="46">
        <v>0</v>
      </c>
      <c r="L2938" s="46">
        <v>0</v>
      </c>
      <c r="M2938" s="46">
        <f t="shared" si="809"/>
        <v>6591596</v>
      </c>
      <c r="N2938" s="46">
        <v>6591596</v>
      </c>
      <c r="O2938" s="48">
        <f t="shared" si="810"/>
        <v>0</v>
      </c>
      <c r="P2938" s="46">
        <v>0</v>
      </c>
      <c r="Q2938" s="46">
        <v>6591596</v>
      </c>
      <c r="R2938" s="49">
        <f t="shared" si="811"/>
        <v>1</v>
      </c>
      <c r="S2938" s="50">
        <f t="shared" si="812"/>
        <v>0.01</v>
      </c>
      <c r="T2938" s="49">
        <f t="shared" si="813"/>
        <v>65915.960000000006</v>
      </c>
      <c r="U2938" s="51">
        <f t="shared" si="814"/>
        <v>0</v>
      </c>
      <c r="V2938" s="52">
        <f>IF(0&lt;0.8,0,IF(0&lt;1,Sheet3!L561,1))*IF(G2938&lt;3,0.12 - O2938,0.01) *U2938</f>
        <v>0</v>
      </c>
      <c r="W2938" s="52">
        <f t="shared" si="815"/>
        <v>0</v>
      </c>
      <c r="X2938" s="53">
        <f t="shared" si="816"/>
        <v>0</v>
      </c>
      <c r="Y2938" s="53">
        <f t="shared" si="817"/>
        <v>0</v>
      </c>
      <c r="Z2938" s="54">
        <f t="shared" si="807"/>
        <v>0</v>
      </c>
      <c r="AA2938" s="54">
        <f t="shared" si="818"/>
        <v>0</v>
      </c>
      <c r="AB2938" s="55">
        <f t="shared" si="808"/>
        <v>0</v>
      </c>
      <c r="AC2938" s="55">
        <f t="shared" si="819"/>
        <v>0</v>
      </c>
      <c r="AD2938" s="56">
        <f t="shared" si="820"/>
        <v>65915.960000000006</v>
      </c>
    </row>
    <row r="2939" spans="3:30">
      <c r="C2939" s="43" t="s">
        <v>5470</v>
      </c>
      <c r="D2939" s="44" t="s">
        <v>5471</v>
      </c>
      <c r="E2939" s="44"/>
      <c r="F2939" s="45">
        <v>38967.671006944445</v>
      </c>
      <c r="G2939" s="46">
        <v>144</v>
      </c>
      <c r="H2939" s="47">
        <v>43372</v>
      </c>
      <c r="I2939" s="47">
        <v>43404</v>
      </c>
      <c r="J2939" s="46">
        <v>527923</v>
      </c>
      <c r="K2939" s="46">
        <v>0</v>
      </c>
      <c r="L2939" s="46">
        <v>0</v>
      </c>
      <c r="M2939" s="46">
        <f t="shared" si="809"/>
        <v>527923</v>
      </c>
      <c r="N2939" s="46">
        <v>527923</v>
      </c>
      <c r="O2939" s="48">
        <f t="shared" si="810"/>
        <v>0</v>
      </c>
      <c r="P2939" s="46">
        <v>0</v>
      </c>
      <c r="Q2939" s="46">
        <v>527923</v>
      </c>
      <c r="R2939" s="49">
        <f t="shared" si="811"/>
        <v>1</v>
      </c>
      <c r="S2939" s="50">
        <f t="shared" si="812"/>
        <v>0.01</v>
      </c>
      <c r="T2939" s="49">
        <f t="shared" si="813"/>
        <v>5279.2300000000005</v>
      </c>
      <c r="U2939" s="51">
        <f t="shared" si="814"/>
        <v>0</v>
      </c>
      <c r="V2939" s="52">
        <f>IF(0&lt;0.8,0,IF(0&lt;1,Sheet3!L561,1))*IF(G2939&lt;3,0.12 - O2939,0.01) *U2939</f>
        <v>0</v>
      </c>
      <c r="W2939" s="52">
        <f t="shared" si="815"/>
        <v>0</v>
      </c>
      <c r="X2939" s="53">
        <f t="shared" si="816"/>
        <v>0</v>
      </c>
      <c r="Y2939" s="53">
        <f t="shared" si="817"/>
        <v>0</v>
      </c>
      <c r="Z2939" s="54">
        <f t="shared" si="807"/>
        <v>0</v>
      </c>
      <c r="AA2939" s="54">
        <f t="shared" si="818"/>
        <v>0</v>
      </c>
      <c r="AB2939" s="55">
        <f t="shared" si="808"/>
        <v>0</v>
      </c>
      <c r="AC2939" s="55">
        <f t="shared" si="819"/>
        <v>0</v>
      </c>
      <c r="AD2939" s="56">
        <f t="shared" si="820"/>
        <v>5279.2300000000005</v>
      </c>
    </row>
    <row r="2940" spans="3:30">
      <c r="C2940" s="43" t="s">
        <v>5472</v>
      </c>
      <c r="D2940" s="44" t="s">
        <v>5473</v>
      </c>
      <c r="E2940" s="44"/>
      <c r="F2940" s="45">
        <v>39310.649178240739</v>
      </c>
      <c r="G2940" s="46">
        <v>133</v>
      </c>
      <c r="H2940" s="47">
        <v>43372</v>
      </c>
      <c r="I2940" s="47">
        <v>43397</v>
      </c>
      <c r="J2940" s="46">
        <v>2082894</v>
      </c>
      <c r="K2940" s="46">
        <v>0</v>
      </c>
      <c r="L2940" s="46">
        <v>0</v>
      </c>
      <c r="M2940" s="46">
        <f t="shared" si="809"/>
        <v>2082894</v>
      </c>
      <c r="N2940" s="46">
        <v>2082894</v>
      </c>
      <c r="O2940" s="48">
        <f t="shared" si="810"/>
        <v>0</v>
      </c>
      <c r="P2940" s="46">
        <v>0</v>
      </c>
      <c r="Q2940" s="46">
        <v>2082894</v>
      </c>
      <c r="R2940" s="49">
        <f t="shared" si="811"/>
        <v>1</v>
      </c>
      <c r="S2940" s="50">
        <f t="shared" si="812"/>
        <v>0.01</v>
      </c>
      <c r="T2940" s="49">
        <f t="shared" si="813"/>
        <v>20828.939999999999</v>
      </c>
      <c r="U2940" s="51">
        <f t="shared" si="814"/>
        <v>0</v>
      </c>
      <c r="V2940" s="52">
        <f>IF(0&lt;0.8,0,IF(0&lt;1,Sheet3!L561,1))*IF(G2940&lt;3,0.12 - O2940,0.01) *U2940</f>
        <v>0</v>
      </c>
      <c r="W2940" s="52">
        <f t="shared" si="815"/>
        <v>0</v>
      </c>
      <c r="X2940" s="53">
        <f t="shared" si="816"/>
        <v>0</v>
      </c>
      <c r="Y2940" s="53">
        <f t="shared" si="817"/>
        <v>0</v>
      </c>
      <c r="Z2940" s="54">
        <f t="shared" si="807"/>
        <v>0</v>
      </c>
      <c r="AA2940" s="54">
        <f t="shared" si="818"/>
        <v>0</v>
      </c>
      <c r="AB2940" s="55">
        <f t="shared" si="808"/>
        <v>0</v>
      </c>
      <c r="AC2940" s="55">
        <f t="shared" si="819"/>
        <v>0</v>
      </c>
      <c r="AD2940" s="56">
        <f t="shared" si="820"/>
        <v>20828.939999999999</v>
      </c>
    </row>
    <row r="2941" spans="3:30">
      <c r="C2941" s="43" t="s">
        <v>5474</v>
      </c>
      <c r="D2941" s="44" t="s">
        <v>5475</v>
      </c>
      <c r="E2941" s="44"/>
      <c r="F2941" s="45">
        <v>39504.461608796293</v>
      </c>
      <c r="G2941" s="46">
        <v>127</v>
      </c>
      <c r="H2941" s="47">
        <v>43372</v>
      </c>
      <c r="I2941" s="47">
        <v>43412</v>
      </c>
      <c r="J2941" s="46">
        <v>4616513</v>
      </c>
      <c r="K2941" s="46">
        <v>0</v>
      </c>
      <c r="L2941" s="46">
        <v>0</v>
      </c>
      <c r="M2941" s="46">
        <f t="shared" si="809"/>
        <v>4616513</v>
      </c>
      <c r="N2941" s="46">
        <v>4616513</v>
      </c>
      <c r="O2941" s="48">
        <f t="shared" si="810"/>
        <v>0</v>
      </c>
      <c r="P2941" s="46">
        <v>0</v>
      </c>
      <c r="Q2941" s="46">
        <v>4616513</v>
      </c>
      <c r="R2941" s="49">
        <f t="shared" si="811"/>
        <v>1</v>
      </c>
      <c r="S2941" s="50">
        <f t="shared" si="812"/>
        <v>0.01</v>
      </c>
      <c r="T2941" s="49">
        <f t="shared" si="813"/>
        <v>46165.13</v>
      </c>
      <c r="U2941" s="51">
        <f t="shared" si="814"/>
        <v>0</v>
      </c>
      <c r="V2941" s="52">
        <f>IF(0&lt;0.8,0,IF(0&lt;1,Sheet3!L561,1))*IF(G2941&lt;3,0.12 - O2941,0.01) *U2941</f>
        <v>0</v>
      </c>
      <c r="W2941" s="52">
        <f t="shared" si="815"/>
        <v>0</v>
      </c>
      <c r="X2941" s="53">
        <f t="shared" si="816"/>
        <v>0</v>
      </c>
      <c r="Y2941" s="53">
        <f t="shared" si="817"/>
        <v>0</v>
      </c>
      <c r="Z2941" s="54">
        <f t="shared" si="807"/>
        <v>0</v>
      </c>
      <c r="AA2941" s="54">
        <f t="shared" si="818"/>
        <v>0</v>
      </c>
      <c r="AB2941" s="55">
        <f t="shared" si="808"/>
        <v>0</v>
      </c>
      <c r="AC2941" s="55">
        <f t="shared" si="819"/>
        <v>0</v>
      </c>
      <c r="AD2941" s="56">
        <f t="shared" si="820"/>
        <v>46165.13</v>
      </c>
    </row>
    <row r="2942" spans="3:30">
      <c r="C2942" s="43" t="s">
        <v>5476</v>
      </c>
      <c r="D2942" s="44" t="s">
        <v>5477</v>
      </c>
      <c r="E2942" s="44"/>
      <c r="F2942" s="45">
        <v>39539.474502314813</v>
      </c>
      <c r="G2942" s="46">
        <v>125</v>
      </c>
      <c r="H2942" s="47">
        <v>43390</v>
      </c>
      <c r="I2942" s="47">
        <v>43423</v>
      </c>
      <c r="J2942" s="46">
        <v>9892080</v>
      </c>
      <c r="K2942" s="46">
        <v>2442</v>
      </c>
      <c r="L2942" s="46">
        <v>0</v>
      </c>
      <c r="M2942" s="46">
        <f t="shared" si="809"/>
        <v>9889638</v>
      </c>
      <c r="N2942" s="46">
        <v>10539947</v>
      </c>
      <c r="O2942" s="48">
        <f t="shared" si="810"/>
        <v>6.1699456363490279E-2</v>
      </c>
      <c r="P2942" s="46">
        <v>0</v>
      </c>
      <c r="Q2942" s="46">
        <v>9892080</v>
      </c>
      <c r="R2942" s="49">
        <f t="shared" si="811"/>
        <v>1</v>
      </c>
      <c r="S2942" s="50">
        <f t="shared" si="812"/>
        <v>0.01</v>
      </c>
      <c r="T2942" s="49">
        <f t="shared" si="813"/>
        <v>98896.38</v>
      </c>
      <c r="U2942" s="51">
        <f t="shared" si="814"/>
        <v>0</v>
      </c>
      <c r="V2942" s="52">
        <f>IF(0&lt;0.8,0,IF(0&lt;1,Sheet3!L561,1))*IF(G2942&lt;3,0.12 - O2942,0.01) *U2942</f>
        <v>0</v>
      </c>
      <c r="W2942" s="52">
        <f t="shared" si="815"/>
        <v>0</v>
      </c>
      <c r="X2942" s="53">
        <f t="shared" si="816"/>
        <v>0</v>
      </c>
      <c r="Y2942" s="53">
        <f t="shared" si="817"/>
        <v>0</v>
      </c>
      <c r="Z2942" s="54">
        <f t="shared" si="807"/>
        <v>0</v>
      </c>
      <c r="AA2942" s="54">
        <f t="shared" si="818"/>
        <v>0</v>
      </c>
      <c r="AB2942" s="55">
        <f t="shared" si="808"/>
        <v>0</v>
      </c>
      <c r="AC2942" s="55">
        <f t="shared" si="819"/>
        <v>0</v>
      </c>
      <c r="AD2942" s="56">
        <f t="shared" si="820"/>
        <v>98896.38</v>
      </c>
    </row>
    <row r="2943" spans="3:30">
      <c r="C2943" s="43" t="s">
        <v>5478</v>
      </c>
      <c r="D2943" s="44" t="s">
        <v>5479</v>
      </c>
      <c r="E2943" s="44"/>
      <c r="F2943" s="45">
        <v>39694.037685185183</v>
      </c>
      <c r="G2943" s="46">
        <v>120</v>
      </c>
      <c r="H2943" s="47">
        <v>43385</v>
      </c>
      <c r="I2943" s="47">
        <v>43398</v>
      </c>
      <c r="J2943" s="46">
        <v>1873649</v>
      </c>
      <c r="K2943" s="46">
        <v>0</v>
      </c>
      <c r="L2943" s="46">
        <v>0</v>
      </c>
      <c r="M2943" s="46">
        <f t="shared" si="809"/>
        <v>1873649</v>
      </c>
      <c r="N2943" s="46">
        <v>1872959</v>
      </c>
      <c r="O2943" s="48">
        <f t="shared" si="810"/>
        <v>0</v>
      </c>
      <c r="P2943" s="46">
        <v>0</v>
      </c>
      <c r="Q2943" s="46">
        <v>1873649</v>
      </c>
      <c r="R2943" s="49">
        <f t="shared" si="811"/>
        <v>1</v>
      </c>
      <c r="S2943" s="50">
        <f t="shared" si="812"/>
        <v>0.01</v>
      </c>
      <c r="T2943" s="49">
        <f t="shared" si="813"/>
        <v>18736.490000000002</v>
      </c>
      <c r="U2943" s="51">
        <f t="shared" si="814"/>
        <v>0</v>
      </c>
      <c r="V2943" s="52">
        <f>IF(0&lt;0.8,0,IF(0&lt;1,Sheet3!L561,1))*IF(G2943&lt;3,0.12 - O2943,0.01) *U2943</f>
        <v>0</v>
      </c>
      <c r="W2943" s="52">
        <f t="shared" si="815"/>
        <v>0</v>
      </c>
      <c r="X2943" s="53">
        <f t="shared" si="816"/>
        <v>0</v>
      </c>
      <c r="Y2943" s="53">
        <f t="shared" si="817"/>
        <v>0</v>
      </c>
      <c r="Z2943" s="54">
        <f t="shared" si="807"/>
        <v>0</v>
      </c>
      <c r="AA2943" s="54">
        <f t="shared" si="818"/>
        <v>0</v>
      </c>
      <c r="AB2943" s="55">
        <f t="shared" si="808"/>
        <v>0</v>
      </c>
      <c r="AC2943" s="55">
        <f t="shared" si="819"/>
        <v>0</v>
      </c>
      <c r="AD2943" s="56">
        <f t="shared" si="820"/>
        <v>18736.490000000002</v>
      </c>
    </row>
    <row r="2944" spans="3:30">
      <c r="C2944" s="43" t="s">
        <v>5480</v>
      </c>
      <c r="D2944" s="44" t="s">
        <v>5481</v>
      </c>
      <c r="E2944" s="44"/>
      <c r="F2944" s="45">
        <v>39756.948206018518</v>
      </c>
      <c r="G2944" s="46">
        <v>118</v>
      </c>
      <c r="H2944" s="47">
        <v>43424</v>
      </c>
      <c r="I2944" s="47">
        <v>43487</v>
      </c>
      <c r="J2944" s="46">
        <v>42768683</v>
      </c>
      <c r="K2944" s="46">
        <v>0</v>
      </c>
      <c r="L2944" s="46">
        <v>0</v>
      </c>
      <c r="M2944" s="46">
        <f t="shared" si="809"/>
        <v>42768683</v>
      </c>
      <c r="N2944" s="46">
        <v>60840837</v>
      </c>
      <c r="O2944" s="48">
        <f t="shared" si="810"/>
        <v>0.29703986485261535</v>
      </c>
      <c r="P2944" s="46">
        <v>0</v>
      </c>
      <c r="Q2944" s="46">
        <v>42768683</v>
      </c>
      <c r="R2944" s="49">
        <f t="shared" si="811"/>
        <v>1</v>
      </c>
      <c r="S2944" s="50">
        <f t="shared" si="812"/>
        <v>0.01</v>
      </c>
      <c r="T2944" s="49">
        <f t="shared" si="813"/>
        <v>427686.83</v>
      </c>
      <c r="U2944" s="51">
        <f t="shared" si="814"/>
        <v>0</v>
      </c>
      <c r="V2944" s="52">
        <f>IF(0&lt;0.8,0,IF(0&lt;1,Sheet3!L561,1))*IF(G2944&lt;3,0.12 - O2944,0.01) *U2944</f>
        <v>0</v>
      </c>
      <c r="W2944" s="52">
        <f t="shared" si="815"/>
        <v>0</v>
      </c>
      <c r="X2944" s="53">
        <f t="shared" si="816"/>
        <v>0</v>
      </c>
      <c r="Y2944" s="53">
        <f t="shared" si="817"/>
        <v>0</v>
      </c>
      <c r="Z2944" s="54">
        <f t="shared" si="807"/>
        <v>0</v>
      </c>
      <c r="AA2944" s="54">
        <f t="shared" si="818"/>
        <v>0</v>
      </c>
      <c r="AB2944" s="55">
        <f t="shared" si="808"/>
        <v>0</v>
      </c>
      <c r="AC2944" s="55">
        <f t="shared" si="819"/>
        <v>0</v>
      </c>
      <c r="AD2944" s="56">
        <f t="shared" si="820"/>
        <v>427686.83</v>
      </c>
    </row>
    <row r="2945" spans="3:30">
      <c r="C2945" s="43" t="s">
        <v>5482</v>
      </c>
      <c r="D2945" s="44" t="s">
        <v>5483</v>
      </c>
      <c r="E2945" s="44"/>
      <c r="F2945" s="45">
        <v>39860.723738425928</v>
      </c>
      <c r="G2945" s="46">
        <v>115</v>
      </c>
      <c r="H2945" s="47">
        <v>43465</v>
      </c>
      <c r="I2945" s="47">
        <v>43480</v>
      </c>
      <c r="J2945" s="46">
        <v>22809347</v>
      </c>
      <c r="K2945" s="46">
        <v>0</v>
      </c>
      <c r="L2945" s="46">
        <v>0</v>
      </c>
      <c r="M2945" s="46">
        <f t="shared" si="809"/>
        <v>22809347</v>
      </c>
      <c r="N2945" s="46">
        <v>22705166</v>
      </c>
      <c r="O2945" s="48">
        <f t="shared" si="810"/>
        <v>0</v>
      </c>
      <c r="P2945" s="46">
        <v>0</v>
      </c>
      <c r="Q2945" s="46">
        <v>23040578</v>
      </c>
      <c r="R2945" s="49">
        <f t="shared" si="811"/>
        <v>1</v>
      </c>
      <c r="S2945" s="50">
        <f t="shared" si="812"/>
        <v>0.01</v>
      </c>
      <c r="T2945" s="49">
        <f t="shared" si="813"/>
        <v>228093.47</v>
      </c>
      <c r="U2945" s="51">
        <f t="shared" si="814"/>
        <v>0</v>
      </c>
      <c r="V2945" s="52">
        <f>IF(0&lt;0.8,0,IF(0&lt;1,Sheet3!L561,1))*IF(G2945&lt;3,0.12 - O2945,0.01) *U2945</f>
        <v>0</v>
      </c>
      <c r="W2945" s="52">
        <f t="shared" si="815"/>
        <v>0</v>
      </c>
      <c r="X2945" s="53">
        <f t="shared" si="816"/>
        <v>0</v>
      </c>
      <c r="Y2945" s="53">
        <f t="shared" si="817"/>
        <v>0</v>
      </c>
      <c r="Z2945" s="54">
        <f t="shared" si="807"/>
        <v>0</v>
      </c>
      <c r="AA2945" s="54">
        <f t="shared" si="818"/>
        <v>0</v>
      </c>
      <c r="AB2945" s="55">
        <f t="shared" si="808"/>
        <v>0</v>
      </c>
      <c r="AC2945" s="55">
        <f t="shared" si="819"/>
        <v>0</v>
      </c>
      <c r="AD2945" s="56">
        <f t="shared" si="820"/>
        <v>228093.47</v>
      </c>
    </row>
    <row r="2946" spans="3:30">
      <c r="C2946" s="43" t="s">
        <v>5484</v>
      </c>
      <c r="D2946" s="44" t="s">
        <v>5485</v>
      </c>
      <c r="E2946" s="44"/>
      <c r="F2946" s="45">
        <v>39877.655312499999</v>
      </c>
      <c r="G2946" s="46">
        <v>114</v>
      </c>
      <c r="H2946" s="47">
        <v>43449</v>
      </c>
      <c r="I2946" s="47">
        <v>43488</v>
      </c>
      <c r="J2946" s="46">
        <v>8195898</v>
      </c>
      <c r="K2946" s="46">
        <v>0</v>
      </c>
      <c r="L2946" s="46">
        <v>0</v>
      </c>
      <c r="M2946" s="46">
        <f t="shared" si="809"/>
        <v>8195898</v>
      </c>
      <c r="N2946" s="46">
        <v>8555173</v>
      </c>
      <c r="O2946" s="48">
        <f t="shared" si="810"/>
        <v>4.1995059597275231E-2</v>
      </c>
      <c r="P2946" s="46">
        <v>0</v>
      </c>
      <c r="Q2946" s="46">
        <v>8195898</v>
      </c>
      <c r="R2946" s="49">
        <f t="shared" si="811"/>
        <v>1</v>
      </c>
      <c r="S2946" s="50">
        <f t="shared" si="812"/>
        <v>0.01</v>
      </c>
      <c r="T2946" s="49">
        <f t="shared" si="813"/>
        <v>81958.98</v>
      </c>
      <c r="U2946" s="51">
        <f t="shared" si="814"/>
        <v>0</v>
      </c>
      <c r="V2946" s="52">
        <f>IF(0&lt;0.8,0,IF(0&lt;1,Sheet3!L561,1))*IF(G2946&lt;3,0.12 - O2946,0.01) *U2946</f>
        <v>0</v>
      </c>
      <c r="W2946" s="52">
        <f t="shared" si="815"/>
        <v>0</v>
      </c>
      <c r="X2946" s="53">
        <f t="shared" si="816"/>
        <v>0</v>
      </c>
      <c r="Y2946" s="53">
        <f t="shared" si="817"/>
        <v>0</v>
      </c>
      <c r="Z2946" s="54">
        <f t="shared" si="807"/>
        <v>0</v>
      </c>
      <c r="AA2946" s="54">
        <f t="shared" si="818"/>
        <v>0</v>
      </c>
      <c r="AB2946" s="55">
        <f t="shared" si="808"/>
        <v>0</v>
      </c>
      <c r="AC2946" s="55">
        <f t="shared" si="819"/>
        <v>0</v>
      </c>
      <c r="AD2946" s="56">
        <f t="shared" si="820"/>
        <v>81958.98</v>
      </c>
    </row>
    <row r="2947" spans="3:30">
      <c r="C2947" s="43" t="s">
        <v>5486</v>
      </c>
      <c r="D2947" s="44" t="s">
        <v>5487</v>
      </c>
      <c r="E2947" s="44"/>
      <c r="F2947" s="45">
        <v>40000.448113425926</v>
      </c>
      <c r="G2947" s="46">
        <v>110</v>
      </c>
      <c r="H2947" s="47">
        <v>43385</v>
      </c>
      <c r="I2947" s="47">
        <v>43413</v>
      </c>
      <c r="J2947" s="46">
        <v>787952</v>
      </c>
      <c r="K2947" s="46">
        <v>0</v>
      </c>
      <c r="L2947" s="46">
        <v>0</v>
      </c>
      <c r="M2947" s="46">
        <f t="shared" si="809"/>
        <v>787952</v>
      </c>
      <c r="N2947" s="46">
        <v>787952</v>
      </c>
      <c r="O2947" s="48">
        <f t="shared" si="810"/>
        <v>0</v>
      </c>
      <c r="P2947" s="46">
        <v>0</v>
      </c>
      <c r="Q2947" s="46">
        <v>787952</v>
      </c>
      <c r="R2947" s="49">
        <f t="shared" si="811"/>
        <v>1</v>
      </c>
      <c r="S2947" s="50">
        <f t="shared" si="812"/>
        <v>0.01</v>
      </c>
      <c r="T2947" s="49">
        <f t="shared" si="813"/>
        <v>7879.52</v>
      </c>
      <c r="U2947" s="51">
        <f t="shared" si="814"/>
        <v>0</v>
      </c>
      <c r="V2947" s="52">
        <f>IF(0&lt;0.8,0,IF(0&lt;1,Sheet3!L561,1))*IF(G2947&lt;3,0.12 - O2947,0.01) *U2947</f>
        <v>0</v>
      </c>
      <c r="W2947" s="52">
        <f t="shared" si="815"/>
        <v>0</v>
      </c>
      <c r="X2947" s="53">
        <f t="shared" si="816"/>
        <v>0</v>
      </c>
      <c r="Y2947" s="53">
        <f t="shared" si="817"/>
        <v>0</v>
      </c>
      <c r="Z2947" s="54">
        <f t="shared" si="807"/>
        <v>0</v>
      </c>
      <c r="AA2947" s="54">
        <f t="shared" si="818"/>
        <v>0</v>
      </c>
      <c r="AB2947" s="55">
        <f t="shared" si="808"/>
        <v>0</v>
      </c>
      <c r="AC2947" s="55">
        <f t="shared" si="819"/>
        <v>0</v>
      </c>
      <c r="AD2947" s="56">
        <f t="shared" si="820"/>
        <v>7879.52</v>
      </c>
    </row>
    <row r="2948" spans="3:30">
      <c r="C2948" s="43" t="s">
        <v>5488</v>
      </c>
      <c r="D2948" s="44" t="s">
        <v>5489</v>
      </c>
      <c r="E2948" s="44"/>
      <c r="F2948" s="45">
        <v>40133.670289351852</v>
      </c>
      <c r="G2948" s="46">
        <v>106</v>
      </c>
      <c r="H2948" s="47">
        <v>43480</v>
      </c>
      <c r="I2948" s="47">
        <v>43511</v>
      </c>
      <c r="J2948" s="46">
        <v>1882648405</v>
      </c>
      <c r="K2948" s="46">
        <v>0</v>
      </c>
      <c r="L2948" s="46">
        <v>0</v>
      </c>
      <c r="M2948" s="46">
        <f t="shared" si="809"/>
        <v>1882648405</v>
      </c>
      <c r="N2948" s="46">
        <v>2068570160</v>
      </c>
      <c r="O2948" s="48">
        <f t="shared" si="810"/>
        <v>8.9879356569660618E-2</v>
      </c>
      <c r="P2948" s="46">
        <v>0</v>
      </c>
      <c r="Q2948" s="46">
        <v>1882648405</v>
      </c>
      <c r="R2948" s="49">
        <f t="shared" si="811"/>
        <v>1</v>
      </c>
      <c r="S2948" s="50">
        <f t="shared" si="812"/>
        <v>0.01</v>
      </c>
      <c r="T2948" s="49">
        <f t="shared" si="813"/>
        <v>18826484.050000001</v>
      </c>
      <c r="U2948" s="51">
        <f t="shared" si="814"/>
        <v>0</v>
      </c>
      <c r="V2948" s="52">
        <f>IF(0&lt;0.8,0,IF(0&lt;1,Sheet3!L561,1))*IF(G2948&lt;3,0.12 - O2948,0.01) *U2948</f>
        <v>0</v>
      </c>
      <c r="W2948" s="52">
        <f t="shared" si="815"/>
        <v>0</v>
      </c>
      <c r="X2948" s="53">
        <f t="shared" si="816"/>
        <v>0</v>
      </c>
      <c r="Y2948" s="53">
        <f t="shared" si="817"/>
        <v>0</v>
      </c>
      <c r="Z2948" s="54">
        <f t="shared" si="807"/>
        <v>0</v>
      </c>
      <c r="AA2948" s="54">
        <f t="shared" si="818"/>
        <v>0</v>
      </c>
      <c r="AB2948" s="55">
        <f t="shared" si="808"/>
        <v>0</v>
      </c>
      <c r="AC2948" s="55">
        <f t="shared" si="819"/>
        <v>0</v>
      </c>
      <c r="AD2948" s="56">
        <f t="shared" si="820"/>
        <v>18826484.050000001</v>
      </c>
    </row>
    <row r="2949" spans="3:30">
      <c r="C2949" s="43" t="s">
        <v>5490</v>
      </c>
      <c r="D2949" s="44" t="s">
        <v>5491</v>
      </c>
      <c r="E2949" s="44"/>
      <c r="F2949" s="45">
        <v>40247.691087962958</v>
      </c>
      <c r="G2949" s="46">
        <v>102</v>
      </c>
      <c r="H2949" s="47">
        <v>43449</v>
      </c>
      <c r="I2949" s="47">
        <v>43473</v>
      </c>
      <c r="J2949" s="46">
        <v>381434587</v>
      </c>
      <c r="K2949" s="46">
        <v>60</v>
      </c>
      <c r="L2949" s="46">
        <v>0</v>
      </c>
      <c r="M2949" s="46">
        <f t="shared" si="809"/>
        <v>381434527</v>
      </c>
      <c r="N2949" s="46">
        <v>5026754613</v>
      </c>
      <c r="O2949" s="48">
        <f t="shared" si="810"/>
        <v>0.92411912727676249</v>
      </c>
      <c r="P2949" s="46">
        <v>0</v>
      </c>
      <c r="Q2949" s="46">
        <v>383012187</v>
      </c>
      <c r="R2949" s="49">
        <f t="shared" si="811"/>
        <v>1</v>
      </c>
      <c r="S2949" s="50">
        <f t="shared" si="812"/>
        <v>0.01</v>
      </c>
      <c r="T2949" s="49">
        <f t="shared" si="813"/>
        <v>3814345.27</v>
      </c>
      <c r="U2949" s="51">
        <f t="shared" si="814"/>
        <v>0</v>
      </c>
      <c r="V2949" s="52">
        <f>IF(0&lt;0.8,0,IF(0&lt;1,Sheet3!L561,1))*IF(G2949&lt;3,0.12 - O2949,0.01) *U2949</f>
        <v>0</v>
      </c>
      <c r="W2949" s="52">
        <f t="shared" si="815"/>
        <v>0</v>
      </c>
      <c r="X2949" s="53">
        <f t="shared" si="816"/>
        <v>0</v>
      </c>
      <c r="Y2949" s="53">
        <f t="shared" si="817"/>
        <v>0</v>
      </c>
      <c r="Z2949" s="54">
        <f>IF(R2949=1,0,303836886)</f>
        <v>0</v>
      </c>
      <c r="AA2949" s="54">
        <f t="shared" si="818"/>
        <v>0</v>
      </c>
      <c r="AB2949" s="55">
        <f t="shared" si="808"/>
        <v>0</v>
      </c>
      <c r="AC2949" s="55">
        <f t="shared" si="819"/>
        <v>0</v>
      </c>
      <c r="AD2949" s="56">
        <f t="shared" si="820"/>
        <v>3814345.27</v>
      </c>
    </row>
    <row r="2950" spans="3:30">
      <c r="C2950" s="43" t="s">
        <v>5492</v>
      </c>
      <c r="D2950" s="44" t="s">
        <v>5493</v>
      </c>
      <c r="E2950" s="44"/>
      <c r="F2950" s="45">
        <v>40247.679780092592</v>
      </c>
      <c r="G2950" s="46">
        <v>102</v>
      </c>
      <c r="H2950" s="47">
        <v>43372</v>
      </c>
      <c r="I2950" s="47">
        <v>43426</v>
      </c>
      <c r="J2950" s="46">
        <v>584672</v>
      </c>
      <c r="K2950" s="46">
        <v>0</v>
      </c>
      <c r="L2950" s="46">
        <v>0</v>
      </c>
      <c r="M2950" s="46">
        <f t="shared" si="809"/>
        <v>584672</v>
      </c>
      <c r="N2950" s="46">
        <v>584672</v>
      </c>
      <c r="O2950" s="48">
        <f t="shared" si="810"/>
        <v>0</v>
      </c>
      <c r="P2950" s="46">
        <v>0</v>
      </c>
      <c r="Q2950" s="46">
        <v>584672</v>
      </c>
      <c r="R2950" s="49">
        <f t="shared" si="811"/>
        <v>1</v>
      </c>
      <c r="S2950" s="50">
        <f t="shared" si="812"/>
        <v>0.01</v>
      </c>
      <c r="T2950" s="49">
        <f t="shared" si="813"/>
        <v>5846.72</v>
      </c>
      <c r="U2950" s="51">
        <f t="shared" si="814"/>
        <v>0</v>
      </c>
      <c r="V2950" s="52">
        <f>IF(0&lt;0.8,0,IF(0&lt;1,Sheet3!L561,1))*IF(G2950&lt;3,0.12 - O2950,0.01) *U2950</f>
        <v>0</v>
      </c>
      <c r="W2950" s="52">
        <f t="shared" si="815"/>
        <v>0</v>
      </c>
      <c r="X2950" s="53">
        <f t="shared" si="816"/>
        <v>0</v>
      </c>
      <c r="Y2950" s="53">
        <f t="shared" si="817"/>
        <v>0</v>
      </c>
      <c r="Z2950" s="54">
        <f t="shared" ref="Z2950:Z2984" si="821">IF(R2950=1,0,0)</f>
        <v>0</v>
      </c>
      <c r="AA2950" s="54">
        <f t="shared" si="818"/>
        <v>0</v>
      </c>
      <c r="AB2950" s="55">
        <f t="shared" si="808"/>
        <v>0</v>
      </c>
      <c r="AC2950" s="55">
        <f t="shared" si="819"/>
        <v>0</v>
      </c>
      <c r="AD2950" s="56">
        <f t="shared" si="820"/>
        <v>5846.72</v>
      </c>
    </row>
    <row r="2951" spans="3:30">
      <c r="C2951" s="43" t="s">
        <v>5494</v>
      </c>
      <c r="D2951" s="44" t="s">
        <v>5495</v>
      </c>
      <c r="E2951" s="44"/>
      <c r="F2951" s="45">
        <v>40313.422534722224</v>
      </c>
      <c r="G2951" s="46">
        <v>100</v>
      </c>
      <c r="H2951" s="47">
        <v>43372</v>
      </c>
      <c r="I2951" s="47">
        <v>43399</v>
      </c>
      <c r="J2951" s="46">
        <v>149314</v>
      </c>
      <c r="K2951" s="46">
        <v>0</v>
      </c>
      <c r="L2951" s="46">
        <v>0</v>
      </c>
      <c r="M2951" s="46">
        <f t="shared" si="809"/>
        <v>149314</v>
      </c>
      <c r="N2951" s="46">
        <v>149314</v>
      </c>
      <c r="O2951" s="48">
        <f t="shared" si="810"/>
        <v>0</v>
      </c>
      <c r="P2951" s="46">
        <v>0</v>
      </c>
      <c r="Q2951" s="46">
        <v>149314</v>
      </c>
      <c r="R2951" s="49">
        <f t="shared" si="811"/>
        <v>1</v>
      </c>
      <c r="S2951" s="50">
        <f t="shared" si="812"/>
        <v>0.01</v>
      </c>
      <c r="T2951" s="49">
        <f t="shared" si="813"/>
        <v>1493.14</v>
      </c>
      <c r="U2951" s="51">
        <f t="shared" si="814"/>
        <v>0</v>
      </c>
      <c r="V2951" s="52">
        <f>IF(0&lt;0.8,0,IF(0&lt;1,Sheet3!L561,1))*IF(G2951&lt;3,0.12 - O2951,0.01) *U2951</f>
        <v>0</v>
      </c>
      <c r="W2951" s="52">
        <f t="shared" si="815"/>
        <v>0</v>
      </c>
      <c r="X2951" s="53">
        <f t="shared" si="816"/>
        <v>0</v>
      </c>
      <c r="Y2951" s="53">
        <f t="shared" si="817"/>
        <v>0</v>
      </c>
      <c r="Z2951" s="54">
        <f t="shared" si="821"/>
        <v>0</v>
      </c>
      <c r="AA2951" s="54">
        <f t="shared" si="818"/>
        <v>0</v>
      </c>
      <c r="AB2951" s="55">
        <f t="shared" si="808"/>
        <v>0</v>
      </c>
      <c r="AC2951" s="55">
        <f t="shared" si="819"/>
        <v>0</v>
      </c>
      <c r="AD2951" s="56">
        <f t="shared" si="820"/>
        <v>1493.14</v>
      </c>
    </row>
    <row r="2952" spans="3:30">
      <c r="C2952" s="43" t="s">
        <v>5496</v>
      </c>
      <c r="D2952" s="44" t="s">
        <v>5497</v>
      </c>
      <c r="E2952" s="44"/>
      <c r="F2952" s="45">
        <v>40352.651180555556</v>
      </c>
      <c r="G2952" s="46">
        <v>99</v>
      </c>
      <c r="H2952" s="47">
        <v>43404</v>
      </c>
      <c r="I2952" s="47">
        <v>43497</v>
      </c>
      <c r="J2952" s="46">
        <v>52649133</v>
      </c>
      <c r="K2952" s="46">
        <v>0</v>
      </c>
      <c r="L2952" s="46">
        <v>0</v>
      </c>
      <c r="M2952" s="46">
        <f t="shared" si="809"/>
        <v>52649133</v>
      </c>
      <c r="N2952" s="46">
        <v>54423062</v>
      </c>
      <c r="O2952" s="48">
        <f t="shared" si="810"/>
        <v>3.2595170775212901E-2</v>
      </c>
      <c r="P2952" s="46">
        <v>0</v>
      </c>
      <c r="Q2952" s="46">
        <v>52649133</v>
      </c>
      <c r="R2952" s="49">
        <f t="shared" si="811"/>
        <v>1</v>
      </c>
      <c r="S2952" s="50">
        <f t="shared" si="812"/>
        <v>0.01</v>
      </c>
      <c r="T2952" s="49">
        <f t="shared" si="813"/>
        <v>526491.32999999996</v>
      </c>
      <c r="U2952" s="51">
        <f t="shared" si="814"/>
        <v>0</v>
      </c>
      <c r="V2952" s="52">
        <f>IF(0&lt;0.8,0,IF(0&lt;1,Sheet3!L561,1))*IF(G2952&lt;3,0.12 - O2952,0.01) *U2952</f>
        <v>0</v>
      </c>
      <c r="W2952" s="52">
        <f t="shared" si="815"/>
        <v>0</v>
      </c>
      <c r="X2952" s="53">
        <f t="shared" si="816"/>
        <v>0</v>
      </c>
      <c r="Y2952" s="53">
        <f t="shared" si="817"/>
        <v>0</v>
      </c>
      <c r="Z2952" s="54">
        <f t="shared" si="821"/>
        <v>0</v>
      </c>
      <c r="AA2952" s="54">
        <f t="shared" si="818"/>
        <v>0</v>
      </c>
      <c r="AB2952" s="55">
        <f t="shared" si="808"/>
        <v>0</v>
      </c>
      <c r="AC2952" s="55">
        <f t="shared" si="819"/>
        <v>0</v>
      </c>
      <c r="AD2952" s="56">
        <f t="shared" si="820"/>
        <v>526491.32999999996</v>
      </c>
    </row>
    <row r="2953" spans="3:30">
      <c r="C2953" s="43" t="s">
        <v>5498</v>
      </c>
      <c r="D2953" s="44" t="s">
        <v>5499</v>
      </c>
      <c r="E2953" s="44"/>
      <c r="F2953" s="45">
        <v>40561.634837962964</v>
      </c>
      <c r="G2953" s="46">
        <v>92</v>
      </c>
      <c r="H2953" s="47">
        <v>43404</v>
      </c>
      <c r="I2953" s="47">
        <v>43474</v>
      </c>
      <c r="J2953" s="46">
        <v>5095552</v>
      </c>
      <c r="K2953" s="46">
        <v>0</v>
      </c>
      <c r="L2953" s="46">
        <v>0</v>
      </c>
      <c r="M2953" s="46">
        <f t="shared" si="809"/>
        <v>5095552</v>
      </c>
      <c r="N2953" s="46">
        <v>4711982</v>
      </c>
      <c r="O2953" s="48">
        <f t="shared" si="810"/>
        <v>0</v>
      </c>
      <c r="P2953" s="46">
        <v>0</v>
      </c>
      <c r="Q2953" s="46">
        <v>5095552</v>
      </c>
      <c r="R2953" s="49">
        <f t="shared" si="811"/>
        <v>1</v>
      </c>
      <c r="S2953" s="50">
        <f t="shared" si="812"/>
        <v>0.01</v>
      </c>
      <c r="T2953" s="49">
        <f t="shared" si="813"/>
        <v>50955.520000000004</v>
      </c>
      <c r="U2953" s="51">
        <f t="shared" si="814"/>
        <v>0</v>
      </c>
      <c r="V2953" s="52">
        <f>IF(0&lt;0.8,0,IF(0&lt;1,Sheet3!L561,1))*IF(G2953&lt;3,0.12 - O2953,0.01) *U2953</f>
        <v>0</v>
      </c>
      <c r="W2953" s="52">
        <f t="shared" si="815"/>
        <v>0</v>
      </c>
      <c r="X2953" s="53">
        <f t="shared" si="816"/>
        <v>0</v>
      </c>
      <c r="Y2953" s="53">
        <f t="shared" si="817"/>
        <v>0</v>
      </c>
      <c r="Z2953" s="54">
        <f t="shared" si="821"/>
        <v>0</v>
      </c>
      <c r="AA2953" s="54">
        <f t="shared" si="818"/>
        <v>0</v>
      </c>
      <c r="AB2953" s="55">
        <f t="shared" si="808"/>
        <v>0</v>
      </c>
      <c r="AC2953" s="55">
        <f t="shared" si="819"/>
        <v>0</v>
      </c>
      <c r="AD2953" s="56">
        <f t="shared" si="820"/>
        <v>50955.520000000004</v>
      </c>
    </row>
    <row r="2954" spans="3:30">
      <c r="C2954" s="43" t="s">
        <v>5500</v>
      </c>
      <c r="D2954" s="44" t="s">
        <v>5501</v>
      </c>
      <c r="E2954" s="44"/>
      <c r="F2954" s="45">
        <v>40869.67695601852</v>
      </c>
      <c r="G2954" s="46">
        <v>82</v>
      </c>
      <c r="H2954" s="47">
        <v>43372</v>
      </c>
      <c r="I2954" s="47">
        <v>43385</v>
      </c>
      <c r="J2954" s="46">
        <v>1806167</v>
      </c>
      <c r="K2954" s="46">
        <v>0</v>
      </c>
      <c r="L2954" s="46">
        <v>0</v>
      </c>
      <c r="M2954" s="46">
        <f t="shared" si="809"/>
        <v>1806167</v>
      </c>
      <c r="N2954" s="46">
        <v>1806167</v>
      </c>
      <c r="O2954" s="48">
        <f t="shared" si="810"/>
        <v>0</v>
      </c>
      <c r="P2954" s="46">
        <v>0</v>
      </c>
      <c r="Q2954" s="46">
        <v>1806167</v>
      </c>
      <c r="R2954" s="49">
        <f t="shared" si="811"/>
        <v>1</v>
      </c>
      <c r="S2954" s="50">
        <f t="shared" si="812"/>
        <v>0.01</v>
      </c>
      <c r="T2954" s="49">
        <f t="shared" si="813"/>
        <v>18061.670000000002</v>
      </c>
      <c r="U2954" s="51">
        <f t="shared" si="814"/>
        <v>0</v>
      </c>
      <c r="V2954" s="52">
        <f>IF(0&lt;0.8,0,IF(0&lt;1,Sheet3!L561,1))*IF(G2954&lt;3,0.12 - O2954,0.01) *U2954</f>
        <v>0</v>
      </c>
      <c r="W2954" s="52">
        <f t="shared" si="815"/>
        <v>0</v>
      </c>
      <c r="X2954" s="53">
        <f t="shared" si="816"/>
        <v>0</v>
      </c>
      <c r="Y2954" s="53">
        <f t="shared" si="817"/>
        <v>0</v>
      </c>
      <c r="Z2954" s="54">
        <f t="shared" si="821"/>
        <v>0</v>
      </c>
      <c r="AA2954" s="54">
        <f t="shared" si="818"/>
        <v>0</v>
      </c>
      <c r="AB2954" s="55">
        <f t="shared" si="808"/>
        <v>0</v>
      </c>
      <c r="AC2954" s="55">
        <f t="shared" si="819"/>
        <v>0</v>
      </c>
      <c r="AD2954" s="56">
        <f t="shared" si="820"/>
        <v>18061.670000000002</v>
      </c>
    </row>
    <row r="2955" spans="3:30">
      <c r="C2955" s="43" t="s">
        <v>5502</v>
      </c>
      <c r="D2955" s="44" t="s">
        <v>5503</v>
      </c>
      <c r="E2955" s="44"/>
      <c r="F2955" s="45">
        <v>40945.398333333331</v>
      </c>
      <c r="G2955" s="46">
        <v>79</v>
      </c>
      <c r="H2955" s="47" t="s">
        <v>24</v>
      </c>
      <c r="I2955" s="47" t="s">
        <v>24</v>
      </c>
      <c r="J2955" s="46">
        <v>607453</v>
      </c>
      <c r="K2955" s="46">
        <v>0</v>
      </c>
      <c r="L2955" s="46">
        <v>0</v>
      </c>
      <c r="M2955" s="46">
        <f t="shared" si="809"/>
        <v>607453</v>
      </c>
      <c r="N2955" s="46">
        <v>612865</v>
      </c>
      <c r="O2955" s="48">
        <f t="shared" si="810"/>
        <v>8.8306560172305426E-3</v>
      </c>
      <c r="P2955" s="46">
        <v>0</v>
      </c>
      <c r="Q2955" s="46">
        <v>607453</v>
      </c>
      <c r="R2955" s="49">
        <f t="shared" si="811"/>
        <v>1</v>
      </c>
      <c r="S2955" s="50">
        <f t="shared" si="812"/>
        <v>0.01</v>
      </c>
      <c r="T2955" s="49">
        <f t="shared" si="813"/>
        <v>6074.53</v>
      </c>
      <c r="U2955" s="51">
        <f t="shared" si="814"/>
        <v>0</v>
      </c>
      <c r="V2955" s="52">
        <f>IF(0&lt;0.8,0,IF(0&lt;1,Sheet3!L561,1))*IF(G2955&lt;3,0.12 - O2955,0.01) *U2955</f>
        <v>0</v>
      </c>
      <c r="W2955" s="52">
        <f t="shared" si="815"/>
        <v>0</v>
      </c>
      <c r="X2955" s="53">
        <f t="shared" si="816"/>
        <v>0</v>
      </c>
      <c r="Y2955" s="53">
        <f t="shared" si="817"/>
        <v>0</v>
      </c>
      <c r="Z2955" s="54">
        <f t="shared" si="821"/>
        <v>0</v>
      </c>
      <c r="AA2955" s="54">
        <f t="shared" si="818"/>
        <v>0</v>
      </c>
      <c r="AB2955" s="55">
        <f t="shared" si="808"/>
        <v>0</v>
      </c>
      <c r="AC2955" s="55">
        <f t="shared" si="819"/>
        <v>0</v>
      </c>
      <c r="AD2955" s="56">
        <f t="shared" si="820"/>
        <v>6074.53</v>
      </c>
    </row>
    <row r="2956" spans="3:30">
      <c r="C2956" s="43" t="s">
        <v>5504</v>
      </c>
      <c r="D2956" s="44" t="s">
        <v>5505</v>
      </c>
      <c r="E2956" s="44"/>
      <c r="F2956" s="45">
        <v>40964.737997685181</v>
      </c>
      <c r="G2956" s="46">
        <v>79</v>
      </c>
      <c r="H2956" s="47">
        <v>43385</v>
      </c>
      <c r="I2956" s="47">
        <v>43441</v>
      </c>
      <c r="J2956" s="46">
        <v>502150</v>
      </c>
      <c r="K2956" s="46">
        <v>0</v>
      </c>
      <c r="L2956" s="46">
        <v>0</v>
      </c>
      <c r="M2956" s="46">
        <f t="shared" si="809"/>
        <v>502150</v>
      </c>
      <c r="N2956" s="46">
        <v>502150</v>
      </c>
      <c r="O2956" s="48">
        <f t="shared" si="810"/>
        <v>0</v>
      </c>
      <c r="P2956" s="46">
        <v>0</v>
      </c>
      <c r="Q2956" s="46">
        <v>502150</v>
      </c>
      <c r="R2956" s="49">
        <f t="shared" si="811"/>
        <v>1</v>
      </c>
      <c r="S2956" s="50">
        <f t="shared" si="812"/>
        <v>0.01</v>
      </c>
      <c r="T2956" s="49">
        <f t="shared" si="813"/>
        <v>5021.5</v>
      </c>
      <c r="U2956" s="51">
        <f t="shared" si="814"/>
        <v>0</v>
      </c>
      <c r="V2956" s="52">
        <f>IF(0&lt;0.8,0,IF(0&lt;1,Sheet3!L561,1))*IF(G2956&lt;3,0.12 - O2956,0.01) *U2956</f>
        <v>0</v>
      </c>
      <c r="W2956" s="52">
        <f t="shared" si="815"/>
        <v>0</v>
      </c>
      <c r="X2956" s="53">
        <f t="shared" si="816"/>
        <v>0</v>
      </c>
      <c r="Y2956" s="53">
        <f t="shared" si="817"/>
        <v>0</v>
      </c>
      <c r="Z2956" s="54">
        <f t="shared" si="821"/>
        <v>0</v>
      </c>
      <c r="AA2956" s="54">
        <f t="shared" si="818"/>
        <v>0</v>
      </c>
      <c r="AB2956" s="55">
        <f t="shared" si="808"/>
        <v>0</v>
      </c>
      <c r="AC2956" s="55">
        <f t="shared" si="819"/>
        <v>0</v>
      </c>
      <c r="AD2956" s="56">
        <f t="shared" si="820"/>
        <v>5021.5</v>
      </c>
    </row>
    <row r="2957" spans="3:30">
      <c r="C2957" s="43" t="s">
        <v>5506</v>
      </c>
      <c r="D2957" s="44" t="s">
        <v>5507</v>
      </c>
      <c r="E2957" s="44"/>
      <c r="F2957" s="45">
        <v>40984.706423611111</v>
      </c>
      <c r="G2957" s="46">
        <v>78</v>
      </c>
      <c r="H2957" s="47">
        <v>43452</v>
      </c>
      <c r="I2957" s="47">
        <v>43487</v>
      </c>
      <c r="J2957" s="46">
        <v>658724</v>
      </c>
      <c r="K2957" s="46">
        <v>0</v>
      </c>
      <c r="L2957" s="46">
        <v>0</v>
      </c>
      <c r="M2957" s="46">
        <f t="shared" si="809"/>
        <v>658724</v>
      </c>
      <c r="N2957" s="46">
        <v>658724</v>
      </c>
      <c r="O2957" s="48">
        <f t="shared" si="810"/>
        <v>0</v>
      </c>
      <c r="P2957" s="46">
        <v>0</v>
      </c>
      <c r="Q2957" s="46">
        <v>658724</v>
      </c>
      <c r="R2957" s="49">
        <f t="shared" si="811"/>
        <v>1</v>
      </c>
      <c r="S2957" s="50">
        <f t="shared" si="812"/>
        <v>0.01</v>
      </c>
      <c r="T2957" s="49">
        <f t="shared" si="813"/>
        <v>6587.24</v>
      </c>
      <c r="U2957" s="51">
        <f t="shared" si="814"/>
        <v>0</v>
      </c>
      <c r="V2957" s="52">
        <f>IF(0&lt;0.8,0,IF(0&lt;1,Sheet3!L561,1))*IF(G2957&lt;3,0.12 - O2957,0.01) *U2957</f>
        <v>0</v>
      </c>
      <c r="W2957" s="52">
        <f t="shared" si="815"/>
        <v>0</v>
      </c>
      <c r="X2957" s="53">
        <f t="shared" si="816"/>
        <v>0</v>
      </c>
      <c r="Y2957" s="53">
        <f t="shared" si="817"/>
        <v>0</v>
      </c>
      <c r="Z2957" s="54">
        <f t="shared" si="821"/>
        <v>0</v>
      </c>
      <c r="AA2957" s="54">
        <f t="shared" si="818"/>
        <v>0</v>
      </c>
      <c r="AB2957" s="55">
        <f t="shared" si="808"/>
        <v>0</v>
      </c>
      <c r="AC2957" s="55">
        <f t="shared" si="819"/>
        <v>0</v>
      </c>
      <c r="AD2957" s="56">
        <f t="shared" si="820"/>
        <v>6587.24</v>
      </c>
    </row>
    <row r="2958" spans="3:30">
      <c r="C2958" s="43" t="s">
        <v>5508</v>
      </c>
      <c r="D2958" s="44" t="s">
        <v>5509</v>
      </c>
      <c r="E2958" s="44"/>
      <c r="F2958" s="45">
        <v>40984.707754629628</v>
      </c>
      <c r="G2958" s="46">
        <v>78</v>
      </c>
      <c r="H2958" s="47">
        <v>43385</v>
      </c>
      <c r="I2958" s="47">
        <v>43437</v>
      </c>
      <c r="J2958" s="46">
        <v>386474</v>
      </c>
      <c r="K2958" s="46">
        <v>0</v>
      </c>
      <c r="L2958" s="46">
        <v>0</v>
      </c>
      <c r="M2958" s="46">
        <f t="shared" si="809"/>
        <v>386474</v>
      </c>
      <c r="N2958" s="46">
        <v>386474</v>
      </c>
      <c r="O2958" s="48">
        <f t="shared" si="810"/>
        <v>0</v>
      </c>
      <c r="P2958" s="46">
        <v>0</v>
      </c>
      <c r="Q2958" s="46">
        <v>386474</v>
      </c>
      <c r="R2958" s="49">
        <f t="shared" si="811"/>
        <v>1</v>
      </c>
      <c r="S2958" s="50">
        <f t="shared" si="812"/>
        <v>0.01</v>
      </c>
      <c r="T2958" s="49">
        <f t="shared" si="813"/>
        <v>3864.7400000000002</v>
      </c>
      <c r="U2958" s="51">
        <f t="shared" si="814"/>
        <v>0</v>
      </c>
      <c r="V2958" s="52">
        <f>IF(0&lt;0.8,0,IF(0&lt;1,Sheet3!L561,1))*IF(G2958&lt;3,0.12 - O2958,0.01) *U2958</f>
        <v>0</v>
      </c>
      <c r="W2958" s="52">
        <f t="shared" si="815"/>
        <v>0</v>
      </c>
      <c r="X2958" s="53">
        <f t="shared" si="816"/>
        <v>0</v>
      </c>
      <c r="Y2958" s="53">
        <f t="shared" si="817"/>
        <v>0</v>
      </c>
      <c r="Z2958" s="54">
        <f t="shared" si="821"/>
        <v>0</v>
      </c>
      <c r="AA2958" s="54">
        <f t="shared" si="818"/>
        <v>0</v>
      </c>
      <c r="AB2958" s="55">
        <f t="shared" si="808"/>
        <v>0</v>
      </c>
      <c r="AC2958" s="55">
        <f t="shared" si="819"/>
        <v>0</v>
      </c>
      <c r="AD2958" s="56">
        <f t="shared" si="820"/>
        <v>3864.7400000000002</v>
      </c>
    </row>
    <row r="2959" spans="3:30">
      <c r="C2959" s="43" t="s">
        <v>5510</v>
      </c>
      <c r="D2959" s="44" t="s">
        <v>5511</v>
      </c>
      <c r="E2959" s="44"/>
      <c r="F2959" s="45">
        <v>40984.711157407408</v>
      </c>
      <c r="G2959" s="46">
        <v>78</v>
      </c>
      <c r="H2959" s="47">
        <v>43372</v>
      </c>
      <c r="I2959" s="47">
        <v>43398</v>
      </c>
      <c r="J2959" s="46">
        <v>2477764</v>
      </c>
      <c r="K2959" s="46">
        <v>0</v>
      </c>
      <c r="L2959" s="46">
        <v>0</v>
      </c>
      <c r="M2959" s="46">
        <f t="shared" si="809"/>
        <v>2477764</v>
      </c>
      <c r="N2959" s="46">
        <v>2477764</v>
      </c>
      <c r="O2959" s="48">
        <f t="shared" si="810"/>
        <v>0</v>
      </c>
      <c r="P2959" s="46">
        <v>0</v>
      </c>
      <c r="Q2959" s="46">
        <v>2445314</v>
      </c>
      <c r="R2959" s="49">
        <f t="shared" si="811"/>
        <v>1</v>
      </c>
      <c r="S2959" s="50">
        <f t="shared" si="812"/>
        <v>0.01</v>
      </c>
      <c r="T2959" s="49">
        <f t="shared" si="813"/>
        <v>24777.64</v>
      </c>
      <c r="U2959" s="51">
        <f t="shared" si="814"/>
        <v>0</v>
      </c>
      <c r="V2959" s="52">
        <f>IF(0&lt;0.8,0,IF(0&lt;1,Sheet3!L561,1))*IF(G2959&lt;3,0.12 - O2959,0.01) *U2959</f>
        <v>0</v>
      </c>
      <c r="W2959" s="52">
        <f t="shared" si="815"/>
        <v>0</v>
      </c>
      <c r="X2959" s="53">
        <f t="shared" si="816"/>
        <v>0</v>
      </c>
      <c r="Y2959" s="53">
        <f t="shared" si="817"/>
        <v>0</v>
      </c>
      <c r="Z2959" s="54">
        <f t="shared" si="821"/>
        <v>0</v>
      </c>
      <c r="AA2959" s="54">
        <f t="shared" si="818"/>
        <v>0</v>
      </c>
      <c r="AB2959" s="55">
        <f t="shared" si="808"/>
        <v>0</v>
      </c>
      <c r="AC2959" s="55">
        <f t="shared" si="819"/>
        <v>0</v>
      </c>
      <c r="AD2959" s="56">
        <f t="shared" si="820"/>
        <v>24777.64</v>
      </c>
    </row>
    <row r="2960" spans="3:30">
      <c r="C2960" s="43" t="s">
        <v>5512</v>
      </c>
      <c r="D2960" s="44" t="s">
        <v>5513</v>
      </c>
      <c r="E2960" s="44"/>
      <c r="F2960" s="45">
        <v>41051.582754629628</v>
      </c>
      <c r="G2960" s="46">
        <v>76</v>
      </c>
      <c r="H2960" s="47">
        <v>43372</v>
      </c>
      <c r="I2960" s="47">
        <v>43392</v>
      </c>
      <c r="J2960" s="46">
        <v>2455038</v>
      </c>
      <c r="K2960" s="46">
        <v>52333</v>
      </c>
      <c r="L2960" s="46">
        <v>0</v>
      </c>
      <c r="M2960" s="46">
        <f t="shared" si="809"/>
        <v>2402705</v>
      </c>
      <c r="N2960" s="46">
        <v>2572823</v>
      </c>
      <c r="O2960" s="48">
        <f t="shared" si="810"/>
        <v>6.6121143972982188E-2</v>
      </c>
      <c r="P2960" s="46">
        <v>0</v>
      </c>
      <c r="Q2960" s="46">
        <v>2455038</v>
      </c>
      <c r="R2960" s="49">
        <f t="shared" si="811"/>
        <v>1</v>
      </c>
      <c r="S2960" s="50">
        <f t="shared" si="812"/>
        <v>0.01</v>
      </c>
      <c r="T2960" s="49">
        <f t="shared" si="813"/>
        <v>24027.05</v>
      </c>
      <c r="U2960" s="51">
        <f t="shared" si="814"/>
        <v>0</v>
      </c>
      <c r="V2960" s="52">
        <f>IF(0&lt;0.8,0,IF(0&lt;1,Sheet3!L561,1))*IF(G2960&lt;3,0.12 - O2960,0.01) *U2960</f>
        <v>0</v>
      </c>
      <c r="W2960" s="52">
        <f t="shared" si="815"/>
        <v>0</v>
      </c>
      <c r="X2960" s="53">
        <f t="shared" si="816"/>
        <v>0</v>
      </c>
      <c r="Y2960" s="53">
        <f t="shared" si="817"/>
        <v>0</v>
      </c>
      <c r="Z2960" s="54">
        <f t="shared" si="821"/>
        <v>0</v>
      </c>
      <c r="AA2960" s="54">
        <f t="shared" si="818"/>
        <v>0</v>
      </c>
      <c r="AB2960" s="55">
        <f t="shared" si="808"/>
        <v>0</v>
      </c>
      <c r="AC2960" s="55">
        <f t="shared" si="819"/>
        <v>0</v>
      </c>
      <c r="AD2960" s="56">
        <f t="shared" si="820"/>
        <v>24027.05</v>
      </c>
    </row>
    <row r="2961" spans="3:30">
      <c r="C2961" s="43" t="s">
        <v>5514</v>
      </c>
      <c r="D2961" s="44" t="s">
        <v>5515</v>
      </c>
      <c r="E2961" s="44"/>
      <c r="F2961" s="45">
        <v>41060.397800925923</v>
      </c>
      <c r="G2961" s="46">
        <v>76</v>
      </c>
      <c r="H2961" s="47">
        <v>43372</v>
      </c>
      <c r="I2961" s="47">
        <v>43400</v>
      </c>
      <c r="J2961" s="46">
        <v>1706826</v>
      </c>
      <c r="K2961" s="46">
        <v>0</v>
      </c>
      <c r="L2961" s="46">
        <v>0</v>
      </c>
      <c r="M2961" s="46">
        <f t="shared" si="809"/>
        <v>1706826</v>
      </c>
      <c r="N2961" s="46">
        <v>1706826</v>
      </c>
      <c r="O2961" s="48">
        <f t="shared" si="810"/>
        <v>0</v>
      </c>
      <c r="P2961" s="46">
        <v>0</v>
      </c>
      <c r="Q2961" s="46">
        <v>1706826</v>
      </c>
      <c r="R2961" s="49">
        <f t="shared" si="811"/>
        <v>1</v>
      </c>
      <c r="S2961" s="50">
        <f t="shared" si="812"/>
        <v>0.01</v>
      </c>
      <c r="T2961" s="49">
        <f t="shared" si="813"/>
        <v>17068.260000000002</v>
      </c>
      <c r="U2961" s="51">
        <f t="shared" si="814"/>
        <v>0</v>
      </c>
      <c r="V2961" s="52">
        <f>IF(0&lt;0.8,0,IF(0&lt;1,Sheet3!L561,1))*IF(G2961&lt;3,0.12 - O2961,0.01) *U2961</f>
        <v>0</v>
      </c>
      <c r="W2961" s="52">
        <f t="shared" si="815"/>
        <v>0</v>
      </c>
      <c r="X2961" s="53">
        <f t="shared" si="816"/>
        <v>0</v>
      </c>
      <c r="Y2961" s="53">
        <f t="shared" si="817"/>
        <v>0</v>
      </c>
      <c r="Z2961" s="54">
        <f t="shared" si="821"/>
        <v>0</v>
      </c>
      <c r="AA2961" s="54">
        <f t="shared" si="818"/>
        <v>0</v>
      </c>
      <c r="AB2961" s="55">
        <f t="shared" si="808"/>
        <v>0</v>
      </c>
      <c r="AC2961" s="55">
        <f t="shared" si="819"/>
        <v>0</v>
      </c>
      <c r="AD2961" s="56">
        <f t="shared" si="820"/>
        <v>17068.260000000002</v>
      </c>
    </row>
    <row r="2962" spans="3:30">
      <c r="C2962" s="43" t="s">
        <v>5516</v>
      </c>
      <c r="D2962" s="44" t="s">
        <v>5517</v>
      </c>
      <c r="E2962" s="44"/>
      <c r="F2962" s="45">
        <v>41093.656157407408</v>
      </c>
      <c r="G2962" s="46">
        <v>74</v>
      </c>
      <c r="H2962" s="47">
        <v>43419</v>
      </c>
      <c r="I2962" s="47">
        <v>43439</v>
      </c>
      <c r="J2962" s="46">
        <v>749111</v>
      </c>
      <c r="K2962" s="46">
        <v>0</v>
      </c>
      <c r="L2962" s="46">
        <v>0</v>
      </c>
      <c r="M2962" s="46">
        <f t="shared" si="809"/>
        <v>749111</v>
      </c>
      <c r="N2962" s="46">
        <v>749111</v>
      </c>
      <c r="O2962" s="48">
        <f t="shared" si="810"/>
        <v>0</v>
      </c>
      <c r="P2962" s="46">
        <v>0</v>
      </c>
      <c r="Q2962" s="46">
        <v>786863</v>
      </c>
      <c r="R2962" s="49">
        <f t="shared" si="811"/>
        <v>1</v>
      </c>
      <c r="S2962" s="50">
        <f t="shared" si="812"/>
        <v>0.01</v>
      </c>
      <c r="T2962" s="49">
        <f t="shared" si="813"/>
        <v>7491.1100000000006</v>
      </c>
      <c r="U2962" s="51">
        <f t="shared" si="814"/>
        <v>0</v>
      </c>
      <c r="V2962" s="52">
        <f>IF(0&lt;0.8,0,IF(0&lt;1,Sheet3!L561,1))*IF(G2962&lt;3,0.12 - O2962,0.01) *U2962</f>
        <v>0</v>
      </c>
      <c r="W2962" s="52">
        <f t="shared" si="815"/>
        <v>0</v>
      </c>
      <c r="X2962" s="53">
        <f t="shared" si="816"/>
        <v>0</v>
      </c>
      <c r="Y2962" s="53">
        <f t="shared" si="817"/>
        <v>0</v>
      </c>
      <c r="Z2962" s="54">
        <f t="shared" si="821"/>
        <v>0</v>
      </c>
      <c r="AA2962" s="54">
        <f t="shared" si="818"/>
        <v>0</v>
      </c>
      <c r="AB2962" s="55">
        <f t="shared" si="808"/>
        <v>0</v>
      </c>
      <c r="AC2962" s="55">
        <f t="shared" si="819"/>
        <v>0</v>
      </c>
      <c r="AD2962" s="56">
        <f t="shared" si="820"/>
        <v>7491.1100000000006</v>
      </c>
    </row>
    <row r="2963" spans="3:30">
      <c r="C2963" s="43" t="s">
        <v>5518</v>
      </c>
      <c r="D2963" s="44" t="s">
        <v>5519</v>
      </c>
      <c r="E2963" s="44"/>
      <c r="F2963" s="45">
        <v>41416.451203703698</v>
      </c>
      <c r="G2963" s="46">
        <v>64</v>
      </c>
      <c r="H2963" s="47">
        <v>43372</v>
      </c>
      <c r="I2963" s="47">
        <v>43376</v>
      </c>
      <c r="J2963" s="46">
        <v>5466417</v>
      </c>
      <c r="K2963" s="46">
        <v>0</v>
      </c>
      <c r="L2963" s="46">
        <v>0</v>
      </c>
      <c r="M2963" s="46">
        <f t="shared" si="809"/>
        <v>5466417</v>
      </c>
      <c r="N2963" s="46">
        <v>5741087</v>
      </c>
      <c r="O2963" s="48">
        <f t="shared" si="810"/>
        <v>4.7842856239593612E-2</v>
      </c>
      <c r="P2963" s="46">
        <v>0</v>
      </c>
      <c r="Q2963" s="46">
        <v>5466417</v>
      </c>
      <c r="R2963" s="49">
        <f t="shared" si="811"/>
        <v>1</v>
      </c>
      <c r="S2963" s="50">
        <f t="shared" si="812"/>
        <v>0.01</v>
      </c>
      <c r="T2963" s="49">
        <f t="shared" si="813"/>
        <v>54664.17</v>
      </c>
      <c r="U2963" s="51">
        <f t="shared" si="814"/>
        <v>0</v>
      </c>
      <c r="V2963" s="52">
        <f>IF(0&lt;0.8,0,IF(0&lt;1,Sheet3!L561,1))*IF(G2963&lt;3,0.12 - O2963,0.01) *U2963</f>
        <v>0</v>
      </c>
      <c r="W2963" s="52">
        <f t="shared" si="815"/>
        <v>0</v>
      </c>
      <c r="X2963" s="53">
        <f t="shared" si="816"/>
        <v>0</v>
      </c>
      <c r="Y2963" s="53">
        <f t="shared" si="817"/>
        <v>0</v>
      </c>
      <c r="Z2963" s="54">
        <f t="shared" si="821"/>
        <v>0</v>
      </c>
      <c r="AA2963" s="54">
        <f t="shared" si="818"/>
        <v>0</v>
      </c>
      <c r="AB2963" s="55">
        <f t="shared" si="808"/>
        <v>0</v>
      </c>
      <c r="AC2963" s="55">
        <f t="shared" si="819"/>
        <v>0</v>
      </c>
      <c r="AD2963" s="56">
        <f t="shared" si="820"/>
        <v>54664.17</v>
      </c>
    </row>
    <row r="2964" spans="3:30">
      <c r="C2964" s="43" t="s">
        <v>5520</v>
      </c>
      <c r="D2964" s="44" t="s">
        <v>5521</v>
      </c>
      <c r="E2964" s="44"/>
      <c r="F2964" s="45">
        <v>41435.577997685185</v>
      </c>
      <c r="G2964" s="46">
        <v>63</v>
      </c>
      <c r="H2964" s="47">
        <v>43372</v>
      </c>
      <c r="I2964" s="47">
        <v>43402</v>
      </c>
      <c r="J2964" s="46">
        <v>374737</v>
      </c>
      <c r="K2964" s="46">
        <v>0</v>
      </c>
      <c r="L2964" s="46">
        <v>0</v>
      </c>
      <c r="M2964" s="46">
        <f t="shared" si="809"/>
        <v>374737</v>
      </c>
      <c r="N2964" s="46">
        <v>374737</v>
      </c>
      <c r="O2964" s="48">
        <f t="shared" si="810"/>
        <v>0</v>
      </c>
      <c r="P2964" s="46">
        <v>0</v>
      </c>
      <c r="Q2964" s="46">
        <v>374737</v>
      </c>
      <c r="R2964" s="49">
        <f t="shared" si="811"/>
        <v>1</v>
      </c>
      <c r="S2964" s="50">
        <f t="shared" si="812"/>
        <v>0.01</v>
      </c>
      <c r="T2964" s="49">
        <f t="shared" si="813"/>
        <v>3747.37</v>
      </c>
      <c r="U2964" s="51">
        <f t="shared" si="814"/>
        <v>0</v>
      </c>
      <c r="V2964" s="52">
        <f>IF(0&lt;0.8,0,IF(0&lt;1,Sheet3!L561,1))*IF(G2964&lt;3,0.12 - O2964,0.01) *U2964</f>
        <v>0</v>
      </c>
      <c r="W2964" s="52">
        <f t="shared" si="815"/>
        <v>0</v>
      </c>
      <c r="X2964" s="53">
        <f t="shared" si="816"/>
        <v>0</v>
      </c>
      <c r="Y2964" s="53">
        <f t="shared" si="817"/>
        <v>0</v>
      </c>
      <c r="Z2964" s="54">
        <f t="shared" si="821"/>
        <v>0</v>
      </c>
      <c r="AA2964" s="54">
        <f t="shared" si="818"/>
        <v>0</v>
      </c>
      <c r="AB2964" s="55">
        <f t="shared" si="808"/>
        <v>0</v>
      </c>
      <c r="AC2964" s="55">
        <f t="shared" si="819"/>
        <v>0</v>
      </c>
      <c r="AD2964" s="56">
        <f t="shared" si="820"/>
        <v>3747.37</v>
      </c>
    </row>
    <row r="2965" spans="3:30">
      <c r="C2965" s="43" t="s">
        <v>5522</v>
      </c>
      <c r="D2965" s="44" t="s">
        <v>5523</v>
      </c>
      <c r="E2965" s="44"/>
      <c r="F2965" s="45">
        <v>41568.624861111108</v>
      </c>
      <c r="G2965" s="46">
        <v>59</v>
      </c>
      <c r="H2965" s="47">
        <v>43372</v>
      </c>
      <c r="I2965" s="47">
        <v>43410</v>
      </c>
      <c r="J2965" s="46">
        <v>3217934</v>
      </c>
      <c r="K2965" s="46">
        <v>0</v>
      </c>
      <c r="L2965" s="46">
        <v>0</v>
      </c>
      <c r="M2965" s="46">
        <f t="shared" si="809"/>
        <v>3217934</v>
      </c>
      <c r="N2965" s="46">
        <v>3099778</v>
      </c>
      <c r="O2965" s="48">
        <f t="shared" si="810"/>
        <v>0</v>
      </c>
      <c r="P2965" s="46">
        <v>0</v>
      </c>
      <c r="Q2965" s="46">
        <v>3217934</v>
      </c>
      <c r="R2965" s="49">
        <f t="shared" si="811"/>
        <v>1</v>
      </c>
      <c r="S2965" s="50">
        <f t="shared" si="812"/>
        <v>0.01</v>
      </c>
      <c r="T2965" s="49">
        <f t="shared" si="813"/>
        <v>32179.34</v>
      </c>
      <c r="U2965" s="51">
        <f t="shared" si="814"/>
        <v>0</v>
      </c>
      <c r="V2965" s="52">
        <f>IF(0&lt;0.8,0,IF(0&lt;1,Sheet3!L561,1))*IF(G2965&lt;3,0.12 - O2965,0.01) *U2965</f>
        <v>0</v>
      </c>
      <c r="W2965" s="52">
        <f t="shared" si="815"/>
        <v>0</v>
      </c>
      <c r="X2965" s="53">
        <f t="shared" si="816"/>
        <v>0</v>
      </c>
      <c r="Y2965" s="53">
        <f t="shared" si="817"/>
        <v>0</v>
      </c>
      <c r="Z2965" s="54">
        <f t="shared" si="821"/>
        <v>0</v>
      </c>
      <c r="AA2965" s="54">
        <f t="shared" si="818"/>
        <v>0</v>
      </c>
      <c r="AB2965" s="55">
        <f t="shared" si="808"/>
        <v>0</v>
      </c>
      <c r="AC2965" s="55">
        <f t="shared" si="819"/>
        <v>0</v>
      </c>
      <c r="AD2965" s="56">
        <f t="shared" si="820"/>
        <v>32179.34</v>
      </c>
    </row>
    <row r="2966" spans="3:30">
      <c r="C2966" s="43" t="s">
        <v>5524</v>
      </c>
      <c r="D2966" s="44" t="s">
        <v>5525</v>
      </c>
      <c r="E2966" s="44"/>
      <c r="F2966" s="45">
        <v>41582.396562499998</v>
      </c>
      <c r="G2966" s="46">
        <v>58</v>
      </c>
      <c r="H2966" s="47">
        <v>43396</v>
      </c>
      <c r="I2966" s="47">
        <v>43420</v>
      </c>
      <c r="J2966" s="46">
        <v>5595634</v>
      </c>
      <c r="K2966" s="46">
        <v>0</v>
      </c>
      <c r="L2966" s="46">
        <v>0</v>
      </c>
      <c r="M2966" s="46">
        <f t="shared" si="809"/>
        <v>5595634</v>
      </c>
      <c r="N2966" s="46">
        <v>6360244</v>
      </c>
      <c r="O2966" s="48">
        <f t="shared" si="810"/>
        <v>0.12021708601116565</v>
      </c>
      <c r="P2966" s="46">
        <v>0</v>
      </c>
      <c r="Q2966" s="46">
        <v>5595634</v>
      </c>
      <c r="R2966" s="49">
        <f t="shared" si="811"/>
        <v>1</v>
      </c>
      <c r="S2966" s="50">
        <f t="shared" si="812"/>
        <v>0.01</v>
      </c>
      <c r="T2966" s="49">
        <f t="shared" si="813"/>
        <v>55956.340000000004</v>
      </c>
      <c r="U2966" s="51">
        <f t="shared" si="814"/>
        <v>0</v>
      </c>
      <c r="V2966" s="52">
        <f>IF(0&lt;0.8,0,IF(0&lt;1,Sheet3!L561,1))*IF(G2966&lt;3,0.12 - O2966,0.01) *U2966</f>
        <v>0</v>
      </c>
      <c r="W2966" s="52">
        <f t="shared" si="815"/>
        <v>0</v>
      </c>
      <c r="X2966" s="53">
        <f t="shared" si="816"/>
        <v>0</v>
      </c>
      <c r="Y2966" s="53">
        <f t="shared" si="817"/>
        <v>0</v>
      </c>
      <c r="Z2966" s="54">
        <f t="shared" si="821"/>
        <v>0</v>
      </c>
      <c r="AA2966" s="54">
        <f t="shared" si="818"/>
        <v>0</v>
      </c>
      <c r="AB2966" s="55">
        <f t="shared" si="808"/>
        <v>0</v>
      </c>
      <c r="AC2966" s="55">
        <f t="shared" si="819"/>
        <v>0</v>
      </c>
      <c r="AD2966" s="56">
        <f t="shared" si="820"/>
        <v>55956.340000000004</v>
      </c>
    </row>
    <row r="2967" spans="3:30">
      <c r="C2967" s="43" t="s">
        <v>5526</v>
      </c>
      <c r="D2967" s="44" t="s">
        <v>5527</v>
      </c>
      <c r="E2967" s="44"/>
      <c r="F2967" s="45">
        <v>41647.463888888888</v>
      </c>
      <c r="G2967" s="46">
        <v>56</v>
      </c>
      <c r="H2967" s="47">
        <v>43372</v>
      </c>
      <c r="I2967" s="47">
        <v>43488</v>
      </c>
      <c r="J2967" s="46">
        <v>1105486</v>
      </c>
      <c r="K2967" s="46">
        <v>0</v>
      </c>
      <c r="L2967" s="46">
        <v>0</v>
      </c>
      <c r="M2967" s="46">
        <f t="shared" si="809"/>
        <v>1105486</v>
      </c>
      <c r="N2967" s="46">
        <v>1105214</v>
      </c>
      <c r="O2967" s="48">
        <f t="shared" si="810"/>
        <v>0</v>
      </c>
      <c r="P2967" s="46">
        <v>0</v>
      </c>
      <c r="Q2967" s="46">
        <v>1105486</v>
      </c>
      <c r="R2967" s="49">
        <f t="shared" si="811"/>
        <v>1</v>
      </c>
      <c r="S2967" s="50">
        <f t="shared" si="812"/>
        <v>0.01</v>
      </c>
      <c r="T2967" s="49">
        <f t="shared" si="813"/>
        <v>11054.86</v>
      </c>
      <c r="U2967" s="51">
        <f t="shared" si="814"/>
        <v>0</v>
      </c>
      <c r="V2967" s="52">
        <f>IF(0&lt;0.8,0,IF(0&lt;1,Sheet3!L561,1))*IF(G2967&lt;3,0.12 - O2967,0.01) *U2967</f>
        <v>0</v>
      </c>
      <c r="W2967" s="52">
        <f t="shared" si="815"/>
        <v>0</v>
      </c>
      <c r="X2967" s="53">
        <f t="shared" si="816"/>
        <v>0</v>
      </c>
      <c r="Y2967" s="53">
        <f t="shared" si="817"/>
        <v>0</v>
      </c>
      <c r="Z2967" s="54">
        <f t="shared" si="821"/>
        <v>0</v>
      </c>
      <c r="AA2967" s="54">
        <f t="shared" si="818"/>
        <v>0</v>
      </c>
      <c r="AB2967" s="55">
        <f t="shared" si="808"/>
        <v>0</v>
      </c>
      <c r="AC2967" s="55">
        <f t="shared" si="819"/>
        <v>0</v>
      </c>
      <c r="AD2967" s="56">
        <f t="shared" si="820"/>
        <v>11054.86</v>
      </c>
    </row>
    <row r="2968" spans="3:30">
      <c r="C2968" s="43" t="s">
        <v>5528</v>
      </c>
      <c r="D2968" s="44" t="s">
        <v>5529</v>
      </c>
      <c r="E2968" s="44"/>
      <c r="F2968" s="45">
        <v>41699.680671296293</v>
      </c>
      <c r="G2968" s="46">
        <v>54</v>
      </c>
      <c r="H2968" s="47">
        <v>43372</v>
      </c>
      <c r="I2968" s="47">
        <v>43407</v>
      </c>
      <c r="J2968" s="46">
        <v>553091</v>
      </c>
      <c r="K2968" s="46">
        <v>0</v>
      </c>
      <c r="L2968" s="46">
        <v>0</v>
      </c>
      <c r="M2968" s="46">
        <f t="shared" si="809"/>
        <v>553091</v>
      </c>
      <c r="N2968" s="46">
        <v>553091</v>
      </c>
      <c r="O2968" s="48">
        <f t="shared" si="810"/>
        <v>0</v>
      </c>
      <c r="P2968" s="46">
        <v>0</v>
      </c>
      <c r="Q2968" s="46">
        <v>553091</v>
      </c>
      <c r="R2968" s="49">
        <f t="shared" si="811"/>
        <v>1</v>
      </c>
      <c r="S2968" s="50">
        <f t="shared" si="812"/>
        <v>0.01</v>
      </c>
      <c r="T2968" s="49">
        <f t="shared" si="813"/>
        <v>5530.91</v>
      </c>
      <c r="U2968" s="51">
        <f t="shared" si="814"/>
        <v>0</v>
      </c>
      <c r="V2968" s="52">
        <f>IF(0&lt;0.8,0,IF(0&lt;1,Sheet3!L561,1))*IF(G2968&lt;3,0.12 - O2968,0.01) *U2968</f>
        <v>0</v>
      </c>
      <c r="W2968" s="52">
        <f t="shared" si="815"/>
        <v>0</v>
      </c>
      <c r="X2968" s="53">
        <f t="shared" si="816"/>
        <v>0</v>
      </c>
      <c r="Y2968" s="53">
        <f t="shared" si="817"/>
        <v>0</v>
      </c>
      <c r="Z2968" s="54">
        <f t="shared" si="821"/>
        <v>0</v>
      </c>
      <c r="AA2968" s="54">
        <f t="shared" si="818"/>
        <v>0</v>
      </c>
      <c r="AB2968" s="55">
        <f t="shared" si="808"/>
        <v>0</v>
      </c>
      <c r="AC2968" s="55">
        <f t="shared" si="819"/>
        <v>0</v>
      </c>
      <c r="AD2968" s="56">
        <f t="shared" si="820"/>
        <v>5530.91</v>
      </c>
    </row>
    <row r="2969" spans="3:30">
      <c r="C2969" s="43" t="s">
        <v>5530</v>
      </c>
      <c r="D2969" s="44" t="s">
        <v>5531</v>
      </c>
      <c r="E2969" s="44"/>
      <c r="F2969" s="45">
        <v>41712.382789351854</v>
      </c>
      <c r="G2969" s="46">
        <v>54</v>
      </c>
      <c r="H2969" s="47">
        <v>43403</v>
      </c>
      <c r="I2969" s="47">
        <v>43398</v>
      </c>
      <c r="J2969" s="46">
        <v>7171549</v>
      </c>
      <c r="K2969" s="46">
        <v>0</v>
      </c>
      <c r="L2969" s="46">
        <v>0</v>
      </c>
      <c r="M2969" s="46">
        <f t="shared" si="809"/>
        <v>7171549</v>
      </c>
      <c r="N2969" s="46">
        <v>7153883</v>
      </c>
      <c r="O2969" s="48">
        <f t="shared" si="810"/>
        <v>0</v>
      </c>
      <c r="P2969" s="46">
        <v>0</v>
      </c>
      <c r="Q2969" s="46">
        <v>7171549</v>
      </c>
      <c r="R2969" s="49">
        <f t="shared" si="811"/>
        <v>1</v>
      </c>
      <c r="S2969" s="50">
        <f t="shared" si="812"/>
        <v>0.01</v>
      </c>
      <c r="T2969" s="49">
        <f t="shared" si="813"/>
        <v>71715.490000000005</v>
      </c>
      <c r="U2969" s="51">
        <f t="shared" si="814"/>
        <v>0</v>
      </c>
      <c r="V2969" s="52">
        <f>IF(0&lt;0.8,0,IF(0&lt;1,Sheet3!L561,1))*IF(G2969&lt;3,0.12 - O2969,0.01) *U2969</f>
        <v>0</v>
      </c>
      <c r="W2969" s="52">
        <f t="shared" si="815"/>
        <v>0</v>
      </c>
      <c r="X2969" s="53">
        <f t="shared" si="816"/>
        <v>0</v>
      </c>
      <c r="Y2969" s="53">
        <f t="shared" si="817"/>
        <v>0</v>
      </c>
      <c r="Z2969" s="54">
        <f t="shared" si="821"/>
        <v>0</v>
      </c>
      <c r="AA2969" s="54">
        <f t="shared" si="818"/>
        <v>0</v>
      </c>
      <c r="AB2969" s="55">
        <f t="shared" si="808"/>
        <v>0</v>
      </c>
      <c r="AC2969" s="55">
        <f t="shared" si="819"/>
        <v>0</v>
      </c>
      <c r="AD2969" s="56">
        <f t="shared" si="820"/>
        <v>71715.490000000005</v>
      </c>
    </row>
    <row r="2970" spans="3:30">
      <c r="C2970" s="43" t="s">
        <v>5532</v>
      </c>
      <c r="D2970" s="44" t="s">
        <v>5533</v>
      </c>
      <c r="E2970" s="44"/>
      <c r="F2970" s="45">
        <v>42189.716770833329</v>
      </c>
      <c r="G2970" s="46">
        <v>38</v>
      </c>
      <c r="H2970" s="47">
        <v>43419</v>
      </c>
      <c r="I2970" s="47">
        <v>43439</v>
      </c>
      <c r="J2970" s="46">
        <v>885793</v>
      </c>
      <c r="K2970" s="46">
        <v>0</v>
      </c>
      <c r="L2970" s="46">
        <v>0</v>
      </c>
      <c r="M2970" s="46">
        <f t="shared" si="809"/>
        <v>885793</v>
      </c>
      <c r="N2970" s="46">
        <v>885793</v>
      </c>
      <c r="O2970" s="48">
        <f t="shared" si="810"/>
        <v>0</v>
      </c>
      <c r="P2970" s="46">
        <v>0</v>
      </c>
      <c r="Q2970" s="46">
        <v>908783</v>
      </c>
      <c r="R2970" s="49">
        <f t="shared" si="811"/>
        <v>1</v>
      </c>
      <c r="S2970" s="50">
        <f t="shared" si="812"/>
        <v>0.01</v>
      </c>
      <c r="T2970" s="49">
        <f t="shared" si="813"/>
        <v>8857.93</v>
      </c>
      <c r="U2970" s="51">
        <f t="shared" si="814"/>
        <v>0</v>
      </c>
      <c r="V2970" s="52">
        <f>IF(0&lt;0.8,0,IF(0&lt;1,Sheet3!L561,1))*IF(G2970&lt;3,0.12 - O2970,0.01) *U2970</f>
        <v>0</v>
      </c>
      <c r="W2970" s="52">
        <f t="shared" si="815"/>
        <v>0</v>
      </c>
      <c r="X2970" s="53">
        <f t="shared" si="816"/>
        <v>0</v>
      </c>
      <c r="Y2970" s="53">
        <f t="shared" si="817"/>
        <v>0</v>
      </c>
      <c r="Z2970" s="54">
        <f t="shared" si="821"/>
        <v>0</v>
      </c>
      <c r="AA2970" s="54">
        <f t="shared" si="818"/>
        <v>0</v>
      </c>
      <c r="AB2970" s="55">
        <f t="shared" si="808"/>
        <v>0</v>
      </c>
      <c r="AC2970" s="55">
        <f t="shared" si="819"/>
        <v>0</v>
      </c>
      <c r="AD2970" s="56">
        <f t="shared" si="820"/>
        <v>8857.93</v>
      </c>
    </row>
    <row r="2971" spans="3:30">
      <c r="C2971" s="43" t="s">
        <v>5534</v>
      </c>
      <c r="D2971" s="44" t="s">
        <v>5535</v>
      </c>
      <c r="E2971" s="44"/>
      <c r="F2971" s="45">
        <v>41740.636307870365</v>
      </c>
      <c r="G2971" s="46">
        <v>53</v>
      </c>
      <c r="H2971" s="47">
        <v>43403</v>
      </c>
      <c r="I2971" s="47">
        <v>43410</v>
      </c>
      <c r="J2971" s="46">
        <v>8898645</v>
      </c>
      <c r="K2971" s="46">
        <v>0</v>
      </c>
      <c r="L2971" s="46">
        <v>0</v>
      </c>
      <c r="M2971" s="46">
        <f t="shared" si="809"/>
        <v>8898645</v>
      </c>
      <c r="N2971" s="46">
        <v>8889265</v>
      </c>
      <c r="O2971" s="48">
        <f t="shared" si="810"/>
        <v>0</v>
      </c>
      <c r="P2971" s="46">
        <v>0</v>
      </c>
      <c r="Q2971" s="46">
        <v>8898645</v>
      </c>
      <c r="R2971" s="49">
        <f t="shared" si="811"/>
        <v>1</v>
      </c>
      <c r="S2971" s="50">
        <f t="shared" si="812"/>
        <v>0.01</v>
      </c>
      <c r="T2971" s="49">
        <f t="shared" si="813"/>
        <v>88986.45</v>
      </c>
      <c r="U2971" s="51">
        <f t="shared" si="814"/>
        <v>0</v>
      </c>
      <c r="V2971" s="52">
        <f>IF(0&lt;0.8,0,IF(0&lt;1,Sheet3!L561,1))*IF(G2971&lt;3,0.12 - O2971,0.01) *U2971</f>
        <v>0</v>
      </c>
      <c r="W2971" s="52">
        <f t="shared" si="815"/>
        <v>0</v>
      </c>
      <c r="X2971" s="53">
        <f t="shared" si="816"/>
        <v>0</v>
      </c>
      <c r="Y2971" s="53">
        <f t="shared" si="817"/>
        <v>0</v>
      </c>
      <c r="Z2971" s="54">
        <f t="shared" si="821"/>
        <v>0</v>
      </c>
      <c r="AA2971" s="54">
        <f t="shared" si="818"/>
        <v>0</v>
      </c>
      <c r="AB2971" s="55">
        <f t="shared" si="808"/>
        <v>0</v>
      </c>
      <c r="AC2971" s="55">
        <f t="shared" si="819"/>
        <v>0</v>
      </c>
      <c r="AD2971" s="56">
        <f t="shared" si="820"/>
        <v>88986.45</v>
      </c>
    </row>
    <row r="2972" spans="3:30">
      <c r="C2972" s="43" t="s">
        <v>5536</v>
      </c>
      <c r="D2972" s="44" t="s">
        <v>5537</v>
      </c>
      <c r="E2972" s="44"/>
      <c r="F2972" s="45">
        <v>41897.727025462962</v>
      </c>
      <c r="G2972" s="46">
        <v>48</v>
      </c>
      <c r="H2972" s="47">
        <v>43426</v>
      </c>
      <c r="I2972" s="47">
        <v>43432</v>
      </c>
      <c r="J2972" s="46">
        <v>23305141</v>
      </c>
      <c r="K2972" s="46">
        <v>0</v>
      </c>
      <c r="L2972" s="46">
        <v>0</v>
      </c>
      <c r="M2972" s="46">
        <f t="shared" si="809"/>
        <v>23305141</v>
      </c>
      <c r="N2972" s="46">
        <v>23141127</v>
      </c>
      <c r="O2972" s="48">
        <f t="shared" si="810"/>
        <v>0</v>
      </c>
      <c r="P2972" s="46">
        <v>0</v>
      </c>
      <c r="Q2972" s="46">
        <v>23305141</v>
      </c>
      <c r="R2972" s="49">
        <f t="shared" si="811"/>
        <v>1</v>
      </c>
      <c r="S2972" s="50">
        <f t="shared" si="812"/>
        <v>0.01</v>
      </c>
      <c r="T2972" s="49">
        <f t="shared" si="813"/>
        <v>233051.41</v>
      </c>
      <c r="U2972" s="51">
        <f t="shared" si="814"/>
        <v>0</v>
      </c>
      <c r="V2972" s="52">
        <f>IF(0&lt;0.8,0,IF(0&lt;1,Sheet3!L561,1))*IF(G2972&lt;3,0.12 - O2972,0.01) *U2972</f>
        <v>0</v>
      </c>
      <c r="W2972" s="52">
        <f t="shared" si="815"/>
        <v>0</v>
      </c>
      <c r="X2972" s="53">
        <f t="shared" si="816"/>
        <v>0</v>
      </c>
      <c r="Y2972" s="53">
        <f t="shared" si="817"/>
        <v>0</v>
      </c>
      <c r="Z2972" s="54">
        <f t="shared" si="821"/>
        <v>0</v>
      </c>
      <c r="AA2972" s="54">
        <f t="shared" si="818"/>
        <v>0</v>
      </c>
      <c r="AB2972" s="55">
        <f t="shared" si="808"/>
        <v>0</v>
      </c>
      <c r="AC2972" s="55">
        <f t="shared" si="819"/>
        <v>0</v>
      </c>
      <c r="AD2972" s="56">
        <f t="shared" si="820"/>
        <v>233051.41</v>
      </c>
    </row>
    <row r="2973" spans="3:30">
      <c r="C2973" s="43" t="s">
        <v>5538</v>
      </c>
      <c r="D2973" s="44" t="s">
        <v>5539</v>
      </c>
      <c r="E2973" s="44"/>
      <c r="F2973" s="45">
        <v>42032.677800925921</v>
      </c>
      <c r="G2973" s="46">
        <v>44</v>
      </c>
      <c r="H2973" s="47">
        <v>43400</v>
      </c>
      <c r="I2973" s="47">
        <v>43430</v>
      </c>
      <c r="J2973" s="46">
        <v>3444023</v>
      </c>
      <c r="K2973" s="46">
        <v>0</v>
      </c>
      <c r="L2973" s="46">
        <v>0</v>
      </c>
      <c r="M2973" s="46">
        <f t="shared" si="809"/>
        <v>3444023</v>
      </c>
      <c r="N2973" s="46">
        <v>3444023</v>
      </c>
      <c r="O2973" s="48">
        <f t="shared" si="810"/>
        <v>0</v>
      </c>
      <c r="P2973" s="46">
        <v>0</v>
      </c>
      <c r="Q2973" s="46">
        <v>3444023</v>
      </c>
      <c r="R2973" s="49">
        <f t="shared" si="811"/>
        <v>1</v>
      </c>
      <c r="S2973" s="50">
        <f t="shared" si="812"/>
        <v>0.01</v>
      </c>
      <c r="T2973" s="49">
        <f t="shared" si="813"/>
        <v>34440.230000000003</v>
      </c>
      <c r="U2973" s="51">
        <f t="shared" si="814"/>
        <v>0</v>
      </c>
      <c r="V2973" s="52">
        <f>IF(0&lt;0.8,0,IF(0&lt;1,Sheet3!L561,1))*IF(G2973&lt;3,0.12 - O2973,0.01) *U2973</f>
        <v>0</v>
      </c>
      <c r="W2973" s="52">
        <f t="shared" si="815"/>
        <v>0</v>
      </c>
      <c r="X2973" s="53">
        <f t="shared" si="816"/>
        <v>0</v>
      </c>
      <c r="Y2973" s="53">
        <f t="shared" si="817"/>
        <v>0</v>
      </c>
      <c r="Z2973" s="54">
        <f t="shared" si="821"/>
        <v>0</v>
      </c>
      <c r="AA2973" s="54">
        <f t="shared" si="818"/>
        <v>0</v>
      </c>
      <c r="AB2973" s="55">
        <f t="shared" si="808"/>
        <v>0</v>
      </c>
      <c r="AC2973" s="55">
        <f t="shared" si="819"/>
        <v>0</v>
      </c>
      <c r="AD2973" s="56">
        <f t="shared" si="820"/>
        <v>34440.230000000003</v>
      </c>
    </row>
    <row r="2974" spans="3:30">
      <c r="C2974" s="43" t="s">
        <v>5540</v>
      </c>
      <c r="D2974" s="44" t="s">
        <v>2016</v>
      </c>
      <c r="E2974" s="44"/>
      <c r="F2974" s="45">
        <v>42115.926087962958</v>
      </c>
      <c r="G2974" s="46">
        <v>41</v>
      </c>
      <c r="H2974" s="47">
        <v>43431</v>
      </c>
      <c r="I2974" s="47">
        <v>43496</v>
      </c>
      <c r="J2974" s="46">
        <v>168334271</v>
      </c>
      <c r="K2974" s="46">
        <v>0</v>
      </c>
      <c r="L2974" s="46">
        <v>0</v>
      </c>
      <c r="M2974" s="46">
        <f t="shared" si="809"/>
        <v>168334271</v>
      </c>
      <c r="N2974" s="46">
        <v>580639554</v>
      </c>
      <c r="O2974" s="48">
        <f t="shared" si="810"/>
        <v>0.71008817804375757</v>
      </c>
      <c r="P2974" s="46">
        <v>0</v>
      </c>
      <c r="Q2974" s="46">
        <v>168407441</v>
      </c>
      <c r="R2974" s="49">
        <f t="shared" si="811"/>
        <v>1</v>
      </c>
      <c r="S2974" s="50">
        <f t="shared" si="812"/>
        <v>0.01</v>
      </c>
      <c r="T2974" s="49">
        <f t="shared" si="813"/>
        <v>1683342.71</v>
      </c>
      <c r="U2974" s="51">
        <f t="shared" si="814"/>
        <v>0</v>
      </c>
      <c r="V2974" s="52">
        <f>IF(0&lt;0.8,0,IF(0&lt;1,Sheet3!L561,1))*IF(G2974&lt;3,0.12 - O2974,0.01) *U2974</f>
        <v>0</v>
      </c>
      <c r="W2974" s="52">
        <f t="shared" si="815"/>
        <v>0</v>
      </c>
      <c r="X2974" s="53">
        <f t="shared" si="816"/>
        <v>0</v>
      </c>
      <c r="Y2974" s="53">
        <f t="shared" si="817"/>
        <v>0</v>
      </c>
      <c r="Z2974" s="54">
        <f t="shared" si="821"/>
        <v>0</v>
      </c>
      <c r="AA2974" s="54">
        <f t="shared" si="818"/>
        <v>0</v>
      </c>
      <c r="AB2974" s="55">
        <f t="shared" si="808"/>
        <v>0</v>
      </c>
      <c r="AC2974" s="55">
        <f t="shared" si="819"/>
        <v>0</v>
      </c>
      <c r="AD2974" s="56">
        <f t="shared" si="820"/>
        <v>1683342.71</v>
      </c>
    </row>
    <row r="2975" spans="3:30">
      <c r="C2975" s="43" t="s">
        <v>5541</v>
      </c>
      <c r="D2975" s="44" t="s">
        <v>5542</v>
      </c>
      <c r="E2975" s="44"/>
      <c r="F2975" s="45">
        <v>42144.419756944444</v>
      </c>
      <c r="G2975" s="46">
        <v>40</v>
      </c>
      <c r="H2975" s="47">
        <v>43372</v>
      </c>
      <c r="I2975" s="47">
        <v>43399</v>
      </c>
      <c r="J2975" s="46">
        <v>29355847</v>
      </c>
      <c r="K2975" s="46">
        <v>0</v>
      </c>
      <c r="L2975" s="46">
        <v>0</v>
      </c>
      <c r="M2975" s="46">
        <f t="shared" si="809"/>
        <v>29355847</v>
      </c>
      <c r="N2975" s="46">
        <v>28552649</v>
      </c>
      <c r="O2975" s="48">
        <f t="shared" si="810"/>
        <v>0</v>
      </c>
      <c r="P2975" s="46">
        <v>0</v>
      </c>
      <c r="Q2975" s="46">
        <v>29355847</v>
      </c>
      <c r="R2975" s="49">
        <f t="shared" si="811"/>
        <v>1</v>
      </c>
      <c r="S2975" s="50">
        <f t="shared" si="812"/>
        <v>0.01</v>
      </c>
      <c r="T2975" s="49">
        <f t="shared" si="813"/>
        <v>293558.47000000003</v>
      </c>
      <c r="U2975" s="51">
        <f t="shared" si="814"/>
        <v>0</v>
      </c>
      <c r="V2975" s="52">
        <f>IF(0&lt;0.8,0,IF(0&lt;1,Sheet3!L561,1))*IF(G2975&lt;3,0.12 - O2975,0.01) *U2975</f>
        <v>0</v>
      </c>
      <c r="W2975" s="52">
        <f t="shared" si="815"/>
        <v>0</v>
      </c>
      <c r="X2975" s="53">
        <f t="shared" si="816"/>
        <v>0</v>
      </c>
      <c r="Y2975" s="53">
        <f t="shared" si="817"/>
        <v>0</v>
      </c>
      <c r="Z2975" s="54">
        <f t="shared" si="821"/>
        <v>0</v>
      </c>
      <c r="AA2975" s="54">
        <f t="shared" si="818"/>
        <v>0</v>
      </c>
      <c r="AB2975" s="55">
        <f t="shared" si="808"/>
        <v>0</v>
      </c>
      <c r="AC2975" s="55">
        <f t="shared" si="819"/>
        <v>0</v>
      </c>
      <c r="AD2975" s="56">
        <f t="shared" si="820"/>
        <v>293558.47000000003</v>
      </c>
    </row>
    <row r="2976" spans="3:30">
      <c r="C2976" s="43" t="s">
        <v>5543</v>
      </c>
      <c r="D2976" s="44" t="s">
        <v>5544</v>
      </c>
      <c r="E2976" s="44"/>
      <c r="F2976" s="45">
        <v>42144.422800925924</v>
      </c>
      <c r="G2976" s="46">
        <v>40</v>
      </c>
      <c r="H2976" s="47">
        <v>43404</v>
      </c>
      <c r="I2976" s="47">
        <v>43434</v>
      </c>
      <c r="J2976" s="46">
        <v>12454718</v>
      </c>
      <c r="K2976" s="46">
        <v>0</v>
      </c>
      <c r="L2976" s="46">
        <v>0</v>
      </c>
      <c r="M2976" s="46">
        <f t="shared" si="809"/>
        <v>12454718</v>
      </c>
      <c r="N2976" s="46">
        <v>12165438</v>
      </c>
      <c r="O2976" s="48">
        <f t="shared" si="810"/>
        <v>0</v>
      </c>
      <c r="P2976" s="46">
        <v>0</v>
      </c>
      <c r="Q2976" s="46">
        <v>12454718</v>
      </c>
      <c r="R2976" s="49">
        <f t="shared" si="811"/>
        <v>1</v>
      </c>
      <c r="S2976" s="50">
        <f t="shared" si="812"/>
        <v>0.01</v>
      </c>
      <c r="T2976" s="49">
        <f t="shared" si="813"/>
        <v>124547.18000000001</v>
      </c>
      <c r="U2976" s="51">
        <f t="shared" si="814"/>
        <v>0</v>
      </c>
      <c r="V2976" s="52">
        <f>IF(0&lt;0.8,0,IF(0&lt;1,Sheet3!L561,1))*IF(G2976&lt;3,0.12 - O2976,0.01) *U2976</f>
        <v>0</v>
      </c>
      <c r="W2976" s="52">
        <f t="shared" si="815"/>
        <v>0</v>
      </c>
      <c r="X2976" s="53">
        <f t="shared" si="816"/>
        <v>0</v>
      </c>
      <c r="Y2976" s="53">
        <f t="shared" si="817"/>
        <v>0</v>
      </c>
      <c r="Z2976" s="54">
        <f t="shared" si="821"/>
        <v>0</v>
      </c>
      <c r="AA2976" s="54">
        <f t="shared" si="818"/>
        <v>0</v>
      </c>
      <c r="AB2976" s="55">
        <f t="shared" si="808"/>
        <v>0</v>
      </c>
      <c r="AC2976" s="55">
        <f t="shared" si="819"/>
        <v>0</v>
      </c>
      <c r="AD2976" s="56">
        <f t="shared" si="820"/>
        <v>124547.18000000001</v>
      </c>
    </row>
    <row r="2977" spans="3:30">
      <c r="C2977" s="43" t="s">
        <v>5545</v>
      </c>
      <c r="D2977" s="44" t="s">
        <v>5546</v>
      </c>
      <c r="E2977" s="44"/>
      <c r="F2977" s="45">
        <v>42144.679050925923</v>
      </c>
      <c r="G2977" s="46">
        <v>40</v>
      </c>
      <c r="H2977" s="47">
        <v>43372</v>
      </c>
      <c r="I2977" s="47">
        <v>43398</v>
      </c>
      <c r="J2977" s="46">
        <v>3729099</v>
      </c>
      <c r="K2977" s="46">
        <v>0</v>
      </c>
      <c r="L2977" s="46">
        <v>0</v>
      </c>
      <c r="M2977" s="46">
        <f t="shared" si="809"/>
        <v>3729099</v>
      </c>
      <c r="N2977" s="46">
        <v>3729099</v>
      </c>
      <c r="O2977" s="48">
        <f t="shared" si="810"/>
        <v>0</v>
      </c>
      <c r="P2977" s="46">
        <v>0</v>
      </c>
      <c r="Q2977" s="46">
        <v>3729099</v>
      </c>
      <c r="R2977" s="49">
        <f t="shared" si="811"/>
        <v>1</v>
      </c>
      <c r="S2977" s="50">
        <f t="shared" si="812"/>
        <v>0.01</v>
      </c>
      <c r="T2977" s="49">
        <f t="shared" si="813"/>
        <v>37290.99</v>
      </c>
      <c r="U2977" s="51">
        <f t="shared" si="814"/>
        <v>0</v>
      </c>
      <c r="V2977" s="52">
        <f>IF(0&lt;0.8,0,IF(0&lt;1,Sheet3!L561,1))*IF(G2977&lt;3,0.12 - O2977,0.01) *U2977</f>
        <v>0</v>
      </c>
      <c r="W2977" s="52">
        <f t="shared" si="815"/>
        <v>0</v>
      </c>
      <c r="X2977" s="53">
        <f t="shared" si="816"/>
        <v>0</v>
      </c>
      <c r="Y2977" s="53">
        <f t="shared" si="817"/>
        <v>0</v>
      </c>
      <c r="Z2977" s="54">
        <f t="shared" si="821"/>
        <v>0</v>
      </c>
      <c r="AA2977" s="54">
        <f t="shared" si="818"/>
        <v>0</v>
      </c>
      <c r="AB2977" s="55">
        <f t="shared" si="808"/>
        <v>0</v>
      </c>
      <c r="AC2977" s="55">
        <f t="shared" si="819"/>
        <v>0</v>
      </c>
      <c r="AD2977" s="56">
        <f t="shared" si="820"/>
        <v>37290.99</v>
      </c>
    </row>
    <row r="2978" spans="3:30">
      <c r="C2978" s="43" t="s">
        <v>5547</v>
      </c>
      <c r="D2978" s="44" t="s">
        <v>5548</v>
      </c>
      <c r="E2978" s="44"/>
      <c r="F2978" s="45">
        <v>42213.410312499997</v>
      </c>
      <c r="G2978" s="46">
        <v>38</v>
      </c>
      <c r="H2978" s="47">
        <v>43372</v>
      </c>
      <c r="I2978" s="47">
        <v>43420</v>
      </c>
      <c r="J2978" s="46">
        <v>15407051</v>
      </c>
      <c r="K2978" s="46">
        <v>0</v>
      </c>
      <c r="L2978" s="46">
        <v>0</v>
      </c>
      <c r="M2978" s="46">
        <f t="shared" si="809"/>
        <v>15407051</v>
      </c>
      <c r="N2978" s="46">
        <v>23066714</v>
      </c>
      <c r="O2978" s="48">
        <f t="shared" si="810"/>
        <v>0.33206563362254371</v>
      </c>
      <c r="P2978" s="46">
        <v>0</v>
      </c>
      <c r="Q2978" s="46">
        <v>15407051</v>
      </c>
      <c r="R2978" s="49">
        <f t="shared" si="811"/>
        <v>1</v>
      </c>
      <c r="S2978" s="50">
        <f t="shared" si="812"/>
        <v>0.01</v>
      </c>
      <c r="T2978" s="49">
        <f t="shared" si="813"/>
        <v>154070.51</v>
      </c>
      <c r="U2978" s="51">
        <f t="shared" si="814"/>
        <v>0</v>
      </c>
      <c r="V2978" s="52">
        <f>IF(0&lt;0.8,0,IF(0&lt;1,Sheet3!L561,1))*IF(G2978&lt;3,0.12 - O2978,0.01) *U2978</f>
        <v>0</v>
      </c>
      <c r="W2978" s="52">
        <f t="shared" si="815"/>
        <v>0</v>
      </c>
      <c r="X2978" s="53">
        <f t="shared" si="816"/>
        <v>0</v>
      </c>
      <c r="Y2978" s="53">
        <f t="shared" si="817"/>
        <v>0</v>
      </c>
      <c r="Z2978" s="54">
        <f t="shared" si="821"/>
        <v>0</v>
      </c>
      <c r="AA2978" s="54">
        <f t="shared" si="818"/>
        <v>0</v>
      </c>
      <c r="AB2978" s="55">
        <f t="shared" si="808"/>
        <v>0</v>
      </c>
      <c r="AC2978" s="55">
        <f t="shared" si="819"/>
        <v>0</v>
      </c>
      <c r="AD2978" s="56">
        <f t="shared" si="820"/>
        <v>154070.51</v>
      </c>
    </row>
    <row r="2979" spans="3:30">
      <c r="C2979" s="43" t="s">
        <v>5549</v>
      </c>
      <c r="D2979" s="44" t="s">
        <v>5550</v>
      </c>
      <c r="E2979" s="44"/>
      <c r="F2979" s="45">
        <v>42213.432673611111</v>
      </c>
      <c r="G2979" s="46">
        <v>38</v>
      </c>
      <c r="H2979" s="47" t="s">
        <v>24</v>
      </c>
      <c r="I2979" s="47" t="s">
        <v>24</v>
      </c>
      <c r="J2979" s="46">
        <v>75988</v>
      </c>
      <c r="K2979" s="46">
        <v>0</v>
      </c>
      <c r="L2979" s="46">
        <v>0</v>
      </c>
      <c r="M2979" s="46">
        <f t="shared" si="809"/>
        <v>75988</v>
      </c>
      <c r="N2979" s="46">
        <v>75988</v>
      </c>
      <c r="O2979" s="48">
        <f t="shared" si="810"/>
        <v>0</v>
      </c>
      <c r="P2979" s="46">
        <v>0</v>
      </c>
      <c r="Q2979" s="46">
        <v>75988</v>
      </c>
      <c r="R2979" s="49">
        <f t="shared" si="811"/>
        <v>1</v>
      </c>
      <c r="S2979" s="50">
        <f t="shared" si="812"/>
        <v>0.01</v>
      </c>
      <c r="T2979" s="49">
        <f t="shared" si="813"/>
        <v>759.88</v>
      </c>
      <c r="U2979" s="51">
        <f t="shared" si="814"/>
        <v>0</v>
      </c>
      <c r="V2979" s="52">
        <f>IF(0&lt;0.8,0,IF(0&lt;1,Sheet3!L561,1))*IF(G2979&lt;3,0.12 - O2979,0.01) *U2979</f>
        <v>0</v>
      </c>
      <c r="W2979" s="52">
        <f t="shared" si="815"/>
        <v>0</v>
      </c>
      <c r="X2979" s="53">
        <f t="shared" si="816"/>
        <v>0</v>
      </c>
      <c r="Y2979" s="53">
        <f t="shared" si="817"/>
        <v>0</v>
      </c>
      <c r="Z2979" s="54">
        <f t="shared" si="821"/>
        <v>0</v>
      </c>
      <c r="AA2979" s="54">
        <f t="shared" si="818"/>
        <v>0</v>
      </c>
      <c r="AB2979" s="55">
        <f t="shared" si="808"/>
        <v>0</v>
      </c>
      <c r="AC2979" s="55">
        <f t="shared" si="819"/>
        <v>0</v>
      </c>
      <c r="AD2979" s="56">
        <f t="shared" si="820"/>
        <v>759.88</v>
      </c>
    </row>
    <row r="2980" spans="3:30">
      <c r="C2980" s="43" t="s">
        <v>5551</v>
      </c>
      <c r="D2980" s="44" t="s">
        <v>5552</v>
      </c>
      <c r="E2980" s="44"/>
      <c r="F2980" s="45">
        <v>42213.440706018519</v>
      </c>
      <c r="G2980" s="46">
        <v>38</v>
      </c>
      <c r="H2980" s="47" t="s">
        <v>24</v>
      </c>
      <c r="I2980" s="47" t="s">
        <v>24</v>
      </c>
      <c r="J2980" s="46">
        <v>500033</v>
      </c>
      <c r="K2980" s="46">
        <v>0</v>
      </c>
      <c r="L2980" s="46">
        <v>0</v>
      </c>
      <c r="M2980" s="46">
        <f t="shared" si="809"/>
        <v>500033</v>
      </c>
      <c r="N2980" s="46">
        <v>500033</v>
      </c>
      <c r="O2980" s="48">
        <f t="shared" si="810"/>
        <v>0</v>
      </c>
      <c r="P2980" s="46">
        <v>0</v>
      </c>
      <c r="Q2980" s="46">
        <v>500033</v>
      </c>
      <c r="R2980" s="49">
        <f t="shared" si="811"/>
        <v>1</v>
      </c>
      <c r="S2980" s="50">
        <f t="shared" si="812"/>
        <v>0.01</v>
      </c>
      <c r="T2980" s="49">
        <f t="shared" si="813"/>
        <v>5000.33</v>
      </c>
      <c r="U2980" s="51">
        <f t="shared" si="814"/>
        <v>0</v>
      </c>
      <c r="V2980" s="52">
        <f>IF(0&lt;0.8,0,IF(0&lt;1,Sheet3!L561,1))*IF(G2980&lt;3,0.12 - O2980,0.01) *U2980</f>
        <v>0</v>
      </c>
      <c r="W2980" s="52">
        <f t="shared" si="815"/>
        <v>0</v>
      </c>
      <c r="X2980" s="53">
        <f t="shared" si="816"/>
        <v>0</v>
      </c>
      <c r="Y2980" s="53">
        <f t="shared" si="817"/>
        <v>0</v>
      </c>
      <c r="Z2980" s="54">
        <f t="shared" si="821"/>
        <v>0</v>
      </c>
      <c r="AA2980" s="54">
        <f t="shared" si="818"/>
        <v>0</v>
      </c>
      <c r="AB2980" s="55">
        <f t="shared" si="808"/>
        <v>0</v>
      </c>
      <c r="AC2980" s="55">
        <f t="shared" si="819"/>
        <v>0</v>
      </c>
      <c r="AD2980" s="56">
        <f t="shared" si="820"/>
        <v>5000.33</v>
      </c>
    </row>
    <row r="2981" spans="3:30">
      <c r="C2981" s="43" t="s">
        <v>5553</v>
      </c>
      <c r="D2981" s="44" t="s">
        <v>5554</v>
      </c>
      <c r="E2981" s="44"/>
      <c r="F2981" s="45">
        <v>42213.458634259259</v>
      </c>
      <c r="G2981" s="46">
        <v>38</v>
      </c>
      <c r="H2981" s="47">
        <v>43372</v>
      </c>
      <c r="I2981" s="47">
        <v>43398</v>
      </c>
      <c r="J2981" s="46">
        <v>1523496</v>
      </c>
      <c r="K2981" s="46">
        <v>0</v>
      </c>
      <c r="L2981" s="46">
        <v>0</v>
      </c>
      <c r="M2981" s="46">
        <f t="shared" si="809"/>
        <v>1523496</v>
      </c>
      <c r="N2981" s="46">
        <v>1509596</v>
      </c>
      <c r="O2981" s="48">
        <f t="shared" si="810"/>
        <v>0</v>
      </c>
      <c r="P2981" s="46">
        <v>0</v>
      </c>
      <c r="Q2981" s="46">
        <v>1523496</v>
      </c>
      <c r="R2981" s="49">
        <f t="shared" si="811"/>
        <v>1</v>
      </c>
      <c r="S2981" s="50">
        <f t="shared" si="812"/>
        <v>0.01</v>
      </c>
      <c r="T2981" s="49">
        <f t="shared" si="813"/>
        <v>15234.960000000001</v>
      </c>
      <c r="U2981" s="51">
        <f t="shared" si="814"/>
        <v>0</v>
      </c>
      <c r="V2981" s="52">
        <f>IF(0&lt;0.8,0,IF(0&lt;1,Sheet3!L561,1))*IF(G2981&lt;3,0.12 - O2981,0.01) *U2981</f>
        <v>0</v>
      </c>
      <c r="W2981" s="52">
        <f t="shared" si="815"/>
        <v>0</v>
      </c>
      <c r="X2981" s="53">
        <f t="shared" si="816"/>
        <v>0</v>
      </c>
      <c r="Y2981" s="53">
        <f t="shared" si="817"/>
        <v>0</v>
      </c>
      <c r="Z2981" s="54">
        <f t="shared" si="821"/>
        <v>0</v>
      </c>
      <c r="AA2981" s="54">
        <f t="shared" si="818"/>
        <v>0</v>
      </c>
      <c r="AB2981" s="55">
        <f t="shared" si="808"/>
        <v>0</v>
      </c>
      <c r="AC2981" s="55">
        <f t="shared" si="819"/>
        <v>0</v>
      </c>
      <c r="AD2981" s="56">
        <f t="shared" si="820"/>
        <v>15234.960000000001</v>
      </c>
    </row>
    <row r="2982" spans="3:30">
      <c r="C2982" s="43" t="s">
        <v>5555</v>
      </c>
      <c r="D2982" s="44" t="s">
        <v>5556</v>
      </c>
      <c r="E2982" s="44"/>
      <c r="F2982" s="45">
        <v>42213.48269675926</v>
      </c>
      <c r="G2982" s="46">
        <v>38</v>
      </c>
      <c r="H2982" s="47">
        <v>43390</v>
      </c>
      <c r="I2982" s="47">
        <v>43423</v>
      </c>
      <c r="J2982" s="46">
        <v>12622000</v>
      </c>
      <c r="K2982" s="46">
        <v>0</v>
      </c>
      <c r="L2982" s="46">
        <v>0</v>
      </c>
      <c r="M2982" s="46">
        <f t="shared" si="809"/>
        <v>12622000</v>
      </c>
      <c r="N2982" s="46">
        <v>12621462</v>
      </c>
      <c r="O2982" s="48">
        <f t="shared" si="810"/>
        <v>0</v>
      </c>
      <c r="P2982" s="46">
        <v>0</v>
      </c>
      <c r="Q2982" s="46">
        <v>12622000</v>
      </c>
      <c r="R2982" s="49">
        <f t="shared" si="811"/>
        <v>1</v>
      </c>
      <c r="S2982" s="50">
        <f t="shared" si="812"/>
        <v>0.01</v>
      </c>
      <c r="T2982" s="49">
        <f t="shared" si="813"/>
        <v>126220</v>
      </c>
      <c r="U2982" s="51">
        <f t="shared" si="814"/>
        <v>0</v>
      </c>
      <c r="V2982" s="52">
        <f>IF(0&lt;0.8,0,IF(0&lt;1,Sheet3!L561,1))*IF(G2982&lt;3,0.12 - O2982,0.01) *U2982</f>
        <v>0</v>
      </c>
      <c r="W2982" s="52">
        <f t="shared" si="815"/>
        <v>0</v>
      </c>
      <c r="X2982" s="53">
        <f t="shared" si="816"/>
        <v>0</v>
      </c>
      <c r="Y2982" s="53">
        <f t="shared" si="817"/>
        <v>0</v>
      </c>
      <c r="Z2982" s="54">
        <f t="shared" si="821"/>
        <v>0</v>
      </c>
      <c r="AA2982" s="54">
        <f t="shared" si="818"/>
        <v>0</v>
      </c>
      <c r="AB2982" s="55">
        <f t="shared" si="808"/>
        <v>0</v>
      </c>
      <c r="AC2982" s="55">
        <f t="shared" si="819"/>
        <v>0</v>
      </c>
      <c r="AD2982" s="56">
        <f t="shared" si="820"/>
        <v>126220</v>
      </c>
    </row>
    <row r="2983" spans="3:30">
      <c r="C2983" s="43" t="s">
        <v>5557</v>
      </c>
      <c r="D2983" s="44" t="s">
        <v>5558</v>
      </c>
      <c r="E2983" s="44"/>
      <c r="F2983" s="45">
        <v>42213.483749999999</v>
      </c>
      <c r="G2983" s="46">
        <v>38</v>
      </c>
      <c r="H2983" s="47">
        <v>43372</v>
      </c>
      <c r="I2983" s="47">
        <v>43465</v>
      </c>
      <c r="J2983" s="46">
        <v>406197</v>
      </c>
      <c r="K2983" s="46">
        <v>0</v>
      </c>
      <c r="L2983" s="46">
        <v>0</v>
      </c>
      <c r="M2983" s="46">
        <f t="shared" si="809"/>
        <v>406197</v>
      </c>
      <c r="N2983" s="46">
        <v>406197</v>
      </c>
      <c r="O2983" s="48">
        <f t="shared" si="810"/>
        <v>0</v>
      </c>
      <c r="P2983" s="46">
        <v>0</v>
      </c>
      <c r="Q2983" s="46">
        <v>406197</v>
      </c>
      <c r="R2983" s="49">
        <f t="shared" si="811"/>
        <v>1</v>
      </c>
      <c r="S2983" s="50">
        <f t="shared" si="812"/>
        <v>0.01</v>
      </c>
      <c r="T2983" s="49">
        <f t="shared" si="813"/>
        <v>4061.9700000000003</v>
      </c>
      <c r="U2983" s="51">
        <f t="shared" si="814"/>
        <v>0</v>
      </c>
      <c r="V2983" s="52">
        <f>IF(0&lt;0.8,0,IF(0&lt;1,Sheet3!L561,1))*IF(G2983&lt;3,0.12 - O2983,0.01) *U2983</f>
        <v>0</v>
      </c>
      <c r="W2983" s="52">
        <f t="shared" si="815"/>
        <v>0</v>
      </c>
      <c r="X2983" s="53">
        <f t="shared" si="816"/>
        <v>0</v>
      </c>
      <c r="Y2983" s="53">
        <f t="shared" si="817"/>
        <v>0</v>
      </c>
      <c r="Z2983" s="54">
        <f t="shared" si="821"/>
        <v>0</v>
      </c>
      <c r="AA2983" s="54">
        <f t="shared" si="818"/>
        <v>0</v>
      </c>
      <c r="AB2983" s="55">
        <f t="shared" si="808"/>
        <v>0</v>
      </c>
      <c r="AC2983" s="55">
        <f t="shared" si="819"/>
        <v>0</v>
      </c>
      <c r="AD2983" s="56">
        <f t="shared" si="820"/>
        <v>4061.9700000000003</v>
      </c>
    </row>
    <row r="2984" spans="3:30">
      <c r="C2984" s="43" t="s">
        <v>5559</v>
      </c>
      <c r="D2984" s="44" t="s">
        <v>5560</v>
      </c>
      <c r="E2984" s="44"/>
      <c r="F2984" s="45">
        <v>42213.484421296293</v>
      </c>
      <c r="G2984" s="46">
        <v>38</v>
      </c>
      <c r="H2984" s="47">
        <v>43404</v>
      </c>
      <c r="I2984" s="47">
        <v>43425</v>
      </c>
      <c r="J2984" s="46">
        <v>1309583</v>
      </c>
      <c r="K2984" s="46">
        <v>0</v>
      </c>
      <c r="L2984" s="46">
        <v>0</v>
      </c>
      <c r="M2984" s="46">
        <f t="shared" si="809"/>
        <v>1309583</v>
      </c>
      <c r="N2984" s="46">
        <v>1309583</v>
      </c>
      <c r="O2984" s="48">
        <f t="shared" si="810"/>
        <v>0</v>
      </c>
      <c r="P2984" s="46">
        <v>0</v>
      </c>
      <c r="Q2984" s="46">
        <v>1309583</v>
      </c>
      <c r="R2984" s="49">
        <f t="shared" si="811"/>
        <v>1</v>
      </c>
      <c r="S2984" s="50">
        <f t="shared" si="812"/>
        <v>0.01</v>
      </c>
      <c r="T2984" s="49">
        <f t="shared" si="813"/>
        <v>13095.83</v>
      </c>
      <c r="U2984" s="51">
        <f t="shared" si="814"/>
        <v>0</v>
      </c>
      <c r="V2984" s="52">
        <f>IF(0&lt;0.8,0,IF(0&lt;1,Sheet3!L561,1))*IF(G2984&lt;3,0.12 - O2984,0.01) *U2984</f>
        <v>0</v>
      </c>
      <c r="W2984" s="52">
        <f t="shared" si="815"/>
        <v>0</v>
      </c>
      <c r="X2984" s="53">
        <f t="shared" si="816"/>
        <v>0</v>
      </c>
      <c r="Y2984" s="53">
        <f t="shared" si="817"/>
        <v>0</v>
      </c>
      <c r="Z2984" s="54">
        <f t="shared" si="821"/>
        <v>0</v>
      </c>
      <c r="AA2984" s="54">
        <f t="shared" si="818"/>
        <v>0</v>
      </c>
      <c r="AB2984" s="55">
        <f t="shared" si="808"/>
        <v>0</v>
      </c>
      <c r="AC2984" s="55">
        <f t="shared" si="819"/>
        <v>0</v>
      </c>
      <c r="AD2984" s="56">
        <f t="shared" si="820"/>
        <v>13095.83</v>
      </c>
    </row>
    <row r="2985" spans="3:30">
      <c r="C2985" s="43" t="s">
        <v>5561</v>
      </c>
      <c r="D2985" s="44" t="s">
        <v>5562</v>
      </c>
      <c r="E2985" s="44"/>
      <c r="F2985" s="45">
        <v>42213.485347222224</v>
      </c>
      <c r="G2985" s="46">
        <v>38</v>
      </c>
      <c r="H2985" s="47" t="s">
        <v>24</v>
      </c>
      <c r="I2985" s="47" t="s">
        <v>24</v>
      </c>
      <c r="J2985" s="46">
        <v>17364368</v>
      </c>
      <c r="K2985" s="46">
        <v>0</v>
      </c>
      <c r="L2985" s="46">
        <v>0</v>
      </c>
      <c r="M2985" s="46">
        <f t="shared" si="809"/>
        <v>17364368</v>
      </c>
      <c r="N2985" s="46">
        <v>787274</v>
      </c>
      <c r="O2985" s="48">
        <f t="shared" si="810"/>
        <v>0</v>
      </c>
      <c r="P2985" s="46">
        <v>0</v>
      </c>
      <c r="Q2985" s="46">
        <v>0</v>
      </c>
      <c r="R2985" s="49">
        <f t="shared" si="811"/>
        <v>1</v>
      </c>
      <c r="S2985" s="50">
        <f t="shared" si="812"/>
        <v>0.01</v>
      </c>
      <c r="T2985" s="49">
        <f t="shared" si="813"/>
        <v>173643.68</v>
      </c>
      <c r="U2985" s="51">
        <f t="shared" si="814"/>
        <v>0</v>
      </c>
      <c r="V2985" s="52">
        <f>IF(0&lt;0.8,0,IF(0&lt;1,Sheet3!L561,1))*IF(G2985&lt;3,0.12 - O2985,0.01) *U2985</f>
        <v>0</v>
      </c>
      <c r="W2985" s="52">
        <f t="shared" si="815"/>
        <v>0</v>
      </c>
      <c r="X2985" s="53">
        <f t="shared" si="816"/>
        <v>0</v>
      </c>
      <c r="Y2985" s="53">
        <f t="shared" si="817"/>
        <v>0</v>
      </c>
      <c r="Z2985" s="54">
        <f>IF(R2985=1,0,"")</f>
        <v>0</v>
      </c>
      <c r="AA2985" s="54">
        <f t="shared" si="818"/>
        <v>0</v>
      </c>
      <c r="AB2985" s="55">
        <f>IF(R2985=0,"",0)</f>
        <v>0</v>
      </c>
      <c r="AC2985" s="55">
        <f t="shared" si="819"/>
        <v>0</v>
      </c>
      <c r="AD2985" s="56">
        <f t="shared" si="820"/>
        <v>173643.68</v>
      </c>
    </row>
    <row r="2986" spans="3:30">
      <c r="C2986" s="43" t="s">
        <v>5563</v>
      </c>
      <c r="D2986" s="44" t="s">
        <v>5564</v>
      </c>
      <c r="E2986" s="44"/>
      <c r="F2986" s="45">
        <v>42213.491574074069</v>
      </c>
      <c r="G2986" s="46">
        <v>38</v>
      </c>
      <c r="H2986" s="47">
        <v>43372</v>
      </c>
      <c r="I2986" s="47">
        <v>43410</v>
      </c>
      <c r="J2986" s="46">
        <v>2743433</v>
      </c>
      <c r="K2986" s="46">
        <v>0</v>
      </c>
      <c r="L2986" s="46">
        <v>0</v>
      </c>
      <c r="M2986" s="46">
        <f t="shared" si="809"/>
        <v>2743433</v>
      </c>
      <c r="N2986" s="46">
        <v>2758437</v>
      </c>
      <c r="O2986" s="48">
        <f t="shared" si="810"/>
        <v>5.4393121902004404E-3</v>
      </c>
      <c r="P2986" s="46">
        <v>0</v>
      </c>
      <c r="Q2986" s="46">
        <v>2743433</v>
      </c>
      <c r="R2986" s="49">
        <f t="shared" si="811"/>
        <v>1</v>
      </c>
      <c r="S2986" s="50">
        <f t="shared" si="812"/>
        <v>0.01</v>
      </c>
      <c r="T2986" s="49">
        <f t="shared" si="813"/>
        <v>27434.33</v>
      </c>
      <c r="U2986" s="51">
        <f t="shared" si="814"/>
        <v>0</v>
      </c>
      <c r="V2986" s="52">
        <f>IF(0&lt;0.8,0,IF(0&lt;1,Sheet3!L561,1))*IF(G2986&lt;3,0.12 - O2986,0.01) *U2986</f>
        <v>0</v>
      </c>
      <c r="W2986" s="52">
        <f t="shared" si="815"/>
        <v>0</v>
      </c>
      <c r="X2986" s="53">
        <f t="shared" si="816"/>
        <v>0</v>
      </c>
      <c r="Y2986" s="53">
        <f t="shared" si="817"/>
        <v>0</v>
      </c>
      <c r="Z2986" s="54">
        <f t="shared" ref="Z2986:Z2991" si="822">IF(R2986=1,0,0)</f>
        <v>0</v>
      </c>
      <c r="AA2986" s="54">
        <f t="shared" si="818"/>
        <v>0</v>
      </c>
      <c r="AB2986" s="55">
        <f t="shared" ref="AB2986:AB3014" si="823">IF(R2986=0,0,0)</f>
        <v>0</v>
      </c>
      <c r="AC2986" s="55">
        <f t="shared" si="819"/>
        <v>0</v>
      </c>
      <c r="AD2986" s="56">
        <f t="shared" si="820"/>
        <v>27434.33</v>
      </c>
    </row>
    <row r="2987" spans="3:30">
      <c r="C2987" s="43" t="s">
        <v>5565</v>
      </c>
      <c r="D2987" s="44" t="s">
        <v>5566</v>
      </c>
      <c r="E2987" s="44"/>
      <c r="F2987" s="45">
        <v>42213.503449074073</v>
      </c>
      <c r="G2987" s="46">
        <v>38</v>
      </c>
      <c r="H2987" s="47">
        <v>43372</v>
      </c>
      <c r="I2987" s="47">
        <v>43389</v>
      </c>
      <c r="J2987" s="46">
        <v>3188036</v>
      </c>
      <c r="K2987" s="46">
        <v>0</v>
      </c>
      <c r="L2987" s="46">
        <v>0</v>
      </c>
      <c r="M2987" s="46">
        <f t="shared" si="809"/>
        <v>3188036</v>
      </c>
      <c r="N2987" s="46">
        <v>3186656</v>
      </c>
      <c r="O2987" s="48">
        <f t="shared" si="810"/>
        <v>0</v>
      </c>
      <c r="P2987" s="46">
        <v>0</v>
      </c>
      <c r="Q2987" s="46">
        <v>3188036</v>
      </c>
      <c r="R2987" s="49">
        <f t="shared" si="811"/>
        <v>1</v>
      </c>
      <c r="S2987" s="50">
        <f t="shared" si="812"/>
        <v>0.01</v>
      </c>
      <c r="T2987" s="49">
        <f t="shared" si="813"/>
        <v>31880.36</v>
      </c>
      <c r="U2987" s="51">
        <f t="shared" si="814"/>
        <v>0</v>
      </c>
      <c r="V2987" s="52">
        <f>IF(0&lt;0.8,0,IF(0&lt;1,Sheet3!L561,1))*IF(G2987&lt;3,0.12 - O2987,0.01) *U2987</f>
        <v>0</v>
      </c>
      <c r="W2987" s="52">
        <f t="shared" si="815"/>
        <v>0</v>
      </c>
      <c r="X2987" s="53">
        <f t="shared" si="816"/>
        <v>0</v>
      </c>
      <c r="Y2987" s="53">
        <f t="shared" si="817"/>
        <v>0</v>
      </c>
      <c r="Z2987" s="54">
        <f t="shared" si="822"/>
        <v>0</v>
      </c>
      <c r="AA2987" s="54">
        <f t="shared" si="818"/>
        <v>0</v>
      </c>
      <c r="AB2987" s="55">
        <f t="shared" si="823"/>
        <v>0</v>
      </c>
      <c r="AC2987" s="55">
        <f t="shared" si="819"/>
        <v>0</v>
      </c>
      <c r="AD2987" s="56">
        <f t="shared" si="820"/>
        <v>31880.36</v>
      </c>
    </row>
    <row r="2988" spans="3:30">
      <c r="C2988" s="43" t="s">
        <v>5567</v>
      </c>
      <c r="D2988" s="44" t="s">
        <v>5568</v>
      </c>
      <c r="E2988" s="44"/>
      <c r="F2988" s="45">
        <v>42215.594618055555</v>
      </c>
      <c r="G2988" s="46">
        <v>38</v>
      </c>
      <c r="H2988" s="47">
        <v>43390</v>
      </c>
      <c r="I2988" s="47">
        <v>43392</v>
      </c>
      <c r="J2988" s="46">
        <v>4140705</v>
      </c>
      <c r="K2988" s="46">
        <v>0</v>
      </c>
      <c r="L2988" s="46">
        <v>0</v>
      </c>
      <c r="M2988" s="46">
        <f t="shared" si="809"/>
        <v>4140705</v>
      </c>
      <c r="N2988" s="46">
        <v>4140015</v>
      </c>
      <c r="O2988" s="48">
        <f t="shared" si="810"/>
        <v>0</v>
      </c>
      <c r="P2988" s="46">
        <v>0</v>
      </c>
      <c r="Q2988" s="46">
        <v>4140705</v>
      </c>
      <c r="R2988" s="49">
        <f t="shared" si="811"/>
        <v>1</v>
      </c>
      <c r="S2988" s="50">
        <f t="shared" si="812"/>
        <v>0.01</v>
      </c>
      <c r="T2988" s="49">
        <f t="shared" si="813"/>
        <v>41407.050000000003</v>
      </c>
      <c r="U2988" s="51">
        <f t="shared" si="814"/>
        <v>0</v>
      </c>
      <c r="V2988" s="52">
        <f>IF(0&lt;0.8,0,IF(0&lt;1,Sheet3!L561,1))*IF(G2988&lt;3,0.12 - O2988,0.01) *U2988</f>
        <v>0</v>
      </c>
      <c r="W2988" s="52">
        <f t="shared" si="815"/>
        <v>0</v>
      </c>
      <c r="X2988" s="53">
        <f t="shared" si="816"/>
        <v>0</v>
      </c>
      <c r="Y2988" s="53">
        <f t="shared" si="817"/>
        <v>0</v>
      </c>
      <c r="Z2988" s="54">
        <f t="shared" si="822"/>
        <v>0</v>
      </c>
      <c r="AA2988" s="54">
        <f t="shared" si="818"/>
        <v>0</v>
      </c>
      <c r="AB2988" s="55">
        <f t="shared" si="823"/>
        <v>0</v>
      </c>
      <c r="AC2988" s="55">
        <f t="shared" si="819"/>
        <v>0</v>
      </c>
      <c r="AD2988" s="56">
        <f t="shared" si="820"/>
        <v>41407.050000000003</v>
      </c>
    </row>
    <row r="2989" spans="3:30">
      <c r="C2989" s="43" t="s">
        <v>5569</v>
      </c>
      <c r="D2989" s="44" t="s">
        <v>5570</v>
      </c>
      <c r="E2989" s="44"/>
      <c r="F2989" s="45">
        <v>42277.427800925921</v>
      </c>
      <c r="G2989" s="46">
        <v>36</v>
      </c>
      <c r="H2989" s="47">
        <v>43404</v>
      </c>
      <c r="I2989" s="47">
        <v>43417</v>
      </c>
      <c r="J2989" s="46">
        <v>587673</v>
      </c>
      <c r="K2989" s="46">
        <v>0</v>
      </c>
      <c r="L2989" s="46">
        <v>0</v>
      </c>
      <c r="M2989" s="46">
        <f t="shared" si="809"/>
        <v>587673</v>
      </c>
      <c r="N2989" s="46">
        <v>604344</v>
      </c>
      <c r="O2989" s="48">
        <f t="shared" si="810"/>
        <v>2.7585282554306811E-2</v>
      </c>
      <c r="P2989" s="46">
        <v>0</v>
      </c>
      <c r="Q2989" s="46">
        <v>587673</v>
      </c>
      <c r="R2989" s="49">
        <f t="shared" si="811"/>
        <v>1</v>
      </c>
      <c r="S2989" s="50">
        <f t="shared" si="812"/>
        <v>0.01</v>
      </c>
      <c r="T2989" s="49">
        <f t="shared" si="813"/>
        <v>5876.7300000000005</v>
      </c>
      <c r="U2989" s="51">
        <f t="shared" si="814"/>
        <v>0</v>
      </c>
      <c r="V2989" s="52">
        <f>IF(0&lt;0.8,0,IF(0&lt;1,Sheet3!L561,1))*IF(G2989&lt;3,0.12 - O2989,0.01) *U2989</f>
        <v>0</v>
      </c>
      <c r="W2989" s="52">
        <f t="shared" si="815"/>
        <v>0</v>
      </c>
      <c r="X2989" s="53">
        <f t="shared" si="816"/>
        <v>0</v>
      </c>
      <c r="Y2989" s="53">
        <f t="shared" si="817"/>
        <v>0</v>
      </c>
      <c r="Z2989" s="54">
        <f t="shared" si="822"/>
        <v>0</v>
      </c>
      <c r="AA2989" s="54">
        <f t="shared" si="818"/>
        <v>0</v>
      </c>
      <c r="AB2989" s="55">
        <f t="shared" si="823"/>
        <v>0</v>
      </c>
      <c r="AC2989" s="55">
        <f t="shared" si="819"/>
        <v>0</v>
      </c>
      <c r="AD2989" s="56">
        <f t="shared" si="820"/>
        <v>5876.7300000000005</v>
      </c>
    </row>
    <row r="2990" spans="3:30">
      <c r="C2990" s="43" t="s">
        <v>5571</v>
      </c>
      <c r="D2990" s="44" t="s">
        <v>5572</v>
      </c>
      <c r="E2990" s="44"/>
      <c r="F2990" s="45">
        <v>42303.488020833334</v>
      </c>
      <c r="G2990" s="46">
        <v>35</v>
      </c>
      <c r="H2990" s="47">
        <v>43404</v>
      </c>
      <c r="I2990" s="47">
        <v>43482</v>
      </c>
      <c r="J2990" s="46">
        <v>1913494</v>
      </c>
      <c r="K2990" s="46">
        <v>0</v>
      </c>
      <c r="L2990" s="46">
        <v>0</v>
      </c>
      <c r="M2990" s="46">
        <f t="shared" si="809"/>
        <v>1913494</v>
      </c>
      <c r="N2990" s="46">
        <v>1913494</v>
      </c>
      <c r="O2990" s="48">
        <f t="shared" si="810"/>
        <v>0</v>
      </c>
      <c r="P2990" s="46">
        <v>0</v>
      </c>
      <c r="Q2990" s="46">
        <v>1913494</v>
      </c>
      <c r="R2990" s="49">
        <f t="shared" si="811"/>
        <v>1</v>
      </c>
      <c r="S2990" s="50">
        <f t="shared" si="812"/>
        <v>0.01</v>
      </c>
      <c r="T2990" s="49">
        <f t="shared" si="813"/>
        <v>19134.939999999999</v>
      </c>
      <c r="U2990" s="51">
        <f t="shared" si="814"/>
        <v>0</v>
      </c>
      <c r="V2990" s="52">
        <f>IF(0&lt;0.8,0,IF(0&lt;1,Sheet3!L561,1))*IF(G2990&lt;3,0.12 - O2990,0.01) *U2990</f>
        <v>0</v>
      </c>
      <c r="W2990" s="52">
        <f t="shared" si="815"/>
        <v>0</v>
      </c>
      <c r="X2990" s="53">
        <f t="shared" si="816"/>
        <v>0</v>
      </c>
      <c r="Y2990" s="53">
        <f t="shared" si="817"/>
        <v>0</v>
      </c>
      <c r="Z2990" s="54">
        <f t="shared" si="822"/>
        <v>0</v>
      </c>
      <c r="AA2990" s="54">
        <f t="shared" si="818"/>
        <v>0</v>
      </c>
      <c r="AB2990" s="55">
        <f t="shared" si="823"/>
        <v>0</v>
      </c>
      <c r="AC2990" s="55">
        <f t="shared" si="819"/>
        <v>0</v>
      </c>
      <c r="AD2990" s="56">
        <f t="shared" si="820"/>
        <v>19134.939999999999</v>
      </c>
    </row>
    <row r="2991" spans="3:30">
      <c r="C2991" s="43" t="s">
        <v>5573</v>
      </c>
      <c r="D2991" s="44" t="s">
        <v>5574</v>
      </c>
      <c r="E2991" s="44"/>
      <c r="F2991" s="45">
        <v>42317.691284722219</v>
      </c>
      <c r="G2991" s="46">
        <v>34</v>
      </c>
      <c r="H2991" s="47">
        <v>43372</v>
      </c>
      <c r="I2991" s="47">
        <v>43539</v>
      </c>
      <c r="J2991" s="46">
        <v>3850643</v>
      </c>
      <c r="K2991" s="46">
        <v>0</v>
      </c>
      <c r="L2991" s="46">
        <v>0</v>
      </c>
      <c r="M2991" s="46">
        <f t="shared" si="809"/>
        <v>3850643</v>
      </c>
      <c r="N2991" s="46">
        <v>3842839</v>
      </c>
      <c r="O2991" s="48">
        <f t="shared" si="810"/>
        <v>0</v>
      </c>
      <c r="P2991" s="46">
        <v>0</v>
      </c>
      <c r="Q2991" s="46">
        <v>3850643</v>
      </c>
      <c r="R2991" s="49">
        <f t="shared" si="811"/>
        <v>1</v>
      </c>
      <c r="S2991" s="50">
        <f t="shared" si="812"/>
        <v>0.01</v>
      </c>
      <c r="T2991" s="49">
        <f t="shared" si="813"/>
        <v>38506.43</v>
      </c>
      <c r="U2991" s="51">
        <f t="shared" si="814"/>
        <v>0</v>
      </c>
      <c r="V2991" s="52">
        <f>IF(0&lt;0.8,0,IF(0&lt;1,Sheet3!L561,1))*IF(G2991&lt;3,0.12 - O2991,0.01) *U2991</f>
        <v>0</v>
      </c>
      <c r="W2991" s="52">
        <f t="shared" si="815"/>
        <v>0</v>
      </c>
      <c r="X2991" s="53">
        <f t="shared" si="816"/>
        <v>0</v>
      </c>
      <c r="Y2991" s="53">
        <f t="shared" si="817"/>
        <v>0</v>
      </c>
      <c r="Z2991" s="54">
        <f t="shared" si="822"/>
        <v>0</v>
      </c>
      <c r="AA2991" s="54">
        <f t="shared" si="818"/>
        <v>0</v>
      </c>
      <c r="AB2991" s="55">
        <f t="shared" si="823"/>
        <v>0</v>
      </c>
      <c r="AC2991" s="55">
        <f t="shared" si="819"/>
        <v>0</v>
      </c>
      <c r="AD2991" s="56">
        <f t="shared" si="820"/>
        <v>38506.43</v>
      </c>
    </row>
    <row r="2992" spans="3:30">
      <c r="C2992" s="43" t="s">
        <v>5575</v>
      </c>
      <c r="D2992" s="44" t="s">
        <v>5576</v>
      </c>
      <c r="E2992" s="44"/>
      <c r="F2992" s="45">
        <v>42354.652326388888</v>
      </c>
      <c r="G2992" s="46">
        <v>33</v>
      </c>
      <c r="H2992" s="47">
        <v>43404</v>
      </c>
      <c r="I2992" s="47">
        <v>43420</v>
      </c>
      <c r="J2992" s="46">
        <v>224513884</v>
      </c>
      <c r="K2992" s="46">
        <v>0</v>
      </c>
      <c r="L2992" s="46">
        <v>0</v>
      </c>
      <c r="M2992" s="46">
        <f t="shared" si="809"/>
        <v>224513884</v>
      </c>
      <c r="N2992" s="46">
        <v>359154278</v>
      </c>
      <c r="O2992" s="48">
        <f t="shared" si="810"/>
        <v>0.37488177712865778</v>
      </c>
      <c r="P2992" s="46">
        <v>0</v>
      </c>
      <c r="Q2992" s="46">
        <v>224513884</v>
      </c>
      <c r="R2992" s="49">
        <f t="shared" si="811"/>
        <v>1</v>
      </c>
      <c r="S2992" s="50">
        <f t="shared" si="812"/>
        <v>0.01</v>
      </c>
      <c r="T2992" s="49">
        <f t="shared" si="813"/>
        <v>2245138.84</v>
      </c>
      <c r="U2992" s="51">
        <f t="shared" si="814"/>
        <v>0</v>
      </c>
      <c r="V2992" s="52">
        <f>IF(0&lt;0.8,0,IF(0&lt;1,Sheet3!L561,1))*IF(G2992&lt;3,0.12 - O2992,0.01) *U2992</f>
        <v>0</v>
      </c>
      <c r="W2992" s="52">
        <f t="shared" si="815"/>
        <v>0</v>
      </c>
      <c r="X2992" s="53">
        <f t="shared" si="816"/>
        <v>0</v>
      </c>
      <c r="Y2992" s="53">
        <f t="shared" si="817"/>
        <v>0</v>
      </c>
      <c r="Z2992" s="54">
        <f>IF(R2992=1,0,27720000)</f>
        <v>0</v>
      </c>
      <c r="AA2992" s="54">
        <f t="shared" si="818"/>
        <v>0</v>
      </c>
      <c r="AB2992" s="55">
        <f t="shared" si="823"/>
        <v>0</v>
      </c>
      <c r="AC2992" s="55">
        <f t="shared" si="819"/>
        <v>0</v>
      </c>
      <c r="AD2992" s="56">
        <f t="shared" si="820"/>
        <v>2245138.84</v>
      </c>
    </row>
    <row r="2993" spans="3:30">
      <c r="C2993" s="43" t="s">
        <v>5577</v>
      </c>
      <c r="D2993" s="44" t="s">
        <v>5578</v>
      </c>
      <c r="E2993" s="44"/>
      <c r="F2993" s="45">
        <v>42380.62018518518</v>
      </c>
      <c r="G2993" s="46">
        <v>32</v>
      </c>
      <c r="H2993" s="47">
        <v>43372</v>
      </c>
      <c r="I2993" s="47">
        <v>43428</v>
      </c>
      <c r="J2993" s="46">
        <v>458000</v>
      </c>
      <c r="K2993" s="46">
        <v>0</v>
      </c>
      <c r="L2993" s="46">
        <v>0</v>
      </c>
      <c r="M2993" s="46">
        <f t="shared" si="809"/>
        <v>458000</v>
      </c>
      <c r="N2993" s="46">
        <v>454110</v>
      </c>
      <c r="O2993" s="48">
        <f t="shared" si="810"/>
        <v>0</v>
      </c>
      <c r="P2993" s="46">
        <v>0</v>
      </c>
      <c r="Q2993" s="46">
        <v>458000</v>
      </c>
      <c r="R2993" s="49">
        <f t="shared" si="811"/>
        <v>1</v>
      </c>
      <c r="S2993" s="50">
        <f t="shared" si="812"/>
        <v>0.01</v>
      </c>
      <c r="T2993" s="49">
        <f t="shared" si="813"/>
        <v>4580</v>
      </c>
      <c r="U2993" s="51">
        <f t="shared" si="814"/>
        <v>0</v>
      </c>
      <c r="V2993" s="52">
        <f>IF(0&lt;0.8,0,IF(0&lt;1,Sheet3!L561,1))*IF(G2993&lt;3,0.12 - O2993,0.01) *U2993</f>
        <v>0</v>
      </c>
      <c r="W2993" s="52">
        <f t="shared" si="815"/>
        <v>0</v>
      </c>
      <c r="X2993" s="53">
        <f t="shared" si="816"/>
        <v>0</v>
      </c>
      <c r="Y2993" s="53">
        <f t="shared" si="817"/>
        <v>0</v>
      </c>
      <c r="Z2993" s="54">
        <f t="shared" ref="Z2993:Z3021" si="824">IF(R2993=1,0,0)</f>
        <v>0</v>
      </c>
      <c r="AA2993" s="54">
        <f t="shared" si="818"/>
        <v>0</v>
      </c>
      <c r="AB2993" s="55">
        <f t="shared" si="823"/>
        <v>0</v>
      </c>
      <c r="AC2993" s="55">
        <f t="shared" si="819"/>
        <v>0</v>
      </c>
      <c r="AD2993" s="56">
        <f t="shared" si="820"/>
        <v>4580</v>
      </c>
    </row>
    <row r="2994" spans="3:30">
      <c r="C2994" s="43" t="s">
        <v>5579</v>
      </c>
      <c r="D2994" s="44" t="s">
        <v>5580</v>
      </c>
      <c r="E2994" s="44"/>
      <c r="F2994" s="45">
        <v>42504.291655092587</v>
      </c>
      <c r="G2994" s="46">
        <v>28</v>
      </c>
      <c r="H2994" s="47">
        <v>43372</v>
      </c>
      <c r="I2994" s="47">
        <v>43382</v>
      </c>
      <c r="J2994" s="46">
        <v>387620</v>
      </c>
      <c r="K2994" s="46">
        <v>0</v>
      </c>
      <c r="L2994" s="46">
        <v>0</v>
      </c>
      <c r="M2994" s="46">
        <f t="shared" si="809"/>
        <v>387620</v>
      </c>
      <c r="N2994" s="46">
        <v>387442</v>
      </c>
      <c r="O2994" s="48">
        <f t="shared" si="810"/>
        <v>0</v>
      </c>
      <c r="P2994" s="46">
        <v>0</v>
      </c>
      <c r="Q2994" s="46">
        <v>387620</v>
      </c>
      <c r="R2994" s="49">
        <f t="shared" si="811"/>
        <v>1</v>
      </c>
      <c r="S2994" s="50">
        <f t="shared" si="812"/>
        <v>0.01</v>
      </c>
      <c r="T2994" s="49">
        <f t="shared" si="813"/>
        <v>3876.2000000000003</v>
      </c>
      <c r="U2994" s="51">
        <f t="shared" si="814"/>
        <v>0</v>
      </c>
      <c r="V2994" s="52">
        <f>IF(0&lt;0.8,0,IF(0&lt;1,Sheet3!L561,1))*IF(G2994&lt;3,0.12 - O2994,0.01) *U2994</f>
        <v>0</v>
      </c>
      <c r="W2994" s="52">
        <f t="shared" si="815"/>
        <v>0</v>
      </c>
      <c r="X2994" s="53">
        <f t="shared" si="816"/>
        <v>0</v>
      </c>
      <c r="Y2994" s="53">
        <f t="shared" si="817"/>
        <v>0</v>
      </c>
      <c r="Z2994" s="54">
        <f t="shared" si="824"/>
        <v>0</v>
      </c>
      <c r="AA2994" s="54">
        <f t="shared" si="818"/>
        <v>0</v>
      </c>
      <c r="AB2994" s="55">
        <f t="shared" si="823"/>
        <v>0</v>
      </c>
      <c r="AC2994" s="55">
        <f t="shared" si="819"/>
        <v>0</v>
      </c>
      <c r="AD2994" s="56">
        <f t="shared" si="820"/>
        <v>3876.2000000000003</v>
      </c>
    </row>
    <row r="2995" spans="3:30">
      <c r="C2995" s="43" t="s">
        <v>5581</v>
      </c>
      <c r="D2995" s="44" t="s">
        <v>5582</v>
      </c>
      <c r="E2995" s="44"/>
      <c r="F2995" s="45">
        <v>42524.297476851847</v>
      </c>
      <c r="G2995" s="46">
        <v>27</v>
      </c>
      <c r="H2995" s="47">
        <v>43372</v>
      </c>
      <c r="I2995" s="47">
        <v>43389</v>
      </c>
      <c r="J2995" s="46">
        <v>2004123</v>
      </c>
      <c r="K2995" s="46">
        <v>0</v>
      </c>
      <c r="L2995" s="46">
        <v>0</v>
      </c>
      <c r="M2995" s="46">
        <f t="shared" ref="M2995:M3058" si="825">IFERROR(J2995-K2995-L2995,0)</f>
        <v>2004123</v>
      </c>
      <c r="N2995" s="46">
        <v>2004123</v>
      </c>
      <c r="O2995" s="48">
        <f t="shared" ref="O2995:O3058" si="826">IFERROR(IF(1 - M2995/N2995&lt;0,0,1-M2995/N2995),0)</f>
        <v>0</v>
      </c>
      <c r="P2995" s="46">
        <v>0</v>
      </c>
      <c r="Q2995" s="46">
        <v>2004123</v>
      </c>
      <c r="R2995" s="49">
        <f t="shared" ref="R2995:R3058" si="827">IF(F2995&lt;DATEVALUE("2018-07-01"),1,0)</f>
        <v>1</v>
      </c>
      <c r="S2995" s="50">
        <f t="shared" ref="S2995:S3058" si="828">IF(R2995=1,1%,0)</f>
        <v>0.01</v>
      </c>
      <c r="T2995" s="49">
        <f t="shared" ref="T2995:T3058" si="829">IFERROR(S2995*M2995,0)</f>
        <v>20041.23</v>
      </c>
      <c r="U2995" s="51">
        <f t="shared" ref="U2995:U3058" si="830">IF(O2995&lt;=0.12,1,0)*(1-R2995)*M2995</f>
        <v>0</v>
      </c>
      <c r="V2995" s="52">
        <f>IF(0&lt;0.8,0,IF(0&lt;1,Sheet3!L561,1))*IF(G2995&lt;3,0.12 - O2995,0.01) *U2995</f>
        <v>0</v>
      </c>
      <c r="W2995" s="52">
        <f t="shared" ref="W2995:W3058" si="831">IF(0&gt;1,IF(0&lt;=1.1,1,IF(0&lt;=1.2,2,IF(0&lt;=1.5,3,5))),0) * 1000000</f>
        <v>0</v>
      </c>
      <c r="X2995" s="53">
        <f t="shared" ref="X2995:X3058" si="832">IF(AND(P2995&gt;=150000000,P2995&lt;300000000),5000000,IF(AND(P2995&gt;=300000000,P2995&lt;500000000),10000000,IF(AND(P2995&gt;=300000000,P2995&lt;500000000),15000000,IF(AND(P2995&gt;=500000000,P2995&lt;3000000000),20000000,IF(P2995&gt;=30000000000,35000000,0))))) * (1-R2995)</f>
        <v>0</v>
      </c>
      <c r="Y2995" s="53">
        <f t="shared" ref="Y2995:Y3058" si="833">IFERROR(Q2995 * (1-R2995),0)</f>
        <v>0</v>
      </c>
      <c r="Z2995" s="54">
        <f t="shared" si="824"/>
        <v>0</v>
      </c>
      <c r="AA2995" s="54">
        <f t="shared" ref="AA2995:AA3058" si="834">IFERROR((1-R2995) * Z2995 * 2%,0)</f>
        <v>0</v>
      </c>
      <c r="AB2995" s="55">
        <f t="shared" si="823"/>
        <v>0</v>
      </c>
      <c r="AC2995" s="55">
        <f t="shared" ref="AC2995:AC3058" si="835">IFERROR(AB2995 * (1-R2995) * 2%,0)</f>
        <v>0</v>
      </c>
      <c r="AD2995" s="56">
        <f t="shared" ref="AD2995:AD3058" si="836">T2995+V2995+W2995+X2995+AA2995+AC2995</f>
        <v>20041.23</v>
      </c>
    </row>
    <row r="2996" spans="3:30">
      <c r="C2996" s="43" t="s">
        <v>5583</v>
      </c>
      <c r="D2996" s="44" t="s">
        <v>5584</v>
      </c>
      <c r="E2996" s="44"/>
      <c r="F2996" s="45">
        <v>42640.346782407403</v>
      </c>
      <c r="G2996" s="46">
        <v>24</v>
      </c>
      <c r="H2996" s="47">
        <v>43404</v>
      </c>
      <c r="I2996" s="47">
        <v>43420</v>
      </c>
      <c r="J2996" s="46">
        <v>811265</v>
      </c>
      <c r="K2996" s="46">
        <v>0</v>
      </c>
      <c r="L2996" s="46">
        <v>0</v>
      </c>
      <c r="M2996" s="46">
        <f t="shared" si="825"/>
        <v>811265</v>
      </c>
      <c r="N2996" s="46">
        <v>811885</v>
      </c>
      <c r="O2996" s="48">
        <f t="shared" si="826"/>
        <v>7.6365495113228654E-4</v>
      </c>
      <c r="P2996" s="46">
        <v>0</v>
      </c>
      <c r="Q2996" s="46">
        <v>811265</v>
      </c>
      <c r="R2996" s="49">
        <f t="shared" si="827"/>
        <v>1</v>
      </c>
      <c r="S2996" s="50">
        <f t="shared" si="828"/>
        <v>0.01</v>
      </c>
      <c r="T2996" s="49">
        <f t="shared" si="829"/>
        <v>8112.6500000000005</v>
      </c>
      <c r="U2996" s="51">
        <f t="shared" si="830"/>
        <v>0</v>
      </c>
      <c r="V2996" s="52">
        <f>IF(0&lt;0.8,0,IF(0&lt;1,Sheet3!L561,1))*IF(G2996&lt;3,0.12 - O2996,0.01) *U2996</f>
        <v>0</v>
      </c>
      <c r="W2996" s="52">
        <f t="shared" si="831"/>
        <v>0</v>
      </c>
      <c r="X2996" s="53">
        <f t="shared" si="832"/>
        <v>0</v>
      </c>
      <c r="Y2996" s="53">
        <f t="shared" si="833"/>
        <v>0</v>
      </c>
      <c r="Z2996" s="54">
        <f t="shared" si="824"/>
        <v>0</v>
      </c>
      <c r="AA2996" s="54">
        <f t="shared" si="834"/>
        <v>0</v>
      </c>
      <c r="AB2996" s="55">
        <f t="shared" si="823"/>
        <v>0</v>
      </c>
      <c r="AC2996" s="55">
        <f t="shared" si="835"/>
        <v>0</v>
      </c>
      <c r="AD2996" s="56">
        <f t="shared" si="836"/>
        <v>8112.6500000000005</v>
      </c>
    </row>
    <row r="2997" spans="3:30">
      <c r="C2997" s="43" t="s">
        <v>5585</v>
      </c>
      <c r="D2997" s="44" t="s">
        <v>5586</v>
      </c>
      <c r="E2997" s="44"/>
      <c r="F2997" s="45">
        <v>42640.355590277773</v>
      </c>
      <c r="G2997" s="46">
        <v>24</v>
      </c>
      <c r="H2997" s="47">
        <v>43402</v>
      </c>
      <c r="I2997" s="47">
        <v>43453</v>
      </c>
      <c r="J2997" s="46">
        <v>302306185</v>
      </c>
      <c r="K2997" s="46">
        <v>0</v>
      </c>
      <c r="L2997" s="46">
        <v>0</v>
      </c>
      <c r="M2997" s="46">
        <f t="shared" si="825"/>
        <v>302306185</v>
      </c>
      <c r="N2997" s="46">
        <v>400201080</v>
      </c>
      <c r="O2997" s="48">
        <f t="shared" si="826"/>
        <v>0.24461426990651802</v>
      </c>
      <c r="P2997" s="46">
        <v>0</v>
      </c>
      <c r="Q2997" s="46">
        <v>302306185</v>
      </c>
      <c r="R2997" s="49">
        <f t="shared" si="827"/>
        <v>1</v>
      </c>
      <c r="S2997" s="50">
        <f t="shared" si="828"/>
        <v>0.01</v>
      </c>
      <c r="T2997" s="49">
        <f t="shared" si="829"/>
        <v>3023061.85</v>
      </c>
      <c r="U2997" s="51">
        <f t="shared" si="830"/>
        <v>0</v>
      </c>
      <c r="V2997" s="52">
        <f>IF(0&lt;0.8,0,IF(0&lt;1,Sheet3!L561,1))*IF(G2997&lt;3,0.12 - O2997,0.01) *U2997</f>
        <v>0</v>
      </c>
      <c r="W2997" s="52">
        <f t="shared" si="831"/>
        <v>0</v>
      </c>
      <c r="X2997" s="53">
        <f t="shared" si="832"/>
        <v>0</v>
      </c>
      <c r="Y2997" s="53">
        <f t="shared" si="833"/>
        <v>0</v>
      </c>
      <c r="Z2997" s="54">
        <f t="shared" si="824"/>
        <v>0</v>
      </c>
      <c r="AA2997" s="54">
        <f t="shared" si="834"/>
        <v>0</v>
      </c>
      <c r="AB2997" s="55">
        <f t="shared" si="823"/>
        <v>0</v>
      </c>
      <c r="AC2997" s="55">
        <f t="shared" si="835"/>
        <v>0</v>
      </c>
      <c r="AD2997" s="56">
        <f t="shared" si="836"/>
        <v>3023061.85</v>
      </c>
    </row>
    <row r="2998" spans="3:30">
      <c r="C2998" s="43" t="s">
        <v>5587</v>
      </c>
      <c r="D2998" s="44" t="s">
        <v>5588</v>
      </c>
      <c r="E2998" s="44"/>
      <c r="F2998" s="45">
        <v>42747.259375000001</v>
      </c>
      <c r="G2998" s="46">
        <v>20</v>
      </c>
      <c r="H2998" s="47">
        <v>43372</v>
      </c>
      <c r="I2998" s="47">
        <v>43424</v>
      </c>
      <c r="J2998" s="46">
        <v>2241888</v>
      </c>
      <c r="K2998" s="46">
        <v>0</v>
      </c>
      <c r="L2998" s="46">
        <v>0</v>
      </c>
      <c r="M2998" s="46">
        <f t="shared" si="825"/>
        <v>2241888</v>
      </c>
      <c r="N2998" s="46">
        <v>2241888</v>
      </c>
      <c r="O2998" s="48">
        <f t="shared" si="826"/>
        <v>0</v>
      </c>
      <c r="P2998" s="46">
        <v>0</v>
      </c>
      <c r="Q2998" s="46">
        <v>2241888</v>
      </c>
      <c r="R2998" s="49">
        <f t="shared" si="827"/>
        <v>1</v>
      </c>
      <c r="S2998" s="50">
        <f t="shared" si="828"/>
        <v>0.01</v>
      </c>
      <c r="T2998" s="49">
        <f t="shared" si="829"/>
        <v>22418.880000000001</v>
      </c>
      <c r="U2998" s="51">
        <f t="shared" si="830"/>
        <v>0</v>
      </c>
      <c r="V2998" s="52">
        <f>IF(0&lt;0.8,0,IF(0&lt;1,Sheet3!L561,1))*IF(G2998&lt;3,0.12 - O2998,0.01) *U2998</f>
        <v>0</v>
      </c>
      <c r="W2998" s="52">
        <f t="shared" si="831"/>
        <v>0</v>
      </c>
      <c r="X2998" s="53">
        <f t="shared" si="832"/>
        <v>0</v>
      </c>
      <c r="Y2998" s="53">
        <f t="shared" si="833"/>
        <v>0</v>
      </c>
      <c r="Z2998" s="54">
        <f t="shared" si="824"/>
        <v>0</v>
      </c>
      <c r="AA2998" s="54">
        <f t="shared" si="834"/>
        <v>0</v>
      </c>
      <c r="AB2998" s="55">
        <f t="shared" si="823"/>
        <v>0</v>
      </c>
      <c r="AC2998" s="55">
        <f t="shared" si="835"/>
        <v>0</v>
      </c>
      <c r="AD2998" s="56">
        <f t="shared" si="836"/>
        <v>22418.880000000001</v>
      </c>
    </row>
    <row r="2999" spans="3:30">
      <c r="C2999" s="43" t="s">
        <v>5589</v>
      </c>
      <c r="D2999" s="44" t="s">
        <v>5590</v>
      </c>
      <c r="E2999" s="44"/>
      <c r="F2999" s="45">
        <v>42748.077905092592</v>
      </c>
      <c r="G2999" s="46">
        <v>20</v>
      </c>
      <c r="H2999" s="47" t="s">
        <v>24</v>
      </c>
      <c r="I2999" s="47" t="s">
        <v>24</v>
      </c>
      <c r="J2999" s="46">
        <v>29577349</v>
      </c>
      <c r="K2999" s="46">
        <v>0</v>
      </c>
      <c r="L2999" s="46">
        <v>0</v>
      </c>
      <c r="M2999" s="46">
        <f t="shared" si="825"/>
        <v>29577349</v>
      </c>
      <c r="N2999" s="46">
        <v>32393010</v>
      </c>
      <c r="O2999" s="48">
        <f t="shared" si="826"/>
        <v>8.6921869872543467E-2</v>
      </c>
      <c r="P2999" s="46">
        <v>0</v>
      </c>
      <c r="Q2999" s="46">
        <v>29577349</v>
      </c>
      <c r="R2999" s="49">
        <f t="shared" si="827"/>
        <v>1</v>
      </c>
      <c r="S2999" s="50">
        <f t="shared" si="828"/>
        <v>0.01</v>
      </c>
      <c r="T2999" s="49">
        <f t="shared" si="829"/>
        <v>295773.49</v>
      </c>
      <c r="U2999" s="51">
        <f t="shared" si="830"/>
        <v>0</v>
      </c>
      <c r="V2999" s="52">
        <f>IF(0&lt;0.8,0,IF(0&lt;1,Sheet3!L561,1))*IF(G2999&lt;3,0.12 - O2999,0.01) *U2999</f>
        <v>0</v>
      </c>
      <c r="W2999" s="52">
        <f t="shared" si="831"/>
        <v>0</v>
      </c>
      <c r="X2999" s="53">
        <f t="shared" si="832"/>
        <v>0</v>
      </c>
      <c r="Y2999" s="53">
        <f t="shared" si="833"/>
        <v>0</v>
      </c>
      <c r="Z2999" s="54">
        <f t="shared" si="824"/>
        <v>0</v>
      </c>
      <c r="AA2999" s="54">
        <f t="shared" si="834"/>
        <v>0</v>
      </c>
      <c r="AB2999" s="55">
        <f t="shared" si="823"/>
        <v>0</v>
      </c>
      <c r="AC2999" s="55">
        <f t="shared" si="835"/>
        <v>0</v>
      </c>
      <c r="AD2999" s="56">
        <f t="shared" si="836"/>
        <v>295773.49</v>
      </c>
    </row>
    <row r="3000" spans="3:30">
      <c r="C3000" s="43" t="s">
        <v>5591</v>
      </c>
      <c r="D3000" s="44" t="s">
        <v>5592</v>
      </c>
      <c r="E3000" s="44"/>
      <c r="F3000" s="45">
        <v>42800.162349537037</v>
      </c>
      <c r="G3000" s="46">
        <v>18</v>
      </c>
      <c r="H3000" s="47" t="s">
        <v>24</v>
      </c>
      <c r="I3000" s="47" t="s">
        <v>24</v>
      </c>
      <c r="J3000" s="46">
        <v>380579</v>
      </c>
      <c r="K3000" s="46">
        <v>0</v>
      </c>
      <c r="L3000" s="46">
        <v>0</v>
      </c>
      <c r="M3000" s="46">
        <f t="shared" si="825"/>
        <v>380579</v>
      </c>
      <c r="N3000" s="46">
        <v>379819</v>
      </c>
      <c r="O3000" s="48">
        <f t="shared" si="826"/>
        <v>0</v>
      </c>
      <c r="P3000" s="46">
        <v>0</v>
      </c>
      <c r="Q3000" s="46">
        <v>380579</v>
      </c>
      <c r="R3000" s="49">
        <f t="shared" si="827"/>
        <v>1</v>
      </c>
      <c r="S3000" s="50">
        <f t="shared" si="828"/>
        <v>0.01</v>
      </c>
      <c r="T3000" s="49">
        <f t="shared" si="829"/>
        <v>3805.79</v>
      </c>
      <c r="U3000" s="51">
        <f t="shared" si="830"/>
        <v>0</v>
      </c>
      <c r="V3000" s="52">
        <f>IF(0&lt;0.8,0,IF(0&lt;1,Sheet3!L561,1))*IF(G3000&lt;3,0.12 - O3000,0.01) *U3000</f>
        <v>0</v>
      </c>
      <c r="W3000" s="52">
        <f t="shared" si="831"/>
        <v>0</v>
      </c>
      <c r="X3000" s="53">
        <f t="shared" si="832"/>
        <v>0</v>
      </c>
      <c r="Y3000" s="53">
        <f t="shared" si="833"/>
        <v>0</v>
      </c>
      <c r="Z3000" s="54">
        <f t="shared" si="824"/>
        <v>0</v>
      </c>
      <c r="AA3000" s="54">
        <f t="shared" si="834"/>
        <v>0</v>
      </c>
      <c r="AB3000" s="55">
        <f t="shared" si="823"/>
        <v>0</v>
      </c>
      <c r="AC3000" s="55">
        <f t="shared" si="835"/>
        <v>0</v>
      </c>
      <c r="AD3000" s="56">
        <f t="shared" si="836"/>
        <v>3805.79</v>
      </c>
    </row>
    <row r="3001" spans="3:30">
      <c r="C3001" s="43" t="s">
        <v>5593</v>
      </c>
      <c r="D3001" s="44" t="s">
        <v>5594</v>
      </c>
      <c r="E3001" s="44"/>
      <c r="F3001" s="45">
        <v>42808.264328703699</v>
      </c>
      <c r="G3001" s="46">
        <v>18</v>
      </c>
      <c r="H3001" s="47">
        <v>43372</v>
      </c>
      <c r="I3001" s="47">
        <v>43386</v>
      </c>
      <c r="J3001" s="46">
        <v>605484</v>
      </c>
      <c r="K3001" s="46">
        <v>0</v>
      </c>
      <c r="L3001" s="46">
        <v>0</v>
      </c>
      <c r="M3001" s="46">
        <f t="shared" si="825"/>
        <v>605484</v>
      </c>
      <c r="N3001" s="46">
        <v>605484</v>
      </c>
      <c r="O3001" s="48">
        <f t="shared" si="826"/>
        <v>0</v>
      </c>
      <c r="P3001" s="46">
        <v>0</v>
      </c>
      <c r="Q3001" s="46">
        <v>605484</v>
      </c>
      <c r="R3001" s="49">
        <f t="shared" si="827"/>
        <v>1</v>
      </c>
      <c r="S3001" s="50">
        <f t="shared" si="828"/>
        <v>0.01</v>
      </c>
      <c r="T3001" s="49">
        <f t="shared" si="829"/>
        <v>6054.84</v>
      </c>
      <c r="U3001" s="51">
        <f t="shared" si="830"/>
        <v>0</v>
      </c>
      <c r="V3001" s="52">
        <f>IF(0&lt;0.8,0,IF(0&lt;1,Sheet3!L561,1))*IF(G3001&lt;3,0.12 - O3001,0.01) *U3001</f>
        <v>0</v>
      </c>
      <c r="W3001" s="52">
        <f t="shared" si="831"/>
        <v>0</v>
      </c>
      <c r="X3001" s="53">
        <f t="shared" si="832"/>
        <v>0</v>
      </c>
      <c r="Y3001" s="53">
        <f t="shared" si="833"/>
        <v>0</v>
      </c>
      <c r="Z3001" s="54">
        <f t="shared" si="824"/>
        <v>0</v>
      </c>
      <c r="AA3001" s="54">
        <f t="shared" si="834"/>
        <v>0</v>
      </c>
      <c r="AB3001" s="55">
        <f t="shared" si="823"/>
        <v>0</v>
      </c>
      <c r="AC3001" s="55">
        <f t="shared" si="835"/>
        <v>0</v>
      </c>
      <c r="AD3001" s="56">
        <f t="shared" si="836"/>
        <v>6054.84</v>
      </c>
    </row>
    <row r="3002" spans="3:30">
      <c r="C3002" s="43" t="s">
        <v>5595</v>
      </c>
      <c r="D3002" s="44" t="s">
        <v>5596</v>
      </c>
      <c r="E3002" s="44"/>
      <c r="F3002" s="45">
        <v>42816.327326388884</v>
      </c>
      <c r="G3002" s="46">
        <v>18</v>
      </c>
      <c r="H3002" s="47">
        <v>43372</v>
      </c>
      <c r="I3002" s="47">
        <v>43391</v>
      </c>
      <c r="J3002" s="46">
        <v>609760</v>
      </c>
      <c r="K3002" s="46">
        <v>0</v>
      </c>
      <c r="L3002" s="46">
        <v>0</v>
      </c>
      <c r="M3002" s="46">
        <f t="shared" si="825"/>
        <v>609760</v>
      </c>
      <c r="N3002" s="46">
        <v>609760</v>
      </c>
      <c r="O3002" s="48">
        <f t="shared" si="826"/>
        <v>0</v>
      </c>
      <c r="P3002" s="46">
        <v>0</v>
      </c>
      <c r="Q3002" s="46">
        <v>609760</v>
      </c>
      <c r="R3002" s="49">
        <f t="shared" si="827"/>
        <v>1</v>
      </c>
      <c r="S3002" s="50">
        <f t="shared" si="828"/>
        <v>0.01</v>
      </c>
      <c r="T3002" s="49">
        <f t="shared" si="829"/>
        <v>6097.6</v>
      </c>
      <c r="U3002" s="51">
        <f t="shared" si="830"/>
        <v>0</v>
      </c>
      <c r="V3002" s="52">
        <f>IF(0&lt;0.8,0,IF(0&lt;1,Sheet3!L561,1))*IF(G3002&lt;3,0.12 - O3002,0.01) *U3002</f>
        <v>0</v>
      </c>
      <c r="W3002" s="52">
        <f t="shared" si="831"/>
        <v>0</v>
      </c>
      <c r="X3002" s="53">
        <f t="shared" si="832"/>
        <v>0</v>
      </c>
      <c r="Y3002" s="53">
        <f t="shared" si="833"/>
        <v>0</v>
      </c>
      <c r="Z3002" s="54">
        <f t="shared" si="824"/>
        <v>0</v>
      </c>
      <c r="AA3002" s="54">
        <f t="shared" si="834"/>
        <v>0</v>
      </c>
      <c r="AB3002" s="55">
        <f t="shared" si="823"/>
        <v>0</v>
      </c>
      <c r="AC3002" s="55">
        <f t="shared" si="835"/>
        <v>0</v>
      </c>
      <c r="AD3002" s="56">
        <f t="shared" si="836"/>
        <v>6097.6</v>
      </c>
    </row>
    <row r="3003" spans="3:30">
      <c r="C3003" s="43" t="s">
        <v>5597</v>
      </c>
      <c r="D3003" s="44" t="s">
        <v>5598</v>
      </c>
      <c r="E3003" s="44"/>
      <c r="F3003" s="45">
        <v>42863.095451388886</v>
      </c>
      <c r="G3003" s="46">
        <v>16</v>
      </c>
      <c r="H3003" s="47">
        <v>43372</v>
      </c>
      <c r="I3003" s="47">
        <v>43412</v>
      </c>
      <c r="J3003" s="46">
        <v>761090</v>
      </c>
      <c r="K3003" s="46">
        <v>0</v>
      </c>
      <c r="L3003" s="46">
        <v>0</v>
      </c>
      <c r="M3003" s="46">
        <f t="shared" si="825"/>
        <v>761090</v>
      </c>
      <c r="N3003" s="46">
        <v>761090</v>
      </c>
      <c r="O3003" s="48">
        <f t="shared" si="826"/>
        <v>0</v>
      </c>
      <c r="P3003" s="46">
        <v>0</v>
      </c>
      <c r="Q3003" s="46">
        <v>761090</v>
      </c>
      <c r="R3003" s="49">
        <f t="shared" si="827"/>
        <v>1</v>
      </c>
      <c r="S3003" s="50">
        <f t="shared" si="828"/>
        <v>0.01</v>
      </c>
      <c r="T3003" s="49">
        <f t="shared" si="829"/>
        <v>7610.9000000000005</v>
      </c>
      <c r="U3003" s="51">
        <f t="shared" si="830"/>
        <v>0</v>
      </c>
      <c r="V3003" s="52">
        <f>IF(0&lt;0.8,0,IF(0&lt;1,Sheet3!L561,1))*IF(G3003&lt;3,0.12 - O3003,0.01) *U3003</f>
        <v>0</v>
      </c>
      <c r="W3003" s="52">
        <f t="shared" si="831"/>
        <v>0</v>
      </c>
      <c r="X3003" s="53">
        <f t="shared" si="832"/>
        <v>0</v>
      </c>
      <c r="Y3003" s="53">
        <f t="shared" si="833"/>
        <v>0</v>
      </c>
      <c r="Z3003" s="54">
        <f t="shared" si="824"/>
        <v>0</v>
      </c>
      <c r="AA3003" s="54">
        <f t="shared" si="834"/>
        <v>0</v>
      </c>
      <c r="AB3003" s="55">
        <f t="shared" si="823"/>
        <v>0</v>
      </c>
      <c r="AC3003" s="55">
        <f t="shared" si="835"/>
        <v>0</v>
      </c>
      <c r="AD3003" s="56">
        <f t="shared" si="836"/>
        <v>7610.9000000000005</v>
      </c>
    </row>
    <row r="3004" spans="3:30">
      <c r="C3004" s="43" t="s">
        <v>5599</v>
      </c>
      <c r="D3004" s="44" t="s">
        <v>5600</v>
      </c>
      <c r="E3004" s="44"/>
      <c r="F3004" s="45">
        <v>42900.102858796294</v>
      </c>
      <c r="G3004" s="46">
        <v>15</v>
      </c>
      <c r="H3004" s="47">
        <v>43372</v>
      </c>
      <c r="I3004" s="47">
        <v>43482</v>
      </c>
      <c r="J3004" s="46">
        <v>354772</v>
      </c>
      <c r="K3004" s="46">
        <v>0</v>
      </c>
      <c r="L3004" s="46">
        <v>0</v>
      </c>
      <c r="M3004" s="46">
        <f t="shared" si="825"/>
        <v>354772</v>
      </c>
      <c r="N3004" s="46">
        <v>354772</v>
      </c>
      <c r="O3004" s="48">
        <f t="shared" si="826"/>
        <v>0</v>
      </c>
      <c r="P3004" s="46">
        <v>0</v>
      </c>
      <c r="Q3004" s="46">
        <v>354772</v>
      </c>
      <c r="R3004" s="49">
        <f t="shared" si="827"/>
        <v>1</v>
      </c>
      <c r="S3004" s="50">
        <f t="shared" si="828"/>
        <v>0.01</v>
      </c>
      <c r="T3004" s="49">
        <f t="shared" si="829"/>
        <v>3547.7200000000003</v>
      </c>
      <c r="U3004" s="51">
        <f t="shared" si="830"/>
        <v>0</v>
      </c>
      <c r="V3004" s="52">
        <f>IF(0&lt;0.8,0,IF(0&lt;1,Sheet3!L561,1))*IF(G3004&lt;3,0.12 - O3004,0.01) *U3004</f>
        <v>0</v>
      </c>
      <c r="W3004" s="52">
        <f t="shared" si="831"/>
        <v>0</v>
      </c>
      <c r="X3004" s="53">
        <f t="shared" si="832"/>
        <v>0</v>
      </c>
      <c r="Y3004" s="53">
        <f t="shared" si="833"/>
        <v>0</v>
      </c>
      <c r="Z3004" s="54">
        <f t="shared" si="824"/>
        <v>0</v>
      </c>
      <c r="AA3004" s="54">
        <f t="shared" si="834"/>
        <v>0</v>
      </c>
      <c r="AB3004" s="55">
        <f t="shared" si="823"/>
        <v>0</v>
      </c>
      <c r="AC3004" s="55">
        <f t="shared" si="835"/>
        <v>0</v>
      </c>
      <c r="AD3004" s="56">
        <f t="shared" si="836"/>
        <v>3547.7200000000003</v>
      </c>
    </row>
    <row r="3005" spans="3:30">
      <c r="C3005" s="43" t="s">
        <v>5601</v>
      </c>
      <c r="D3005" s="44" t="s">
        <v>5602</v>
      </c>
      <c r="E3005" s="44"/>
      <c r="F3005" s="45">
        <v>42900.104953703703</v>
      </c>
      <c r="G3005" s="46">
        <v>15</v>
      </c>
      <c r="H3005" s="47">
        <v>43372</v>
      </c>
      <c r="I3005" s="47">
        <v>43392</v>
      </c>
      <c r="J3005" s="46">
        <v>486420</v>
      </c>
      <c r="K3005" s="46">
        <v>0</v>
      </c>
      <c r="L3005" s="46">
        <v>0</v>
      </c>
      <c r="M3005" s="46">
        <f t="shared" si="825"/>
        <v>486420</v>
      </c>
      <c r="N3005" s="46">
        <v>486420</v>
      </c>
      <c r="O3005" s="48">
        <f t="shared" si="826"/>
        <v>0</v>
      </c>
      <c r="P3005" s="46">
        <v>0</v>
      </c>
      <c r="Q3005" s="46">
        <v>486420</v>
      </c>
      <c r="R3005" s="49">
        <f t="shared" si="827"/>
        <v>1</v>
      </c>
      <c r="S3005" s="50">
        <f t="shared" si="828"/>
        <v>0.01</v>
      </c>
      <c r="T3005" s="49">
        <f t="shared" si="829"/>
        <v>4864.2</v>
      </c>
      <c r="U3005" s="51">
        <f t="shared" si="830"/>
        <v>0</v>
      </c>
      <c r="V3005" s="52">
        <f>IF(0&lt;0.8,0,IF(0&lt;1,Sheet3!L561,1))*IF(G3005&lt;3,0.12 - O3005,0.01) *U3005</f>
        <v>0</v>
      </c>
      <c r="W3005" s="52">
        <f t="shared" si="831"/>
        <v>0</v>
      </c>
      <c r="X3005" s="53">
        <f t="shared" si="832"/>
        <v>0</v>
      </c>
      <c r="Y3005" s="53">
        <f t="shared" si="833"/>
        <v>0</v>
      </c>
      <c r="Z3005" s="54">
        <f t="shared" si="824"/>
        <v>0</v>
      </c>
      <c r="AA3005" s="54">
        <f t="shared" si="834"/>
        <v>0</v>
      </c>
      <c r="AB3005" s="55">
        <f t="shared" si="823"/>
        <v>0</v>
      </c>
      <c r="AC3005" s="55">
        <f t="shared" si="835"/>
        <v>0</v>
      </c>
      <c r="AD3005" s="56">
        <f t="shared" si="836"/>
        <v>4864.2</v>
      </c>
    </row>
    <row r="3006" spans="3:30">
      <c r="C3006" s="43" t="s">
        <v>5603</v>
      </c>
      <c r="D3006" s="44" t="s">
        <v>5604</v>
      </c>
      <c r="E3006" s="44"/>
      <c r="F3006" s="45">
        <v>42903.288599537038</v>
      </c>
      <c r="G3006" s="46">
        <v>15</v>
      </c>
      <c r="H3006" s="47">
        <v>43385</v>
      </c>
      <c r="I3006" s="47">
        <v>43392</v>
      </c>
      <c r="J3006" s="46">
        <v>13918630</v>
      </c>
      <c r="K3006" s="46">
        <v>0</v>
      </c>
      <c r="L3006" s="46">
        <v>0</v>
      </c>
      <c r="M3006" s="46">
        <f t="shared" si="825"/>
        <v>13918630</v>
      </c>
      <c r="N3006" s="46">
        <v>13918630</v>
      </c>
      <c r="O3006" s="48">
        <f t="shared" si="826"/>
        <v>0</v>
      </c>
      <c r="P3006" s="46">
        <v>0</v>
      </c>
      <c r="Q3006" s="46">
        <v>13918630</v>
      </c>
      <c r="R3006" s="49">
        <f t="shared" si="827"/>
        <v>1</v>
      </c>
      <c r="S3006" s="50">
        <f t="shared" si="828"/>
        <v>0.01</v>
      </c>
      <c r="T3006" s="49">
        <f t="shared" si="829"/>
        <v>139186.29999999999</v>
      </c>
      <c r="U3006" s="51">
        <f t="shared" si="830"/>
        <v>0</v>
      </c>
      <c r="V3006" s="52">
        <f>IF(0&lt;0.8,0,IF(0&lt;1,Sheet3!L561,1))*IF(G3006&lt;3,0.12 - O3006,0.01) *U3006</f>
        <v>0</v>
      </c>
      <c r="W3006" s="52">
        <f t="shared" si="831"/>
        <v>0</v>
      </c>
      <c r="X3006" s="53">
        <f t="shared" si="832"/>
        <v>0</v>
      </c>
      <c r="Y3006" s="53">
        <f t="shared" si="833"/>
        <v>0</v>
      </c>
      <c r="Z3006" s="54">
        <f t="shared" si="824"/>
        <v>0</v>
      </c>
      <c r="AA3006" s="54">
        <f t="shared" si="834"/>
        <v>0</v>
      </c>
      <c r="AB3006" s="55">
        <f t="shared" si="823"/>
        <v>0</v>
      </c>
      <c r="AC3006" s="55">
        <f t="shared" si="835"/>
        <v>0</v>
      </c>
      <c r="AD3006" s="56">
        <f t="shared" si="836"/>
        <v>139186.29999999999</v>
      </c>
    </row>
    <row r="3007" spans="3:30">
      <c r="C3007" s="43" t="s">
        <v>5605</v>
      </c>
      <c r="D3007" s="44" t="s">
        <v>5606</v>
      </c>
      <c r="E3007" s="44"/>
      <c r="F3007" s="45">
        <v>42907.126527777778</v>
      </c>
      <c r="G3007" s="46">
        <v>15</v>
      </c>
      <c r="H3007" s="47">
        <v>43372</v>
      </c>
      <c r="I3007" s="47">
        <v>43398</v>
      </c>
      <c r="J3007" s="46">
        <v>1047739</v>
      </c>
      <c r="K3007" s="46">
        <v>0</v>
      </c>
      <c r="L3007" s="46">
        <v>0</v>
      </c>
      <c r="M3007" s="46">
        <f t="shared" si="825"/>
        <v>1047739</v>
      </c>
      <c r="N3007" s="46">
        <v>1047739</v>
      </c>
      <c r="O3007" s="48">
        <f t="shared" si="826"/>
        <v>0</v>
      </c>
      <c r="P3007" s="46">
        <v>0</v>
      </c>
      <c r="Q3007" s="46">
        <v>1047739</v>
      </c>
      <c r="R3007" s="49">
        <f t="shared" si="827"/>
        <v>1</v>
      </c>
      <c r="S3007" s="50">
        <f t="shared" si="828"/>
        <v>0.01</v>
      </c>
      <c r="T3007" s="49">
        <f t="shared" si="829"/>
        <v>10477.39</v>
      </c>
      <c r="U3007" s="51">
        <f t="shared" si="830"/>
        <v>0</v>
      </c>
      <c r="V3007" s="52">
        <f>IF(0&lt;0.8,0,IF(0&lt;1,Sheet3!L561,1))*IF(G3007&lt;3,0.12 - O3007,0.01) *U3007</f>
        <v>0</v>
      </c>
      <c r="W3007" s="52">
        <f t="shared" si="831"/>
        <v>0</v>
      </c>
      <c r="X3007" s="53">
        <f t="shared" si="832"/>
        <v>0</v>
      </c>
      <c r="Y3007" s="53">
        <f t="shared" si="833"/>
        <v>0</v>
      </c>
      <c r="Z3007" s="54">
        <f t="shared" si="824"/>
        <v>0</v>
      </c>
      <c r="AA3007" s="54">
        <f t="shared" si="834"/>
        <v>0</v>
      </c>
      <c r="AB3007" s="55">
        <f t="shared" si="823"/>
        <v>0</v>
      </c>
      <c r="AC3007" s="55">
        <f t="shared" si="835"/>
        <v>0</v>
      </c>
      <c r="AD3007" s="56">
        <f t="shared" si="836"/>
        <v>10477.39</v>
      </c>
    </row>
    <row r="3008" spans="3:30">
      <c r="C3008" s="43" t="s">
        <v>5607</v>
      </c>
      <c r="D3008" s="44" t="s">
        <v>5608</v>
      </c>
      <c r="E3008" s="44"/>
      <c r="F3008" s="45">
        <v>42909.176238425927</v>
      </c>
      <c r="G3008" s="46">
        <v>15</v>
      </c>
      <c r="H3008" s="47">
        <v>43404</v>
      </c>
      <c r="I3008" s="47">
        <v>43419</v>
      </c>
      <c r="J3008" s="46">
        <v>5101594</v>
      </c>
      <c r="K3008" s="46">
        <v>0</v>
      </c>
      <c r="L3008" s="46">
        <v>0</v>
      </c>
      <c r="M3008" s="46">
        <f t="shared" si="825"/>
        <v>5101594</v>
      </c>
      <c r="N3008" s="46">
        <v>5087921</v>
      </c>
      <c r="O3008" s="48">
        <f t="shared" si="826"/>
        <v>0</v>
      </c>
      <c r="P3008" s="46">
        <v>0</v>
      </c>
      <c r="Q3008" s="46">
        <v>5101594</v>
      </c>
      <c r="R3008" s="49">
        <f t="shared" si="827"/>
        <v>1</v>
      </c>
      <c r="S3008" s="50">
        <f t="shared" si="828"/>
        <v>0.01</v>
      </c>
      <c r="T3008" s="49">
        <f t="shared" si="829"/>
        <v>51015.94</v>
      </c>
      <c r="U3008" s="51">
        <f t="shared" si="830"/>
        <v>0</v>
      </c>
      <c r="V3008" s="52">
        <f>IF(0&lt;0.8,0,IF(0&lt;1,Sheet3!L561,1))*IF(G3008&lt;3,0.12 - O3008,0.01) *U3008</f>
        <v>0</v>
      </c>
      <c r="W3008" s="52">
        <f t="shared" si="831"/>
        <v>0</v>
      </c>
      <c r="X3008" s="53">
        <f t="shared" si="832"/>
        <v>0</v>
      </c>
      <c r="Y3008" s="53">
        <f t="shared" si="833"/>
        <v>0</v>
      </c>
      <c r="Z3008" s="54">
        <f t="shared" si="824"/>
        <v>0</v>
      </c>
      <c r="AA3008" s="54">
        <f t="shared" si="834"/>
        <v>0</v>
      </c>
      <c r="AB3008" s="55">
        <f t="shared" si="823"/>
        <v>0</v>
      </c>
      <c r="AC3008" s="55">
        <f t="shared" si="835"/>
        <v>0</v>
      </c>
      <c r="AD3008" s="56">
        <f t="shared" si="836"/>
        <v>51015.94</v>
      </c>
    </row>
    <row r="3009" spans="3:30">
      <c r="C3009" s="43" t="s">
        <v>5609</v>
      </c>
      <c r="D3009" s="44" t="s">
        <v>5610</v>
      </c>
      <c r="E3009" s="44"/>
      <c r="F3009" s="45">
        <v>42923.295405092591</v>
      </c>
      <c r="G3009" s="46">
        <v>14</v>
      </c>
      <c r="H3009" s="47">
        <v>43372</v>
      </c>
      <c r="I3009" s="47">
        <v>43402</v>
      </c>
      <c r="J3009" s="46">
        <v>555938</v>
      </c>
      <c r="K3009" s="46">
        <v>0</v>
      </c>
      <c r="L3009" s="46">
        <v>0</v>
      </c>
      <c r="M3009" s="46">
        <f t="shared" si="825"/>
        <v>555938</v>
      </c>
      <c r="N3009" s="46">
        <v>555632</v>
      </c>
      <c r="O3009" s="48">
        <f t="shared" si="826"/>
        <v>0</v>
      </c>
      <c r="P3009" s="46">
        <v>0</v>
      </c>
      <c r="Q3009" s="46">
        <v>555938</v>
      </c>
      <c r="R3009" s="49">
        <f t="shared" si="827"/>
        <v>1</v>
      </c>
      <c r="S3009" s="50">
        <f t="shared" si="828"/>
        <v>0.01</v>
      </c>
      <c r="T3009" s="49">
        <f t="shared" si="829"/>
        <v>5559.38</v>
      </c>
      <c r="U3009" s="51">
        <f t="shared" si="830"/>
        <v>0</v>
      </c>
      <c r="V3009" s="52">
        <f>IF(0&lt;0.8,0,IF(0&lt;1,Sheet3!L561,1))*IF(G3009&lt;3,0.12 - O3009,0.01) *U3009</f>
        <v>0</v>
      </c>
      <c r="W3009" s="52">
        <f t="shared" si="831"/>
        <v>0</v>
      </c>
      <c r="X3009" s="53">
        <f t="shared" si="832"/>
        <v>0</v>
      </c>
      <c r="Y3009" s="53">
        <f t="shared" si="833"/>
        <v>0</v>
      </c>
      <c r="Z3009" s="54">
        <f t="shared" si="824"/>
        <v>0</v>
      </c>
      <c r="AA3009" s="54">
        <f t="shared" si="834"/>
        <v>0</v>
      </c>
      <c r="AB3009" s="55">
        <f t="shared" si="823"/>
        <v>0</v>
      </c>
      <c r="AC3009" s="55">
        <f t="shared" si="835"/>
        <v>0</v>
      </c>
      <c r="AD3009" s="56">
        <f t="shared" si="836"/>
        <v>5559.38</v>
      </c>
    </row>
    <row r="3010" spans="3:30">
      <c r="C3010" s="43" t="s">
        <v>5611</v>
      </c>
      <c r="D3010" s="44" t="s">
        <v>5612</v>
      </c>
      <c r="E3010" s="44"/>
      <c r="F3010" s="45">
        <v>42923.435706018514</v>
      </c>
      <c r="G3010" s="46">
        <v>14</v>
      </c>
      <c r="H3010" s="47">
        <v>43372</v>
      </c>
      <c r="I3010" s="47">
        <v>43406</v>
      </c>
      <c r="J3010" s="46">
        <v>692120</v>
      </c>
      <c r="K3010" s="46">
        <v>0</v>
      </c>
      <c r="L3010" s="46">
        <v>0</v>
      </c>
      <c r="M3010" s="46">
        <f t="shared" si="825"/>
        <v>692120</v>
      </c>
      <c r="N3010" s="46">
        <v>692120</v>
      </c>
      <c r="O3010" s="48">
        <f t="shared" si="826"/>
        <v>0</v>
      </c>
      <c r="P3010" s="46">
        <v>0</v>
      </c>
      <c r="Q3010" s="46">
        <v>692120</v>
      </c>
      <c r="R3010" s="49">
        <f t="shared" si="827"/>
        <v>1</v>
      </c>
      <c r="S3010" s="50">
        <f t="shared" si="828"/>
        <v>0.01</v>
      </c>
      <c r="T3010" s="49">
        <f t="shared" si="829"/>
        <v>6921.2</v>
      </c>
      <c r="U3010" s="51">
        <f t="shared" si="830"/>
        <v>0</v>
      </c>
      <c r="V3010" s="52">
        <f>IF(0&lt;0.8,0,IF(0&lt;1,Sheet3!L561,1))*IF(G3010&lt;3,0.12 - O3010,0.01) *U3010</f>
        <v>0</v>
      </c>
      <c r="W3010" s="52">
        <f t="shared" si="831"/>
        <v>0</v>
      </c>
      <c r="X3010" s="53">
        <f t="shared" si="832"/>
        <v>0</v>
      </c>
      <c r="Y3010" s="53">
        <f t="shared" si="833"/>
        <v>0</v>
      </c>
      <c r="Z3010" s="54">
        <f t="shared" si="824"/>
        <v>0</v>
      </c>
      <c r="AA3010" s="54">
        <f t="shared" si="834"/>
        <v>0</v>
      </c>
      <c r="AB3010" s="55">
        <f t="shared" si="823"/>
        <v>0</v>
      </c>
      <c r="AC3010" s="55">
        <f t="shared" si="835"/>
        <v>0</v>
      </c>
      <c r="AD3010" s="56">
        <f t="shared" si="836"/>
        <v>6921.2</v>
      </c>
    </row>
    <row r="3011" spans="3:30">
      <c r="C3011" s="43" t="s">
        <v>5613</v>
      </c>
      <c r="D3011" s="44" t="s">
        <v>5614</v>
      </c>
      <c r="E3011" s="44"/>
      <c r="F3011" s="45">
        <v>42927.07362268518</v>
      </c>
      <c r="G3011" s="46">
        <v>14</v>
      </c>
      <c r="H3011" s="47">
        <v>43372</v>
      </c>
      <c r="I3011" s="47">
        <v>43384</v>
      </c>
      <c r="J3011" s="46">
        <v>801988</v>
      </c>
      <c r="K3011" s="46">
        <v>0</v>
      </c>
      <c r="L3011" s="46">
        <v>0</v>
      </c>
      <c r="M3011" s="46">
        <f t="shared" si="825"/>
        <v>801988</v>
      </c>
      <c r="N3011" s="46">
        <v>790977</v>
      </c>
      <c r="O3011" s="48">
        <f t="shared" si="826"/>
        <v>0</v>
      </c>
      <c r="P3011" s="46">
        <v>0</v>
      </c>
      <c r="Q3011" s="46">
        <v>801988</v>
      </c>
      <c r="R3011" s="49">
        <f t="shared" si="827"/>
        <v>1</v>
      </c>
      <c r="S3011" s="50">
        <f t="shared" si="828"/>
        <v>0.01</v>
      </c>
      <c r="T3011" s="49">
        <f t="shared" si="829"/>
        <v>8019.88</v>
      </c>
      <c r="U3011" s="51">
        <f t="shared" si="830"/>
        <v>0</v>
      </c>
      <c r="V3011" s="52">
        <f>IF(0&lt;0.8,0,IF(0&lt;1,Sheet3!L561,1))*IF(G3011&lt;3,0.12 - O3011,0.01) *U3011</f>
        <v>0</v>
      </c>
      <c r="W3011" s="52">
        <f t="shared" si="831"/>
        <v>0</v>
      </c>
      <c r="X3011" s="53">
        <f t="shared" si="832"/>
        <v>0</v>
      </c>
      <c r="Y3011" s="53">
        <f t="shared" si="833"/>
        <v>0</v>
      </c>
      <c r="Z3011" s="54">
        <f t="shared" si="824"/>
        <v>0</v>
      </c>
      <c r="AA3011" s="54">
        <f t="shared" si="834"/>
        <v>0</v>
      </c>
      <c r="AB3011" s="55">
        <f t="shared" si="823"/>
        <v>0</v>
      </c>
      <c r="AC3011" s="55">
        <f t="shared" si="835"/>
        <v>0</v>
      </c>
      <c r="AD3011" s="56">
        <f t="shared" si="836"/>
        <v>8019.88</v>
      </c>
    </row>
    <row r="3012" spans="3:30">
      <c r="C3012" s="43" t="s">
        <v>5615</v>
      </c>
      <c r="D3012" s="44" t="s">
        <v>5616</v>
      </c>
      <c r="E3012" s="44"/>
      <c r="F3012" s="45">
        <v>42928.259166666663</v>
      </c>
      <c r="G3012" s="46">
        <v>14</v>
      </c>
      <c r="H3012" s="47">
        <v>43372</v>
      </c>
      <c r="I3012" s="47">
        <v>43382</v>
      </c>
      <c r="J3012" s="46">
        <v>490995</v>
      </c>
      <c r="K3012" s="46">
        <v>0</v>
      </c>
      <c r="L3012" s="46">
        <v>0</v>
      </c>
      <c r="M3012" s="46">
        <f t="shared" si="825"/>
        <v>490995</v>
      </c>
      <c r="N3012" s="46">
        <v>489445</v>
      </c>
      <c r="O3012" s="48">
        <f t="shared" si="826"/>
        <v>0</v>
      </c>
      <c r="P3012" s="46">
        <v>0</v>
      </c>
      <c r="Q3012" s="46">
        <v>490995</v>
      </c>
      <c r="R3012" s="49">
        <f t="shared" si="827"/>
        <v>1</v>
      </c>
      <c r="S3012" s="50">
        <f t="shared" si="828"/>
        <v>0.01</v>
      </c>
      <c r="T3012" s="49">
        <f t="shared" si="829"/>
        <v>4909.95</v>
      </c>
      <c r="U3012" s="51">
        <f t="shared" si="830"/>
        <v>0</v>
      </c>
      <c r="V3012" s="52">
        <f>IF(0&lt;0.8,0,IF(0&lt;1,Sheet3!L561,1))*IF(G3012&lt;3,0.12 - O3012,0.01) *U3012</f>
        <v>0</v>
      </c>
      <c r="W3012" s="52">
        <f t="shared" si="831"/>
        <v>0</v>
      </c>
      <c r="X3012" s="53">
        <f t="shared" si="832"/>
        <v>0</v>
      </c>
      <c r="Y3012" s="53">
        <f t="shared" si="833"/>
        <v>0</v>
      </c>
      <c r="Z3012" s="54">
        <f t="shared" si="824"/>
        <v>0</v>
      </c>
      <c r="AA3012" s="54">
        <f t="shared" si="834"/>
        <v>0</v>
      </c>
      <c r="AB3012" s="55">
        <f t="shared" si="823"/>
        <v>0</v>
      </c>
      <c r="AC3012" s="55">
        <f t="shared" si="835"/>
        <v>0</v>
      </c>
      <c r="AD3012" s="56">
        <f t="shared" si="836"/>
        <v>4909.95</v>
      </c>
    </row>
    <row r="3013" spans="3:30">
      <c r="C3013" s="43" t="s">
        <v>5617</v>
      </c>
      <c r="D3013" s="44" t="s">
        <v>5618</v>
      </c>
      <c r="E3013" s="44"/>
      <c r="F3013" s="45">
        <v>42931.164780092593</v>
      </c>
      <c r="G3013" s="46">
        <v>14</v>
      </c>
      <c r="H3013" s="47" t="s">
        <v>24</v>
      </c>
      <c r="I3013" s="47" t="s">
        <v>24</v>
      </c>
      <c r="J3013" s="46">
        <v>282898</v>
      </c>
      <c r="K3013" s="46">
        <v>0</v>
      </c>
      <c r="L3013" s="46">
        <v>0</v>
      </c>
      <c r="M3013" s="46">
        <f t="shared" si="825"/>
        <v>282898</v>
      </c>
      <c r="N3013" s="46">
        <v>282898</v>
      </c>
      <c r="O3013" s="48">
        <f t="shared" si="826"/>
        <v>0</v>
      </c>
      <c r="P3013" s="46">
        <v>0</v>
      </c>
      <c r="Q3013" s="46">
        <v>282898</v>
      </c>
      <c r="R3013" s="49">
        <f t="shared" si="827"/>
        <v>1</v>
      </c>
      <c r="S3013" s="50">
        <f t="shared" si="828"/>
        <v>0.01</v>
      </c>
      <c r="T3013" s="49">
        <f t="shared" si="829"/>
        <v>2828.98</v>
      </c>
      <c r="U3013" s="51">
        <f t="shared" si="830"/>
        <v>0</v>
      </c>
      <c r="V3013" s="52">
        <f>IF(0&lt;0.8,0,IF(0&lt;1,Sheet3!L561,1))*IF(G3013&lt;3,0.12 - O3013,0.01) *U3013</f>
        <v>0</v>
      </c>
      <c r="W3013" s="52">
        <f t="shared" si="831"/>
        <v>0</v>
      </c>
      <c r="X3013" s="53">
        <f t="shared" si="832"/>
        <v>0</v>
      </c>
      <c r="Y3013" s="53">
        <f t="shared" si="833"/>
        <v>0</v>
      </c>
      <c r="Z3013" s="54">
        <f t="shared" si="824"/>
        <v>0</v>
      </c>
      <c r="AA3013" s="54">
        <f t="shared" si="834"/>
        <v>0</v>
      </c>
      <c r="AB3013" s="55">
        <f t="shared" si="823"/>
        <v>0</v>
      </c>
      <c r="AC3013" s="55">
        <f t="shared" si="835"/>
        <v>0</v>
      </c>
      <c r="AD3013" s="56">
        <f t="shared" si="836"/>
        <v>2828.98</v>
      </c>
    </row>
    <row r="3014" spans="3:30">
      <c r="C3014" s="43" t="s">
        <v>5619</v>
      </c>
      <c r="D3014" s="44" t="s">
        <v>5620</v>
      </c>
      <c r="E3014" s="44"/>
      <c r="F3014" s="45">
        <v>42944.390844907408</v>
      </c>
      <c r="G3014" s="46">
        <v>14</v>
      </c>
      <c r="H3014" s="47">
        <v>43372</v>
      </c>
      <c r="I3014" s="47">
        <v>43475</v>
      </c>
      <c r="J3014" s="46">
        <v>667194</v>
      </c>
      <c r="K3014" s="46">
        <v>0</v>
      </c>
      <c r="L3014" s="46">
        <v>0</v>
      </c>
      <c r="M3014" s="46">
        <f t="shared" si="825"/>
        <v>667194</v>
      </c>
      <c r="N3014" s="46">
        <v>667194</v>
      </c>
      <c r="O3014" s="48">
        <f t="shared" si="826"/>
        <v>0</v>
      </c>
      <c r="P3014" s="46">
        <v>0</v>
      </c>
      <c r="Q3014" s="46">
        <v>667194</v>
      </c>
      <c r="R3014" s="49">
        <f t="shared" si="827"/>
        <v>1</v>
      </c>
      <c r="S3014" s="50">
        <f t="shared" si="828"/>
        <v>0.01</v>
      </c>
      <c r="T3014" s="49">
        <f t="shared" si="829"/>
        <v>6671.9400000000005</v>
      </c>
      <c r="U3014" s="51">
        <f t="shared" si="830"/>
        <v>0</v>
      </c>
      <c r="V3014" s="52">
        <f>IF(0&lt;0.8,0,IF(0&lt;1,Sheet3!L561,1))*IF(G3014&lt;3,0.12 - O3014,0.01) *U3014</f>
        <v>0</v>
      </c>
      <c r="W3014" s="52">
        <f t="shared" si="831"/>
        <v>0</v>
      </c>
      <c r="X3014" s="53">
        <f t="shared" si="832"/>
        <v>0</v>
      </c>
      <c r="Y3014" s="53">
        <f t="shared" si="833"/>
        <v>0</v>
      </c>
      <c r="Z3014" s="54">
        <f t="shared" si="824"/>
        <v>0</v>
      </c>
      <c r="AA3014" s="54">
        <f t="shared" si="834"/>
        <v>0</v>
      </c>
      <c r="AB3014" s="55">
        <f t="shared" si="823"/>
        <v>0</v>
      </c>
      <c r="AC3014" s="55">
        <f t="shared" si="835"/>
        <v>0</v>
      </c>
      <c r="AD3014" s="56">
        <f t="shared" si="836"/>
        <v>6671.9400000000005</v>
      </c>
    </row>
    <row r="3015" spans="3:30">
      <c r="C3015" s="43" t="s">
        <v>5621</v>
      </c>
      <c r="D3015" s="44" t="s">
        <v>5622</v>
      </c>
      <c r="E3015" s="44"/>
      <c r="F3015" s="45">
        <v>42944.395775462959</v>
      </c>
      <c r="G3015" s="46">
        <v>14</v>
      </c>
      <c r="H3015" s="47">
        <v>43372</v>
      </c>
      <c r="I3015" s="47">
        <v>43399</v>
      </c>
      <c r="J3015" s="46">
        <v>28178834</v>
      </c>
      <c r="K3015" s="46">
        <v>0</v>
      </c>
      <c r="L3015" s="46">
        <v>0</v>
      </c>
      <c r="M3015" s="46">
        <f t="shared" si="825"/>
        <v>28178834</v>
      </c>
      <c r="N3015" s="46">
        <v>26579350</v>
      </c>
      <c r="O3015" s="48">
        <f t="shared" si="826"/>
        <v>0</v>
      </c>
      <c r="P3015" s="46">
        <v>0</v>
      </c>
      <c r="Q3015" s="46">
        <v>28178834</v>
      </c>
      <c r="R3015" s="49">
        <f t="shared" si="827"/>
        <v>1</v>
      </c>
      <c r="S3015" s="50">
        <f t="shared" si="828"/>
        <v>0.01</v>
      </c>
      <c r="T3015" s="49">
        <f t="shared" si="829"/>
        <v>281788.34000000003</v>
      </c>
      <c r="U3015" s="51">
        <f t="shared" si="830"/>
        <v>0</v>
      </c>
      <c r="V3015" s="52">
        <f>IF(0&lt;0.8,0,IF(0&lt;1,Sheet3!L561,1))*IF(G3015&lt;3,0.12 - O3015,0.01) *U3015</f>
        <v>0</v>
      </c>
      <c r="W3015" s="52">
        <f t="shared" si="831"/>
        <v>0</v>
      </c>
      <c r="X3015" s="53">
        <f t="shared" si="832"/>
        <v>0</v>
      </c>
      <c r="Y3015" s="53">
        <f t="shared" si="833"/>
        <v>0</v>
      </c>
      <c r="Z3015" s="54">
        <f t="shared" si="824"/>
        <v>0</v>
      </c>
      <c r="AA3015" s="54">
        <f t="shared" si="834"/>
        <v>0</v>
      </c>
      <c r="AB3015" s="55">
        <f>IF(R3015=0,912444,0)</f>
        <v>0</v>
      </c>
      <c r="AC3015" s="55">
        <f t="shared" si="835"/>
        <v>0</v>
      </c>
      <c r="AD3015" s="56">
        <f t="shared" si="836"/>
        <v>281788.34000000003</v>
      </c>
    </row>
    <row r="3016" spans="3:30">
      <c r="C3016" s="43" t="s">
        <v>5623</v>
      </c>
      <c r="D3016" s="44" t="s">
        <v>5624</v>
      </c>
      <c r="E3016" s="44"/>
      <c r="F3016" s="45">
        <v>42956.332592592589</v>
      </c>
      <c r="G3016" s="46">
        <v>13</v>
      </c>
      <c r="H3016" s="47">
        <v>43372</v>
      </c>
      <c r="I3016" s="47">
        <v>43404</v>
      </c>
      <c r="J3016" s="46">
        <v>418418</v>
      </c>
      <c r="K3016" s="46">
        <v>0</v>
      </c>
      <c r="L3016" s="46">
        <v>0</v>
      </c>
      <c r="M3016" s="46">
        <f t="shared" si="825"/>
        <v>418418</v>
      </c>
      <c r="N3016" s="46">
        <v>418418</v>
      </c>
      <c r="O3016" s="48">
        <f t="shared" si="826"/>
        <v>0</v>
      </c>
      <c r="P3016" s="46">
        <v>0</v>
      </c>
      <c r="Q3016" s="46">
        <v>418418</v>
      </c>
      <c r="R3016" s="49">
        <f t="shared" si="827"/>
        <v>1</v>
      </c>
      <c r="S3016" s="50">
        <f t="shared" si="828"/>
        <v>0.01</v>
      </c>
      <c r="T3016" s="49">
        <f t="shared" si="829"/>
        <v>4184.18</v>
      </c>
      <c r="U3016" s="51">
        <f t="shared" si="830"/>
        <v>0</v>
      </c>
      <c r="V3016" s="52">
        <f>IF(0&lt;0.8,0,IF(0&lt;1,Sheet3!L561,1))*IF(G3016&lt;3,0.12 - O3016,0.01) *U3016</f>
        <v>0</v>
      </c>
      <c r="W3016" s="52">
        <f t="shared" si="831"/>
        <v>0</v>
      </c>
      <c r="X3016" s="53">
        <f t="shared" si="832"/>
        <v>0</v>
      </c>
      <c r="Y3016" s="53">
        <f t="shared" si="833"/>
        <v>0</v>
      </c>
      <c r="Z3016" s="54">
        <f t="shared" si="824"/>
        <v>0</v>
      </c>
      <c r="AA3016" s="54">
        <f t="shared" si="834"/>
        <v>0</v>
      </c>
      <c r="AB3016" s="55">
        <f>IF(R3016=0,0,0)</f>
        <v>0</v>
      </c>
      <c r="AC3016" s="55">
        <f t="shared" si="835"/>
        <v>0</v>
      </c>
      <c r="AD3016" s="56">
        <f t="shared" si="836"/>
        <v>4184.18</v>
      </c>
    </row>
    <row r="3017" spans="3:30">
      <c r="C3017" s="43" t="s">
        <v>5625</v>
      </c>
      <c r="D3017" s="44" t="s">
        <v>5626</v>
      </c>
      <c r="E3017" s="44"/>
      <c r="F3017" s="45">
        <v>42959.149027777778</v>
      </c>
      <c r="G3017" s="46">
        <v>13</v>
      </c>
      <c r="H3017" s="47">
        <v>43390</v>
      </c>
      <c r="I3017" s="47">
        <v>43412</v>
      </c>
      <c r="J3017" s="46">
        <v>1236160</v>
      </c>
      <c r="K3017" s="46">
        <v>0</v>
      </c>
      <c r="L3017" s="46">
        <v>0</v>
      </c>
      <c r="M3017" s="46">
        <f t="shared" si="825"/>
        <v>1236160</v>
      </c>
      <c r="N3017" s="46">
        <v>1224399</v>
      </c>
      <c r="O3017" s="48">
        <f t="shared" si="826"/>
        <v>0</v>
      </c>
      <c r="P3017" s="46">
        <v>0</v>
      </c>
      <c r="Q3017" s="46">
        <v>1236160</v>
      </c>
      <c r="R3017" s="49">
        <f t="shared" si="827"/>
        <v>1</v>
      </c>
      <c r="S3017" s="50">
        <f t="shared" si="828"/>
        <v>0.01</v>
      </c>
      <c r="T3017" s="49">
        <f t="shared" si="829"/>
        <v>12361.6</v>
      </c>
      <c r="U3017" s="51">
        <f t="shared" si="830"/>
        <v>0</v>
      </c>
      <c r="V3017" s="52">
        <f>IF(0&lt;0.8,0,IF(0&lt;1,Sheet3!L561,1))*IF(G3017&lt;3,0.12 - O3017,0.01) *U3017</f>
        <v>0</v>
      </c>
      <c r="W3017" s="52">
        <f t="shared" si="831"/>
        <v>0</v>
      </c>
      <c r="X3017" s="53">
        <f t="shared" si="832"/>
        <v>0</v>
      </c>
      <c r="Y3017" s="53">
        <f t="shared" si="833"/>
        <v>0</v>
      </c>
      <c r="Z3017" s="54">
        <f t="shared" si="824"/>
        <v>0</v>
      </c>
      <c r="AA3017" s="54">
        <f t="shared" si="834"/>
        <v>0</v>
      </c>
      <c r="AB3017" s="55">
        <f>IF(R3017=0,0,0)</f>
        <v>0</v>
      </c>
      <c r="AC3017" s="55">
        <f t="shared" si="835"/>
        <v>0</v>
      </c>
      <c r="AD3017" s="56">
        <f t="shared" si="836"/>
        <v>12361.6</v>
      </c>
    </row>
    <row r="3018" spans="3:30">
      <c r="C3018" s="43" t="s">
        <v>5627</v>
      </c>
      <c r="D3018" s="44" t="s">
        <v>5628</v>
      </c>
      <c r="E3018" s="44"/>
      <c r="F3018" s="45">
        <v>43001.195231481477</v>
      </c>
      <c r="G3018" s="46">
        <v>12</v>
      </c>
      <c r="H3018" s="47">
        <v>43372</v>
      </c>
      <c r="I3018" s="47">
        <v>43383</v>
      </c>
      <c r="J3018" s="46">
        <v>2594240</v>
      </c>
      <c r="K3018" s="46">
        <v>0</v>
      </c>
      <c r="L3018" s="46">
        <v>0</v>
      </c>
      <c r="M3018" s="46">
        <f t="shared" si="825"/>
        <v>2594240</v>
      </c>
      <c r="N3018" s="46">
        <v>2594240</v>
      </c>
      <c r="O3018" s="48">
        <f t="shared" si="826"/>
        <v>0</v>
      </c>
      <c r="P3018" s="46">
        <v>0</v>
      </c>
      <c r="Q3018" s="46">
        <v>2594240</v>
      </c>
      <c r="R3018" s="49">
        <f t="shared" si="827"/>
        <v>1</v>
      </c>
      <c r="S3018" s="50">
        <f t="shared" si="828"/>
        <v>0.01</v>
      </c>
      <c r="T3018" s="49">
        <f t="shared" si="829"/>
        <v>25942.400000000001</v>
      </c>
      <c r="U3018" s="51">
        <f t="shared" si="830"/>
        <v>0</v>
      </c>
      <c r="V3018" s="52">
        <f>IF(0&lt;0.8,0,IF(0&lt;1,Sheet3!L561,1))*IF(G3018&lt;3,0.12 - O3018,0.01) *U3018</f>
        <v>0</v>
      </c>
      <c r="W3018" s="52">
        <f t="shared" si="831"/>
        <v>0</v>
      </c>
      <c r="X3018" s="53">
        <f t="shared" si="832"/>
        <v>0</v>
      </c>
      <c r="Y3018" s="53">
        <f t="shared" si="833"/>
        <v>0</v>
      </c>
      <c r="Z3018" s="54">
        <f t="shared" si="824"/>
        <v>0</v>
      </c>
      <c r="AA3018" s="54">
        <f t="shared" si="834"/>
        <v>0</v>
      </c>
      <c r="AB3018" s="55">
        <f>IF(R3018=0,0,0)</f>
        <v>0</v>
      </c>
      <c r="AC3018" s="55">
        <f t="shared" si="835"/>
        <v>0</v>
      </c>
      <c r="AD3018" s="56">
        <f t="shared" si="836"/>
        <v>25942.400000000001</v>
      </c>
    </row>
    <row r="3019" spans="3:30">
      <c r="C3019" s="43" t="s">
        <v>5629</v>
      </c>
      <c r="D3019" s="44" t="s">
        <v>5630</v>
      </c>
      <c r="E3019" s="44"/>
      <c r="F3019" s="45">
        <v>43013.310729166667</v>
      </c>
      <c r="G3019" s="46">
        <v>11</v>
      </c>
      <c r="H3019" s="47">
        <v>43372</v>
      </c>
      <c r="I3019" s="47">
        <v>43391</v>
      </c>
      <c r="J3019" s="46">
        <v>8175097</v>
      </c>
      <c r="K3019" s="46">
        <v>0</v>
      </c>
      <c r="L3019" s="46">
        <v>0</v>
      </c>
      <c r="M3019" s="46">
        <f t="shared" si="825"/>
        <v>8175097</v>
      </c>
      <c r="N3019" s="46">
        <v>7716048</v>
      </c>
      <c r="O3019" s="48">
        <f t="shared" si="826"/>
        <v>0</v>
      </c>
      <c r="P3019" s="46">
        <v>0</v>
      </c>
      <c r="Q3019" s="46">
        <v>8175097</v>
      </c>
      <c r="R3019" s="49">
        <f t="shared" si="827"/>
        <v>1</v>
      </c>
      <c r="S3019" s="50">
        <f t="shared" si="828"/>
        <v>0.01</v>
      </c>
      <c r="T3019" s="49">
        <f t="shared" si="829"/>
        <v>81750.97</v>
      </c>
      <c r="U3019" s="51">
        <f t="shared" si="830"/>
        <v>0</v>
      </c>
      <c r="V3019" s="52">
        <f>IF(0&lt;0.8,0,IF(0&lt;1,Sheet3!L561,1))*IF(G3019&lt;3,0.12 - O3019,0.01) *U3019</f>
        <v>0</v>
      </c>
      <c r="W3019" s="52">
        <f t="shared" si="831"/>
        <v>0</v>
      </c>
      <c r="X3019" s="53">
        <f t="shared" si="832"/>
        <v>0</v>
      </c>
      <c r="Y3019" s="53">
        <f t="shared" si="833"/>
        <v>0</v>
      </c>
      <c r="Z3019" s="54">
        <f t="shared" si="824"/>
        <v>0</v>
      </c>
      <c r="AA3019" s="54">
        <f t="shared" si="834"/>
        <v>0</v>
      </c>
      <c r="AB3019" s="55">
        <f>IF(R3019=0,459048,0)</f>
        <v>0</v>
      </c>
      <c r="AC3019" s="55">
        <f t="shared" si="835"/>
        <v>0</v>
      </c>
      <c r="AD3019" s="56">
        <f t="shared" si="836"/>
        <v>81750.97</v>
      </c>
    </row>
    <row r="3020" spans="3:30">
      <c r="C3020" s="43" t="s">
        <v>5631</v>
      </c>
      <c r="D3020" s="44" t="s">
        <v>5632</v>
      </c>
      <c r="E3020" s="44"/>
      <c r="F3020" s="45">
        <v>43025.191006944442</v>
      </c>
      <c r="G3020" s="46">
        <v>11</v>
      </c>
      <c r="H3020" s="47">
        <v>43372</v>
      </c>
      <c r="I3020" s="47">
        <v>43391</v>
      </c>
      <c r="J3020" s="46">
        <v>17207453</v>
      </c>
      <c r="K3020" s="46">
        <v>890928</v>
      </c>
      <c r="L3020" s="46">
        <v>0</v>
      </c>
      <c r="M3020" s="46">
        <f t="shared" si="825"/>
        <v>16316525</v>
      </c>
      <c r="N3020" s="46">
        <v>17024387</v>
      </c>
      <c r="O3020" s="48">
        <f t="shared" si="826"/>
        <v>4.1579294455653559E-2</v>
      </c>
      <c r="P3020" s="46">
        <v>0</v>
      </c>
      <c r="Q3020" s="46">
        <v>17207453</v>
      </c>
      <c r="R3020" s="49">
        <f t="shared" si="827"/>
        <v>1</v>
      </c>
      <c r="S3020" s="50">
        <f t="shared" si="828"/>
        <v>0.01</v>
      </c>
      <c r="T3020" s="49">
        <f t="shared" si="829"/>
        <v>163165.25</v>
      </c>
      <c r="U3020" s="51">
        <f t="shared" si="830"/>
        <v>0</v>
      </c>
      <c r="V3020" s="52">
        <f>IF(0&lt;0.8,0,IF(0&lt;1,Sheet3!L561,1))*IF(G3020&lt;3,0.12 - O3020,0.01) *U3020</f>
        <v>0</v>
      </c>
      <c r="W3020" s="52">
        <f t="shared" si="831"/>
        <v>0</v>
      </c>
      <c r="X3020" s="53">
        <f t="shared" si="832"/>
        <v>0</v>
      </c>
      <c r="Y3020" s="53">
        <f t="shared" si="833"/>
        <v>0</v>
      </c>
      <c r="Z3020" s="54">
        <f t="shared" si="824"/>
        <v>0</v>
      </c>
      <c r="AA3020" s="54">
        <f t="shared" si="834"/>
        <v>0</v>
      </c>
      <c r="AB3020" s="55">
        <f t="shared" ref="AB3020:AB3039" si="837">IF(R3020=0,0,0)</f>
        <v>0</v>
      </c>
      <c r="AC3020" s="55">
        <f t="shared" si="835"/>
        <v>0</v>
      </c>
      <c r="AD3020" s="56">
        <f t="shared" si="836"/>
        <v>163165.25</v>
      </c>
    </row>
    <row r="3021" spans="3:30">
      <c r="C3021" s="43" t="s">
        <v>5633</v>
      </c>
      <c r="D3021" s="44" t="s">
        <v>5634</v>
      </c>
      <c r="E3021" s="44"/>
      <c r="F3021" s="45">
        <v>43029.176782407405</v>
      </c>
      <c r="G3021" s="46">
        <v>11</v>
      </c>
      <c r="H3021" s="47">
        <v>43372</v>
      </c>
      <c r="I3021" s="47">
        <v>43405</v>
      </c>
      <c r="J3021" s="46">
        <v>221793</v>
      </c>
      <c r="K3021" s="46">
        <v>0</v>
      </c>
      <c r="L3021" s="46">
        <v>0</v>
      </c>
      <c r="M3021" s="46">
        <f t="shared" si="825"/>
        <v>221793</v>
      </c>
      <c r="N3021" s="46">
        <v>221793</v>
      </c>
      <c r="O3021" s="48">
        <f t="shared" si="826"/>
        <v>0</v>
      </c>
      <c r="P3021" s="46">
        <v>0</v>
      </c>
      <c r="Q3021" s="46">
        <v>221793</v>
      </c>
      <c r="R3021" s="49">
        <f t="shared" si="827"/>
        <v>1</v>
      </c>
      <c r="S3021" s="50">
        <f t="shared" si="828"/>
        <v>0.01</v>
      </c>
      <c r="T3021" s="49">
        <f t="shared" si="829"/>
        <v>2217.9299999999998</v>
      </c>
      <c r="U3021" s="51">
        <f t="shared" si="830"/>
        <v>0</v>
      </c>
      <c r="V3021" s="52">
        <f>IF(0&lt;0.8,0,IF(0&lt;1,Sheet3!L561,1))*IF(G3021&lt;3,0.12 - O3021,0.01) *U3021</f>
        <v>0</v>
      </c>
      <c r="W3021" s="52">
        <f t="shared" si="831"/>
        <v>0</v>
      </c>
      <c r="X3021" s="53">
        <f t="shared" si="832"/>
        <v>0</v>
      </c>
      <c r="Y3021" s="53">
        <f t="shared" si="833"/>
        <v>0</v>
      </c>
      <c r="Z3021" s="54">
        <f t="shared" si="824"/>
        <v>0</v>
      </c>
      <c r="AA3021" s="54">
        <f t="shared" si="834"/>
        <v>0</v>
      </c>
      <c r="AB3021" s="55">
        <f t="shared" si="837"/>
        <v>0</v>
      </c>
      <c r="AC3021" s="55">
        <f t="shared" si="835"/>
        <v>0</v>
      </c>
      <c r="AD3021" s="56">
        <f t="shared" si="836"/>
        <v>2217.9299999999998</v>
      </c>
    </row>
    <row r="3022" spans="3:30">
      <c r="C3022" s="43" t="s">
        <v>5635</v>
      </c>
      <c r="D3022" s="44" t="s">
        <v>5636</v>
      </c>
      <c r="E3022" s="44"/>
      <c r="F3022" s="45">
        <v>43042.276886574073</v>
      </c>
      <c r="G3022" s="46">
        <v>10</v>
      </c>
      <c r="H3022" s="47">
        <v>43372</v>
      </c>
      <c r="I3022" s="47">
        <v>43404</v>
      </c>
      <c r="J3022" s="46">
        <v>408362695</v>
      </c>
      <c r="K3022" s="46">
        <v>3711318</v>
      </c>
      <c r="L3022" s="46">
        <v>0</v>
      </c>
      <c r="M3022" s="46">
        <f t="shared" si="825"/>
        <v>404651377</v>
      </c>
      <c r="N3022" s="46">
        <v>2804457652</v>
      </c>
      <c r="O3022" s="48">
        <f t="shared" si="826"/>
        <v>0.85571136126394254</v>
      </c>
      <c r="P3022" s="46">
        <v>0</v>
      </c>
      <c r="Q3022" s="46">
        <v>438353119</v>
      </c>
      <c r="R3022" s="49">
        <f t="shared" si="827"/>
        <v>1</v>
      </c>
      <c r="S3022" s="50">
        <f t="shared" si="828"/>
        <v>0.01</v>
      </c>
      <c r="T3022" s="49">
        <f t="shared" si="829"/>
        <v>4046513.77</v>
      </c>
      <c r="U3022" s="51">
        <f t="shared" si="830"/>
        <v>0</v>
      </c>
      <c r="V3022" s="52">
        <f>IF(0&lt;0.8,0,IF(0&lt;1,Sheet3!L561,1))*IF(G3022&lt;3,0.12 - O3022,0.01) *U3022</f>
        <v>0</v>
      </c>
      <c r="W3022" s="52">
        <f t="shared" si="831"/>
        <v>0</v>
      </c>
      <c r="X3022" s="53">
        <f t="shared" si="832"/>
        <v>0</v>
      </c>
      <c r="Y3022" s="53">
        <f t="shared" si="833"/>
        <v>0</v>
      </c>
      <c r="Z3022" s="54">
        <f>IF(R3022=1,0,109225745)</f>
        <v>0</v>
      </c>
      <c r="AA3022" s="54">
        <f t="shared" si="834"/>
        <v>0</v>
      </c>
      <c r="AB3022" s="55">
        <f t="shared" si="837"/>
        <v>0</v>
      </c>
      <c r="AC3022" s="55">
        <f t="shared" si="835"/>
        <v>0</v>
      </c>
      <c r="AD3022" s="56">
        <f t="shared" si="836"/>
        <v>4046513.77</v>
      </c>
    </row>
    <row r="3023" spans="3:30">
      <c r="C3023" s="43" t="s">
        <v>5637</v>
      </c>
      <c r="D3023" s="44" t="s">
        <v>5638</v>
      </c>
      <c r="E3023" s="44"/>
      <c r="F3023" s="45">
        <v>43048.307337962964</v>
      </c>
      <c r="G3023" s="46">
        <v>10</v>
      </c>
      <c r="H3023" s="47">
        <v>43372</v>
      </c>
      <c r="I3023" s="47">
        <v>43385</v>
      </c>
      <c r="J3023" s="46">
        <v>691212</v>
      </c>
      <c r="K3023" s="46">
        <v>0</v>
      </c>
      <c r="L3023" s="46">
        <v>0</v>
      </c>
      <c r="M3023" s="46">
        <f t="shared" si="825"/>
        <v>691212</v>
      </c>
      <c r="N3023" s="46">
        <v>562952</v>
      </c>
      <c r="O3023" s="48">
        <f t="shared" si="826"/>
        <v>0</v>
      </c>
      <c r="P3023" s="46">
        <v>0</v>
      </c>
      <c r="Q3023" s="46">
        <v>691212</v>
      </c>
      <c r="R3023" s="49">
        <f t="shared" si="827"/>
        <v>1</v>
      </c>
      <c r="S3023" s="50">
        <f t="shared" si="828"/>
        <v>0.01</v>
      </c>
      <c r="T3023" s="49">
        <f t="shared" si="829"/>
        <v>6912.12</v>
      </c>
      <c r="U3023" s="51">
        <f t="shared" si="830"/>
        <v>0</v>
      </c>
      <c r="V3023" s="52">
        <f>IF(0&lt;0.8,0,IF(0&lt;1,Sheet3!L561,1))*IF(G3023&lt;3,0.12 - O3023,0.01) *U3023</f>
        <v>0</v>
      </c>
      <c r="W3023" s="52">
        <f t="shared" si="831"/>
        <v>0</v>
      </c>
      <c r="X3023" s="53">
        <f t="shared" si="832"/>
        <v>0</v>
      </c>
      <c r="Y3023" s="53">
        <f t="shared" si="833"/>
        <v>0</v>
      </c>
      <c r="Z3023" s="54">
        <f>IF(R3023=1,0,0)</f>
        <v>0</v>
      </c>
      <c r="AA3023" s="54">
        <f t="shared" si="834"/>
        <v>0</v>
      </c>
      <c r="AB3023" s="55">
        <f t="shared" si="837"/>
        <v>0</v>
      </c>
      <c r="AC3023" s="55">
        <f t="shared" si="835"/>
        <v>0</v>
      </c>
      <c r="AD3023" s="56">
        <f t="shared" si="836"/>
        <v>6912.12</v>
      </c>
    </row>
    <row r="3024" spans="3:30">
      <c r="C3024" s="43" t="s">
        <v>5639</v>
      </c>
      <c r="D3024" s="44" t="s">
        <v>5640</v>
      </c>
      <c r="E3024" s="44"/>
      <c r="F3024" s="45">
        <v>43050.400393518517</v>
      </c>
      <c r="G3024" s="46">
        <v>10</v>
      </c>
      <c r="H3024" s="47">
        <v>43396</v>
      </c>
      <c r="I3024" s="47">
        <v>43412</v>
      </c>
      <c r="J3024" s="46">
        <v>291485749</v>
      </c>
      <c r="K3024" s="46">
        <v>0</v>
      </c>
      <c r="L3024" s="46">
        <v>0</v>
      </c>
      <c r="M3024" s="46">
        <f t="shared" si="825"/>
        <v>291485749</v>
      </c>
      <c r="N3024" s="46">
        <v>2055874384</v>
      </c>
      <c r="O3024" s="48">
        <f t="shared" si="826"/>
        <v>0.85821811329110853</v>
      </c>
      <c r="P3024" s="46">
        <v>0</v>
      </c>
      <c r="Q3024" s="46">
        <v>291485749</v>
      </c>
      <c r="R3024" s="49">
        <f t="shared" si="827"/>
        <v>1</v>
      </c>
      <c r="S3024" s="50">
        <f t="shared" si="828"/>
        <v>0.01</v>
      </c>
      <c r="T3024" s="49">
        <f t="shared" si="829"/>
        <v>2914857.49</v>
      </c>
      <c r="U3024" s="51">
        <f t="shared" si="830"/>
        <v>0</v>
      </c>
      <c r="V3024" s="52">
        <f>IF(0&lt;0.8,0,IF(0&lt;1,Sheet3!L561,1))*IF(G3024&lt;3,0.12 - O3024,0.01) *U3024</f>
        <v>0</v>
      </c>
      <c r="W3024" s="52">
        <f t="shared" si="831"/>
        <v>0</v>
      </c>
      <c r="X3024" s="53">
        <f t="shared" si="832"/>
        <v>0</v>
      </c>
      <c r="Y3024" s="53">
        <f t="shared" si="833"/>
        <v>0</v>
      </c>
      <c r="Z3024" s="54">
        <f>IF(R3024=1,0,108418249)</f>
        <v>0</v>
      </c>
      <c r="AA3024" s="54">
        <f t="shared" si="834"/>
        <v>0</v>
      </c>
      <c r="AB3024" s="55">
        <f t="shared" si="837"/>
        <v>0</v>
      </c>
      <c r="AC3024" s="55">
        <f t="shared" si="835"/>
        <v>0</v>
      </c>
      <c r="AD3024" s="56">
        <f t="shared" si="836"/>
        <v>2914857.49</v>
      </c>
    </row>
    <row r="3025" spans="3:30">
      <c r="C3025" s="43" t="s">
        <v>5641</v>
      </c>
      <c r="D3025" s="44" t="s">
        <v>5642</v>
      </c>
      <c r="E3025" s="44"/>
      <c r="F3025" s="45">
        <v>43081.125</v>
      </c>
      <c r="G3025" s="46">
        <v>9</v>
      </c>
      <c r="H3025" s="47">
        <v>43390</v>
      </c>
      <c r="I3025" s="47">
        <v>43426</v>
      </c>
      <c r="J3025" s="46">
        <v>1775554</v>
      </c>
      <c r="K3025" s="46">
        <v>0</v>
      </c>
      <c r="L3025" s="46">
        <v>0</v>
      </c>
      <c r="M3025" s="46">
        <f t="shared" si="825"/>
        <v>1775554</v>
      </c>
      <c r="N3025" s="46">
        <v>1775554</v>
      </c>
      <c r="O3025" s="48">
        <f t="shared" si="826"/>
        <v>0</v>
      </c>
      <c r="P3025" s="46">
        <v>0</v>
      </c>
      <c r="Q3025" s="46">
        <v>1775554</v>
      </c>
      <c r="R3025" s="49">
        <f t="shared" si="827"/>
        <v>1</v>
      </c>
      <c r="S3025" s="50">
        <f t="shared" si="828"/>
        <v>0.01</v>
      </c>
      <c r="T3025" s="49">
        <f t="shared" si="829"/>
        <v>17755.54</v>
      </c>
      <c r="U3025" s="51">
        <f t="shared" si="830"/>
        <v>0</v>
      </c>
      <c r="V3025" s="52">
        <f>IF(0&lt;0.8,0,IF(0&lt;1,Sheet3!L561,1))*IF(G3025&lt;3,0.12 - O3025,0.01) *U3025</f>
        <v>0</v>
      </c>
      <c r="W3025" s="52">
        <f t="shared" si="831"/>
        <v>0</v>
      </c>
      <c r="X3025" s="53">
        <f t="shared" si="832"/>
        <v>0</v>
      </c>
      <c r="Y3025" s="53">
        <f t="shared" si="833"/>
        <v>0</v>
      </c>
      <c r="Z3025" s="54">
        <f t="shared" ref="Z3025:Z3048" si="838">IF(R3025=1,0,0)</f>
        <v>0</v>
      </c>
      <c r="AA3025" s="54">
        <f t="shared" si="834"/>
        <v>0</v>
      </c>
      <c r="AB3025" s="55">
        <f t="shared" si="837"/>
        <v>0</v>
      </c>
      <c r="AC3025" s="55">
        <f t="shared" si="835"/>
        <v>0</v>
      </c>
      <c r="AD3025" s="56">
        <f t="shared" si="836"/>
        <v>17755.54</v>
      </c>
    </row>
    <row r="3026" spans="3:30">
      <c r="C3026" s="43" t="s">
        <v>5643</v>
      </c>
      <c r="D3026" s="44" t="s">
        <v>5644</v>
      </c>
      <c r="E3026" s="44"/>
      <c r="F3026" s="45">
        <v>43084.311527777776</v>
      </c>
      <c r="G3026" s="46">
        <v>9</v>
      </c>
      <c r="H3026" s="47">
        <v>43390</v>
      </c>
      <c r="I3026" s="47">
        <v>43419</v>
      </c>
      <c r="J3026" s="46">
        <v>945978</v>
      </c>
      <c r="K3026" s="46">
        <v>0</v>
      </c>
      <c r="L3026" s="46">
        <v>0</v>
      </c>
      <c r="M3026" s="46">
        <f t="shared" si="825"/>
        <v>945978</v>
      </c>
      <c r="N3026" s="46">
        <v>945978</v>
      </c>
      <c r="O3026" s="48">
        <f t="shared" si="826"/>
        <v>0</v>
      </c>
      <c r="P3026" s="46">
        <v>0</v>
      </c>
      <c r="Q3026" s="46">
        <v>945978</v>
      </c>
      <c r="R3026" s="49">
        <f t="shared" si="827"/>
        <v>1</v>
      </c>
      <c r="S3026" s="50">
        <f t="shared" si="828"/>
        <v>0.01</v>
      </c>
      <c r="T3026" s="49">
        <f t="shared" si="829"/>
        <v>9459.7800000000007</v>
      </c>
      <c r="U3026" s="51">
        <f t="shared" si="830"/>
        <v>0</v>
      </c>
      <c r="V3026" s="52">
        <f>IF(0&lt;0.8,0,IF(0&lt;1,Sheet3!L561,1))*IF(G3026&lt;3,0.12 - O3026,0.01) *U3026</f>
        <v>0</v>
      </c>
      <c r="W3026" s="52">
        <f t="shared" si="831"/>
        <v>0</v>
      </c>
      <c r="X3026" s="53">
        <f t="shared" si="832"/>
        <v>0</v>
      </c>
      <c r="Y3026" s="53">
        <f t="shared" si="833"/>
        <v>0</v>
      </c>
      <c r="Z3026" s="54">
        <f t="shared" si="838"/>
        <v>0</v>
      </c>
      <c r="AA3026" s="54">
        <f t="shared" si="834"/>
        <v>0</v>
      </c>
      <c r="AB3026" s="55">
        <f t="shared" si="837"/>
        <v>0</v>
      </c>
      <c r="AC3026" s="55">
        <f t="shared" si="835"/>
        <v>0</v>
      </c>
      <c r="AD3026" s="56">
        <f t="shared" si="836"/>
        <v>9459.7800000000007</v>
      </c>
    </row>
    <row r="3027" spans="3:30">
      <c r="C3027" s="43" t="s">
        <v>5645</v>
      </c>
      <c r="D3027" s="44" t="s">
        <v>5646</v>
      </c>
      <c r="E3027" s="44"/>
      <c r="F3027" s="45">
        <v>43090.07099537037</v>
      </c>
      <c r="G3027" s="46">
        <v>9</v>
      </c>
      <c r="H3027" s="47">
        <v>43390</v>
      </c>
      <c r="I3027" s="47">
        <v>43539</v>
      </c>
      <c r="J3027" s="46">
        <v>1020151</v>
      </c>
      <c r="K3027" s="46">
        <v>0</v>
      </c>
      <c r="L3027" s="46">
        <v>0</v>
      </c>
      <c r="M3027" s="46">
        <f t="shared" si="825"/>
        <v>1020151</v>
      </c>
      <c r="N3027" s="46">
        <v>1020151</v>
      </c>
      <c r="O3027" s="48">
        <f t="shared" si="826"/>
        <v>0</v>
      </c>
      <c r="P3027" s="46">
        <v>0</v>
      </c>
      <c r="Q3027" s="46">
        <v>1020151</v>
      </c>
      <c r="R3027" s="49">
        <f t="shared" si="827"/>
        <v>1</v>
      </c>
      <c r="S3027" s="50">
        <f t="shared" si="828"/>
        <v>0.01</v>
      </c>
      <c r="T3027" s="49">
        <f t="shared" si="829"/>
        <v>10201.51</v>
      </c>
      <c r="U3027" s="51">
        <f t="shared" si="830"/>
        <v>0</v>
      </c>
      <c r="V3027" s="52">
        <f>IF(0&lt;0.8,0,IF(0&lt;1,Sheet3!L561,1))*IF(G3027&lt;3,0.12 - O3027,0.01) *U3027</f>
        <v>0</v>
      </c>
      <c r="W3027" s="52">
        <f t="shared" si="831"/>
        <v>0</v>
      </c>
      <c r="X3027" s="53">
        <f t="shared" si="832"/>
        <v>0</v>
      </c>
      <c r="Y3027" s="53">
        <f t="shared" si="833"/>
        <v>0</v>
      </c>
      <c r="Z3027" s="54">
        <f t="shared" si="838"/>
        <v>0</v>
      </c>
      <c r="AA3027" s="54">
        <f t="shared" si="834"/>
        <v>0</v>
      </c>
      <c r="AB3027" s="55">
        <f t="shared" si="837"/>
        <v>0</v>
      </c>
      <c r="AC3027" s="55">
        <f t="shared" si="835"/>
        <v>0</v>
      </c>
      <c r="AD3027" s="56">
        <f t="shared" si="836"/>
        <v>10201.51</v>
      </c>
    </row>
    <row r="3028" spans="3:30">
      <c r="C3028" s="43" t="s">
        <v>5647</v>
      </c>
      <c r="D3028" s="44" t="s">
        <v>5648</v>
      </c>
      <c r="E3028" s="44"/>
      <c r="F3028" s="45">
        <v>43096.09674768518</v>
      </c>
      <c r="G3028" s="46">
        <v>9</v>
      </c>
      <c r="H3028" s="47">
        <v>43372</v>
      </c>
      <c r="I3028" s="47">
        <v>43405</v>
      </c>
      <c r="J3028" s="46">
        <v>1102310</v>
      </c>
      <c r="K3028" s="46">
        <v>0</v>
      </c>
      <c r="L3028" s="46">
        <v>0</v>
      </c>
      <c r="M3028" s="46">
        <f t="shared" si="825"/>
        <v>1102310</v>
      </c>
      <c r="N3028" s="46">
        <v>1102310</v>
      </c>
      <c r="O3028" s="48">
        <f t="shared" si="826"/>
        <v>0</v>
      </c>
      <c r="P3028" s="46">
        <v>0</v>
      </c>
      <c r="Q3028" s="46">
        <v>1102310</v>
      </c>
      <c r="R3028" s="49">
        <f t="shared" si="827"/>
        <v>1</v>
      </c>
      <c r="S3028" s="50">
        <f t="shared" si="828"/>
        <v>0.01</v>
      </c>
      <c r="T3028" s="49">
        <f t="shared" si="829"/>
        <v>11023.1</v>
      </c>
      <c r="U3028" s="51">
        <f t="shared" si="830"/>
        <v>0</v>
      </c>
      <c r="V3028" s="52">
        <f>IF(0&lt;0.8,0,IF(0&lt;1,Sheet3!L561,1))*IF(G3028&lt;3,0.12 - O3028,0.01) *U3028</f>
        <v>0</v>
      </c>
      <c r="W3028" s="52">
        <f t="shared" si="831"/>
        <v>0</v>
      </c>
      <c r="X3028" s="53">
        <f t="shared" si="832"/>
        <v>0</v>
      </c>
      <c r="Y3028" s="53">
        <f t="shared" si="833"/>
        <v>0</v>
      </c>
      <c r="Z3028" s="54">
        <f t="shared" si="838"/>
        <v>0</v>
      </c>
      <c r="AA3028" s="54">
        <f t="shared" si="834"/>
        <v>0</v>
      </c>
      <c r="AB3028" s="55">
        <f t="shared" si="837"/>
        <v>0</v>
      </c>
      <c r="AC3028" s="55">
        <f t="shared" si="835"/>
        <v>0</v>
      </c>
      <c r="AD3028" s="56">
        <f t="shared" si="836"/>
        <v>11023.1</v>
      </c>
    </row>
    <row r="3029" spans="3:30">
      <c r="C3029" s="43" t="s">
        <v>5649</v>
      </c>
      <c r="D3029" s="44" t="s">
        <v>5650</v>
      </c>
      <c r="E3029" s="44"/>
      <c r="F3029" s="45">
        <v>43102.111655092594</v>
      </c>
      <c r="G3029" s="46">
        <v>8</v>
      </c>
      <c r="H3029" s="47">
        <v>43390</v>
      </c>
      <c r="I3029" s="47">
        <v>43424</v>
      </c>
      <c r="J3029" s="46">
        <v>4014566</v>
      </c>
      <c r="K3029" s="46">
        <v>0</v>
      </c>
      <c r="L3029" s="46">
        <v>0</v>
      </c>
      <c r="M3029" s="46">
        <f t="shared" si="825"/>
        <v>4014566</v>
      </c>
      <c r="N3029" s="46">
        <v>4032142</v>
      </c>
      <c r="O3029" s="48">
        <f t="shared" si="826"/>
        <v>4.3589734686922954E-3</v>
      </c>
      <c r="P3029" s="46">
        <v>0</v>
      </c>
      <c r="Q3029" s="46">
        <v>4014566</v>
      </c>
      <c r="R3029" s="49">
        <f t="shared" si="827"/>
        <v>1</v>
      </c>
      <c r="S3029" s="50">
        <f t="shared" si="828"/>
        <v>0.01</v>
      </c>
      <c r="T3029" s="49">
        <f t="shared" si="829"/>
        <v>40145.660000000003</v>
      </c>
      <c r="U3029" s="51">
        <f t="shared" si="830"/>
        <v>0</v>
      </c>
      <c r="V3029" s="52">
        <f>IF(0&lt;0.8,0,IF(0&lt;1,Sheet3!L561,1))*IF(G3029&lt;3,0.12 - O3029,0.01) *U3029</f>
        <v>0</v>
      </c>
      <c r="W3029" s="52">
        <f t="shared" si="831"/>
        <v>0</v>
      </c>
      <c r="X3029" s="53">
        <f t="shared" si="832"/>
        <v>0</v>
      </c>
      <c r="Y3029" s="53">
        <f t="shared" si="833"/>
        <v>0</v>
      </c>
      <c r="Z3029" s="54">
        <f t="shared" si="838"/>
        <v>0</v>
      </c>
      <c r="AA3029" s="54">
        <f t="shared" si="834"/>
        <v>0</v>
      </c>
      <c r="AB3029" s="55">
        <f t="shared" si="837"/>
        <v>0</v>
      </c>
      <c r="AC3029" s="55">
        <f t="shared" si="835"/>
        <v>0</v>
      </c>
      <c r="AD3029" s="56">
        <f t="shared" si="836"/>
        <v>40145.660000000003</v>
      </c>
    </row>
    <row r="3030" spans="3:30">
      <c r="C3030" s="43" t="s">
        <v>5651</v>
      </c>
      <c r="D3030" s="44" t="s">
        <v>5652</v>
      </c>
      <c r="E3030" s="44"/>
      <c r="F3030" s="45">
        <v>43112.236631944441</v>
      </c>
      <c r="G3030" s="46">
        <v>8</v>
      </c>
      <c r="H3030" s="47" t="s">
        <v>24</v>
      </c>
      <c r="I3030" s="47" t="s">
        <v>24</v>
      </c>
      <c r="J3030" s="46">
        <v>66550</v>
      </c>
      <c r="K3030" s="46">
        <v>0</v>
      </c>
      <c r="L3030" s="46">
        <v>0</v>
      </c>
      <c r="M3030" s="46">
        <f t="shared" si="825"/>
        <v>66550</v>
      </c>
      <c r="N3030" s="46">
        <v>66550</v>
      </c>
      <c r="O3030" s="48">
        <f t="shared" si="826"/>
        <v>0</v>
      </c>
      <c r="P3030" s="46">
        <v>0</v>
      </c>
      <c r="Q3030" s="46">
        <v>66550</v>
      </c>
      <c r="R3030" s="49">
        <f t="shared" si="827"/>
        <v>1</v>
      </c>
      <c r="S3030" s="50">
        <f t="shared" si="828"/>
        <v>0.01</v>
      </c>
      <c r="T3030" s="49">
        <f t="shared" si="829"/>
        <v>665.5</v>
      </c>
      <c r="U3030" s="51">
        <f t="shared" si="830"/>
        <v>0</v>
      </c>
      <c r="V3030" s="52">
        <f>IF(0&lt;0.8,0,IF(0&lt;1,Sheet3!L561,1))*IF(G3030&lt;3,0.12 - O3030,0.01) *U3030</f>
        <v>0</v>
      </c>
      <c r="W3030" s="52">
        <f t="shared" si="831"/>
        <v>0</v>
      </c>
      <c r="X3030" s="53">
        <f t="shared" si="832"/>
        <v>0</v>
      </c>
      <c r="Y3030" s="53">
        <f t="shared" si="833"/>
        <v>0</v>
      </c>
      <c r="Z3030" s="54">
        <f t="shared" si="838"/>
        <v>0</v>
      </c>
      <c r="AA3030" s="54">
        <f t="shared" si="834"/>
        <v>0</v>
      </c>
      <c r="AB3030" s="55">
        <f t="shared" si="837"/>
        <v>0</v>
      </c>
      <c r="AC3030" s="55">
        <f t="shared" si="835"/>
        <v>0</v>
      </c>
      <c r="AD3030" s="56">
        <f t="shared" si="836"/>
        <v>665.5</v>
      </c>
    </row>
    <row r="3031" spans="3:30">
      <c r="C3031" s="43" t="s">
        <v>5653</v>
      </c>
      <c r="D3031" s="44" t="s">
        <v>5654</v>
      </c>
      <c r="E3031" s="44"/>
      <c r="F3031" s="45">
        <v>43126.412743055553</v>
      </c>
      <c r="G3031" s="46">
        <v>8</v>
      </c>
      <c r="H3031" s="47">
        <v>43390</v>
      </c>
      <c r="I3031" s="47">
        <v>43433</v>
      </c>
      <c r="J3031" s="46">
        <v>729267</v>
      </c>
      <c r="K3031" s="46">
        <v>0</v>
      </c>
      <c r="L3031" s="46">
        <v>0</v>
      </c>
      <c r="M3031" s="46">
        <f t="shared" si="825"/>
        <v>729267</v>
      </c>
      <c r="N3031" s="46">
        <v>729267</v>
      </c>
      <c r="O3031" s="48">
        <f t="shared" si="826"/>
        <v>0</v>
      </c>
      <c r="P3031" s="46">
        <v>0</v>
      </c>
      <c r="Q3031" s="46">
        <v>729267</v>
      </c>
      <c r="R3031" s="49">
        <f t="shared" si="827"/>
        <v>1</v>
      </c>
      <c r="S3031" s="50">
        <f t="shared" si="828"/>
        <v>0.01</v>
      </c>
      <c r="T3031" s="49">
        <f t="shared" si="829"/>
        <v>7292.67</v>
      </c>
      <c r="U3031" s="51">
        <f t="shared" si="830"/>
        <v>0</v>
      </c>
      <c r="V3031" s="52">
        <f>IF(0&lt;0.8,0,IF(0&lt;1,Sheet3!L561,1))*IF(G3031&lt;3,0.12 - O3031,0.01) *U3031</f>
        <v>0</v>
      </c>
      <c r="W3031" s="52">
        <f t="shared" si="831"/>
        <v>0</v>
      </c>
      <c r="X3031" s="53">
        <f t="shared" si="832"/>
        <v>0</v>
      </c>
      <c r="Y3031" s="53">
        <f t="shared" si="833"/>
        <v>0</v>
      </c>
      <c r="Z3031" s="54">
        <f t="shared" si="838"/>
        <v>0</v>
      </c>
      <c r="AA3031" s="54">
        <f t="shared" si="834"/>
        <v>0</v>
      </c>
      <c r="AB3031" s="55">
        <f t="shared" si="837"/>
        <v>0</v>
      </c>
      <c r="AC3031" s="55">
        <f t="shared" si="835"/>
        <v>0</v>
      </c>
      <c r="AD3031" s="56">
        <f t="shared" si="836"/>
        <v>7292.67</v>
      </c>
    </row>
    <row r="3032" spans="3:30">
      <c r="C3032" s="43" t="s">
        <v>5655</v>
      </c>
      <c r="D3032" s="44" t="s">
        <v>5656</v>
      </c>
      <c r="E3032" s="44"/>
      <c r="F3032" s="45">
        <v>43158.142592592594</v>
      </c>
      <c r="G3032" s="46">
        <v>7</v>
      </c>
      <c r="H3032" s="47">
        <v>43403</v>
      </c>
      <c r="I3032" s="47">
        <v>43458</v>
      </c>
      <c r="J3032" s="46">
        <v>569910</v>
      </c>
      <c r="K3032" s="46">
        <v>0</v>
      </c>
      <c r="L3032" s="46">
        <v>0</v>
      </c>
      <c r="M3032" s="46">
        <f t="shared" si="825"/>
        <v>569910</v>
      </c>
      <c r="N3032" s="46">
        <v>569910</v>
      </c>
      <c r="O3032" s="48">
        <f t="shared" si="826"/>
        <v>0</v>
      </c>
      <c r="P3032" s="46">
        <v>0</v>
      </c>
      <c r="Q3032" s="46">
        <v>569910</v>
      </c>
      <c r="R3032" s="49">
        <f t="shared" si="827"/>
        <v>1</v>
      </c>
      <c r="S3032" s="50">
        <f t="shared" si="828"/>
        <v>0.01</v>
      </c>
      <c r="T3032" s="49">
        <f t="shared" si="829"/>
        <v>5699.1</v>
      </c>
      <c r="U3032" s="51">
        <f t="shared" si="830"/>
        <v>0</v>
      </c>
      <c r="V3032" s="52">
        <f>IF(0&lt;0.8,0,IF(0&lt;1,Sheet3!L561,1))*IF(G3032&lt;3,0.12 - O3032,0.01) *U3032</f>
        <v>0</v>
      </c>
      <c r="W3032" s="52">
        <f t="shared" si="831"/>
        <v>0</v>
      </c>
      <c r="X3032" s="53">
        <f t="shared" si="832"/>
        <v>0</v>
      </c>
      <c r="Y3032" s="53">
        <f t="shared" si="833"/>
        <v>0</v>
      </c>
      <c r="Z3032" s="54">
        <f t="shared" si="838"/>
        <v>0</v>
      </c>
      <c r="AA3032" s="54">
        <f t="shared" si="834"/>
        <v>0</v>
      </c>
      <c r="AB3032" s="55">
        <f t="shared" si="837"/>
        <v>0</v>
      </c>
      <c r="AC3032" s="55">
        <f t="shared" si="835"/>
        <v>0</v>
      </c>
      <c r="AD3032" s="56">
        <f t="shared" si="836"/>
        <v>5699.1</v>
      </c>
    </row>
    <row r="3033" spans="3:30">
      <c r="C3033" s="43" t="s">
        <v>5657</v>
      </c>
      <c r="D3033" s="44" t="s">
        <v>5658</v>
      </c>
      <c r="E3033" s="44"/>
      <c r="F3033" s="45">
        <v>43159.342210648145</v>
      </c>
      <c r="G3033" s="46">
        <v>7</v>
      </c>
      <c r="H3033" s="47">
        <v>43372</v>
      </c>
      <c r="I3033" s="47">
        <v>43382</v>
      </c>
      <c r="J3033" s="46">
        <v>437994</v>
      </c>
      <c r="K3033" s="46">
        <v>0</v>
      </c>
      <c r="L3033" s="46">
        <v>0</v>
      </c>
      <c r="M3033" s="46">
        <f t="shared" si="825"/>
        <v>437994</v>
      </c>
      <c r="N3033" s="46">
        <v>437994</v>
      </c>
      <c r="O3033" s="48">
        <f t="shared" si="826"/>
        <v>0</v>
      </c>
      <c r="P3033" s="46">
        <v>0</v>
      </c>
      <c r="Q3033" s="46">
        <v>437994</v>
      </c>
      <c r="R3033" s="49">
        <f t="shared" si="827"/>
        <v>1</v>
      </c>
      <c r="S3033" s="50">
        <f t="shared" si="828"/>
        <v>0.01</v>
      </c>
      <c r="T3033" s="49">
        <f t="shared" si="829"/>
        <v>4379.9400000000005</v>
      </c>
      <c r="U3033" s="51">
        <f t="shared" si="830"/>
        <v>0</v>
      </c>
      <c r="V3033" s="52">
        <f>IF(0&lt;0.8,0,IF(0&lt;1,Sheet3!L561,1))*IF(G3033&lt;3,0.12 - O3033,0.01) *U3033</f>
        <v>0</v>
      </c>
      <c r="W3033" s="52">
        <f t="shared" si="831"/>
        <v>0</v>
      </c>
      <c r="X3033" s="53">
        <f t="shared" si="832"/>
        <v>0</v>
      </c>
      <c r="Y3033" s="53">
        <f t="shared" si="833"/>
        <v>0</v>
      </c>
      <c r="Z3033" s="54">
        <f t="shared" si="838"/>
        <v>0</v>
      </c>
      <c r="AA3033" s="54">
        <f t="shared" si="834"/>
        <v>0</v>
      </c>
      <c r="AB3033" s="55">
        <f t="shared" si="837"/>
        <v>0</v>
      </c>
      <c r="AC3033" s="55">
        <f t="shared" si="835"/>
        <v>0</v>
      </c>
      <c r="AD3033" s="56">
        <f t="shared" si="836"/>
        <v>4379.9400000000005</v>
      </c>
    </row>
    <row r="3034" spans="3:30">
      <c r="C3034" s="43" t="s">
        <v>5659</v>
      </c>
      <c r="D3034" s="44" t="s">
        <v>5660</v>
      </c>
      <c r="E3034" s="44"/>
      <c r="F3034" s="45">
        <v>43159.348287037035</v>
      </c>
      <c r="G3034" s="46">
        <v>7</v>
      </c>
      <c r="H3034" s="47" t="s">
        <v>24</v>
      </c>
      <c r="I3034" s="47" t="s">
        <v>24</v>
      </c>
      <c r="J3034" s="46">
        <v>765812</v>
      </c>
      <c r="K3034" s="46">
        <v>0</v>
      </c>
      <c r="L3034" s="46">
        <v>0</v>
      </c>
      <c r="M3034" s="46">
        <f t="shared" si="825"/>
        <v>765812</v>
      </c>
      <c r="N3034" s="46">
        <v>765812</v>
      </c>
      <c r="O3034" s="48">
        <f t="shared" si="826"/>
        <v>0</v>
      </c>
      <c r="P3034" s="46">
        <v>0</v>
      </c>
      <c r="Q3034" s="46">
        <v>765812</v>
      </c>
      <c r="R3034" s="49">
        <f t="shared" si="827"/>
        <v>1</v>
      </c>
      <c r="S3034" s="50">
        <f t="shared" si="828"/>
        <v>0.01</v>
      </c>
      <c r="T3034" s="49">
        <f t="shared" si="829"/>
        <v>7658.12</v>
      </c>
      <c r="U3034" s="51">
        <f t="shared" si="830"/>
        <v>0</v>
      </c>
      <c r="V3034" s="52">
        <f>IF(0&lt;0.8,0,IF(0&lt;1,Sheet3!L561,1))*IF(G3034&lt;3,0.12 - O3034,0.01) *U3034</f>
        <v>0</v>
      </c>
      <c r="W3034" s="52">
        <f t="shared" si="831"/>
        <v>0</v>
      </c>
      <c r="X3034" s="53">
        <f t="shared" si="832"/>
        <v>0</v>
      </c>
      <c r="Y3034" s="53">
        <f t="shared" si="833"/>
        <v>0</v>
      </c>
      <c r="Z3034" s="54">
        <f t="shared" si="838"/>
        <v>0</v>
      </c>
      <c r="AA3034" s="54">
        <f t="shared" si="834"/>
        <v>0</v>
      </c>
      <c r="AB3034" s="55">
        <f t="shared" si="837"/>
        <v>0</v>
      </c>
      <c r="AC3034" s="55">
        <f t="shared" si="835"/>
        <v>0</v>
      </c>
      <c r="AD3034" s="56">
        <f t="shared" si="836"/>
        <v>7658.12</v>
      </c>
    </row>
    <row r="3035" spans="3:30">
      <c r="C3035" s="43" t="s">
        <v>5661</v>
      </c>
      <c r="D3035" s="44" t="s">
        <v>5662</v>
      </c>
      <c r="E3035" s="44"/>
      <c r="F3035" s="45">
        <v>43159.350706018515</v>
      </c>
      <c r="G3035" s="46">
        <v>7</v>
      </c>
      <c r="H3035" s="47">
        <v>43393</v>
      </c>
      <c r="I3035" s="47">
        <v>43444</v>
      </c>
      <c r="J3035" s="46">
        <v>915445</v>
      </c>
      <c r="K3035" s="46">
        <v>0</v>
      </c>
      <c r="L3035" s="46">
        <v>0</v>
      </c>
      <c r="M3035" s="46">
        <f t="shared" si="825"/>
        <v>915445</v>
      </c>
      <c r="N3035" s="46">
        <v>913449</v>
      </c>
      <c r="O3035" s="48">
        <f t="shared" si="826"/>
        <v>0</v>
      </c>
      <c r="P3035" s="46">
        <v>0</v>
      </c>
      <c r="Q3035" s="46">
        <v>915445</v>
      </c>
      <c r="R3035" s="49">
        <f t="shared" si="827"/>
        <v>1</v>
      </c>
      <c r="S3035" s="50">
        <f t="shared" si="828"/>
        <v>0.01</v>
      </c>
      <c r="T3035" s="49">
        <f t="shared" si="829"/>
        <v>9154.4500000000007</v>
      </c>
      <c r="U3035" s="51">
        <f t="shared" si="830"/>
        <v>0</v>
      </c>
      <c r="V3035" s="52">
        <f>IF(0&lt;0.8,0,IF(0&lt;1,Sheet3!L561,1))*IF(G3035&lt;3,0.12 - O3035,0.01) *U3035</f>
        <v>0</v>
      </c>
      <c r="W3035" s="52">
        <f t="shared" si="831"/>
        <v>0</v>
      </c>
      <c r="X3035" s="53">
        <f t="shared" si="832"/>
        <v>0</v>
      </c>
      <c r="Y3035" s="53">
        <f t="shared" si="833"/>
        <v>0</v>
      </c>
      <c r="Z3035" s="54">
        <f t="shared" si="838"/>
        <v>0</v>
      </c>
      <c r="AA3035" s="54">
        <f t="shared" si="834"/>
        <v>0</v>
      </c>
      <c r="AB3035" s="55">
        <f t="shared" si="837"/>
        <v>0</v>
      </c>
      <c r="AC3035" s="55">
        <f t="shared" si="835"/>
        <v>0</v>
      </c>
      <c r="AD3035" s="56">
        <f t="shared" si="836"/>
        <v>9154.4500000000007</v>
      </c>
    </row>
    <row r="3036" spans="3:30">
      <c r="C3036" s="43" t="s">
        <v>5663</v>
      </c>
      <c r="D3036" s="44" t="s">
        <v>5664</v>
      </c>
      <c r="E3036" s="44"/>
      <c r="F3036" s="45">
        <v>43188.416817129626</v>
      </c>
      <c r="G3036" s="46">
        <v>6</v>
      </c>
      <c r="H3036" s="47">
        <v>43385</v>
      </c>
      <c r="I3036" s="47">
        <v>43382</v>
      </c>
      <c r="J3036" s="46">
        <v>3777809</v>
      </c>
      <c r="K3036" s="46">
        <v>0</v>
      </c>
      <c r="L3036" s="46">
        <v>0</v>
      </c>
      <c r="M3036" s="46">
        <f t="shared" si="825"/>
        <v>3777809</v>
      </c>
      <c r="N3036" s="46">
        <v>3775496</v>
      </c>
      <c r="O3036" s="48">
        <f t="shared" si="826"/>
        <v>0</v>
      </c>
      <c r="P3036" s="46">
        <v>0</v>
      </c>
      <c r="Q3036" s="46">
        <v>3777809</v>
      </c>
      <c r="R3036" s="49">
        <f t="shared" si="827"/>
        <v>1</v>
      </c>
      <c r="S3036" s="50">
        <f t="shared" si="828"/>
        <v>0.01</v>
      </c>
      <c r="T3036" s="49">
        <f t="shared" si="829"/>
        <v>37778.090000000004</v>
      </c>
      <c r="U3036" s="51">
        <f t="shared" si="830"/>
        <v>0</v>
      </c>
      <c r="V3036" s="52">
        <f>IF(0&lt;0.8,0,IF(0&lt;1,Sheet3!L561,1))*IF(G3036&lt;3,0.12 - O3036,0.01) *U3036</f>
        <v>0</v>
      </c>
      <c r="W3036" s="52">
        <f t="shared" si="831"/>
        <v>0</v>
      </c>
      <c r="X3036" s="53">
        <f t="shared" si="832"/>
        <v>0</v>
      </c>
      <c r="Y3036" s="53">
        <f t="shared" si="833"/>
        <v>0</v>
      </c>
      <c r="Z3036" s="54">
        <f t="shared" si="838"/>
        <v>0</v>
      </c>
      <c r="AA3036" s="54">
        <f t="shared" si="834"/>
        <v>0</v>
      </c>
      <c r="AB3036" s="55">
        <f t="shared" si="837"/>
        <v>0</v>
      </c>
      <c r="AC3036" s="55">
        <f t="shared" si="835"/>
        <v>0</v>
      </c>
      <c r="AD3036" s="56">
        <f t="shared" si="836"/>
        <v>37778.090000000004</v>
      </c>
    </row>
    <row r="3037" spans="3:30">
      <c r="C3037" s="43" t="s">
        <v>5665</v>
      </c>
      <c r="D3037" s="44" t="s">
        <v>5666</v>
      </c>
      <c r="E3037" s="44"/>
      <c r="F3037" s="45">
        <v>43190.277141203704</v>
      </c>
      <c r="G3037" s="46">
        <v>6</v>
      </c>
      <c r="H3037" s="47">
        <v>43372</v>
      </c>
      <c r="I3037" s="47">
        <v>43426</v>
      </c>
      <c r="J3037" s="46">
        <v>4792671</v>
      </c>
      <c r="K3037" s="46">
        <v>0</v>
      </c>
      <c r="L3037" s="46">
        <v>0</v>
      </c>
      <c r="M3037" s="46">
        <f t="shared" si="825"/>
        <v>4792671</v>
      </c>
      <c r="N3037" s="46">
        <v>4791842</v>
      </c>
      <c r="O3037" s="48">
        <f t="shared" si="826"/>
        <v>0</v>
      </c>
      <c r="P3037" s="46">
        <v>0</v>
      </c>
      <c r="Q3037" s="46">
        <v>4792671</v>
      </c>
      <c r="R3037" s="49">
        <f t="shared" si="827"/>
        <v>1</v>
      </c>
      <c r="S3037" s="50">
        <f t="shared" si="828"/>
        <v>0.01</v>
      </c>
      <c r="T3037" s="49">
        <f t="shared" si="829"/>
        <v>47926.71</v>
      </c>
      <c r="U3037" s="51">
        <f t="shared" si="830"/>
        <v>0</v>
      </c>
      <c r="V3037" s="52">
        <f>IF(0&lt;0.8,0,IF(0&lt;1,Sheet3!L561,1))*IF(G3037&lt;3,0.12 - O3037,0.01) *U3037</f>
        <v>0</v>
      </c>
      <c r="W3037" s="52">
        <f t="shared" si="831"/>
        <v>0</v>
      </c>
      <c r="X3037" s="53">
        <f t="shared" si="832"/>
        <v>0</v>
      </c>
      <c r="Y3037" s="53">
        <f t="shared" si="833"/>
        <v>0</v>
      </c>
      <c r="Z3037" s="54">
        <f t="shared" si="838"/>
        <v>0</v>
      </c>
      <c r="AA3037" s="54">
        <f t="shared" si="834"/>
        <v>0</v>
      </c>
      <c r="AB3037" s="55">
        <f t="shared" si="837"/>
        <v>0</v>
      </c>
      <c r="AC3037" s="55">
        <f t="shared" si="835"/>
        <v>0</v>
      </c>
      <c r="AD3037" s="56">
        <f t="shared" si="836"/>
        <v>47926.71</v>
      </c>
    </row>
    <row r="3038" spans="3:30">
      <c r="C3038" s="43" t="s">
        <v>5667</v>
      </c>
      <c r="D3038" s="44" t="s">
        <v>5668</v>
      </c>
      <c r="E3038" s="44"/>
      <c r="F3038" s="45">
        <v>43193.487534722219</v>
      </c>
      <c r="G3038" s="46">
        <v>5</v>
      </c>
      <c r="H3038" s="47">
        <v>43390</v>
      </c>
      <c r="I3038" s="47">
        <v>43404</v>
      </c>
      <c r="J3038" s="46">
        <v>9645513</v>
      </c>
      <c r="K3038" s="46">
        <v>0</v>
      </c>
      <c r="L3038" s="46">
        <v>0</v>
      </c>
      <c r="M3038" s="46">
        <f t="shared" si="825"/>
        <v>9645513</v>
      </c>
      <c r="N3038" s="46">
        <v>9645698</v>
      </c>
      <c r="O3038" s="48">
        <f t="shared" si="826"/>
        <v>1.9179534752167271E-5</v>
      </c>
      <c r="P3038" s="46">
        <v>0</v>
      </c>
      <c r="Q3038" s="46">
        <v>9645513</v>
      </c>
      <c r="R3038" s="49">
        <f t="shared" si="827"/>
        <v>1</v>
      </c>
      <c r="S3038" s="50">
        <f t="shared" si="828"/>
        <v>0.01</v>
      </c>
      <c r="T3038" s="49">
        <f t="shared" si="829"/>
        <v>96455.13</v>
      </c>
      <c r="U3038" s="51">
        <f t="shared" si="830"/>
        <v>0</v>
      </c>
      <c r="V3038" s="52">
        <f>IF(0&lt;0.8,0,IF(0&lt;1,Sheet3!L561,1))*IF(G3038&lt;3,0.12 - O3038,0.01) *U3038</f>
        <v>0</v>
      </c>
      <c r="W3038" s="52">
        <f t="shared" si="831"/>
        <v>0</v>
      </c>
      <c r="X3038" s="53">
        <f t="shared" si="832"/>
        <v>0</v>
      </c>
      <c r="Y3038" s="53">
        <f t="shared" si="833"/>
        <v>0</v>
      </c>
      <c r="Z3038" s="54">
        <f t="shared" si="838"/>
        <v>0</v>
      </c>
      <c r="AA3038" s="54">
        <f t="shared" si="834"/>
        <v>0</v>
      </c>
      <c r="AB3038" s="55">
        <f t="shared" si="837"/>
        <v>0</v>
      </c>
      <c r="AC3038" s="55">
        <f t="shared" si="835"/>
        <v>0</v>
      </c>
      <c r="AD3038" s="56">
        <f t="shared" si="836"/>
        <v>96455.13</v>
      </c>
    </row>
    <row r="3039" spans="3:30">
      <c r="C3039" s="43" t="s">
        <v>5669</v>
      </c>
      <c r="D3039" s="44" t="s">
        <v>5670</v>
      </c>
      <c r="E3039" s="44"/>
      <c r="F3039" s="45">
        <v>43208.11787037037</v>
      </c>
      <c r="G3039" s="46">
        <v>5</v>
      </c>
      <c r="H3039" s="47">
        <v>43403</v>
      </c>
      <c r="I3039" s="47">
        <v>43413</v>
      </c>
      <c r="J3039" s="46">
        <v>739620</v>
      </c>
      <c r="K3039" s="46">
        <v>0</v>
      </c>
      <c r="L3039" s="46">
        <v>0</v>
      </c>
      <c r="M3039" s="46">
        <f t="shared" si="825"/>
        <v>739620</v>
      </c>
      <c r="N3039" s="46">
        <v>739620</v>
      </c>
      <c r="O3039" s="48">
        <f t="shared" si="826"/>
        <v>0</v>
      </c>
      <c r="P3039" s="46">
        <v>0</v>
      </c>
      <c r="Q3039" s="46">
        <v>739620</v>
      </c>
      <c r="R3039" s="49">
        <f t="shared" si="827"/>
        <v>1</v>
      </c>
      <c r="S3039" s="50">
        <f t="shared" si="828"/>
        <v>0.01</v>
      </c>
      <c r="T3039" s="49">
        <f t="shared" si="829"/>
        <v>7396.2</v>
      </c>
      <c r="U3039" s="51">
        <f t="shared" si="830"/>
        <v>0</v>
      </c>
      <c r="V3039" s="52">
        <f>IF(0&lt;0.8,0,IF(0&lt;1,Sheet3!L561,1))*IF(G3039&lt;3,0.12 - O3039,0.01) *U3039</f>
        <v>0</v>
      </c>
      <c r="W3039" s="52">
        <f t="shared" si="831"/>
        <v>0</v>
      </c>
      <c r="X3039" s="53">
        <f t="shared" si="832"/>
        <v>0</v>
      </c>
      <c r="Y3039" s="53">
        <f t="shared" si="833"/>
        <v>0</v>
      </c>
      <c r="Z3039" s="54">
        <f t="shared" si="838"/>
        <v>0</v>
      </c>
      <c r="AA3039" s="54">
        <f t="shared" si="834"/>
        <v>0</v>
      </c>
      <c r="AB3039" s="55">
        <f t="shared" si="837"/>
        <v>0</v>
      </c>
      <c r="AC3039" s="55">
        <f t="shared" si="835"/>
        <v>0</v>
      </c>
      <c r="AD3039" s="56">
        <f t="shared" si="836"/>
        <v>7396.2</v>
      </c>
    </row>
    <row r="3040" spans="3:30">
      <c r="C3040" s="43" t="s">
        <v>5671</v>
      </c>
      <c r="D3040" s="44" t="s">
        <v>5672</v>
      </c>
      <c r="E3040" s="44"/>
      <c r="F3040" s="45">
        <v>43214.357268518514</v>
      </c>
      <c r="G3040" s="46">
        <v>5</v>
      </c>
      <c r="H3040" s="47">
        <v>43372</v>
      </c>
      <c r="I3040" s="47">
        <v>43389</v>
      </c>
      <c r="J3040" s="46">
        <v>648440</v>
      </c>
      <c r="K3040" s="46">
        <v>0</v>
      </c>
      <c r="L3040" s="46">
        <v>0</v>
      </c>
      <c r="M3040" s="46">
        <f t="shared" si="825"/>
        <v>648440</v>
      </c>
      <c r="N3040" s="46">
        <v>198439</v>
      </c>
      <c r="O3040" s="48">
        <f t="shared" si="826"/>
        <v>0</v>
      </c>
      <c r="P3040" s="46">
        <v>0</v>
      </c>
      <c r="Q3040" s="46">
        <v>648440</v>
      </c>
      <c r="R3040" s="49">
        <f t="shared" si="827"/>
        <v>1</v>
      </c>
      <c r="S3040" s="50">
        <f t="shared" si="828"/>
        <v>0.01</v>
      </c>
      <c r="T3040" s="49">
        <f t="shared" si="829"/>
        <v>6484.4000000000005</v>
      </c>
      <c r="U3040" s="51">
        <f t="shared" si="830"/>
        <v>0</v>
      </c>
      <c r="V3040" s="52">
        <f>IF(0&lt;0.8,0,IF(0&lt;1,Sheet3!L561,1))*IF(G3040&lt;3,0.12 - O3040,0.01) *U3040</f>
        <v>0</v>
      </c>
      <c r="W3040" s="52">
        <f t="shared" si="831"/>
        <v>0</v>
      </c>
      <c r="X3040" s="53">
        <f t="shared" si="832"/>
        <v>0</v>
      </c>
      <c r="Y3040" s="53">
        <f t="shared" si="833"/>
        <v>0</v>
      </c>
      <c r="Z3040" s="54">
        <f t="shared" si="838"/>
        <v>0</v>
      </c>
      <c r="AA3040" s="54">
        <f t="shared" si="834"/>
        <v>0</v>
      </c>
      <c r="AB3040" s="55">
        <f>IF(R3040=0,450000,0)</f>
        <v>0</v>
      </c>
      <c r="AC3040" s="55">
        <f t="shared" si="835"/>
        <v>0</v>
      </c>
      <c r="AD3040" s="56">
        <f t="shared" si="836"/>
        <v>6484.4000000000005</v>
      </c>
    </row>
    <row r="3041" spans="3:30">
      <c r="C3041" s="43" t="s">
        <v>5673</v>
      </c>
      <c r="D3041" s="44" t="s">
        <v>5674</v>
      </c>
      <c r="E3041" s="44"/>
      <c r="F3041" s="45">
        <v>43227.197881944441</v>
      </c>
      <c r="G3041" s="46">
        <v>4</v>
      </c>
      <c r="H3041" s="47" t="s">
        <v>24</v>
      </c>
      <c r="I3041" s="47" t="s">
        <v>24</v>
      </c>
      <c r="J3041" s="46">
        <v>13561570</v>
      </c>
      <c r="K3041" s="46">
        <v>0</v>
      </c>
      <c r="L3041" s="46">
        <v>0</v>
      </c>
      <c r="M3041" s="46">
        <f t="shared" si="825"/>
        <v>13561570</v>
      </c>
      <c r="N3041" s="46">
        <v>15300087</v>
      </c>
      <c r="O3041" s="48">
        <f t="shared" si="826"/>
        <v>0.11362791597198107</v>
      </c>
      <c r="P3041" s="46">
        <v>0</v>
      </c>
      <c r="Q3041" s="46">
        <v>13561570</v>
      </c>
      <c r="R3041" s="49">
        <f t="shared" si="827"/>
        <v>1</v>
      </c>
      <c r="S3041" s="50">
        <f t="shared" si="828"/>
        <v>0.01</v>
      </c>
      <c r="T3041" s="49">
        <f t="shared" si="829"/>
        <v>135615.70000000001</v>
      </c>
      <c r="U3041" s="51">
        <f t="shared" si="830"/>
        <v>0</v>
      </c>
      <c r="V3041" s="52">
        <f>IF(0&lt;0.8,0,IF(0&lt;1,Sheet3!L561,1))*IF(G3041&lt;3,0.12 - O3041,0.01) *U3041</f>
        <v>0</v>
      </c>
      <c r="W3041" s="52">
        <f t="shared" si="831"/>
        <v>0</v>
      </c>
      <c r="X3041" s="53">
        <f t="shared" si="832"/>
        <v>0</v>
      </c>
      <c r="Y3041" s="53">
        <f t="shared" si="833"/>
        <v>0</v>
      </c>
      <c r="Z3041" s="54">
        <f t="shared" si="838"/>
        <v>0</v>
      </c>
      <c r="AA3041" s="54">
        <f t="shared" si="834"/>
        <v>0</v>
      </c>
      <c r="AB3041" s="55">
        <f>IF(R3041=0,0,0)</f>
        <v>0</v>
      </c>
      <c r="AC3041" s="55">
        <f t="shared" si="835"/>
        <v>0</v>
      </c>
      <c r="AD3041" s="56">
        <f t="shared" si="836"/>
        <v>135615.70000000001</v>
      </c>
    </row>
    <row r="3042" spans="3:30">
      <c r="C3042" s="43" t="s">
        <v>5675</v>
      </c>
      <c r="D3042" s="44" t="s">
        <v>2677</v>
      </c>
      <c r="E3042" s="44"/>
      <c r="F3042" s="45">
        <v>43229.355983796297</v>
      </c>
      <c r="G3042" s="46">
        <v>4</v>
      </c>
      <c r="H3042" s="47">
        <v>43419</v>
      </c>
      <c r="I3042" s="47">
        <v>43439</v>
      </c>
      <c r="J3042" s="46">
        <v>17347776</v>
      </c>
      <c r="K3042" s="46">
        <v>0</v>
      </c>
      <c r="L3042" s="46">
        <v>0</v>
      </c>
      <c r="M3042" s="46">
        <f t="shared" si="825"/>
        <v>17347776</v>
      </c>
      <c r="N3042" s="46">
        <v>20219342</v>
      </c>
      <c r="O3042" s="48">
        <f t="shared" si="826"/>
        <v>0.1420207442952397</v>
      </c>
      <c r="P3042" s="46">
        <v>0</v>
      </c>
      <c r="Q3042" s="46">
        <v>17347776</v>
      </c>
      <c r="R3042" s="49">
        <f t="shared" si="827"/>
        <v>1</v>
      </c>
      <c r="S3042" s="50">
        <f t="shared" si="828"/>
        <v>0.01</v>
      </c>
      <c r="T3042" s="49">
        <f t="shared" si="829"/>
        <v>173477.76000000001</v>
      </c>
      <c r="U3042" s="51">
        <f t="shared" si="830"/>
        <v>0</v>
      </c>
      <c r="V3042" s="52">
        <f>IF(0&lt;0.8,0,IF(0&lt;1,Sheet3!L561,1))*IF(G3042&lt;3,0.12 - O3042,0.01) *U3042</f>
        <v>0</v>
      </c>
      <c r="W3042" s="52">
        <f t="shared" si="831"/>
        <v>0</v>
      </c>
      <c r="X3042" s="53">
        <f t="shared" si="832"/>
        <v>0</v>
      </c>
      <c r="Y3042" s="53">
        <f t="shared" si="833"/>
        <v>0</v>
      </c>
      <c r="Z3042" s="54">
        <f t="shared" si="838"/>
        <v>0</v>
      </c>
      <c r="AA3042" s="54">
        <f t="shared" si="834"/>
        <v>0</v>
      </c>
      <c r="AB3042" s="55">
        <f>IF(R3042=0,0,0)</f>
        <v>0</v>
      </c>
      <c r="AC3042" s="55">
        <f t="shared" si="835"/>
        <v>0</v>
      </c>
      <c r="AD3042" s="56">
        <f t="shared" si="836"/>
        <v>173477.76000000001</v>
      </c>
    </row>
    <row r="3043" spans="3:30">
      <c r="C3043" s="43" t="s">
        <v>5676</v>
      </c>
      <c r="D3043" s="44" t="s">
        <v>5677</v>
      </c>
      <c r="E3043" s="44"/>
      <c r="F3043" s="45">
        <v>43232.118032407408</v>
      </c>
      <c r="G3043" s="46">
        <v>4</v>
      </c>
      <c r="H3043" s="47">
        <v>43372</v>
      </c>
      <c r="I3043" s="47">
        <v>43409</v>
      </c>
      <c r="J3043" s="46">
        <v>1829596</v>
      </c>
      <c r="K3043" s="46">
        <v>0</v>
      </c>
      <c r="L3043" s="46">
        <v>0</v>
      </c>
      <c r="M3043" s="46">
        <f t="shared" si="825"/>
        <v>1829596</v>
      </c>
      <c r="N3043" s="46">
        <v>1376199</v>
      </c>
      <c r="O3043" s="48">
        <f t="shared" si="826"/>
        <v>0</v>
      </c>
      <c r="P3043" s="46">
        <v>0</v>
      </c>
      <c r="Q3043" s="46">
        <v>1829596</v>
      </c>
      <c r="R3043" s="49">
        <f t="shared" si="827"/>
        <v>1</v>
      </c>
      <c r="S3043" s="50">
        <f t="shared" si="828"/>
        <v>0.01</v>
      </c>
      <c r="T3043" s="49">
        <f t="shared" si="829"/>
        <v>18295.96</v>
      </c>
      <c r="U3043" s="51">
        <f t="shared" si="830"/>
        <v>0</v>
      </c>
      <c r="V3043" s="52">
        <f>IF(0&lt;0.8,0,IF(0&lt;1,Sheet3!L561,1))*IF(G3043&lt;3,0.12 - O3043,0.01) *U3043</f>
        <v>0</v>
      </c>
      <c r="W3043" s="52">
        <f t="shared" si="831"/>
        <v>0</v>
      </c>
      <c r="X3043" s="53">
        <f t="shared" si="832"/>
        <v>0</v>
      </c>
      <c r="Y3043" s="53">
        <f t="shared" si="833"/>
        <v>0</v>
      </c>
      <c r="Z3043" s="54">
        <f t="shared" si="838"/>
        <v>0</v>
      </c>
      <c r="AA3043" s="54">
        <f t="shared" si="834"/>
        <v>0</v>
      </c>
      <c r="AB3043" s="55">
        <f>IF(R3043=0,453396,0)</f>
        <v>0</v>
      </c>
      <c r="AC3043" s="55">
        <f t="shared" si="835"/>
        <v>0</v>
      </c>
      <c r="AD3043" s="56">
        <f t="shared" si="836"/>
        <v>18295.96</v>
      </c>
    </row>
    <row r="3044" spans="3:30">
      <c r="C3044" s="43" t="s">
        <v>5678</v>
      </c>
      <c r="D3044" s="44" t="s">
        <v>5679</v>
      </c>
      <c r="E3044" s="44"/>
      <c r="F3044" s="45">
        <v>43242.374988425923</v>
      </c>
      <c r="G3044" s="46">
        <v>4</v>
      </c>
      <c r="H3044" s="47" t="s">
        <v>24</v>
      </c>
      <c r="I3044" s="47" t="s">
        <v>24</v>
      </c>
      <c r="J3044" s="46">
        <v>5844300</v>
      </c>
      <c r="K3044" s="46">
        <v>0</v>
      </c>
      <c r="L3044" s="46">
        <v>0</v>
      </c>
      <c r="M3044" s="46">
        <f t="shared" si="825"/>
        <v>5844300</v>
      </c>
      <c r="N3044" s="46">
        <v>6428730</v>
      </c>
      <c r="O3044" s="48">
        <f t="shared" si="826"/>
        <v>9.0909090909090939E-2</v>
      </c>
      <c r="P3044" s="46">
        <v>0</v>
      </c>
      <c r="Q3044" s="46">
        <v>5844300</v>
      </c>
      <c r="R3044" s="49">
        <f t="shared" si="827"/>
        <v>1</v>
      </c>
      <c r="S3044" s="50">
        <f t="shared" si="828"/>
        <v>0.01</v>
      </c>
      <c r="T3044" s="49">
        <f t="shared" si="829"/>
        <v>58443</v>
      </c>
      <c r="U3044" s="51">
        <f t="shared" si="830"/>
        <v>0</v>
      </c>
      <c r="V3044" s="52">
        <f>IF(0&lt;0.8,0,IF(0&lt;1,Sheet3!L561,1))*IF(G3044&lt;3,0.12 - O3044,0.01) *U3044</f>
        <v>0</v>
      </c>
      <c r="W3044" s="52">
        <f t="shared" si="831"/>
        <v>0</v>
      </c>
      <c r="X3044" s="53">
        <f t="shared" si="832"/>
        <v>0</v>
      </c>
      <c r="Y3044" s="53">
        <f t="shared" si="833"/>
        <v>0</v>
      </c>
      <c r="Z3044" s="54">
        <f t="shared" si="838"/>
        <v>0</v>
      </c>
      <c r="AA3044" s="54">
        <f t="shared" si="834"/>
        <v>0</v>
      </c>
      <c r="AB3044" s="55">
        <f t="shared" ref="AB3044:AB3054" si="839">IF(R3044=0,0,0)</f>
        <v>0</v>
      </c>
      <c r="AC3044" s="55">
        <f t="shared" si="835"/>
        <v>0</v>
      </c>
      <c r="AD3044" s="56">
        <f t="shared" si="836"/>
        <v>58443</v>
      </c>
    </row>
    <row r="3045" spans="3:30">
      <c r="C3045" s="43" t="s">
        <v>5680</v>
      </c>
      <c r="D3045" s="44" t="s">
        <v>5681</v>
      </c>
      <c r="E3045" s="44"/>
      <c r="F3045" s="45">
        <v>43265.204791666663</v>
      </c>
      <c r="G3045" s="46">
        <v>3</v>
      </c>
      <c r="H3045" s="47">
        <v>43426</v>
      </c>
      <c r="I3045" s="47">
        <v>43472</v>
      </c>
      <c r="J3045" s="46">
        <v>37574648</v>
      </c>
      <c r="K3045" s="46">
        <v>0</v>
      </c>
      <c r="L3045" s="46">
        <v>0</v>
      </c>
      <c r="M3045" s="46">
        <f t="shared" si="825"/>
        <v>37574648</v>
      </c>
      <c r="N3045" s="46">
        <v>55888840</v>
      </c>
      <c r="O3045" s="48">
        <f t="shared" si="826"/>
        <v>0.32768960672649494</v>
      </c>
      <c r="P3045" s="46">
        <v>0</v>
      </c>
      <c r="Q3045" s="46">
        <v>0</v>
      </c>
      <c r="R3045" s="49">
        <f t="shared" si="827"/>
        <v>1</v>
      </c>
      <c r="S3045" s="50">
        <f t="shared" si="828"/>
        <v>0.01</v>
      </c>
      <c r="T3045" s="49">
        <f t="shared" si="829"/>
        <v>375746.48</v>
      </c>
      <c r="U3045" s="51">
        <f t="shared" si="830"/>
        <v>0</v>
      </c>
      <c r="V3045" s="52">
        <f>IF(0&lt;0.8,0,IF(0&lt;1,Sheet3!L561,1))*IF(G3045&lt;3,0.12 - O3045,0.01) *U3045</f>
        <v>0</v>
      </c>
      <c r="W3045" s="52">
        <f t="shared" si="831"/>
        <v>0</v>
      </c>
      <c r="X3045" s="53">
        <f t="shared" si="832"/>
        <v>0</v>
      </c>
      <c r="Y3045" s="53">
        <f t="shared" si="833"/>
        <v>0</v>
      </c>
      <c r="Z3045" s="54">
        <f t="shared" si="838"/>
        <v>0</v>
      </c>
      <c r="AA3045" s="54">
        <f t="shared" si="834"/>
        <v>0</v>
      </c>
      <c r="AB3045" s="55">
        <f t="shared" si="839"/>
        <v>0</v>
      </c>
      <c r="AC3045" s="55">
        <f t="shared" si="835"/>
        <v>0</v>
      </c>
      <c r="AD3045" s="56">
        <f t="shared" si="836"/>
        <v>375746.48</v>
      </c>
    </row>
    <row r="3046" spans="3:30">
      <c r="C3046" s="43" t="s">
        <v>5682</v>
      </c>
      <c r="D3046" s="44" t="s">
        <v>5683</v>
      </c>
      <c r="E3046" s="44"/>
      <c r="F3046" s="45">
        <v>43272.08929398148</v>
      </c>
      <c r="G3046" s="46">
        <v>3</v>
      </c>
      <c r="H3046" s="47">
        <v>43372</v>
      </c>
      <c r="I3046" s="47">
        <v>43489</v>
      </c>
      <c r="J3046" s="46">
        <v>2117012</v>
      </c>
      <c r="K3046" s="46">
        <v>0</v>
      </c>
      <c r="L3046" s="46">
        <v>0</v>
      </c>
      <c r="M3046" s="46">
        <f t="shared" si="825"/>
        <v>2117012</v>
      </c>
      <c r="N3046" s="46">
        <v>2115322</v>
      </c>
      <c r="O3046" s="48">
        <f t="shared" si="826"/>
        <v>0</v>
      </c>
      <c r="P3046" s="46">
        <v>0</v>
      </c>
      <c r="Q3046" s="46">
        <v>0</v>
      </c>
      <c r="R3046" s="49">
        <f t="shared" si="827"/>
        <v>1</v>
      </c>
      <c r="S3046" s="50">
        <f t="shared" si="828"/>
        <v>0.01</v>
      </c>
      <c r="T3046" s="49">
        <f t="shared" si="829"/>
        <v>21170.12</v>
      </c>
      <c r="U3046" s="51">
        <f t="shared" si="830"/>
        <v>0</v>
      </c>
      <c r="V3046" s="52">
        <f>IF(0&lt;0.8,0,IF(0&lt;1,Sheet3!L561,1))*IF(G3046&lt;3,0.12 - O3046,0.01) *U3046</f>
        <v>0</v>
      </c>
      <c r="W3046" s="52">
        <f t="shared" si="831"/>
        <v>0</v>
      </c>
      <c r="X3046" s="53">
        <f t="shared" si="832"/>
        <v>0</v>
      </c>
      <c r="Y3046" s="53">
        <f t="shared" si="833"/>
        <v>0</v>
      </c>
      <c r="Z3046" s="54">
        <f t="shared" si="838"/>
        <v>0</v>
      </c>
      <c r="AA3046" s="54">
        <f t="shared" si="834"/>
        <v>0</v>
      </c>
      <c r="AB3046" s="55">
        <f t="shared" si="839"/>
        <v>0</v>
      </c>
      <c r="AC3046" s="55">
        <f t="shared" si="835"/>
        <v>0</v>
      </c>
      <c r="AD3046" s="56">
        <f t="shared" si="836"/>
        <v>21170.12</v>
      </c>
    </row>
    <row r="3047" spans="3:30">
      <c r="C3047" s="43" t="s">
        <v>5684</v>
      </c>
      <c r="D3047" s="44" t="s">
        <v>5685</v>
      </c>
      <c r="E3047" s="44"/>
      <c r="F3047" s="45">
        <v>43312.623738425922</v>
      </c>
      <c r="G3047" s="46">
        <v>2</v>
      </c>
      <c r="H3047" s="47">
        <v>43404</v>
      </c>
      <c r="I3047" s="47">
        <v>43434</v>
      </c>
      <c r="J3047" s="46">
        <v>18595905</v>
      </c>
      <c r="K3047" s="46">
        <v>0</v>
      </c>
      <c r="L3047" s="46">
        <v>0</v>
      </c>
      <c r="M3047" s="46">
        <f t="shared" si="825"/>
        <v>18595905</v>
      </c>
      <c r="N3047" s="46">
        <v>20439098</v>
      </c>
      <c r="O3047" s="48">
        <f t="shared" si="826"/>
        <v>9.0179762335891755E-2</v>
      </c>
      <c r="P3047" s="46">
        <v>18595905</v>
      </c>
      <c r="Q3047" s="46">
        <v>0</v>
      </c>
      <c r="R3047" s="49">
        <f t="shared" si="827"/>
        <v>0</v>
      </c>
      <c r="S3047" s="50">
        <f t="shared" si="828"/>
        <v>0</v>
      </c>
      <c r="T3047" s="49">
        <f t="shared" si="829"/>
        <v>0</v>
      </c>
      <c r="U3047" s="51">
        <f t="shared" si="830"/>
        <v>18595905</v>
      </c>
      <c r="V3047" s="52">
        <f>IF(0&lt;0.8,0,IF(0&lt;1,Sheet3!L561,1))*IF(G3047&lt;3,0.12 - O3047,0.01) *U3047</f>
        <v>0</v>
      </c>
      <c r="W3047" s="52">
        <f t="shared" si="831"/>
        <v>0</v>
      </c>
      <c r="X3047" s="53">
        <f t="shared" si="832"/>
        <v>0</v>
      </c>
      <c r="Y3047" s="53">
        <f t="shared" si="833"/>
        <v>0</v>
      </c>
      <c r="Z3047" s="54">
        <f t="shared" si="838"/>
        <v>0</v>
      </c>
      <c r="AA3047" s="54">
        <f t="shared" si="834"/>
        <v>0</v>
      </c>
      <c r="AB3047" s="55">
        <f t="shared" si="839"/>
        <v>0</v>
      </c>
      <c r="AC3047" s="55">
        <f t="shared" si="835"/>
        <v>0</v>
      </c>
      <c r="AD3047" s="56">
        <f t="shared" si="836"/>
        <v>0</v>
      </c>
    </row>
    <row r="3048" spans="3:30">
      <c r="C3048" s="43" t="s">
        <v>5686</v>
      </c>
      <c r="D3048" s="44" t="s">
        <v>5687</v>
      </c>
      <c r="E3048" s="44"/>
      <c r="F3048" s="45">
        <v>43313.307164351849</v>
      </c>
      <c r="G3048" s="46">
        <v>1</v>
      </c>
      <c r="H3048" s="47">
        <v>43460</v>
      </c>
      <c r="I3048" s="47">
        <v>43489</v>
      </c>
      <c r="J3048" s="46">
        <v>14243954</v>
      </c>
      <c r="K3048" s="46">
        <v>0</v>
      </c>
      <c r="L3048" s="46">
        <v>0</v>
      </c>
      <c r="M3048" s="46">
        <f t="shared" si="825"/>
        <v>14243954</v>
      </c>
      <c r="N3048" s="46">
        <v>16003944</v>
      </c>
      <c r="O3048" s="48">
        <f t="shared" si="826"/>
        <v>0.10997226683622485</v>
      </c>
      <c r="P3048" s="46">
        <v>0</v>
      </c>
      <c r="Q3048" s="46">
        <v>0</v>
      </c>
      <c r="R3048" s="49">
        <f t="shared" si="827"/>
        <v>0</v>
      </c>
      <c r="S3048" s="50">
        <f t="shared" si="828"/>
        <v>0</v>
      </c>
      <c r="T3048" s="49">
        <f t="shared" si="829"/>
        <v>0</v>
      </c>
      <c r="U3048" s="51">
        <f t="shared" si="830"/>
        <v>14243954</v>
      </c>
      <c r="V3048" s="52">
        <f>IF(0&lt;0.8,0,IF(0&lt;1,Sheet3!L561,1))*IF(G3048&lt;3,0.12 - O3048,0.01) *U3048</f>
        <v>0</v>
      </c>
      <c r="W3048" s="52">
        <f t="shared" si="831"/>
        <v>0</v>
      </c>
      <c r="X3048" s="53">
        <f t="shared" si="832"/>
        <v>0</v>
      </c>
      <c r="Y3048" s="53">
        <f t="shared" si="833"/>
        <v>0</v>
      </c>
      <c r="Z3048" s="54">
        <f t="shared" si="838"/>
        <v>0</v>
      </c>
      <c r="AA3048" s="54">
        <f t="shared" si="834"/>
        <v>0</v>
      </c>
      <c r="AB3048" s="55">
        <f t="shared" si="839"/>
        <v>0</v>
      </c>
      <c r="AC3048" s="55">
        <f t="shared" si="835"/>
        <v>0</v>
      </c>
      <c r="AD3048" s="56">
        <f t="shared" si="836"/>
        <v>0</v>
      </c>
    </row>
    <row r="3049" spans="3:30">
      <c r="C3049" s="43" t="s">
        <v>5688</v>
      </c>
      <c r="D3049" s="44" t="s">
        <v>5689</v>
      </c>
      <c r="E3049" s="44"/>
      <c r="F3049" s="45">
        <v>43316.204571759255</v>
      </c>
      <c r="G3049" s="46">
        <v>1</v>
      </c>
      <c r="H3049" s="47">
        <v>43426</v>
      </c>
      <c r="I3049" s="47">
        <v>43444</v>
      </c>
      <c r="J3049" s="46">
        <v>1929675</v>
      </c>
      <c r="K3049" s="46">
        <v>0</v>
      </c>
      <c r="L3049" s="46">
        <v>0</v>
      </c>
      <c r="M3049" s="46">
        <f t="shared" si="825"/>
        <v>1929675</v>
      </c>
      <c r="N3049" s="46">
        <v>2258828</v>
      </c>
      <c r="O3049" s="48">
        <f t="shared" si="826"/>
        <v>0.14571848764049322</v>
      </c>
      <c r="P3049" s="46">
        <v>0</v>
      </c>
      <c r="Q3049" s="46">
        <v>0</v>
      </c>
      <c r="R3049" s="49">
        <f t="shared" si="827"/>
        <v>0</v>
      </c>
      <c r="S3049" s="50">
        <f t="shared" si="828"/>
        <v>0</v>
      </c>
      <c r="T3049" s="49">
        <f t="shared" si="829"/>
        <v>0</v>
      </c>
      <c r="U3049" s="51">
        <f t="shared" si="830"/>
        <v>0</v>
      </c>
      <c r="V3049" s="52">
        <f>IF(0&lt;0.8,0,IF(0&lt;1,Sheet3!L561,1))*IF(G3049&lt;3,0.12 - O3049,0.01) *U3049</f>
        <v>0</v>
      </c>
      <c r="W3049" s="52">
        <f t="shared" si="831"/>
        <v>0</v>
      </c>
      <c r="X3049" s="53">
        <f t="shared" si="832"/>
        <v>0</v>
      </c>
      <c r="Y3049" s="53">
        <f t="shared" si="833"/>
        <v>0</v>
      </c>
      <c r="Z3049" s="54">
        <f>IF(R3049=1,0,1727000)</f>
        <v>1727000</v>
      </c>
      <c r="AA3049" s="54">
        <f t="shared" si="834"/>
        <v>34540</v>
      </c>
      <c r="AB3049" s="55">
        <f t="shared" si="839"/>
        <v>0</v>
      </c>
      <c r="AC3049" s="55">
        <f t="shared" si="835"/>
        <v>0</v>
      </c>
      <c r="AD3049" s="56">
        <f t="shared" si="836"/>
        <v>34540</v>
      </c>
    </row>
    <row r="3050" spans="3:30">
      <c r="C3050" s="43" t="s">
        <v>5690</v>
      </c>
      <c r="D3050" s="44" t="s">
        <v>5691</v>
      </c>
      <c r="E3050" s="44"/>
      <c r="F3050" s="45">
        <v>43329.212754629625</v>
      </c>
      <c r="G3050" s="46">
        <v>1</v>
      </c>
      <c r="H3050" s="47">
        <v>43390</v>
      </c>
      <c r="I3050" s="47">
        <v>43425</v>
      </c>
      <c r="J3050" s="46">
        <v>3577123</v>
      </c>
      <c r="K3050" s="46">
        <v>0</v>
      </c>
      <c r="L3050" s="46">
        <v>0</v>
      </c>
      <c r="M3050" s="46">
        <f t="shared" si="825"/>
        <v>3577123</v>
      </c>
      <c r="N3050" s="46">
        <v>3577123</v>
      </c>
      <c r="O3050" s="48">
        <f t="shared" si="826"/>
        <v>0</v>
      </c>
      <c r="P3050" s="46">
        <v>0</v>
      </c>
      <c r="Q3050" s="46">
        <v>0</v>
      </c>
      <c r="R3050" s="49">
        <f t="shared" si="827"/>
        <v>0</v>
      </c>
      <c r="S3050" s="50">
        <f t="shared" si="828"/>
        <v>0</v>
      </c>
      <c r="T3050" s="49">
        <f t="shared" si="829"/>
        <v>0</v>
      </c>
      <c r="U3050" s="51">
        <f t="shared" si="830"/>
        <v>3577123</v>
      </c>
      <c r="V3050" s="52">
        <f>IF(0&lt;0.8,0,IF(0&lt;1,Sheet3!L561,1))*IF(G3050&lt;3,0.12 - O3050,0.01) *U3050</f>
        <v>0</v>
      </c>
      <c r="W3050" s="52">
        <f t="shared" si="831"/>
        <v>0</v>
      </c>
      <c r="X3050" s="53">
        <f t="shared" si="832"/>
        <v>0</v>
      </c>
      <c r="Y3050" s="53">
        <f t="shared" si="833"/>
        <v>0</v>
      </c>
      <c r="Z3050" s="54">
        <f>IF(R3050=1,0,0)</f>
        <v>0</v>
      </c>
      <c r="AA3050" s="54">
        <f t="shared" si="834"/>
        <v>0</v>
      </c>
      <c r="AB3050" s="55">
        <f t="shared" si="839"/>
        <v>0</v>
      </c>
      <c r="AC3050" s="55">
        <f t="shared" si="835"/>
        <v>0</v>
      </c>
      <c r="AD3050" s="56">
        <f t="shared" si="836"/>
        <v>0</v>
      </c>
    </row>
    <row r="3051" spans="3:30">
      <c r="C3051" s="43" t="s">
        <v>5692</v>
      </c>
      <c r="D3051" s="44" t="s">
        <v>5693</v>
      </c>
      <c r="E3051" s="44"/>
      <c r="F3051" s="45">
        <v>43341.167071759257</v>
      </c>
      <c r="G3051" s="46">
        <v>1</v>
      </c>
      <c r="H3051" s="47">
        <v>43391</v>
      </c>
      <c r="I3051" s="47">
        <v>43399</v>
      </c>
      <c r="J3051" s="46">
        <v>39423664</v>
      </c>
      <c r="K3051" s="46">
        <v>300000</v>
      </c>
      <c r="L3051" s="46">
        <v>0</v>
      </c>
      <c r="M3051" s="46">
        <f t="shared" si="825"/>
        <v>39123664</v>
      </c>
      <c r="N3051" s="46">
        <v>39096887</v>
      </c>
      <c r="O3051" s="48">
        <f t="shared" si="826"/>
        <v>0</v>
      </c>
      <c r="P3051" s="46">
        <v>0</v>
      </c>
      <c r="Q3051" s="46">
        <v>0</v>
      </c>
      <c r="R3051" s="49">
        <f t="shared" si="827"/>
        <v>0</v>
      </c>
      <c r="S3051" s="50">
        <f t="shared" si="828"/>
        <v>0</v>
      </c>
      <c r="T3051" s="49">
        <f t="shared" si="829"/>
        <v>0</v>
      </c>
      <c r="U3051" s="51">
        <f t="shared" si="830"/>
        <v>39123664</v>
      </c>
      <c r="V3051" s="52">
        <f>IF(0&lt;0.8,0,IF(0&lt;1,Sheet3!L561,1))*IF(G3051&lt;3,0.12 - O3051,0.01) *U3051</f>
        <v>0</v>
      </c>
      <c r="W3051" s="52">
        <f t="shared" si="831"/>
        <v>0</v>
      </c>
      <c r="X3051" s="53">
        <f t="shared" si="832"/>
        <v>0</v>
      </c>
      <c r="Y3051" s="53">
        <f t="shared" si="833"/>
        <v>0</v>
      </c>
      <c r="Z3051" s="54">
        <f>IF(R3051=1,0,0)</f>
        <v>0</v>
      </c>
      <c r="AA3051" s="54">
        <f t="shared" si="834"/>
        <v>0</v>
      </c>
      <c r="AB3051" s="55">
        <f t="shared" si="839"/>
        <v>0</v>
      </c>
      <c r="AC3051" s="55">
        <f t="shared" si="835"/>
        <v>0</v>
      </c>
      <c r="AD3051" s="56">
        <f t="shared" si="836"/>
        <v>0</v>
      </c>
    </row>
    <row r="3052" spans="3:30">
      <c r="C3052" s="43" t="s">
        <v>5694</v>
      </c>
      <c r="D3052" s="44" t="s">
        <v>5695</v>
      </c>
      <c r="E3052" s="44"/>
      <c r="F3052" s="45">
        <v>43361.091840277775</v>
      </c>
      <c r="G3052" s="46">
        <v>0</v>
      </c>
      <c r="H3052" s="47" t="s">
        <v>24</v>
      </c>
      <c r="I3052" s="47" t="s">
        <v>24</v>
      </c>
      <c r="J3052" s="46">
        <v>354651</v>
      </c>
      <c r="K3052" s="46">
        <v>0</v>
      </c>
      <c r="L3052" s="46">
        <v>0</v>
      </c>
      <c r="M3052" s="46">
        <f t="shared" si="825"/>
        <v>354651</v>
      </c>
      <c r="N3052" s="46">
        <v>354651</v>
      </c>
      <c r="O3052" s="48">
        <f t="shared" si="826"/>
        <v>0</v>
      </c>
      <c r="P3052" s="46">
        <v>0</v>
      </c>
      <c r="Q3052" s="46">
        <v>0</v>
      </c>
      <c r="R3052" s="49">
        <f t="shared" si="827"/>
        <v>0</v>
      </c>
      <c r="S3052" s="50">
        <f t="shared" si="828"/>
        <v>0</v>
      </c>
      <c r="T3052" s="49">
        <f t="shared" si="829"/>
        <v>0</v>
      </c>
      <c r="U3052" s="51">
        <f t="shared" si="830"/>
        <v>354651</v>
      </c>
      <c r="V3052" s="52">
        <f>IF(0&lt;0.8,0,IF(0&lt;1,Sheet3!L561,1))*IF(G3052&lt;3,0.12 - O3052,0.01) *U3052</f>
        <v>0</v>
      </c>
      <c r="W3052" s="52">
        <f t="shared" si="831"/>
        <v>0</v>
      </c>
      <c r="X3052" s="53">
        <f t="shared" si="832"/>
        <v>0</v>
      </c>
      <c r="Y3052" s="53">
        <f t="shared" si="833"/>
        <v>0</v>
      </c>
      <c r="Z3052" s="54">
        <f>IF(R3052=1,0,0)</f>
        <v>0</v>
      </c>
      <c r="AA3052" s="54">
        <f t="shared" si="834"/>
        <v>0</v>
      </c>
      <c r="AB3052" s="55">
        <f t="shared" si="839"/>
        <v>0</v>
      </c>
      <c r="AC3052" s="55">
        <f t="shared" si="835"/>
        <v>0</v>
      </c>
      <c r="AD3052" s="56">
        <f t="shared" si="836"/>
        <v>0</v>
      </c>
    </row>
    <row r="3053" spans="3:30">
      <c r="C3053" s="43" t="s">
        <v>933</v>
      </c>
      <c r="D3053" s="44" t="s">
        <v>5696</v>
      </c>
      <c r="E3053" s="44"/>
      <c r="F3053" s="45">
        <v>42679.118449074071</v>
      </c>
      <c r="G3053" s="46">
        <v>22</v>
      </c>
      <c r="H3053" s="47">
        <v>43372</v>
      </c>
      <c r="I3053" s="47">
        <v>43403</v>
      </c>
      <c r="J3053" s="46">
        <v>34086200</v>
      </c>
      <c r="K3053" s="46">
        <v>0</v>
      </c>
      <c r="L3053" s="46">
        <v>0</v>
      </c>
      <c r="M3053" s="46">
        <f t="shared" si="825"/>
        <v>34086200</v>
      </c>
      <c r="N3053" s="46">
        <v>34082812</v>
      </c>
      <c r="O3053" s="48">
        <f t="shared" si="826"/>
        <v>0</v>
      </c>
      <c r="P3053" s="46">
        <v>0</v>
      </c>
      <c r="Q3053" s="46">
        <v>34086200</v>
      </c>
      <c r="R3053" s="49">
        <f t="shared" si="827"/>
        <v>1</v>
      </c>
      <c r="S3053" s="50">
        <f t="shared" si="828"/>
        <v>0.01</v>
      </c>
      <c r="T3053" s="49">
        <f t="shared" si="829"/>
        <v>340862</v>
      </c>
      <c r="U3053" s="51">
        <f t="shared" si="830"/>
        <v>0</v>
      </c>
      <c r="V3053" s="52">
        <f>IF(0&lt;0.8,0,IF(0&lt;1,Sheet3!L561,1))*IF(G3053&lt;3,0.12 - O3053,0.01) *U3053</f>
        <v>0</v>
      </c>
      <c r="W3053" s="52">
        <f t="shared" si="831"/>
        <v>0</v>
      </c>
      <c r="X3053" s="53">
        <f t="shared" si="832"/>
        <v>0</v>
      </c>
      <c r="Y3053" s="53">
        <f t="shared" si="833"/>
        <v>0</v>
      </c>
      <c r="Z3053" s="54">
        <f>IF(R3053=1,0,0)</f>
        <v>0</v>
      </c>
      <c r="AA3053" s="54">
        <f t="shared" si="834"/>
        <v>0</v>
      </c>
      <c r="AB3053" s="55">
        <f t="shared" si="839"/>
        <v>0</v>
      </c>
      <c r="AC3053" s="55">
        <f t="shared" si="835"/>
        <v>0</v>
      </c>
      <c r="AD3053" s="56">
        <f t="shared" si="836"/>
        <v>340862</v>
      </c>
    </row>
    <row r="3054" spans="3:30">
      <c r="C3054" s="43" t="s">
        <v>934</v>
      </c>
      <c r="D3054" s="44" t="s">
        <v>5697</v>
      </c>
      <c r="E3054" s="44"/>
      <c r="F3054" s="45">
        <v>42873.378541666665</v>
      </c>
      <c r="G3054" s="46">
        <v>16</v>
      </c>
      <c r="H3054" s="47">
        <v>43372</v>
      </c>
      <c r="I3054" s="47">
        <v>43396</v>
      </c>
      <c r="J3054" s="46">
        <v>5201466</v>
      </c>
      <c r="K3054" s="46">
        <v>0</v>
      </c>
      <c r="L3054" s="46">
        <v>0</v>
      </c>
      <c r="M3054" s="46">
        <f t="shared" si="825"/>
        <v>5201466</v>
      </c>
      <c r="N3054" s="46">
        <v>5268457</v>
      </c>
      <c r="O3054" s="48">
        <f t="shared" si="826"/>
        <v>1.2715487665553638E-2</v>
      </c>
      <c r="P3054" s="46">
        <v>0</v>
      </c>
      <c r="Q3054" s="46">
        <v>5201466</v>
      </c>
      <c r="R3054" s="49">
        <f t="shared" si="827"/>
        <v>1</v>
      </c>
      <c r="S3054" s="50">
        <f t="shared" si="828"/>
        <v>0.01</v>
      </c>
      <c r="T3054" s="49">
        <f t="shared" si="829"/>
        <v>52014.66</v>
      </c>
      <c r="U3054" s="51">
        <f t="shared" si="830"/>
        <v>0</v>
      </c>
      <c r="V3054" s="52">
        <f>IF(0&lt;0.8,0,IF(0&lt;1,Sheet3!L561,1))*IF(G3054&lt;3,0.12 - O3054,0.01) *U3054</f>
        <v>0</v>
      </c>
      <c r="W3054" s="52">
        <f t="shared" si="831"/>
        <v>0</v>
      </c>
      <c r="X3054" s="53">
        <f t="shared" si="832"/>
        <v>0</v>
      </c>
      <c r="Y3054" s="53">
        <f t="shared" si="833"/>
        <v>0</v>
      </c>
      <c r="Z3054" s="54">
        <f>IF(R3054=1,0,0)</f>
        <v>0</v>
      </c>
      <c r="AA3054" s="54">
        <f t="shared" si="834"/>
        <v>0</v>
      </c>
      <c r="AB3054" s="55">
        <f t="shared" si="839"/>
        <v>0</v>
      </c>
      <c r="AC3054" s="55">
        <f t="shared" si="835"/>
        <v>0</v>
      </c>
      <c r="AD3054" s="56">
        <f t="shared" si="836"/>
        <v>52014.66</v>
      </c>
    </row>
    <row r="3055" spans="3:30">
      <c r="C3055" s="43" t="s">
        <v>5698</v>
      </c>
      <c r="D3055" s="44" t="s">
        <v>5699</v>
      </c>
      <c r="E3055" s="44"/>
      <c r="F3055" s="45">
        <v>42521.376388888886</v>
      </c>
      <c r="G3055" s="46">
        <v>28</v>
      </c>
      <c r="H3055" s="47" t="s">
        <v>24</v>
      </c>
      <c r="I3055" s="47" t="s">
        <v>24</v>
      </c>
      <c r="J3055" s="46">
        <v>0</v>
      </c>
      <c r="K3055" s="46">
        <v>0</v>
      </c>
      <c r="L3055" s="46">
        <v>0</v>
      </c>
      <c r="M3055" s="46">
        <f t="shared" si="825"/>
        <v>0</v>
      </c>
      <c r="N3055" s="46">
        <v>11040403</v>
      </c>
      <c r="O3055" s="48">
        <f t="shared" si="826"/>
        <v>1</v>
      </c>
      <c r="P3055" s="46">
        <v>0</v>
      </c>
      <c r="Q3055" s="46">
        <v>0</v>
      </c>
      <c r="R3055" s="49">
        <f t="shared" si="827"/>
        <v>1</v>
      </c>
      <c r="S3055" s="50">
        <f t="shared" si="828"/>
        <v>0.01</v>
      </c>
      <c r="T3055" s="49">
        <f t="shared" si="829"/>
        <v>0</v>
      </c>
      <c r="U3055" s="51">
        <f t="shared" si="830"/>
        <v>0</v>
      </c>
      <c r="V3055" s="52">
        <f>IF(0&lt;0.8,0,IF(0&lt;1,Sheet3!L561,1))*IF(G3055&lt;3,0.12 - O3055,0.01) *U3055</f>
        <v>0</v>
      </c>
      <c r="W3055" s="52">
        <f t="shared" si="831"/>
        <v>0</v>
      </c>
      <c r="X3055" s="53">
        <f t="shared" si="832"/>
        <v>0</v>
      </c>
      <c r="Y3055" s="53">
        <f t="shared" si="833"/>
        <v>0</v>
      </c>
      <c r="Z3055" s="54">
        <f>IF(R3055=1,0,"")</f>
        <v>0</v>
      </c>
      <c r="AA3055" s="54">
        <f t="shared" si="834"/>
        <v>0</v>
      </c>
      <c r="AB3055" s="55">
        <f>IF(R3055=0,"",0)</f>
        <v>0</v>
      </c>
      <c r="AC3055" s="55">
        <f t="shared" si="835"/>
        <v>0</v>
      </c>
      <c r="AD3055" s="56">
        <f t="shared" si="836"/>
        <v>0</v>
      </c>
    </row>
    <row r="3056" spans="3:30">
      <c r="C3056" s="43" t="s">
        <v>5700</v>
      </c>
      <c r="D3056" s="44" t="s">
        <v>995</v>
      </c>
      <c r="E3056" s="44"/>
      <c r="F3056" s="45">
        <v>43316.240787037037</v>
      </c>
      <c r="G3056" s="46">
        <v>1</v>
      </c>
      <c r="H3056" s="47">
        <v>43431</v>
      </c>
      <c r="I3056" s="47">
        <v>43462</v>
      </c>
      <c r="J3056" s="46">
        <v>675088</v>
      </c>
      <c r="K3056" s="46">
        <v>0</v>
      </c>
      <c r="L3056" s="46">
        <v>0</v>
      </c>
      <c r="M3056" s="46">
        <f t="shared" si="825"/>
        <v>675088</v>
      </c>
      <c r="N3056" s="46">
        <v>1000307</v>
      </c>
      <c r="O3056" s="48">
        <f t="shared" si="826"/>
        <v>0.32511918840915843</v>
      </c>
      <c r="P3056" s="46">
        <v>0</v>
      </c>
      <c r="Q3056" s="46">
        <v>0</v>
      </c>
      <c r="R3056" s="49">
        <f t="shared" si="827"/>
        <v>0</v>
      </c>
      <c r="S3056" s="50">
        <f t="shared" si="828"/>
        <v>0</v>
      </c>
      <c r="T3056" s="49">
        <f t="shared" si="829"/>
        <v>0</v>
      </c>
      <c r="U3056" s="51">
        <f t="shared" si="830"/>
        <v>0</v>
      </c>
      <c r="V3056" s="52">
        <f>IF(0&lt;0.8,0,IF(0&lt;1,Sheet3!L561,1))*IF(G3056&lt;3,0.12 - O3056,0.01) *U3056</f>
        <v>0</v>
      </c>
      <c r="W3056" s="52">
        <f t="shared" si="831"/>
        <v>0</v>
      </c>
      <c r="X3056" s="53">
        <f t="shared" si="832"/>
        <v>0</v>
      </c>
      <c r="Y3056" s="53">
        <f t="shared" si="833"/>
        <v>0</v>
      </c>
      <c r="Z3056" s="54">
        <f t="shared" ref="Z3056:Z3073" si="840">IF(R3056=1,0,0)</f>
        <v>0</v>
      </c>
      <c r="AA3056" s="54">
        <f t="shared" si="834"/>
        <v>0</v>
      </c>
      <c r="AB3056" s="55">
        <f t="shared" ref="AB3056:AB3073" si="841">IF(R3056=0,0,0)</f>
        <v>0</v>
      </c>
      <c r="AC3056" s="55">
        <f t="shared" si="835"/>
        <v>0</v>
      </c>
      <c r="AD3056" s="56">
        <f t="shared" si="836"/>
        <v>0</v>
      </c>
    </row>
    <row r="3057" spans="3:30">
      <c r="C3057" s="43" t="s">
        <v>5701</v>
      </c>
      <c r="D3057" s="44" t="s">
        <v>995</v>
      </c>
      <c r="E3057" s="44"/>
      <c r="F3057" s="45">
        <v>43316.241388888884</v>
      </c>
      <c r="G3057" s="46">
        <v>1</v>
      </c>
      <c r="H3057" s="47">
        <v>43431</v>
      </c>
      <c r="I3057" s="47">
        <v>43460</v>
      </c>
      <c r="J3057" s="46">
        <v>597041</v>
      </c>
      <c r="K3057" s="46">
        <v>0</v>
      </c>
      <c r="L3057" s="46">
        <v>0</v>
      </c>
      <c r="M3057" s="46">
        <f t="shared" si="825"/>
        <v>597041</v>
      </c>
      <c r="N3057" s="46">
        <v>821469</v>
      </c>
      <c r="O3057" s="48">
        <f t="shared" si="826"/>
        <v>0.27320324930094742</v>
      </c>
      <c r="P3057" s="46">
        <v>0</v>
      </c>
      <c r="Q3057" s="46">
        <v>0</v>
      </c>
      <c r="R3057" s="49">
        <f t="shared" si="827"/>
        <v>0</v>
      </c>
      <c r="S3057" s="50">
        <f t="shared" si="828"/>
        <v>0</v>
      </c>
      <c r="T3057" s="49">
        <f t="shared" si="829"/>
        <v>0</v>
      </c>
      <c r="U3057" s="51">
        <f t="shared" si="830"/>
        <v>0</v>
      </c>
      <c r="V3057" s="52">
        <f>IF(0&lt;0.8,0,IF(0&lt;1,Sheet3!L561,1))*IF(G3057&lt;3,0.12 - O3057,0.01) *U3057</f>
        <v>0</v>
      </c>
      <c r="W3057" s="52">
        <f t="shared" si="831"/>
        <v>0</v>
      </c>
      <c r="X3057" s="53">
        <f t="shared" si="832"/>
        <v>0</v>
      </c>
      <c r="Y3057" s="53">
        <f t="shared" si="833"/>
        <v>0</v>
      </c>
      <c r="Z3057" s="54">
        <f t="shared" si="840"/>
        <v>0</v>
      </c>
      <c r="AA3057" s="54">
        <f t="shared" si="834"/>
        <v>0</v>
      </c>
      <c r="AB3057" s="55">
        <f t="shared" si="841"/>
        <v>0</v>
      </c>
      <c r="AC3057" s="55">
        <f t="shared" si="835"/>
        <v>0</v>
      </c>
      <c r="AD3057" s="56">
        <f t="shared" si="836"/>
        <v>0</v>
      </c>
    </row>
    <row r="3058" spans="3:30">
      <c r="C3058" s="43" t="s">
        <v>5702</v>
      </c>
      <c r="D3058" s="44" t="s">
        <v>995</v>
      </c>
      <c r="E3058" s="44"/>
      <c r="F3058" s="45">
        <v>43316.241921296292</v>
      </c>
      <c r="G3058" s="46">
        <v>1</v>
      </c>
      <c r="H3058" s="47">
        <v>43431</v>
      </c>
      <c r="I3058" s="47">
        <v>43462</v>
      </c>
      <c r="J3058" s="46">
        <v>406038</v>
      </c>
      <c r="K3058" s="46">
        <v>0</v>
      </c>
      <c r="L3058" s="46">
        <v>0</v>
      </c>
      <c r="M3058" s="46">
        <f t="shared" si="825"/>
        <v>406038</v>
      </c>
      <c r="N3058" s="46">
        <v>594473</v>
      </c>
      <c r="O3058" s="48">
        <f t="shared" si="826"/>
        <v>0.316978231139177</v>
      </c>
      <c r="P3058" s="46">
        <v>0</v>
      </c>
      <c r="Q3058" s="46">
        <v>0</v>
      </c>
      <c r="R3058" s="49">
        <f t="shared" si="827"/>
        <v>0</v>
      </c>
      <c r="S3058" s="50">
        <f t="shared" si="828"/>
        <v>0</v>
      </c>
      <c r="T3058" s="49">
        <f t="shared" si="829"/>
        <v>0</v>
      </c>
      <c r="U3058" s="51">
        <f t="shared" si="830"/>
        <v>0</v>
      </c>
      <c r="V3058" s="52">
        <f>IF(0&lt;0.8,0,IF(0&lt;1,Sheet3!L561,1))*IF(G3058&lt;3,0.12 - O3058,0.01) *U3058</f>
        <v>0</v>
      </c>
      <c r="W3058" s="52">
        <f t="shared" si="831"/>
        <v>0</v>
      </c>
      <c r="X3058" s="53">
        <f t="shared" si="832"/>
        <v>0</v>
      </c>
      <c r="Y3058" s="53">
        <f t="shared" si="833"/>
        <v>0</v>
      </c>
      <c r="Z3058" s="54">
        <f t="shared" si="840"/>
        <v>0</v>
      </c>
      <c r="AA3058" s="54">
        <f t="shared" si="834"/>
        <v>0</v>
      </c>
      <c r="AB3058" s="55">
        <f t="shared" si="841"/>
        <v>0</v>
      </c>
      <c r="AC3058" s="55">
        <f t="shared" si="835"/>
        <v>0</v>
      </c>
      <c r="AD3058" s="56">
        <f t="shared" si="836"/>
        <v>0</v>
      </c>
    </row>
    <row r="3059" spans="3:30">
      <c r="C3059" s="43" t="s">
        <v>5703</v>
      </c>
      <c r="D3059" s="44" t="s">
        <v>995</v>
      </c>
      <c r="E3059" s="44"/>
      <c r="F3059" s="45">
        <v>43316.242800925924</v>
      </c>
      <c r="G3059" s="46">
        <v>1</v>
      </c>
      <c r="H3059" s="47">
        <v>43431</v>
      </c>
      <c r="I3059" s="47">
        <v>43462</v>
      </c>
      <c r="J3059" s="46">
        <v>401117</v>
      </c>
      <c r="K3059" s="46">
        <v>0</v>
      </c>
      <c r="L3059" s="46">
        <v>0</v>
      </c>
      <c r="M3059" s="46">
        <f t="shared" ref="M3059:M3122" si="842">IFERROR(J3059-K3059-L3059,0)</f>
        <v>401117</v>
      </c>
      <c r="N3059" s="46">
        <v>595078</v>
      </c>
      <c r="O3059" s="48">
        <f t="shared" ref="O3059:O3122" si="843">IFERROR(IF(1 - M3059/N3059&lt;0,0,1-M3059/N3059),0)</f>
        <v>0.32594214539942667</v>
      </c>
      <c r="P3059" s="46">
        <v>0</v>
      </c>
      <c r="Q3059" s="46">
        <v>0</v>
      </c>
      <c r="R3059" s="49">
        <f t="shared" ref="R3059:R3122" si="844">IF(F3059&lt;DATEVALUE("2018-07-01"),1,0)</f>
        <v>0</v>
      </c>
      <c r="S3059" s="50">
        <f t="shared" ref="S3059:S3122" si="845">IF(R3059=1,1%,0)</f>
        <v>0</v>
      </c>
      <c r="T3059" s="49">
        <f t="shared" ref="T3059:T3122" si="846">IFERROR(S3059*M3059,0)</f>
        <v>0</v>
      </c>
      <c r="U3059" s="51">
        <f t="shared" ref="U3059:U3122" si="847">IF(O3059&lt;=0.12,1,0)*(1-R3059)*M3059</f>
        <v>0</v>
      </c>
      <c r="V3059" s="52">
        <f>IF(0&lt;0.8,0,IF(0&lt;1,Sheet3!L561,1))*IF(G3059&lt;3,0.12 - O3059,0.01) *U3059</f>
        <v>0</v>
      </c>
      <c r="W3059" s="52">
        <f t="shared" ref="W3059:W3122" si="848">IF(0&gt;1,IF(0&lt;=1.1,1,IF(0&lt;=1.2,2,IF(0&lt;=1.5,3,5))),0) * 1000000</f>
        <v>0</v>
      </c>
      <c r="X3059" s="53">
        <f t="shared" ref="X3059:X3122" si="849">IF(AND(P3059&gt;=150000000,P3059&lt;300000000),5000000,IF(AND(P3059&gt;=300000000,P3059&lt;500000000),10000000,IF(AND(P3059&gt;=300000000,P3059&lt;500000000),15000000,IF(AND(P3059&gt;=500000000,P3059&lt;3000000000),20000000,IF(P3059&gt;=30000000000,35000000,0))))) * (1-R3059)</f>
        <v>0</v>
      </c>
      <c r="Y3059" s="53">
        <f t="shared" ref="Y3059:Y3122" si="850">IFERROR(Q3059 * (1-R3059),0)</f>
        <v>0</v>
      </c>
      <c r="Z3059" s="54">
        <f t="shared" si="840"/>
        <v>0</v>
      </c>
      <c r="AA3059" s="54">
        <f t="shared" ref="AA3059:AA3122" si="851">IFERROR((1-R3059) * Z3059 * 2%,0)</f>
        <v>0</v>
      </c>
      <c r="AB3059" s="55">
        <f t="shared" si="841"/>
        <v>0</v>
      </c>
      <c r="AC3059" s="55">
        <f t="shared" ref="AC3059:AC3122" si="852">IFERROR(AB3059 * (1-R3059) * 2%,0)</f>
        <v>0</v>
      </c>
      <c r="AD3059" s="56">
        <f t="shared" ref="AD3059:AD3122" si="853">T3059+V3059+W3059+X3059+AA3059+AC3059</f>
        <v>0</v>
      </c>
    </row>
    <row r="3060" spans="3:30">
      <c r="C3060" s="43" t="s">
        <v>5704</v>
      </c>
      <c r="D3060" s="44" t="s">
        <v>995</v>
      </c>
      <c r="E3060" s="44"/>
      <c r="F3060" s="45">
        <v>43316.243472222217</v>
      </c>
      <c r="G3060" s="46">
        <v>1</v>
      </c>
      <c r="H3060" s="47">
        <v>43431</v>
      </c>
      <c r="I3060" s="47">
        <v>43462</v>
      </c>
      <c r="J3060" s="46">
        <v>517617</v>
      </c>
      <c r="K3060" s="46">
        <v>0</v>
      </c>
      <c r="L3060" s="46">
        <v>0</v>
      </c>
      <c r="M3060" s="46">
        <f t="shared" si="842"/>
        <v>517617</v>
      </c>
      <c r="N3060" s="46">
        <v>763752</v>
      </c>
      <c r="O3060" s="48">
        <f t="shared" si="843"/>
        <v>0.32227084184394938</v>
      </c>
      <c r="P3060" s="46">
        <v>0</v>
      </c>
      <c r="Q3060" s="46">
        <v>0</v>
      </c>
      <c r="R3060" s="49">
        <f t="shared" si="844"/>
        <v>0</v>
      </c>
      <c r="S3060" s="50">
        <f t="shared" si="845"/>
        <v>0</v>
      </c>
      <c r="T3060" s="49">
        <f t="shared" si="846"/>
        <v>0</v>
      </c>
      <c r="U3060" s="51">
        <f t="shared" si="847"/>
        <v>0</v>
      </c>
      <c r="V3060" s="52">
        <f>IF(0&lt;0.8,0,IF(0&lt;1,Sheet3!L561,1))*IF(G3060&lt;3,0.12 - O3060,0.01) *U3060</f>
        <v>0</v>
      </c>
      <c r="W3060" s="52">
        <f t="shared" si="848"/>
        <v>0</v>
      </c>
      <c r="X3060" s="53">
        <f t="shared" si="849"/>
        <v>0</v>
      </c>
      <c r="Y3060" s="53">
        <f t="shared" si="850"/>
        <v>0</v>
      </c>
      <c r="Z3060" s="54">
        <f t="shared" si="840"/>
        <v>0</v>
      </c>
      <c r="AA3060" s="54">
        <f t="shared" si="851"/>
        <v>0</v>
      </c>
      <c r="AB3060" s="55">
        <f t="shared" si="841"/>
        <v>0</v>
      </c>
      <c r="AC3060" s="55">
        <f t="shared" si="852"/>
        <v>0</v>
      </c>
      <c r="AD3060" s="56">
        <f t="shared" si="853"/>
        <v>0</v>
      </c>
    </row>
    <row r="3061" spans="3:30">
      <c r="C3061" s="43" t="s">
        <v>5705</v>
      </c>
      <c r="D3061" s="44" t="s">
        <v>995</v>
      </c>
      <c r="E3061" s="44"/>
      <c r="F3061" s="45">
        <v>43316.244085648148</v>
      </c>
      <c r="G3061" s="46">
        <v>1</v>
      </c>
      <c r="H3061" s="47">
        <v>43431</v>
      </c>
      <c r="I3061" s="47">
        <v>43462</v>
      </c>
      <c r="J3061" s="46">
        <v>455002</v>
      </c>
      <c r="K3061" s="46">
        <v>0</v>
      </c>
      <c r="L3061" s="46">
        <v>0</v>
      </c>
      <c r="M3061" s="46">
        <f t="shared" si="842"/>
        <v>455002</v>
      </c>
      <c r="N3061" s="46">
        <v>591932</v>
      </c>
      <c r="O3061" s="48">
        <f t="shared" si="843"/>
        <v>0.23132724704864749</v>
      </c>
      <c r="P3061" s="46">
        <v>0</v>
      </c>
      <c r="Q3061" s="46">
        <v>0</v>
      </c>
      <c r="R3061" s="49">
        <f t="shared" si="844"/>
        <v>0</v>
      </c>
      <c r="S3061" s="50">
        <f t="shared" si="845"/>
        <v>0</v>
      </c>
      <c r="T3061" s="49">
        <f t="shared" si="846"/>
        <v>0</v>
      </c>
      <c r="U3061" s="51">
        <f t="shared" si="847"/>
        <v>0</v>
      </c>
      <c r="V3061" s="52">
        <f>IF(0&lt;0.8,0,IF(0&lt;1,Sheet3!L561,1))*IF(G3061&lt;3,0.12 - O3061,0.01) *U3061</f>
        <v>0</v>
      </c>
      <c r="W3061" s="52">
        <f t="shared" si="848"/>
        <v>0</v>
      </c>
      <c r="X3061" s="53">
        <f t="shared" si="849"/>
        <v>0</v>
      </c>
      <c r="Y3061" s="53">
        <f t="shared" si="850"/>
        <v>0</v>
      </c>
      <c r="Z3061" s="54">
        <f t="shared" si="840"/>
        <v>0</v>
      </c>
      <c r="AA3061" s="54">
        <f t="shared" si="851"/>
        <v>0</v>
      </c>
      <c r="AB3061" s="55">
        <f t="shared" si="841"/>
        <v>0</v>
      </c>
      <c r="AC3061" s="55">
        <f t="shared" si="852"/>
        <v>0</v>
      </c>
      <c r="AD3061" s="56">
        <f t="shared" si="853"/>
        <v>0</v>
      </c>
    </row>
    <row r="3062" spans="3:30">
      <c r="C3062" s="43" t="s">
        <v>5706</v>
      </c>
      <c r="D3062" s="44" t="s">
        <v>995</v>
      </c>
      <c r="E3062" s="44"/>
      <c r="F3062" s="45">
        <v>43316.245196759257</v>
      </c>
      <c r="G3062" s="46">
        <v>1</v>
      </c>
      <c r="H3062" s="47">
        <v>43459</v>
      </c>
      <c r="I3062" s="47">
        <v>43487</v>
      </c>
      <c r="J3062" s="46">
        <v>1023435</v>
      </c>
      <c r="K3062" s="46">
        <v>0</v>
      </c>
      <c r="L3062" s="46">
        <v>0</v>
      </c>
      <c r="M3062" s="46">
        <f t="shared" si="842"/>
        <v>1023435</v>
      </c>
      <c r="N3062" s="46">
        <v>1106061</v>
      </c>
      <c r="O3062" s="48">
        <f t="shared" si="843"/>
        <v>7.4702932297585734E-2</v>
      </c>
      <c r="P3062" s="46">
        <v>0</v>
      </c>
      <c r="Q3062" s="46">
        <v>0</v>
      </c>
      <c r="R3062" s="49">
        <f t="shared" si="844"/>
        <v>0</v>
      </c>
      <c r="S3062" s="50">
        <f t="shared" si="845"/>
        <v>0</v>
      </c>
      <c r="T3062" s="49">
        <f t="shared" si="846"/>
        <v>0</v>
      </c>
      <c r="U3062" s="51">
        <f t="shared" si="847"/>
        <v>1023435</v>
      </c>
      <c r="V3062" s="52">
        <f>IF(0&lt;0.8,0,IF(0&lt;1,Sheet3!L561,1))*IF(G3062&lt;3,0.12 - O3062,0.01) *U3062</f>
        <v>0</v>
      </c>
      <c r="W3062" s="52">
        <f t="shared" si="848"/>
        <v>0</v>
      </c>
      <c r="X3062" s="53">
        <f t="shared" si="849"/>
        <v>0</v>
      </c>
      <c r="Y3062" s="53">
        <f t="shared" si="850"/>
        <v>0</v>
      </c>
      <c r="Z3062" s="54">
        <f t="shared" si="840"/>
        <v>0</v>
      </c>
      <c r="AA3062" s="54">
        <f t="shared" si="851"/>
        <v>0</v>
      </c>
      <c r="AB3062" s="55">
        <f t="shared" si="841"/>
        <v>0</v>
      </c>
      <c r="AC3062" s="55">
        <f t="shared" si="852"/>
        <v>0</v>
      </c>
      <c r="AD3062" s="56">
        <f t="shared" si="853"/>
        <v>0</v>
      </c>
    </row>
    <row r="3063" spans="3:30">
      <c r="C3063" s="43" t="s">
        <v>5707</v>
      </c>
      <c r="D3063" s="44" t="s">
        <v>995</v>
      </c>
      <c r="E3063" s="44"/>
      <c r="F3063" s="45">
        <v>43316.24591435185</v>
      </c>
      <c r="G3063" s="46">
        <v>1</v>
      </c>
      <c r="H3063" s="47">
        <v>43431</v>
      </c>
      <c r="I3063" s="47">
        <v>43462</v>
      </c>
      <c r="J3063" s="46">
        <v>693616</v>
      </c>
      <c r="K3063" s="46">
        <v>0</v>
      </c>
      <c r="L3063" s="46">
        <v>0</v>
      </c>
      <c r="M3063" s="46">
        <f t="shared" si="842"/>
        <v>693616</v>
      </c>
      <c r="N3063" s="46">
        <v>1021603</v>
      </c>
      <c r="O3063" s="48">
        <f t="shared" si="843"/>
        <v>0.3210513281578069</v>
      </c>
      <c r="P3063" s="46">
        <v>0</v>
      </c>
      <c r="Q3063" s="46">
        <v>0</v>
      </c>
      <c r="R3063" s="49">
        <f t="shared" si="844"/>
        <v>0</v>
      </c>
      <c r="S3063" s="50">
        <f t="shared" si="845"/>
        <v>0</v>
      </c>
      <c r="T3063" s="49">
        <f t="shared" si="846"/>
        <v>0</v>
      </c>
      <c r="U3063" s="51">
        <f t="shared" si="847"/>
        <v>0</v>
      </c>
      <c r="V3063" s="52">
        <f>IF(0&lt;0.8,0,IF(0&lt;1,Sheet3!L561,1))*IF(G3063&lt;3,0.12 - O3063,0.01) *U3063</f>
        <v>0</v>
      </c>
      <c r="W3063" s="52">
        <f t="shared" si="848"/>
        <v>0</v>
      </c>
      <c r="X3063" s="53">
        <f t="shared" si="849"/>
        <v>0</v>
      </c>
      <c r="Y3063" s="53">
        <f t="shared" si="850"/>
        <v>0</v>
      </c>
      <c r="Z3063" s="54">
        <f t="shared" si="840"/>
        <v>0</v>
      </c>
      <c r="AA3063" s="54">
        <f t="shared" si="851"/>
        <v>0</v>
      </c>
      <c r="AB3063" s="55">
        <f t="shared" si="841"/>
        <v>0</v>
      </c>
      <c r="AC3063" s="55">
        <f t="shared" si="852"/>
        <v>0</v>
      </c>
      <c r="AD3063" s="56">
        <f t="shared" si="853"/>
        <v>0</v>
      </c>
    </row>
    <row r="3064" spans="3:30">
      <c r="C3064" s="43" t="s">
        <v>5708</v>
      </c>
      <c r="D3064" s="44" t="s">
        <v>995</v>
      </c>
      <c r="E3064" s="44"/>
      <c r="F3064" s="45">
        <v>43316.246469907404</v>
      </c>
      <c r="G3064" s="46">
        <v>1</v>
      </c>
      <c r="H3064" s="47">
        <v>43431</v>
      </c>
      <c r="I3064" s="47">
        <v>43462</v>
      </c>
      <c r="J3064" s="46">
        <v>844707</v>
      </c>
      <c r="K3064" s="46">
        <v>0</v>
      </c>
      <c r="L3064" s="46">
        <v>0</v>
      </c>
      <c r="M3064" s="46">
        <f t="shared" si="842"/>
        <v>844707</v>
      </c>
      <c r="N3064" s="46">
        <v>790375</v>
      </c>
      <c r="O3064" s="48">
        <f t="shared" si="843"/>
        <v>0</v>
      </c>
      <c r="P3064" s="46">
        <v>0</v>
      </c>
      <c r="Q3064" s="46">
        <v>0</v>
      </c>
      <c r="R3064" s="49">
        <f t="shared" si="844"/>
        <v>0</v>
      </c>
      <c r="S3064" s="50">
        <f t="shared" si="845"/>
        <v>0</v>
      </c>
      <c r="T3064" s="49">
        <f t="shared" si="846"/>
        <v>0</v>
      </c>
      <c r="U3064" s="51">
        <f t="shared" si="847"/>
        <v>844707</v>
      </c>
      <c r="V3064" s="52">
        <f>IF(0&lt;0.8,0,IF(0&lt;1,Sheet3!L561,1))*IF(G3064&lt;3,0.12 - O3064,0.01) *U3064</f>
        <v>0</v>
      </c>
      <c r="W3064" s="52">
        <f t="shared" si="848"/>
        <v>0</v>
      </c>
      <c r="X3064" s="53">
        <f t="shared" si="849"/>
        <v>0</v>
      </c>
      <c r="Y3064" s="53">
        <f t="shared" si="850"/>
        <v>0</v>
      </c>
      <c r="Z3064" s="54">
        <f t="shared" si="840"/>
        <v>0</v>
      </c>
      <c r="AA3064" s="54">
        <f t="shared" si="851"/>
        <v>0</v>
      </c>
      <c r="AB3064" s="55">
        <f t="shared" si="841"/>
        <v>0</v>
      </c>
      <c r="AC3064" s="55">
        <f t="shared" si="852"/>
        <v>0</v>
      </c>
      <c r="AD3064" s="56">
        <f t="shared" si="853"/>
        <v>0</v>
      </c>
    </row>
    <row r="3065" spans="3:30">
      <c r="C3065" s="43" t="s">
        <v>5709</v>
      </c>
      <c r="D3065" s="44" t="s">
        <v>995</v>
      </c>
      <c r="E3065" s="44"/>
      <c r="F3065" s="45">
        <v>43316.247025462959</v>
      </c>
      <c r="G3065" s="46">
        <v>1</v>
      </c>
      <c r="H3065" s="47">
        <v>43459</v>
      </c>
      <c r="I3065" s="47">
        <v>43487</v>
      </c>
      <c r="J3065" s="46">
        <v>690796</v>
      </c>
      <c r="K3065" s="46">
        <v>0</v>
      </c>
      <c r="L3065" s="46">
        <v>0</v>
      </c>
      <c r="M3065" s="46">
        <f t="shared" si="842"/>
        <v>690796</v>
      </c>
      <c r="N3065" s="46">
        <v>962918</v>
      </c>
      <c r="O3065" s="48">
        <f t="shared" si="843"/>
        <v>0.2826014260819717</v>
      </c>
      <c r="P3065" s="46">
        <v>0</v>
      </c>
      <c r="Q3065" s="46">
        <v>0</v>
      </c>
      <c r="R3065" s="49">
        <f t="shared" si="844"/>
        <v>0</v>
      </c>
      <c r="S3065" s="50">
        <f t="shared" si="845"/>
        <v>0</v>
      </c>
      <c r="T3065" s="49">
        <f t="shared" si="846"/>
        <v>0</v>
      </c>
      <c r="U3065" s="51">
        <f t="shared" si="847"/>
        <v>0</v>
      </c>
      <c r="V3065" s="52">
        <f>IF(0&lt;0.8,0,IF(0&lt;1,Sheet3!L561,1))*IF(G3065&lt;3,0.12 - O3065,0.01) *U3065</f>
        <v>0</v>
      </c>
      <c r="W3065" s="52">
        <f t="shared" si="848"/>
        <v>0</v>
      </c>
      <c r="X3065" s="53">
        <f t="shared" si="849"/>
        <v>0</v>
      </c>
      <c r="Y3065" s="53">
        <f t="shared" si="850"/>
        <v>0</v>
      </c>
      <c r="Z3065" s="54">
        <f t="shared" si="840"/>
        <v>0</v>
      </c>
      <c r="AA3065" s="54">
        <f t="shared" si="851"/>
        <v>0</v>
      </c>
      <c r="AB3065" s="55">
        <f t="shared" si="841"/>
        <v>0</v>
      </c>
      <c r="AC3065" s="55">
        <f t="shared" si="852"/>
        <v>0</v>
      </c>
      <c r="AD3065" s="56">
        <f t="shared" si="853"/>
        <v>0</v>
      </c>
    </row>
    <row r="3066" spans="3:30">
      <c r="C3066" s="43" t="s">
        <v>5710</v>
      </c>
      <c r="D3066" s="44" t="s">
        <v>995</v>
      </c>
      <c r="E3066" s="44"/>
      <c r="F3066" s="45">
        <v>43316.247546296298</v>
      </c>
      <c r="G3066" s="46">
        <v>1</v>
      </c>
      <c r="H3066" s="47">
        <v>43431</v>
      </c>
      <c r="I3066" s="47">
        <v>43462</v>
      </c>
      <c r="J3066" s="46">
        <v>645185</v>
      </c>
      <c r="K3066" s="46">
        <v>0</v>
      </c>
      <c r="L3066" s="46">
        <v>0</v>
      </c>
      <c r="M3066" s="46">
        <f t="shared" si="842"/>
        <v>645185</v>
      </c>
      <c r="N3066" s="46">
        <v>958804</v>
      </c>
      <c r="O3066" s="48">
        <f t="shared" si="843"/>
        <v>0.32709396289544057</v>
      </c>
      <c r="P3066" s="46">
        <v>0</v>
      </c>
      <c r="Q3066" s="46">
        <v>0</v>
      </c>
      <c r="R3066" s="49">
        <f t="shared" si="844"/>
        <v>0</v>
      </c>
      <c r="S3066" s="50">
        <f t="shared" si="845"/>
        <v>0</v>
      </c>
      <c r="T3066" s="49">
        <f t="shared" si="846"/>
        <v>0</v>
      </c>
      <c r="U3066" s="51">
        <f t="shared" si="847"/>
        <v>0</v>
      </c>
      <c r="V3066" s="52">
        <f>IF(0&lt;0.8,0,IF(0&lt;1,Sheet3!L561,1))*IF(G3066&lt;3,0.12 - O3066,0.01) *U3066</f>
        <v>0</v>
      </c>
      <c r="W3066" s="52">
        <f t="shared" si="848"/>
        <v>0</v>
      </c>
      <c r="X3066" s="53">
        <f t="shared" si="849"/>
        <v>0</v>
      </c>
      <c r="Y3066" s="53">
        <f t="shared" si="850"/>
        <v>0</v>
      </c>
      <c r="Z3066" s="54">
        <f t="shared" si="840"/>
        <v>0</v>
      </c>
      <c r="AA3066" s="54">
        <f t="shared" si="851"/>
        <v>0</v>
      </c>
      <c r="AB3066" s="55">
        <f t="shared" si="841"/>
        <v>0</v>
      </c>
      <c r="AC3066" s="55">
        <f t="shared" si="852"/>
        <v>0</v>
      </c>
      <c r="AD3066" s="56">
        <f t="shared" si="853"/>
        <v>0</v>
      </c>
    </row>
    <row r="3067" spans="3:30">
      <c r="C3067" s="43" t="s">
        <v>5711</v>
      </c>
      <c r="D3067" s="44" t="s">
        <v>995</v>
      </c>
      <c r="E3067" s="44"/>
      <c r="F3067" s="45">
        <v>43316.248055555552</v>
      </c>
      <c r="G3067" s="46">
        <v>1</v>
      </c>
      <c r="H3067" s="47">
        <v>43431</v>
      </c>
      <c r="I3067" s="47">
        <v>43462</v>
      </c>
      <c r="J3067" s="46">
        <v>920410</v>
      </c>
      <c r="K3067" s="46">
        <v>0</v>
      </c>
      <c r="L3067" s="46">
        <v>0</v>
      </c>
      <c r="M3067" s="46">
        <f t="shared" si="842"/>
        <v>920410</v>
      </c>
      <c r="N3067" s="46">
        <v>1341262</v>
      </c>
      <c r="O3067" s="48">
        <f t="shared" si="843"/>
        <v>0.31377314797556333</v>
      </c>
      <c r="P3067" s="46">
        <v>0</v>
      </c>
      <c r="Q3067" s="46">
        <v>0</v>
      </c>
      <c r="R3067" s="49">
        <f t="shared" si="844"/>
        <v>0</v>
      </c>
      <c r="S3067" s="50">
        <f t="shared" si="845"/>
        <v>0</v>
      </c>
      <c r="T3067" s="49">
        <f t="shared" si="846"/>
        <v>0</v>
      </c>
      <c r="U3067" s="51">
        <f t="shared" si="847"/>
        <v>0</v>
      </c>
      <c r="V3067" s="52">
        <f>IF(0&lt;0.8,0,IF(0&lt;1,Sheet3!L561,1))*IF(G3067&lt;3,0.12 - O3067,0.01) *U3067</f>
        <v>0</v>
      </c>
      <c r="W3067" s="52">
        <f t="shared" si="848"/>
        <v>0</v>
      </c>
      <c r="X3067" s="53">
        <f t="shared" si="849"/>
        <v>0</v>
      </c>
      <c r="Y3067" s="53">
        <f t="shared" si="850"/>
        <v>0</v>
      </c>
      <c r="Z3067" s="54">
        <f t="shared" si="840"/>
        <v>0</v>
      </c>
      <c r="AA3067" s="54">
        <f t="shared" si="851"/>
        <v>0</v>
      </c>
      <c r="AB3067" s="55">
        <f t="shared" si="841"/>
        <v>0</v>
      </c>
      <c r="AC3067" s="55">
        <f t="shared" si="852"/>
        <v>0</v>
      </c>
      <c r="AD3067" s="56">
        <f t="shared" si="853"/>
        <v>0</v>
      </c>
    </row>
    <row r="3068" spans="3:30">
      <c r="C3068" s="43" t="s">
        <v>5712</v>
      </c>
      <c r="D3068" s="44" t="s">
        <v>995</v>
      </c>
      <c r="E3068" s="44"/>
      <c r="F3068" s="45">
        <v>43316.248749999999</v>
      </c>
      <c r="G3068" s="46">
        <v>1</v>
      </c>
      <c r="H3068" s="47">
        <v>43431</v>
      </c>
      <c r="I3068" s="47">
        <v>43462</v>
      </c>
      <c r="J3068" s="46">
        <v>832473</v>
      </c>
      <c r="K3068" s="46">
        <v>0</v>
      </c>
      <c r="L3068" s="46">
        <v>0</v>
      </c>
      <c r="M3068" s="46">
        <f t="shared" si="842"/>
        <v>832473</v>
      </c>
      <c r="N3068" s="46">
        <v>1187329</v>
      </c>
      <c r="O3068" s="48">
        <f t="shared" si="843"/>
        <v>0.29886914241966633</v>
      </c>
      <c r="P3068" s="46">
        <v>0</v>
      </c>
      <c r="Q3068" s="46">
        <v>0</v>
      </c>
      <c r="R3068" s="49">
        <f t="shared" si="844"/>
        <v>0</v>
      </c>
      <c r="S3068" s="50">
        <f t="shared" si="845"/>
        <v>0</v>
      </c>
      <c r="T3068" s="49">
        <f t="shared" si="846"/>
        <v>0</v>
      </c>
      <c r="U3068" s="51">
        <f t="shared" si="847"/>
        <v>0</v>
      </c>
      <c r="V3068" s="52">
        <f>IF(0&lt;0.8,0,IF(0&lt;1,Sheet3!L561,1))*IF(G3068&lt;3,0.12 - O3068,0.01) *U3068</f>
        <v>0</v>
      </c>
      <c r="W3068" s="52">
        <f t="shared" si="848"/>
        <v>0</v>
      </c>
      <c r="X3068" s="53">
        <f t="shared" si="849"/>
        <v>0</v>
      </c>
      <c r="Y3068" s="53">
        <f t="shared" si="850"/>
        <v>0</v>
      </c>
      <c r="Z3068" s="54">
        <f t="shared" si="840"/>
        <v>0</v>
      </c>
      <c r="AA3068" s="54">
        <f t="shared" si="851"/>
        <v>0</v>
      </c>
      <c r="AB3068" s="55">
        <f t="shared" si="841"/>
        <v>0</v>
      </c>
      <c r="AC3068" s="55">
        <f t="shared" si="852"/>
        <v>0</v>
      </c>
      <c r="AD3068" s="56">
        <f t="shared" si="853"/>
        <v>0</v>
      </c>
    </row>
    <row r="3069" spans="3:30">
      <c r="C3069" s="43" t="s">
        <v>5713</v>
      </c>
      <c r="D3069" s="44" t="s">
        <v>995</v>
      </c>
      <c r="E3069" s="44"/>
      <c r="F3069" s="45">
        <v>43316.249398148146</v>
      </c>
      <c r="G3069" s="46">
        <v>1</v>
      </c>
      <c r="H3069" s="47">
        <v>43431</v>
      </c>
      <c r="I3069" s="47">
        <v>43462</v>
      </c>
      <c r="J3069" s="46">
        <v>412521</v>
      </c>
      <c r="K3069" s="46">
        <v>0</v>
      </c>
      <c r="L3069" s="46">
        <v>0</v>
      </c>
      <c r="M3069" s="46">
        <f t="shared" si="842"/>
        <v>412521</v>
      </c>
      <c r="N3069" s="46">
        <v>595078</v>
      </c>
      <c r="O3069" s="48">
        <f t="shared" si="843"/>
        <v>0.30677827108379074</v>
      </c>
      <c r="P3069" s="46">
        <v>0</v>
      </c>
      <c r="Q3069" s="46">
        <v>0</v>
      </c>
      <c r="R3069" s="49">
        <f t="shared" si="844"/>
        <v>0</v>
      </c>
      <c r="S3069" s="50">
        <f t="shared" si="845"/>
        <v>0</v>
      </c>
      <c r="T3069" s="49">
        <f t="shared" si="846"/>
        <v>0</v>
      </c>
      <c r="U3069" s="51">
        <f t="shared" si="847"/>
        <v>0</v>
      </c>
      <c r="V3069" s="52">
        <f>IF(0&lt;0.8,0,IF(0&lt;1,Sheet3!L561,1))*IF(G3069&lt;3,0.12 - O3069,0.01) *U3069</f>
        <v>0</v>
      </c>
      <c r="W3069" s="52">
        <f t="shared" si="848"/>
        <v>0</v>
      </c>
      <c r="X3069" s="53">
        <f t="shared" si="849"/>
        <v>0</v>
      </c>
      <c r="Y3069" s="53">
        <f t="shared" si="850"/>
        <v>0</v>
      </c>
      <c r="Z3069" s="54">
        <f t="shared" si="840"/>
        <v>0</v>
      </c>
      <c r="AA3069" s="54">
        <f t="shared" si="851"/>
        <v>0</v>
      </c>
      <c r="AB3069" s="55">
        <f t="shared" si="841"/>
        <v>0</v>
      </c>
      <c r="AC3069" s="55">
        <f t="shared" si="852"/>
        <v>0</v>
      </c>
      <c r="AD3069" s="56">
        <f t="shared" si="853"/>
        <v>0</v>
      </c>
    </row>
    <row r="3070" spans="3:30">
      <c r="C3070" s="43" t="s">
        <v>5714</v>
      </c>
      <c r="D3070" s="44" t="s">
        <v>995</v>
      </c>
      <c r="E3070" s="44"/>
      <c r="F3070" s="45">
        <v>43316.690821759257</v>
      </c>
      <c r="G3070" s="46">
        <v>1</v>
      </c>
      <c r="H3070" s="47">
        <v>43431</v>
      </c>
      <c r="I3070" s="47">
        <v>43462</v>
      </c>
      <c r="J3070" s="46">
        <v>747171</v>
      </c>
      <c r="K3070" s="46">
        <v>0</v>
      </c>
      <c r="L3070" s="46">
        <v>0</v>
      </c>
      <c r="M3070" s="46">
        <f t="shared" si="842"/>
        <v>747171</v>
      </c>
      <c r="N3070" s="46">
        <v>1036244</v>
      </c>
      <c r="O3070" s="48">
        <f t="shared" si="843"/>
        <v>0.27896229073461465</v>
      </c>
      <c r="P3070" s="46">
        <v>0</v>
      </c>
      <c r="Q3070" s="46">
        <v>0</v>
      </c>
      <c r="R3070" s="49">
        <f t="shared" si="844"/>
        <v>0</v>
      </c>
      <c r="S3070" s="50">
        <f t="shared" si="845"/>
        <v>0</v>
      </c>
      <c r="T3070" s="49">
        <f t="shared" si="846"/>
        <v>0</v>
      </c>
      <c r="U3070" s="51">
        <f t="shared" si="847"/>
        <v>0</v>
      </c>
      <c r="V3070" s="52">
        <f>IF(0&lt;0.8,0,IF(0&lt;1,Sheet3!L561,1))*IF(G3070&lt;3,0.12 - O3070,0.01) *U3070</f>
        <v>0</v>
      </c>
      <c r="W3070" s="52">
        <f t="shared" si="848"/>
        <v>0</v>
      </c>
      <c r="X3070" s="53">
        <f t="shared" si="849"/>
        <v>0</v>
      </c>
      <c r="Y3070" s="53">
        <f t="shared" si="850"/>
        <v>0</v>
      </c>
      <c r="Z3070" s="54">
        <f t="shared" si="840"/>
        <v>0</v>
      </c>
      <c r="AA3070" s="54">
        <f t="shared" si="851"/>
        <v>0</v>
      </c>
      <c r="AB3070" s="55">
        <f t="shared" si="841"/>
        <v>0</v>
      </c>
      <c r="AC3070" s="55">
        <f t="shared" si="852"/>
        <v>0</v>
      </c>
      <c r="AD3070" s="56">
        <f t="shared" si="853"/>
        <v>0</v>
      </c>
    </row>
    <row r="3071" spans="3:30">
      <c r="C3071" s="43" t="s">
        <v>5715</v>
      </c>
      <c r="D3071" s="44" t="s">
        <v>5716</v>
      </c>
      <c r="E3071" s="44"/>
      <c r="F3071" s="45">
        <v>43306.295891203699</v>
      </c>
      <c r="G3071" s="46">
        <v>2</v>
      </c>
      <c r="H3071" s="47">
        <v>43461</v>
      </c>
      <c r="I3071" s="47">
        <v>43483</v>
      </c>
      <c r="J3071" s="46">
        <v>2677148</v>
      </c>
      <c r="K3071" s="46">
        <v>0</v>
      </c>
      <c r="L3071" s="46">
        <v>0</v>
      </c>
      <c r="M3071" s="46">
        <f t="shared" si="842"/>
        <v>2677148</v>
      </c>
      <c r="N3071" s="46">
        <v>3910500</v>
      </c>
      <c r="O3071" s="48">
        <f t="shared" si="843"/>
        <v>0.31539496228103825</v>
      </c>
      <c r="P3071" s="46">
        <v>2710159</v>
      </c>
      <c r="Q3071" s="46">
        <v>0</v>
      </c>
      <c r="R3071" s="49">
        <f t="shared" si="844"/>
        <v>0</v>
      </c>
      <c r="S3071" s="50">
        <f t="shared" si="845"/>
        <v>0</v>
      </c>
      <c r="T3071" s="49">
        <f t="shared" si="846"/>
        <v>0</v>
      </c>
      <c r="U3071" s="51">
        <f t="shared" si="847"/>
        <v>0</v>
      </c>
      <c r="V3071" s="52">
        <f>IF(0&lt;0.8,0,IF(0&lt;1,Sheet3!L561,1))*IF(G3071&lt;3,0.12 - O3071,0.01) *U3071</f>
        <v>0</v>
      </c>
      <c r="W3071" s="52">
        <f t="shared" si="848"/>
        <v>0</v>
      </c>
      <c r="X3071" s="53">
        <f t="shared" si="849"/>
        <v>0</v>
      </c>
      <c r="Y3071" s="53">
        <f t="shared" si="850"/>
        <v>0</v>
      </c>
      <c r="Z3071" s="54">
        <f t="shared" si="840"/>
        <v>0</v>
      </c>
      <c r="AA3071" s="54">
        <f t="shared" si="851"/>
        <v>0</v>
      </c>
      <c r="AB3071" s="55">
        <f t="shared" si="841"/>
        <v>0</v>
      </c>
      <c r="AC3071" s="55">
        <f t="shared" si="852"/>
        <v>0</v>
      </c>
      <c r="AD3071" s="56">
        <f t="shared" si="853"/>
        <v>0</v>
      </c>
    </row>
    <row r="3072" spans="3:30">
      <c r="C3072" s="43" t="s">
        <v>5717</v>
      </c>
      <c r="D3072" s="44" t="s">
        <v>5718</v>
      </c>
      <c r="E3072" s="44"/>
      <c r="F3072" s="45">
        <v>41762.434363425928</v>
      </c>
      <c r="G3072" s="46">
        <v>52</v>
      </c>
      <c r="H3072" s="47">
        <v>43404</v>
      </c>
      <c r="I3072" s="47">
        <v>43413</v>
      </c>
      <c r="J3072" s="46">
        <v>1512006</v>
      </c>
      <c r="K3072" s="46">
        <v>245708</v>
      </c>
      <c r="L3072" s="46">
        <v>0</v>
      </c>
      <c r="M3072" s="46">
        <f t="shared" si="842"/>
        <v>1266298</v>
      </c>
      <c r="N3072" s="46">
        <v>2030501</v>
      </c>
      <c r="O3072" s="48">
        <f t="shared" si="843"/>
        <v>0.37636179445368412</v>
      </c>
      <c r="P3072" s="46">
        <v>0</v>
      </c>
      <c r="Q3072" s="46">
        <v>1512006</v>
      </c>
      <c r="R3072" s="49">
        <f t="shared" si="844"/>
        <v>1</v>
      </c>
      <c r="S3072" s="50">
        <f t="shared" si="845"/>
        <v>0.01</v>
      </c>
      <c r="T3072" s="49">
        <f t="shared" si="846"/>
        <v>12662.98</v>
      </c>
      <c r="U3072" s="51">
        <f t="shared" si="847"/>
        <v>0</v>
      </c>
      <c r="V3072" s="52">
        <f>IF(0&lt;0.8,0,IF(0&lt;1,Sheet3!L561,1))*IF(G3072&lt;3,0.12 - O3072,0.01) *U3072</f>
        <v>0</v>
      </c>
      <c r="W3072" s="52">
        <f t="shared" si="848"/>
        <v>0</v>
      </c>
      <c r="X3072" s="53">
        <f t="shared" si="849"/>
        <v>0</v>
      </c>
      <c r="Y3072" s="53">
        <f t="shared" si="850"/>
        <v>0</v>
      </c>
      <c r="Z3072" s="54">
        <f t="shared" si="840"/>
        <v>0</v>
      </c>
      <c r="AA3072" s="54">
        <f t="shared" si="851"/>
        <v>0</v>
      </c>
      <c r="AB3072" s="55">
        <f t="shared" si="841"/>
        <v>0</v>
      </c>
      <c r="AC3072" s="55">
        <f t="shared" si="852"/>
        <v>0</v>
      </c>
      <c r="AD3072" s="56">
        <f t="shared" si="853"/>
        <v>12662.98</v>
      </c>
    </row>
    <row r="3073" spans="3:30">
      <c r="C3073" s="43" t="s">
        <v>5719</v>
      </c>
      <c r="D3073" s="44" t="s">
        <v>5720</v>
      </c>
      <c r="E3073" s="44"/>
      <c r="F3073" s="45">
        <v>42705.347222222219</v>
      </c>
      <c r="G3073" s="46">
        <v>21</v>
      </c>
      <c r="H3073" s="47">
        <v>43404</v>
      </c>
      <c r="I3073" s="47">
        <v>43413</v>
      </c>
      <c r="J3073" s="46">
        <v>1719768</v>
      </c>
      <c r="K3073" s="46">
        <v>18810</v>
      </c>
      <c r="L3073" s="46">
        <v>0</v>
      </c>
      <c r="M3073" s="46">
        <f t="shared" si="842"/>
        <v>1700958</v>
      </c>
      <c r="N3073" s="46">
        <v>2315904</v>
      </c>
      <c r="O3073" s="48">
        <f t="shared" si="843"/>
        <v>0.26553173188525947</v>
      </c>
      <c r="P3073" s="46">
        <v>0</v>
      </c>
      <c r="Q3073" s="46">
        <v>1719768</v>
      </c>
      <c r="R3073" s="49">
        <f t="shared" si="844"/>
        <v>1</v>
      </c>
      <c r="S3073" s="50">
        <f t="shared" si="845"/>
        <v>0.01</v>
      </c>
      <c r="T3073" s="49">
        <f t="shared" si="846"/>
        <v>17009.580000000002</v>
      </c>
      <c r="U3073" s="51">
        <f t="shared" si="847"/>
        <v>0</v>
      </c>
      <c r="V3073" s="52">
        <f>IF(0&lt;0.8,0,IF(0&lt;1,Sheet3!L561,1))*IF(G3073&lt;3,0.12 - O3073,0.01) *U3073</f>
        <v>0</v>
      </c>
      <c r="W3073" s="52">
        <f t="shared" si="848"/>
        <v>0</v>
      </c>
      <c r="X3073" s="53">
        <f t="shared" si="849"/>
        <v>0</v>
      </c>
      <c r="Y3073" s="53">
        <f t="shared" si="850"/>
        <v>0</v>
      </c>
      <c r="Z3073" s="54">
        <f t="shared" si="840"/>
        <v>0</v>
      </c>
      <c r="AA3073" s="54">
        <f t="shared" si="851"/>
        <v>0</v>
      </c>
      <c r="AB3073" s="55">
        <f t="shared" si="841"/>
        <v>0</v>
      </c>
      <c r="AC3073" s="55">
        <f t="shared" si="852"/>
        <v>0</v>
      </c>
      <c r="AD3073" s="56">
        <f t="shared" si="853"/>
        <v>17009.580000000002</v>
      </c>
    </row>
    <row r="3074" spans="3:30">
      <c r="C3074" s="43" t="s">
        <v>5721</v>
      </c>
      <c r="D3074" s="44" t="s">
        <v>5722</v>
      </c>
      <c r="E3074" s="44"/>
      <c r="F3074" s="45">
        <v>42521.260462962964</v>
      </c>
      <c r="G3074" s="46">
        <v>28</v>
      </c>
      <c r="H3074" s="47" t="s">
        <v>24</v>
      </c>
      <c r="I3074" s="47" t="s">
        <v>24</v>
      </c>
      <c r="J3074" s="46">
        <v>0</v>
      </c>
      <c r="K3074" s="46">
        <v>0</v>
      </c>
      <c r="L3074" s="46">
        <v>0</v>
      </c>
      <c r="M3074" s="46">
        <f t="shared" si="842"/>
        <v>0</v>
      </c>
      <c r="N3074" s="46">
        <v>1251140</v>
      </c>
      <c r="O3074" s="48">
        <f t="shared" si="843"/>
        <v>1</v>
      </c>
      <c r="P3074" s="46">
        <v>0</v>
      </c>
      <c r="Q3074" s="46">
        <v>0</v>
      </c>
      <c r="R3074" s="49">
        <f t="shared" si="844"/>
        <v>1</v>
      </c>
      <c r="S3074" s="50">
        <f t="shared" si="845"/>
        <v>0.01</v>
      </c>
      <c r="T3074" s="49">
        <f t="shared" si="846"/>
        <v>0</v>
      </c>
      <c r="U3074" s="51">
        <f t="shared" si="847"/>
        <v>0</v>
      </c>
      <c r="V3074" s="52">
        <f>IF(0&lt;0.8,0,IF(0&lt;1,Sheet3!L561,1))*IF(G3074&lt;3,0.12 - O3074,0.01) *U3074</f>
        <v>0</v>
      </c>
      <c r="W3074" s="52">
        <f t="shared" si="848"/>
        <v>0</v>
      </c>
      <c r="X3074" s="53">
        <f t="shared" si="849"/>
        <v>0</v>
      </c>
      <c r="Y3074" s="53">
        <f t="shared" si="850"/>
        <v>0</v>
      </c>
      <c r="Z3074" s="54">
        <f>IF(R3074=1,0,"")</f>
        <v>0</v>
      </c>
      <c r="AA3074" s="54">
        <f t="shared" si="851"/>
        <v>0</v>
      </c>
      <c r="AB3074" s="55">
        <f>IF(R3074=0,"",0)</f>
        <v>0</v>
      </c>
      <c r="AC3074" s="55">
        <f t="shared" si="852"/>
        <v>0</v>
      </c>
      <c r="AD3074" s="56">
        <f t="shared" si="853"/>
        <v>0</v>
      </c>
    </row>
    <row r="3075" spans="3:30">
      <c r="C3075" s="43" t="s">
        <v>5723</v>
      </c>
      <c r="D3075" s="44" t="s">
        <v>995</v>
      </c>
      <c r="E3075" s="44"/>
      <c r="F3075" s="45">
        <v>43316.681354166663</v>
      </c>
      <c r="G3075" s="46">
        <v>1</v>
      </c>
      <c r="H3075" s="47">
        <v>43459</v>
      </c>
      <c r="I3075" s="47">
        <v>43487</v>
      </c>
      <c r="J3075" s="46">
        <v>848198</v>
      </c>
      <c r="K3075" s="46">
        <v>0</v>
      </c>
      <c r="L3075" s="46">
        <v>0</v>
      </c>
      <c r="M3075" s="46">
        <f t="shared" si="842"/>
        <v>848198</v>
      </c>
      <c r="N3075" s="46">
        <v>897285</v>
      </c>
      <c r="O3075" s="48">
        <f t="shared" si="843"/>
        <v>5.4706141304044942E-2</v>
      </c>
      <c r="P3075" s="46">
        <v>0</v>
      </c>
      <c r="Q3075" s="46">
        <v>0</v>
      </c>
      <c r="R3075" s="49">
        <f t="shared" si="844"/>
        <v>0</v>
      </c>
      <c r="S3075" s="50">
        <f t="shared" si="845"/>
        <v>0</v>
      </c>
      <c r="T3075" s="49">
        <f t="shared" si="846"/>
        <v>0</v>
      </c>
      <c r="U3075" s="51">
        <f t="shared" si="847"/>
        <v>848198</v>
      </c>
      <c r="V3075" s="52">
        <f>IF(0&lt;0.8,0,IF(0&lt;1,Sheet3!L561,1))*IF(G3075&lt;3,0.12 - O3075,0.01) *U3075</f>
        <v>0</v>
      </c>
      <c r="W3075" s="52">
        <f t="shared" si="848"/>
        <v>0</v>
      </c>
      <c r="X3075" s="53">
        <f t="shared" si="849"/>
        <v>0</v>
      </c>
      <c r="Y3075" s="53">
        <f t="shared" si="850"/>
        <v>0</v>
      </c>
      <c r="Z3075" s="54">
        <f t="shared" ref="Z3075:Z3103" si="854">IF(R3075=1,0,0)</f>
        <v>0</v>
      </c>
      <c r="AA3075" s="54">
        <f t="shared" si="851"/>
        <v>0</v>
      </c>
      <c r="AB3075" s="55">
        <f t="shared" ref="AB3075:AB3103" si="855">IF(R3075=0,0,0)</f>
        <v>0</v>
      </c>
      <c r="AC3075" s="55">
        <f t="shared" si="852"/>
        <v>0</v>
      </c>
      <c r="AD3075" s="56">
        <f t="shared" si="853"/>
        <v>0</v>
      </c>
    </row>
    <row r="3076" spans="3:30">
      <c r="C3076" s="43" t="s">
        <v>5724</v>
      </c>
      <c r="D3076" s="44" t="s">
        <v>995</v>
      </c>
      <c r="E3076" s="44"/>
      <c r="F3076" s="45">
        <v>43316.682106481479</v>
      </c>
      <c r="G3076" s="46">
        <v>1</v>
      </c>
      <c r="H3076" s="47">
        <v>43431</v>
      </c>
      <c r="I3076" s="47">
        <v>43462</v>
      </c>
      <c r="J3076" s="46">
        <v>564351</v>
      </c>
      <c r="K3076" s="46">
        <v>0</v>
      </c>
      <c r="L3076" s="46">
        <v>0</v>
      </c>
      <c r="M3076" s="46">
        <f t="shared" si="842"/>
        <v>564351</v>
      </c>
      <c r="N3076" s="46">
        <v>940654</v>
      </c>
      <c r="O3076" s="48">
        <f t="shared" si="843"/>
        <v>0.4000440119321238</v>
      </c>
      <c r="P3076" s="46">
        <v>0</v>
      </c>
      <c r="Q3076" s="46">
        <v>0</v>
      </c>
      <c r="R3076" s="49">
        <f t="shared" si="844"/>
        <v>0</v>
      </c>
      <c r="S3076" s="50">
        <f t="shared" si="845"/>
        <v>0</v>
      </c>
      <c r="T3076" s="49">
        <f t="shared" si="846"/>
        <v>0</v>
      </c>
      <c r="U3076" s="51">
        <f t="shared" si="847"/>
        <v>0</v>
      </c>
      <c r="V3076" s="52">
        <f>IF(0&lt;0.8,0,IF(0&lt;1,Sheet3!L561,1))*IF(G3076&lt;3,0.12 - O3076,0.01) *U3076</f>
        <v>0</v>
      </c>
      <c r="W3076" s="52">
        <f t="shared" si="848"/>
        <v>0</v>
      </c>
      <c r="X3076" s="53">
        <f t="shared" si="849"/>
        <v>0</v>
      </c>
      <c r="Y3076" s="53">
        <f t="shared" si="850"/>
        <v>0</v>
      </c>
      <c r="Z3076" s="54">
        <f t="shared" si="854"/>
        <v>0</v>
      </c>
      <c r="AA3076" s="54">
        <f t="shared" si="851"/>
        <v>0</v>
      </c>
      <c r="AB3076" s="55">
        <f t="shared" si="855"/>
        <v>0</v>
      </c>
      <c r="AC3076" s="55">
        <f t="shared" si="852"/>
        <v>0</v>
      </c>
      <c r="AD3076" s="56">
        <f t="shared" si="853"/>
        <v>0</v>
      </c>
    </row>
    <row r="3077" spans="3:30">
      <c r="C3077" s="43" t="s">
        <v>5725</v>
      </c>
      <c r="D3077" s="44" t="s">
        <v>995</v>
      </c>
      <c r="E3077" s="44"/>
      <c r="F3077" s="45">
        <v>43316.682719907403</v>
      </c>
      <c r="G3077" s="46">
        <v>1</v>
      </c>
      <c r="H3077" s="47">
        <v>43431</v>
      </c>
      <c r="I3077" s="47">
        <v>43462</v>
      </c>
      <c r="J3077" s="46">
        <v>735681</v>
      </c>
      <c r="K3077" s="46">
        <v>0</v>
      </c>
      <c r="L3077" s="46">
        <v>0</v>
      </c>
      <c r="M3077" s="46">
        <f t="shared" si="842"/>
        <v>735681</v>
      </c>
      <c r="N3077" s="46">
        <v>1088395</v>
      </c>
      <c r="O3077" s="48">
        <f t="shared" si="843"/>
        <v>0.32406800839768646</v>
      </c>
      <c r="P3077" s="46">
        <v>0</v>
      </c>
      <c r="Q3077" s="46">
        <v>0</v>
      </c>
      <c r="R3077" s="49">
        <f t="shared" si="844"/>
        <v>0</v>
      </c>
      <c r="S3077" s="50">
        <f t="shared" si="845"/>
        <v>0</v>
      </c>
      <c r="T3077" s="49">
        <f t="shared" si="846"/>
        <v>0</v>
      </c>
      <c r="U3077" s="51">
        <f t="shared" si="847"/>
        <v>0</v>
      </c>
      <c r="V3077" s="52">
        <f>IF(0&lt;0.8,0,IF(0&lt;1,Sheet3!L561,1))*IF(G3077&lt;3,0.12 - O3077,0.01) *U3077</f>
        <v>0</v>
      </c>
      <c r="W3077" s="52">
        <f t="shared" si="848"/>
        <v>0</v>
      </c>
      <c r="X3077" s="53">
        <f t="shared" si="849"/>
        <v>0</v>
      </c>
      <c r="Y3077" s="53">
        <f t="shared" si="850"/>
        <v>0</v>
      </c>
      <c r="Z3077" s="54">
        <f t="shared" si="854"/>
        <v>0</v>
      </c>
      <c r="AA3077" s="54">
        <f t="shared" si="851"/>
        <v>0</v>
      </c>
      <c r="AB3077" s="55">
        <f t="shared" si="855"/>
        <v>0</v>
      </c>
      <c r="AC3077" s="55">
        <f t="shared" si="852"/>
        <v>0</v>
      </c>
      <c r="AD3077" s="56">
        <f t="shared" si="853"/>
        <v>0</v>
      </c>
    </row>
    <row r="3078" spans="3:30">
      <c r="C3078" s="43" t="s">
        <v>5726</v>
      </c>
      <c r="D3078" s="44" t="s">
        <v>995</v>
      </c>
      <c r="E3078" s="44"/>
      <c r="F3078" s="45">
        <v>43316.683287037034</v>
      </c>
      <c r="G3078" s="46">
        <v>1</v>
      </c>
      <c r="H3078" s="47">
        <v>43431</v>
      </c>
      <c r="I3078" s="47">
        <v>43462</v>
      </c>
      <c r="J3078" s="46">
        <v>1346698</v>
      </c>
      <c r="K3078" s="46">
        <v>0</v>
      </c>
      <c r="L3078" s="46">
        <v>0</v>
      </c>
      <c r="M3078" s="46">
        <f t="shared" si="842"/>
        <v>1346698</v>
      </c>
      <c r="N3078" s="46">
        <v>1906563</v>
      </c>
      <c r="O3078" s="48">
        <f t="shared" si="843"/>
        <v>0.29365145552494198</v>
      </c>
      <c r="P3078" s="46">
        <v>0</v>
      </c>
      <c r="Q3078" s="46">
        <v>0</v>
      </c>
      <c r="R3078" s="49">
        <f t="shared" si="844"/>
        <v>0</v>
      </c>
      <c r="S3078" s="50">
        <f t="shared" si="845"/>
        <v>0</v>
      </c>
      <c r="T3078" s="49">
        <f t="shared" si="846"/>
        <v>0</v>
      </c>
      <c r="U3078" s="51">
        <f t="shared" si="847"/>
        <v>0</v>
      </c>
      <c r="V3078" s="52">
        <f>IF(0&lt;0.8,0,IF(0&lt;1,Sheet3!L561,1))*IF(G3078&lt;3,0.12 - O3078,0.01) *U3078</f>
        <v>0</v>
      </c>
      <c r="W3078" s="52">
        <f t="shared" si="848"/>
        <v>0</v>
      </c>
      <c r="X3078" s="53">
        <f t="shared" si="849"/>
        <v>0</v>
      </c>
      <c r="Y3078" s="53">
        <f t="shared" si="850"/>
        <v>0</v>
      </c>
      <c r="Z3078" s="54">
        <f t="shared" si="854"/>
        <v>0</v>
      </c>
      <c r="AA3078" s="54">
        <f t="shared" si="851"/>
        <v>0</v>
      </c>
      <c r="AB3078" s="55">
        <f t="shared" si="855"/>
        <v>0</v>
      </c>
      <c r="AC3078" s="55">
        <f t="shared" si="852"/>
        <v>0</v>
      </c>
      <c r="AD3078" s="56">
        <f t="shared" si="853"/>
        <v>0</v>
      </c>
    </row>
    <row r="3079" spans="3:30">
      <c r="C3079" s="43" t="s">
        <v>5727</v>
      </c>
      <c r="D3079" s="44" t="s">
        <v>995</v>
      </c>
      <c r="E3079" s="44"/>
      <c r="F3079" s="45">
        <v>43316.683761574073</v>
      </c>
      <c r="G3079" s="46">
        <v>1</v>
      </c>
      <c r="H3079" s="47">
        <v>43431</v>
      </c>
      <c r="I3079" s="47">
        <v>43462</v>
      </c>
      <c r="J3079" s="46">
        <v>1479086</v>
      </c>
      <c r="K3079" s="46">
        <v>0</v>
      </c>
      <c r="L3079" s="46">
        <v>0</v>
      </c>
      <c r="M3079" s="46">
        <f t="shared" si="842"/>
        <v>1479086</v>
      </c>
      <c r="N3079" s="46">
        <v>1960359</v>
      </c>
      <c r="O3079" s="48">
        <f t="shared" si="843"/>
        <v>0.24550248194335833</v>
      </c>
      <c r="P3079" s="46">
        <v>0</v>
      </c>
      <c r="Q3079" s="46">
        <v>0</v>
      </c>
      <c r="R3079" s="49">
        <f t="shared" si="844"/>
        <v>0</v>
      </c>
      <c r="S3079" s="50">
        <f t="shared" si="845"/>
        <v>0</v>
      </c>
      <c r="T3079" s="49">
        <f t="shared" si="846"/>
        <v>0</v>
      </c>
      <c r="U3079" s="51">
        <f t="shared" si="847"/>
        <v>0</v>
      </c>
      <c r="V3079" s="52">
        <f>IF(0&lt;0.8,0,IF(0&lt;1,Sheet3!L561,1))*IF(G3079&lt;3,0.12 - O3079,0.01) *U3079</f>
        <v>0</v>
      </c>
      <c r="W3079" s="52">
        <f t="shared" si="848"/>
        <v>0</v>
      </c>
      <c r="X3079" s="53">
        <f t="shared" si="849"/>
        <v>0</v>
      </c>
      <c r="Y3079" s="53">
        <f t="shared" si="850"/>
        <v>0</v>
      </c>
      <c r="Z3079" s="54">
        <f t="shared" si="854"/>
        <v>0</v>
      </c>
      <c r="AA3079" s="54">
        <f t="shared" si="851"/>
        <v>0</v>
      </c>
      <c r="AB3079" s="55">
        <f t="shared" si="855"/>
        <v>0</v>
      </c>
      <c r="AC3079" s="55">
        <f t="shared" si="852"/>
        <v>0</v>
      </c>
      <c r="AD3079" s="56">
        <f t="shared" si="853"/>
        <v>0</v>
      </c>
    </row>
    <row r="3080" spans="3:30">
      <c r="C3080" s="43" t="s">
        <v>5728</v>
      </c>
      <c r="D3080" s="44" t="s">
        <v>995</v>
      </c>
      <c r="E3080" s="44"/>
      <c r="F3080" s="45">
        <v>43316.684340277774</v>
      </c>
      <c r="G3080" s="46">
        <v>1</v>
      </c>
      <c r="H3080" s="47">
        <v>43431</v>
      </c>
      <c r="I3080" s="47">
        <v>43462</v>
      </c>
      <c r="J3080" s="46">
        <v>534537</v>
      </c>
      <c r="K3080" s="46">
        <v>0</v>
      </c>
      <c r="L3080" s="46">
        <v>0</v>
      </c>
      <c r="M3080" s="46">
        <f t="shared" si="842"/>
        <v>534537</v>
      </c>
      <c r="N3080" s="46">
        <v>774642</v>
      </c>
      <c r="O3080" s="48">
        <f t="shared" si="843"/>
        <v>0.3099560829389576</v>
      </c>
      <c r="P3080" s="46">
        <v>0</v>
      </c>
      <c r="Q3080" s="46">
        <v>0</v>
      </c>
      <c r="R3080" s="49">
        <f t="shared" si="844"/>
        <v>0</v>
      </c>
      <c r="S3080" s="50">
        <f t="shared" si="845"/>
        <v>0</v>
      </c>
      <c r="T3080" s="49">
        <f t="shared" si="846"/>
        <v>0</v>
      </c>
      <c r="U3080" s="51">
        <f t="shared" si="847"/>
        <v>0</v>
      </c>
      <c r="V3080" s="52">
        <f>IF(0&lt;0.8,0,IF(0&lt;1,Sheet3!L561,1))*IF(G3080&lt;3,0.12 - O3080,0.01) *U3080</f>
        <v>0</v>
      </c>
      <c r="W3080" s="52">
        <f t="shared" si="848"/>
        <v>0</v>
      </c>
      <c r="X3080" s="53">
        <f t="shared" si="849"/>
        <v>0</v>
      </c>
      <c r="Y3080" s="53">
        <f t="shared" si="850"/>
        <v>0</v>
      </c>
      <c r="Z3080" s="54">
        <f t="shared" si="854"/>
        <v>0</v>
      </c>
      <c r="AA3080" s="54">
        <f t="shared" si="851"/>
        <v>0</v>
      </c>
      <c r="AB3080" s="55">
        <f t="shared" si="855"/>
        <v>0</v>
      </c>
      <c r="AC3080" s="55">
        <f t="shared" si="852"/>
        <v>0</v>
      </c>
      <c r="AD3080" s="56">
        <f t="shared" si="853"/>
        <v>0</v>
      </c>
    </row>
    <row r="3081" spans="3:30">
      <c r="C3081" s="43" t="s">
        <v>5729</v>
      </c>
      <c r="D3081" s="44" t="s">
        <v>5730</v>
      </c>
      <c r="E3081" s="44"/>
      <c r="F3081" s="45">
        <v>41283.393090277779</v>
      </c>
      <c r="G3081" s="46">
        <v>68</v>
      </c>
      <c r="H3081" s="47">
        <v>43404</v>
      </c>
      <c r="I3081" s="47">
        <v>43413</v>
      </c>
      <c r="J3081" s="46">
        <v>1298991</v>
      </c>
      <c r="K3081" s="46">
        <v>972220</v>
      </c>
      <c r="L3081" s="46">
        <v>0</v>
      </c>
      <c r="M3081" s="46">
        <f t="shared" si="842"/>
        <v>326771</v>
      </c>
      <c r="N3081" s="46">
        <v>1608607</v>
      </c>
      <c r="O3081" s="48">
        <f t="shared" si="843"/>
        <v>0.79686088646885156</v>
      </c>
      <c r="P3081" s="46">
        <v>0</v>
      </c>
      <c r="Q3081" s="46">
        <v>1298991</v>
      </c>
      <c r="R3081" s="49">
        <f t="shared" si="844"/>
        <v>1</v>
      </c>
      <c r="S3081" s="50">
        <f t="shared" si="845"/>
        <v>0.01</v>
      </c>
      <c r="T3081" s="49">
        <f t="shared" si="846"/>
        <v>3267.71</v>
      </c>
      <c r="U3081" s="51">
        <f t="shared" si="847"/>
        <v>0</v>
      </c>
      <c r="V3081" s="52">
        <f>IF(0&lt;0.8,0,IF(0&lt;1,Sheet3!L561,1))*IF(G3081&lt;3,0.12 - O3081,0.01) *U3081</f>
        <v>0</v>
      </c>
      <c r="W3081" s="52">
        <f t="shared" si="848"/>
        <v>0</v>
      </c>
      <c r="X3081" s="53">
        <f t="shared" si="849"/>
        <v>0</v>
      </c>
      <c r="Y3081" s="53">
        <f t="shared" si="850"/>
        <v>0</v>
      </c>
      <c r="Z3081" s="54">
        <f t="shared" si="854"/>
        <v>0</v>
      </c>
      <c r="AA3081" s="54">
        <f t="shared" si="851"/>
        <v>0</v>
      </c>
      <c r="AB3081" s="55">
        <f t="shared" si="855"/>
        <v>0</v>
      </c>
      <c r="AC3081" s="55">
        <f t="shared" si="852"/>
        <v>0</v>
      </c>
      <c r="AD3081" s="56">
        <f t="shared" si="853"/>
        <v>3267.71</v>
      </c>
    </row>
    <row r="3082" spans="3:30">
      <c r="C3082" s="43" t="s">
        <v>5731</v>
      </c>
      <c r="D3082" s="44" t="s">
        <v>5732</v>
      </c>
      <c r="E3082" s="44"/>
      <c r="F3082" s="45">
        <v>41500.460011574076</v>
      </c>
      <c r="G3082" s="46">
        <v>61</v>
      </c>
      <c r="H3082" s="47">
        <v>43372</v>
      </c>
      <c r="I3082" s="47">
        <v>43388</v>
      </c>
      <c r="J3082" s="46">
        <v>810448</v>
      </c>
      <c r="K3082" s="46">
        <v>0</v>
      </c>
      <c r="L3082" s="46">
        <v>0</v>
      </c>
      <c r="M3082" s="46">
        <f t="shared" si="842"/>
        <v>810448</v>
      </c>
      <c r="N3082" s="46">
        <v>918983</v>
      </c>
      <c r="O3082" s="48">
        <f t="shared" si="843"/>
        <v>0.11810338167300161</v>
      </c>
      <c r="P3082" s="46">
        <v>0</v>
      </c>
      <c r="Q3082" s="46">
        <v>810448</v>
      </c>
      <c r="R3082" s="49">
        <f t="shared" si="844"/>
        <v>1</v>
      </c>
      <c r="S3082" s="50">
        <f t="shared" si="845"/>
        <v>0.01</v>
      </c>
      <c r="T3082" s="49">
        <f t="shared" si="846"/>
        <v>8104.4800000000005</v>
      </c>
      <c r="U3082" s="51">
        <f t="shared" si="847"/>
        <v>0</v>
      </c>
      <c r="V3082" s="52">
        <f>IF(0&lt;0.8,0,IF(0&lt;1,Sheet3!L561,1))*IF(G3082&lt;3,0.12 - O3082,0.01) *U3082</f>
        <v>0</v>
      </c>
      <c r="W3082" s="52">
        <f t="shared" si="848"/>
        <v>0</v>
      </c>
      <c r="X3082" s="53">
        <f t="shared" si="849"/>
        <v>0</v>
      </c>
      <c r="Y3082" s="53">
        <f t="shared" si="850"/>
        <v>0</v>
      </c>
      <c r="Z3082" s="54">
        <f t="shared" si="854"/>
        <v>0</v>
      </c>
      <c r="AA3082" s="54">
        <f t="shared" si="851"/>
        <v>0</v>
      </c>
      <c r="AB3082" s="55">
        <f t="shared" si="855"/>
        <v>0</v>
      </c>
      <c r="AC3082" s="55">
        <f t="shared" si="852"/>
        <v>0</v>
      </c>
      <c r="AD3082" s="56">
        <f t="shared" si="853"/>
        <v>8104.4800000000005</v>
      </c>
    </row>
    <row r="3083" spans="3:30">
      <c r="C3083" s="43" t="s">
        <v>5733</v>
      </c>
      <c r="D3083" s="44" t="s">
        <v>5734</v>
      </c>
      <c r="E3083" s="44"/>
      <c r="F3083" s="45">
        <v>41652.406307870369</v>
      </c>
      <c r="G3083" s="46">
        <v>56</v>
      </c>
      <c r="H3083" s="47">
        <v>43372</v>
      </c>
      <c r="I3083" s="47">
        <v>43400</v>
      </c>
      <c r="J3083" s="46">
        <v>96437</v>
      </c>
      <c r="K3083" s="46">
        <v>0</v>
      </c>
      <c r="L3083" s="46">
        <v>0</v>
      </c>
      <c r="M3083" s="46">
        <f t="shared" si="842"/>
        <v>96437</v>
      </c>
      <c r="N3083" s="46">
        <v>96437</v>
      </c>
      <c r="O3083" s="48">
        <f t="shared" si="843"/>
        <v>0</v>
      </c>
      <c r="P3083" s="46">
        <v>0</v>
      </c>
      <c r="Q3083" s="46">
        <v>96437</v>
      </c>
      <c r="R3083" s="49">
        <f t="shared" si="844"/>
        <v>1</v>
      </c>
      <c r="S3083" s="50">
        <f t="shared" si="845"/>
        <v>0.01</v>
      </c>
      <c r="T3083" s="49">
        <f t="shared" si="846"/>
        <v>964.37</v>
      </c>
      <c r="U3083" s="51">
        <f t="shared" si="847"/>
        <v>0</v>
      </c>
      <c r="V3083" s="52">
        <f>IF(0&lt;0.8,0,IF(0&lt;1,Sheet3!L561,1))*IF(G3083&lt;3,0.12 - O3083,0.01) *U3083</f>
        <v>0</v>
      </c>
      <c r="W3083" s="52">
        <f t="shared" si="848"/>
        <v>0</v>
      </c>
      <c r="X3083" s="53">
        <f t="shared" si="849"/>
        <v>0</v>
      </c>
      <c r="Y3083" s="53">
        <f t="shared" si="850"/>
        <v>0</v>
      </c>
      <c r="Z3083" s="54">
        <f t="shared" si="854"/>
        <v>0</v>
      </c>
      <c r="AA3083" s="54">
        <f t="shared" si="851"/>
        <v>0</v>
      </c>
      <c r="AB3083" s="55">
        <f t="shared" si="855"/>
        <v>0</v>
      </c>
      <c r="AC3083" s="55">
        <f t="shared" si="852"/>
        <v>0</v>
      </c>
      <c r="AD3083" s="56">
        <f t="shared" si="853"/>
        <v>964.37</v>
      </c>
    </row>
    <row r="3084" spans="3:30">
      <c r="C3084" s="43" t="s">
        <v>5735</v>
      </c>
      <c r="D3084" s="44" t="s">
        <v>5736</v>
      </c>
      <c r="E3084" s="44"/>
      <c r="F3084" s="45">
        <v>41650.368750000001</v>
      </c>
      <c r="G3084" s="46">
        <v>56</v>
      </c>
      <c r="H3084" s="47">
        <v>43372</v>
      </c>
      <c r="I3084" s="47">
        <v>43402</v>
      </c>
      <c r="J3084" s="46">
        <v>3354991</v>
      </c>
      <c r="K3084" s="46">
        <v>0</v>
      </c>
      <c r="L3084" s="46">
        <v>0</v>
      </c>
      <c r="M3084" s="46">
        <f t="shared" si="842"/>
        <v>3354991</v>
      </c>
      <c r="N3084" s="46">
        <v>3353167</v>
      </c>
      <c r="O3084" s="48">
        <f t="shared" si="843"/>
        <v>0</v>
      </c>
      <c r="P3084" s="46">
        <v>0</v>
      </c>
      <c r="Q3084" s="46">
        <v>3354991</v>
      </c>
      <c r="R3084" s="49">
        <f t="shared" si="844"/>
        <v>1</v>
      </c>
      <c r="S3084" s="50">
        <f t="shared" si="845"/>
        <v>0.01</v>
      </c>
      <c r="T3084" s="49">
        <f t="shared" si="846"/>
        <v>33549.910000000003</v>
      </c>
      <c r="U3084" s="51">
        <f t="shared" si="847"/>
        <v>0</v>
      </c>
      <c r="V3084" s="52">
        <f>IF(0&lt;0.8,0,IF(0&lt;1,Sheet3!L561,1))*IF(G3084&lt;3,0.12 - O3084,0.01) *U3084</f>
        <v>0</v>
      </c>
      <c r="W3084" s="52">
        <f t="shared" si="848"/>
        <v>0</v>
      </c>
      <c r="X3084" s="53">
        <f t="shared" si="849"/>
        <v>0</v>
      </c>
      <c r="Y3084" s="53">
        <f t="shared" si="850"/>
        <v>0</v>
      </c>
      <c r="Z3084" s="54">
        <f t="shared" si="854"/>
        <v>0</v>
      </c>
      <c r="AA3084" s="54">
        <f t="shared" si="851"/>
        <v>0</v>
      </c>
      <c r="AB3084" s="55">
        <f t="shared" si="855"/>
        <v>0</v>
      </c>
      <c r="AC3084" s="55">
        <f t="shared" si="852"/>
        <v>0</v>
      </c>
      <c r="AD3084" s="56">
        <f t="shared" si="853"/>
        <v>33549.910000000003</v>
      </c>
    </row>
    <row r="3085" spans="3:30">
      <c r="C3085" s="43" t="s">
        <v>5737</v>
      </c>
      <c r="D3085" s="44" t="s">
        <v>5738</v>
      </c>
      <c r="E3085" s="44"/>
      <c r="F3085" s="45">
        <v>41943.435104166667</v>
      </c>
      <c r="G3085" s="46">
        <v>47</v>
      </c>
      <c r="H3085" s="47">
        <v>43404</v>
      </c>
      <c r="I3085" s="47">
        <v>43413</v>
      </c>
      <c r="J3085" s="46">
        <v>635635</v>
      </c>
      <c r="K3085" s="46">
        <v>0</v>
      </c>
      <c r="L3085" s="46">
        <v>0</v>
      </c>
      <c r="M3085" s="46">
        <f t="shared" si="842"/>
        <v>635635</v>
      </c>
      <c r="N3085" s="46">
        <v>950576</v>
      </c>
      <c r="O3085" s="48">
        <f t="shared" si="843"/>
        <v>0.33131596000740604</v>
      </c>
      <c r="P3085" s="46">
        <v>0</v>
      </c>
      <c r="Q3085" s="46">
        <v>635635</v>
      </c>
      <c r="R3085" s="49">
        <f t="shared" si="844"/>
        <v>1</v>
      </c>
      <c r="S3085" s="50">
        <f t="shared" si="845"/>
        <v>0.01</v>
      </c>
      <c r="T3085" s="49">
        <f t="shared" si="846"/>
        <v>6356.35</v>
      </c>
      <c r="U3085" s="51">
        <f t="shared" si="847"/>
        <v>0</v>
      </c>
      <c r="V3085" s="52">
        <f>IF(0&lt;0.8,0,IF(0&lt;1,Sheet3!L561,1))*IF(G3085&lt;3,0.12 - O3085,0.01) *U3085</f>
        <v>0</v>
      </c>
      <c r="W3085" s="52">
        <f t="shared" si="848"/>
        <v>0</v>
      </c>
      <c r="X3085" s="53">
        <f t="shared" si="849"/>
        <v>0</v>
      </c>
      <c r="Y3085" s="53">
        <f t="shared" si="850"/>
        <v>0</v>
      </c>
      <c r="Z3085" s="54">
        <f t="shared" si="854"/>
        <v>0</v>
      </c>
      <c r="AA3085" s="54">
        <f t="shared" si="851"/>
        <v>0</v>
      </c>
      <c r="AB3085" s="55">
        <f t="shared" si="855"/>
        <v>0</v>
      </c>
      <c r="AC3085" s="55">
        <f t="shared" si="852"/>
        <v>0</v>
      </c>
      <c r="AD3085" s="56">
        <f t="shared" si="853"/>
        <v>6356.35</v>
      </c>
    </row>
    <row r="3086" spans="3:30">
      <c r="C3086" s="43" t="s">
        <v>5739</v>
      </c>
      <c r="D3086" s="44" t="s">
        <v>5740</v>
      </c>
      <c r="E3086" s="44"/>
      <c r="F3086" s="45">
        <v>42185.453773148147</v>
      </c>
      <c r="G3086" s="46">
        <v>39</v>
      </c>
      <c r="H3086" s="47">
        <v>43404</v>
      </c>
      <c r="I3086" s="47">
        <v>43413</v>
      </c>
      <c r="J3086" s="46">
        <v>4178545</v>
      </c>
      <c r="K3086" s="46">
        <v>19217</v>
      </c>
      <c r="L3086" s="46">
        <v>0</v>
      </c>
      <c r="M3086" s="46">
        <f t="shared" si="842"/>
        <v>4159328</v>
      </c>
      <c r="N3086" s="46">
        <v>5803126</v>
      </c>
      <c r="O3086" s="48">
        <f t="shared" si="843"/>
        <v>0.28326078048279502</v>
      </c>
      <c r="P3086" s="46">
        <v>0</v>
      </c>
      <c r="Q3086" s="46">
        <v>4178545</v>
      </c>
      <c r="R3086" s="49">
        <f t="shared" si="844"/>
        <v>1</v>
      </c>
      <c r="S3086" s="50">
        <f t="shared" si="845"/>
        <v>0.01</v>
      </c>
      <c r="T3086" s="49">
        <f t="shared" si="846"/>
        <v>41593.279999999999</v>
      </c>
      <c r="U3086" s="51">
        <f t="shared" si="847"/>
        <v>0</v>
      </c>
      <c r="V3086" s="52">
        <f>IF(0&lt;0.8,0,IF(0&lt;1,Sheet3!L561,1))*IF(G3086&lt;3,0.12 - O3086,0.01) *U3086</f>
        <v>0</v>
      </c>
      <c r="W3086" s="52">
        <f t="shared" si="848"/>
        <v>0</v>
      </c>
      <c r="X3086" s="53">
        <f t="shared" si="849"/>
        <v>0</v>
      </c>
      <c r="Y3086" s="53">
        <f t="shared" si="850"/>
        <v>0</v>
      </c>
      <c r="Z3086" s="54">
        <f t="shared" si="854"/>
        <v>0</v>
      </c>
      <c r="AA3086" s="54">
        <f t="shared" si="851"/>
        <v>0</v>
      </c>
      <c r="AB3086" s="55">
        <f t="shared" si="855"/>
        <v>0</v>
      </c>
      <c r="AC3086" s="55">
        <f t="shared" si="852"/>
        <v>0</v>
      </c>
      <c r="AD3086" s="56">
        <f t="shared" si="853"/>
        <v>41593.279999999999</v>
      </c>
    </row>
    <row r="3087" spans="3:30">
      <c r="C3087" s="43" t="s">
        <v>5741</v>
      </c>
      <c r="D3087" s="44" t="s">
        <v>5742</v>
      </c>
      <c r="E3087" s="44"/>
      <c r="F3087" s="45">
        <v>42205.457499999997</v>
      </c>
      <c r="G3087" s="46">
        <v>38</v>
      </c>
      <c r="H3087" s="47">
        <v>43404</v>
      </c>
      <c r="I3087" s="47">
        <v>43413</v>
      </c>
      <c r="J3087" s="46">
        <v>826348</v>
      </c>
      <c r="K3087" s="46">
        <v>0</v>
      </c>
      <c r="L3087" s="46">
        <v>0</v>
      </c>
      <c r="M3087" s="46">
        <f t="shared" si="842"/>
        <v>826348</v>
      </c>
      <c r="N3087" s="46">
        <v>1160995</v>
      </c>
      <c r="O3087" s="48">
        <f t="shared" si="843"/>
        <v>0.28824155142787011</v>
      </c>
      <c r="P3087" s="46">
        <v>0</v>
      </c>
      <c r="Q3087" s="46">
        <v>826348</v>
      </c>
      <c r="R3087" s="49">
        <f t="shared" si="844"/>
        <v>1</v>
      </c>
      <c r="S3087" s="50">
        <f t="shared" si="845"/>
        <v>0.01</v>
      </c>
      <c r="T3087" s="49">
        <f t="shared" si="846"/>
        <v>8263.48</v>
      </c>
      <c r="U3087" s="51">
        <f t="shared" si="847"/>
        <v>0</v>
      </c>
      <c r="V3087" s="52">
        <f>IF(0&lt;0.8,0,IF(0&lt;1,Sheet3!L561,1))*IF(G3087&lt;3,0.12 - O3087,0.01) *U3087</f>
        <v>0</v>
      </c>
      <c r="W3087" s="52">
        <f t="shared" si="848"/>
        <v>0</v>
      </c>
      <c r="X3087" s="53">
        <f t="shared" si="849"/>
        <v>0</v>
      </c>
      <c r="Y3087" s="53">
        <f t="shared" si="850"/>
        <v>0</v>
      </c>
      <c r="Z3087" s="54">
        <f t="shared" si="854"/>
        <v>0</v>
      </c>
      <c r="AA3087" s="54">
        <f t="shared" si="851"/>
        <v>0</v>
      </c>
      <c r="AB3087" s="55">
        <f t="shared" si="855"/>
        <v>0</v>
      </c>
      <c r="AC3087" s="55">
        <f t="shared" si="852"/>
        <v>0</v>
      </c>
      <c r="AD3087" s="56">
        <f t="shared" si="853"/>
        <v>8263.48</v>
      </c>
    </row>
    <row r="3088" spans="3:30">
      <c r="C3088" s="43" t="s">
        <v>5743</v>
      </c>
      <c r="D3088" s="44" t="s">
        <v>5744</v>
      </c>
      <c r="E3088" s="44"/>
      <c r="F3088" s="45">
        <v>42486.602812500001</v>
      </c>
      <c r="G3088" s="46">
        <v>29</v>
      </c>
      <c r="H3088" s="47">
        <v>43372</v>
      </c>
      <c r="I3088" s="47">
        <v>43383</v>
      </c>
      <c r="J3088" s="46">
        <v>17716655</v>
      </c>
      <c r="K3088" s="46">
        <v>0</v>
      </c>
      <c r="L3088" s="46">
        <v>0</v>
      </c>
      <c r="M3088" s="46">
        <f t="shared" si="842"/>
        <v>17716655</v>
      </c>
      <c r="N3088" s="46">
        <v>17692811</v>
      </c>
      <c r="O3088" s="48">
        <f t="shared" si="843"/>
        <v>0</v>
      </c>
      <c r="P3088" s="46">
        <v>0</v>
      </c>
      <c r="Q3088" s="46">
        <v>17716655</v>
      </c>
      <c r="R3088" s="49">
        <f t="shared" si="844"/>
        <v>1</v>
      </c>
      <c r="S3088" s="50">
        <f t="shared" si="845"/>
        <v>0.01</v>
      </c>
      <c r="T3088" s="49">
        <f t="shared" si="846"/>
        <v>177166.55000000002</v>
      </c>
      <c r="U3088" s="51">
        <f t="shared" si="847"/>
        <v>0</v>
      </c>
      <c r="V3088" s="52">
        <f>IF(0&lt;0.8,0,IF(0&lt;1,Sheet3!L561,1))*IF(G3088&lt;3,0.12 - O3088,0.01) *U3088</f>
        <v>0</v>
      </c>
      <c r="W3088" s="52">
        <f t="shared" si="848"/>
        <v>0</v>
      </c>
      <c r="X3088" s="53">
        <f t="shared" si="849"/>
        <v>0</v>
      </c>
      <c r="Y3088" s="53">
        <f t="shared" si="850"/>
        <v>0</v>
      </c>
      <c r="Z3088" s="54">
        <f t="shared" si="854"/>
        <v>0</v>
      </c>
      <c r="AA3088" s="54">
        <f t="shared" si="851"/>
        <v>0</v>
      </c>
      <c r="AB3088" s="55">
        <f t="shared" si="855"/>
        <v>0</v>
      </c>
      <c r="AC3088" s="55">
        <f t="shared" si="852"/>
        <v>0</v>
      </c>
      <c r="AD3088" s="56">
        <f t="shared" si="853"/>
        <v>177166.55000000002</v>
      </c>
    </row>
    <row r="3089" spans="3:30">
      <c r="C3089" s="43" t="s">
        <v>5745</v>
      </c>
      <c r="D3089" s="44" t="s">
        <v>5746</v>
      </c>
      <c r="E3089" s="44"/>
      <c r="F3089" s="45">
        <v>42487.691203703704</v>
      </c>
      <c r="G3089" s="46">
        <v>29</v>
      </c>
      <c r="H3089" s="47">
        <v>43372</v>
      </c>
      <c r="I3089" s="47">
        <v>43404</v>
      </c>
      <c r="J3089" s="46">
        <v>1885005</v>
      </c>
      <c r="K3089" s="46">
        <v>0</v>
      </c>
      <c r="L3089" s="46">
        <v>0</v>
      </c>
      <c r="M3089" s="46">
        <f t="shared" si="842"/>
        <v>1885005</v>
      </c>
      <c r="N3089" s="46">
        <v>2736294</v>
      </c>
      <c r="O3089" s="48">
        <f t="shared" si="843"/>
        <v>0.31111020964852465</v>
      </c>
      <c r="P3089" s="46">
        <v>0</v>
      </c>
      <c r="Q3089" s="46">
        <v>1885005</v>
      </c>
      <c r="R3089" s="49">
        <f t="shared" si="844"/>
        <v>1</v>
      </c>
      <c r="S3089" s="50">
        <f t="shared" si="845"/>
        <v>0.01</v>
      </c>
      <c r="T3089" s="49">
        <f t="shared" si="846"/>
        <v>18850.05</v>
      </c>
      <c r="U3089" s="51">
        <f t="shared" si="847"/>
        <v>0</v>
      </c>
      <c r="V3089" s="52">
        <f>IF(0&lt;0.8,0,IF(0&lt;1,Sheet3!L561,1))*IF(G3089&lt;3,0.12 - O3089,0.01) *U3089</f>
        <v>0</v>
      </c>
      <c r="W3089" s="52">
        <f t="shared" si="848"/>
        <v>0</v>
      </c>
      <c r="X3089" s="53">
        <f t="shared" si="849"/>
        <v>0</v>
      </c>
      <c r="Y3089" s="53">
        <f t="shared" si="850"/>
        <v>0</v>
      </c>
      <c r="Z3089" s="54">
        <f t="shared" si="854"/>
        <v>0</v>
      </c>
      <c r="AA3089" s="54">
        <f t="shared" si="851"/>
        <v>0</v>
      </c>
      <c r="AB3089" s="55">
        <f t="shared" si="855"/>
        <v>0</v>
      </c>
      <c r="AC3089" s="55">
        <f t="shared" si="852"/>
        <v>0</v>
      </c>
      <c r="AD3089" s="56">
        <f t="shared" si="853"/>
        <v>18850.05</v>
      </c>
    </row>
    <row r="3090" spans="3:30">
      <c r="C3090" s="43" t="s">
        <v>5747</v>
      </c>
      <c r="D3090" s="44" t="s">
        <v>5748</v>
      </c>
      <c r="E3090" s="44"/>
      <c r="F3090" s="45">
        <v>42508.086215277777</v>
      </c>
      <c r="G3090" s="46">
        <v>28</v>
      </c>
      <c r="H3090" s="47">
        <v>43372</v>
      </c>
      <c r="I3090" s="47">
        <v>43434</v>
      </c>
      <c r="J3090" s="46">
        <v>10047000</v>
      </c>
      <c r="K3090" s="46">
        <v>0</v>
      </c>
      <c r="L3090" s="46">
        <v>0</v>
      </c>
      <c r="M3090" s="46">
        <f t="shared" si="842"/>
        <v>10047000</v>
      </c>
      <c r="N3090" s="46">
        <v>11944394</v>
      </c>
      <c r="O3090" s="48">
        <f t="shared" si="843"/>
        <v>0.15885226157141163</v>
      </c>
      <c r="P3090" s="46">
        <v>0</v>
      </c>
      <c r="Q3090" s="46">
        <v>10047000</v>
      </c>
      <c r="R3090" s="49">
        <f t="shared" si="844"/>
        <v>1</v>
      </c>
      <c r="S3090" s="50">
        <f t="shared" si="845"/>
        <v>0.01</v>
      </c>
      <c r="T3090" s="49">
        <f t="shared" si="846"/>
        <v>100470</v>
      </c>
      <c r="U3090" s="51">
        <f t="shared" si="847"/>
        <v>0</v>
      </c>
      <c r="V3090" s="52">
        <f>IF(0&lt;0.8,0,IF(0&lt;1,Sheet3!L561,1))*IF(G3090&lt;3,0.12 - O3090,0.01) *U3090</f>
        <v>0</v>
      </c>
      <c r="W3090" s="52">
        <f t="shared" si="848"/>
        <v>0</v>
      </c>
      <c r="X3090" s="53">
        <f t="shared" si="849"/>
        <v>0</v>
      </c>
      <c r="Y3090" s="53">
        <f t="shared" si="850"/>
        <v>0</v>
      </c>
      <c r="Z3090" s="54">
        <f t="shared" si="854"/>
        <v>0</v>
      </c>
      <c r="AA3090" s="54">
        <f t="shared" si="851"/>
        <v>0</v>
      </c>
      <c r="AB3090" s="55">
        <f t="shared" si="855"/>
        <v>0</v>
      </c>
      <c r="AC3090" s="55">
        <f t="shared" si="852"/>
        <v>0</v>
      </c>
      <c r="AD3090" s="56">
        <f t="shared" si="853"/>
        <v>100470</v>
      </c>
    </row>
    <row r="3091" spans="3:30">
      <c r="C3091" s="43" t="s">
        <v>5749</v>
      </c>
      <c r="D3091" s="44" t="s">
        <v>5750</v>
      </c>
      <c r="E3091" s="44"/>
      <c r="F3091" s="45">
        <v>42563.265520833331</v>
      </c>
      <c r="G3091" s="46">
        <v>26</v>
      </c>
      <c r="H3091" s="47">
        <v>43372</v>
      </c>
      <c r="I3091" s="47">
        <v>43393</v>
      </c>
      <c r="J3091" s="46">
        <v>948398</v>
      </c>
      <c r="K3091" s="46">
        <v>0</v>
      </c>
      <c r="L3091" s="46">
        <v>0</v>
      </c>
      <c r="M3091" s="46">
        <f t="shared" si="842"/>
        <v>948398</v>
      </c>
      <c r="N3091" s="46">
        <v>948398</v>
      </c>
      <c r="O3091" s="48">
        <f t="shared" si="843"/>
        <v>0</v>
      </c>
      <c r="P3091" s="46">
        <v>0</v>
      </c>
      <c r="Q3091" s="46">
        <v>948398</v>
      </c>
      <c r="R3091" s="49">
        <f t="shared" si="844"/>
        <v>1</v>
      </c>
      <c r="S3091" s="50">
        <f t="shared" si="845"/>
        <v>0.01</v>
      </c>
      <c r="T3091" s="49">
        <f t="shared" si="846"/>
        <v>9483.98</v>
      </c>
      <c r="U3091" s="51">
        <f t="shared" si="847"/>
        <v>0</v>
      </c>
      <c r="V3091" s="52">
        <f>IF(0&lt;0.8,0,IF(0&lt;1,Sheet3!L561,1))*IF(G3091&lt;3,0.12 - O3091,0.01) *U3091</f>
        <v>0</v>
      </c>
      <c r="W3091" s="52">
        <f t="shared" si="848"/>
        <v>0</v>
      </c>
      <c r="X3091" s="53">
        <f t="shared" si="849"/>
        <v>0</v>
      </c>
      <c r="Y3091" s="53">
        <f t="shared" si="850"/>
        <v>0</v>
      </c>
      <c r="Z3091" s="54">
        <f t="shared" si="854"/>
        <v>0</v>
      </c>
      <c r="AA3091" s="54">
        <f t="shared" si="851"/>
        <v>0</v>
      </c>
      <c r="AB3091" s="55">
        <f t="shared" si="855"/>
        <v>0</v>
      </c>
      <c r="AC3091" s="55">
        <f t="shared" si="852"/>
        <v>0</v>
      </c>
      <c r="AD3091" s="56">
        <f t="shared" si="853"/>
        <v>9483.98</v>
      </c>
    </row>
    <row r="3092" spans="3:30">
      <c r="C3092" s="43" t="s">
        <v>5751</v>
      </c>
      <c r="D3092" s="44" t="s">
        <v>5752</v>
      </c>
      <c r="E3092" s="44"/>
      <c r="F3092" s="45">
        <v>42594.381886574076</v>
      </c>
      <c r="G3092" s="46">
        <v>25</v>
      </c>
      <c r="H3092" s="47">
        <v>43381</v>
      </c>
      <c r="I3092" s="47">
        <v>43418</v>
      </c>
      <c r="J3092" s="46">
        <v>1561384</v>
      </c>
      <c r="K3092" s="46">
        <v>0</v>
      </c>
      <c r="L3092" s="46">
        <v>0</v>
      </c>
      <c r="M3092" s="46">
        <f t="shared" si="842"/>
        <v>1561384</v>
      </c>
      <c r="N3092" s="46">
        <v>1561384</v>
      </c>
      <c r="O3092" s="48">
        <f t="shared" si="843"/>
        <v>0</v>
      </c>
      <c r="P3092" s="46">
        <v>0</v>
      </c>
      <c r="Q3092" s="46">
        <v>1561384</v>
      </c>
      <c r="R3092" s="49">
        <f t="shared" si="844"/>
        <v>1</v>
      </c>
      <c r="S3092" s="50">
        <f t="shared" si="845"/>
        <v>0.01</v>
      </c>
      <c r="T3092" s="49">
        <f t="shared" si="846"/>
        <v>15613.84</v>
      </c>
      <c r="U3092" s="51">
        <f t="shared" si="847"/>
        <v>0</v>
      </c>
      <c r="V3092" s="52">
        <f>IF(0&lt;0.8,0,IF(0&lt;1,Sheet3!L561,1))*IF(G3092&lt;3,0.12 - O3092,0.01) *U3092</f>
        <v>0</v>
      </c>
      <c r="W3092" s="52">
        <f t="shared" si="848"/>
        <v>0</v>
      </c>
      <c r="X3092" s="53">
        <f t="shared" si="849"/>
        <v>0</v>
      </c>
      <c r="Y3092" s="53">
        <f t="shared" si="850"/>
        <v>0</v>
      </c>
      <c r="Z3092" s="54">
        <f t="shared" si="854"/>
        <v>0</v>
      </c>
      <c r="AA3092" s="54">
        <f t="shared" si="851"/>
        <v>0</v>
      </c>
      <c r="AB3092" s="55">
        <f t="shared" si="855"/>
        <v>0</v>
      </c>
      <c r="AC3092" s="55">
        <f t="shared" si="852"/>
        <v>0</v>
      </c>
      <c r="AD3092" s="56">
        <f t="shared" si="853"/>
        <v>15613.84</v>
      </c>
    </row>
    <row r="3093" spans="3:30">
      <c r="C3093" s="43" t="s">
        <v>5753</v>
      </c>
      <c r="D3093" s="44" t="s">
        <v>5740</v>
      </c>
      <c r="E3093" s="44"/>
      <c r="F3093" s="45">
        <v>42608.303969907407</v>
      </c>
      <c r="G3093" s="46">
        <v>25</v>
      </c>
      <c r="H3093" s="47">
        <v>43404</v>
      </c>
      <c r="I3093" s="47">
        <v>43413</v>
      </c>
      <c r="J3093" s="46">
        <v>747450</v>
      </c>
      <c r="K3093" s="46">
        <v>0</v>
      </c>
      <c r="L3093" s="46">
        <v>0</v>
      </c>
      <c r="M3093" s="46">
        <f t="shared" si="842"/>
        <v>747450</v>
      </c>
      <c r="N3093" s="46">
        <v>1079199</v>
      </c>
      <c r="O3093" s="48">
        <f t="shared" si="843"/>
        <v>0.30740299055132558</v>
      </c>
      <c r="P3093" s="46">
        <v>0</v>
      </c>
      <c r="Q3093" s="46">
        <v>747450</v>
      </c>
      <c r="R3093" s="49">
        <f t="shared" si="844"/>
        <v>1</v>
      </c>
      <c r="S3093" s="50">
        <f t="shared" si="845"/>
        <v>0.01</v>
      </c>
      <c r="T3093" s="49">
        <f t="shared" si="846"/>
        <v>7474.5</v>
      </c>
      <c r="U3093" s="51">
        <f t="shared" si="847"/>
        <v>0</v>
      </c>
      <c r="V3093" s="52">
        <f>IF(0&lt;0.8,0,IF(0&lt;1,Sheet3!L561,1))*IF(G3093&lt;3,0.12 - O3093,0.01) *U3093</f>
        <v>0</v>
      </c>
      <c r="W3093" s="52">
        <f t="shared" si="848"/>
        <v>0</v>
      </c>
      <c r="X3093" s="53">
        <f t="shared" si="849"/>
        <v>0</v>
      </c>
      <c r="Y3093" s="53">
        <f t="shared" si="850"/>
        <v>0</v>
      </c>
      <c r="Z3093" s="54">
        <f t="shared" si="854"/>
        <v>0</v>
      </c>
      <c r="AA3093" s="54">
        <f t="shared" si="851"/>
        <v>0</v>
      </c>
      <c r="AB3093" s="55">
        <f t="shared" si="855"/>
        <v>0</v>
      </c>
      <c r="AC3093" s="55">
        <f t="shared" si="852"/>
        <v>0</v>
      </c>
      <c r="AD3093" s="56">
        <f t="shared" si="853"/>
        <v>7474.5</v>
      </c>
    </row>
    <row r="3094" spans="3:30">
      <c r="C3094" s="43" t="s">
        <v>5754</v>
      </c>
      <c r="D3094" s="44" t="s">
        <v>5740</v>
      </c>
      <c r="E3094" s="44"/>
      <c r="F3094" s="45">
        <v>42620.363946759258</v>
      </c>
      <c r="G3094" s="46">
        <v>24</v>
      </c>
      <c r="H3094" s="47">
        <v>43404</v>
      </c>
      <c r="I3094" s="47">
        <v>43413</v>
      </c>
      <c r="J3094" s="46">
        <v>1122518</v>
      </c>
      <c r="K3094" s="46">
        <v>0</v>
      </c>
      <c r="L3094" s="46">
        <v>0</v>
      </c>
      <c r="M3094" s="46">
        <f t="shared" si="842"/>
        <v>1122518</v>
      </c>
      <c r="N3094" s="46">
        <v>1383877</v>
      </c>
      <c r="O3094" s="48">
        <f t="shared" si="843"/>
        <v>0.18885999261495057</v>
      </c>
      <c r="P3094" s="46">
        <v>0</v>
      </c>
      <c r="Q3094" s="46">
        <v>1122518</v>
      </c>
      <c r="R3094" s="49">
        <f t="shared" si="844"/>
        <v>1</v>
      </c>
      <c r="S3094" s="50">
        <f t="shared" si="845"/>
        <v>0.01</v>
      </c>
      <c r="T3094" s="49">
        <f t="shared" si="846"/>
        <v>11225.18</v>
      </c>
      <c r="U3094" s="51">
        <f t="shared" si="847"/>
        <v>0</v>
      </c>
      <c r="V3094" s="52">
        <f>IF(0&lt;0.8,0,IF(0&lt;1,Sheet3!L561,1))*IF(G3094&lt;3,0.12 - O3094,0.01) *U3094</f>
        <v>0</v>
      </c>
      <c r="W3094" s="52">
        <f t="shared" si="848"/>
        <v>0</v>
      </c>
      <c r="X3094" s="53">
        <f t="shared" si="849"/>
        <v>0</v>
      </c>
      <c r="Y3094" s="53">
        <f t="shared" si="850"/>
        <v>0</v>
      </c>
      <c r="Z3094" s="54">
        <f t="shared" si="854"/>
        <v>0</v>
      </c>
      <c r="AA3094" s="54">
        <f t="shared" si="851"/>
        <v>0</v>
      </c>
      <c r="AB3094" s="55">
        <f t="shared" si="855"/>
        <v>0</v>
      </c>
      <c r="AC3094" s="55">
        <f t="shared" si="852"/>
        <v>0</v>
      </c>
      <c r="AD3094" s="56">
        <f t="shared" si="853"/>
        <v>11225.18</v>
      </c>
    </row>
    <row r="3095" spans="3:30">
      <c r="C3095" s="43" t="s">
        <v>5755</v>
      </c>
      <c r="D3095" s="44" t="s">
        <v>5756</v>
      </c>
      <c r="E3095" s="44"/>
      <c r="F3095" s="45">
        <v>42642.164942129624</v>
      </c>
      <c r="G3095" s="46">
        <v>24</v>
      </c>
      <c r="H3095" s="47">
        <v>43372</v>
      </c>
      <c r="I3095" s="47">
        <v>43417</v>
      </c>
      <c r="J3095" s="46">
        <v>13689722</v>
      </c>
      <c r="K3095" s="46">
        <v>0</v>
      </c>
      <c r="L3095" s="46">
        <v>0</v>
      </c>
      <c r="M3095" s="46">
        <f t="shared" si="842"/>
        <v>13689722</v>
      </c>
      <c r="N3095" s="46">
        <v>13689722</v>
      </c>
      <c r="O3095" s="48">
        <f t="shared" si="843"/>
        <v>0</v>
      </c>
      <c r="P3095" s="46">
        <v>0</v>
      </c>
      <c r="Q3095" s="46">
        <v>13689722</v>
      </c>
      <c r="R3095" s="49">
        <f t="shared" si="844"/>
        <v>1</v>
      </c>
      <c r="S3095" s="50">
        <f t="shared" si="845"/>
        <v>0.01</v>
      </c>
      <c r="T3095" s="49">
        <f t="shared" si="846"/>
        <v>136897.22</v>
      </c>
      <c r="U3095" s="51">
        <f t="shared" si="847"/>
        <v>0</v>
      </c>
      <c r="V3095" s="52">
        <f>IF(0&lt;0.8,0,IF(0&lt;1,Sheet3!L561,1))*IF(G3095&lt;3,0.12 - O3095,0.01) *U3095</f>
        <v>0</v>
      </c>
      <c r="W3095" s="52">
        <f t="shared" si="848"/>
        <v>0</v>
      </c>
      <c r="X3095" s="53">
        <f t="shared" si="849"/>
        <v>0</v>
      </c>
      <c r="Y3095" s="53">
        <f t="shared" si="850"/>
        <v>0</v>
      </c>
      <c r="Z3095" s="54">
        <f t="shared" si="854"/>
        <v>0</v>
      </c>
      <c r="AA3095" s="54">
        <f t="shared" si="851"/>
        <v>0</v>
      </c>
      <c r="AB3095" s="55">
        <f t="shared" si="855"/>
        <v>0</v>
      </c>
      <c r="AC3095" s="55">
        <f t="shared" si="852"/>
        <v>0</v>
      </c>
      <c r="AD3095" s="56">
        <f t="shared" si="853"/>
        <v>136897.22</v>
      </c>
    </row>
    <row r="3096" spans="3:30">
      <c r="C3096" s="43" t="s">
        <v>5757</v>
      </c>
      <c r="D3096" s="44" t="s">
        <v>5758</v>
      </c>
      <c r="E3096" s="44"/>
      <c r="F3096" s="45">
        <v>42733.161562499998</v>
      </c>
      <c r="G3096" s="46">
        <v>21</v>
      </c>
      <c r="H3096" s="47">
        <v>43372</v>
      </c>
      <c r="I3096" s="47">
        <v>43390</v>
      </c>
      <c r="J3096" s="46">
        <v>13837139</v>
      </c>
      <c r="K3096" s="46">
        <v>0</v>
      </c>
      <c r="L3096" s="46">
        <v>0</v>
      </c>
      <c r="M3096" s="46">
        <f t="shared" si="842"/>
        <v>13837139</v>
      </c>
      <c r="N3096" s="46">
        <v>11436439</v>
      </c>
      <c r="O3096" s="48">
        <f t="shared" si="843"/>
        <v>0</v>
      </c>
      <c r="P3096" s="46">
        <v>0</v>
      </c>
      <c r="Q3096" s="46">
        <v>13837139</v>
      </c>
      <c r="R3096" s="49">
        <f t="shared" si="844"/>
        <v>1</v>
      </c>
      <c r="S3096" s="50">
        <f t="shared" si="845"/>
        <v>0.01</v>
      </c>
      <c r="T3096" s="49">
        <f t="shared" si="846"/>
        <v>138371.39000000001</v>
      </c>
      <c r="U3096" s="51">
        <f t="shared" si="847"/>
        <v>0</v>
      </c>
      <c r="V3096" s="52">
        <f>IF(0&lt;0.8,0,IF(0&lt;1,Sheet3!L561,1))*IF(G3096&lt;3,0.12 - O3096,0.01) *U3096</f>
        <v>0</v>
      </c>
      <c r="W3096" s="52">
        <f t="shared" si="848"/>
        <v>0</v>
      </c>
      <c r="X3096" s="53">
        <f t="shared" si="849"/>
        <v>0</v>
      </c>
      <c r="Y3096" s="53">
        <f t="shared" si="850"/>
        <v>0</v>
      </c>
      <c r="Z3096" s="54">
        <f t="shared" si="854"/>
        <v>0</v>
      </c>
      <c r="AA3096" s="54">
        <f t="shared" si="851"/>
        <v>0</v>
      </c>
      <c r="AB3096" s="55">
        <f t="shared" si="855"/>
        <v>0</v>
      </c>
      <c r="AC3096" s="55">
        <f t="shared" si="852"/>
        <v>0</v>
      </c>
      <c r="AD3096" s="56">
        <f t="shared" si="853"/>
        <v>138371.39000000001</v>
      </c>
    </row>
    <row r="3097" spans="3:30">
      <c r="C3097" s="43" t="s">
        <v>5759</v>
      </c>
      <c r="D3097" s="44" t="s">
        <v>5760</v>
      </c>
      <c r="E3097" s="44"/>
      <c r="F3097" s="45">
        <v>42824.365115740737</v>
      </c>
      <c r="G3097" s="46">
        <v>18</v>
      </c>
      <c r="H3097" s="47">
        <v>43372</v>
      </c>
      <c r="I3097" s="47">
        <v>43392</v>
      </c>
      <c r="J3097" s="46">
        <v>2716571</v>
      </c>
      <c r="K3097" s="46">
        <v>0</v>
      </c>
      <c r="L3097" s="46">
        <v>0</v>
      </c>
      <c r="M3097" s="46">
        <f t="shared" si="842"/>
        <v>2716571</v>
      </c>
      <c r="N3097" s="46">
        <v>2716571</v>
      </c>
      <c r="O3097" s="48">
        <f t="shared" si="843"/>
        <v>0</v>
      </c>
      <c r="P3097" s="46">
        <v>0</v>
      </c>
      <c r="Q3097" s="46">
        <v>2716571</v>
      </c>
      <c r="R3097" s="49">
        <f t="shared" si="844"/>
        <v>1</v>
      </c>
      <c r="S3097" s="50">
        <f t="shared" si="845"/>
        <v>0.01</v>
      </c>
      <c r="T3097" s="49">
        <f t="shared" si="846"/>
        <v>27165.71</v>
      </c>
      <c r="U3097" s="51">
        <f t="shared" si="847"/>
        <v>0</v>
      </c>
      <c r="V3097" s="52">
        <f>IF(0&lt;0.8,0,IF(0&lt;1,Sheet3!L561,1))*IF(G3097&lt;3,0.12 - O3097,0.01) *U3097</f>
        <v>0</v>
      </c>
      <c r="W3097" s="52">
        <f t="shared" si="848"/>
        <v>0</v>
      </c>
      <c r="X3097" s="53">
        <f t="shared" si="849"/>
        <v>0</v>
      </c>
      <c r="Y3097" s="53">
        <f t="shared" si="850"/>
        <v>0</v>
      </c>
      <c r="Z3097" s="54">
        <f t="shared" si="854"/>
        <v>0</v>
      </c>
      <c r="AA3097" s="54">
        <f t="shared" si="851"/>
        <v>0</v>
      </c>
      <c r="AB3097" s="55">
        <f t="shared" si="855"/>
        <v>0</v>
      </c>
      <c r="AC3097" s="55">
        <f t="shared" si="852"/>
        <v>0</v>
      </c>
      <c r="AD3097" s="56">
        <f t="shared" si="853"/>
        <v>27165.71</v>
      </c>
    </row>
    <row r="3098" spans="3:30">
      <c r="C3098" s="43" t="s">
        <v>5761</v>
      </c>
      <c r="D3098" s="44" t="s">
        <v>5762</v>
      </c>
      <c r="E3098" s="44"/>
      <c r="F3098" s="45">
        <v>43043.258229166662</v>
      </c>
      <c r="G3098" s="46">
        <v>10</v>
      </c>
      <c r="H3098" s="47">
        <v>43404</v>
      </c>
      <c r="I3098" s="47">
        <v>43413</v>
      </c>
      <c r="J3098" s="46">
        <v>1308094</v>
      </c>
      <c r="K3098" s="46">
        <v>0</v>
      </c>
      <c r="L3098" s="46">
        <v>0</v>
      </c>
      <c r="M3098" s="46">
        <f t="shared" si="842"/>
        <v>1308094</v>
      </c>
      <c r="N3098" s="46">
        <v>1978592</v>
      </c>
      <c r="O3098" s="48">
        <f t="shared" si="843"/>
        <v>0.33887633226051661</v>
      </c>
      <c r="P3098" s="46">
        <v>0</v>
      </c>
      <c r="Q3098" s="46">
        <v>1308094</v>
      </c>
      <c r="R3098" s="49">
        <f t="shared" si="844"/>
        <v>1</v>
      </c>
      <c r="S3098" s="50">
        <f t="shared" si="845"/>
        <v>0.01</v>
      </c>
      <c r="T3098" s="49">
        <f t="shared" si="846"/>
        <v>13080.94</v>
      </c>
      <c r="U3098" s="51">
        <f t="shared" si="847"/>
        <v>0</v>
      </c>
      <c r="V3098" s="52">
        <f>IF(0&lt;0.8,0,IF(0&lt;1,Sheet3!L561,1))*IF(G3098&lt;3,0.12 - O3098,0.01) *U3098</f>
        <v>0</v>
      </c>
      <c r="W3098" s="52">
        <f t="shared" si="848"/>
        <v>0</v>
      </c>
      <c r="X3098" s="53">
        <f t="shared" si="849"/>
        <v>0</v>
      </c>
      <c r="Y3098" s="53">
        <f t="shared" si="850"/>
        <v>0</v>
      </c>
      <c r="Z3098" s="54">
        <f t="shared" si="854"/>
        <v>0</v>
      </c>
      <c r="AA3098" s="54">
        <f t="shared" si="851"/>
        <v>0</v>
      </c>
      <c r="AB3098" s="55">
        <f t="shared" si="855"/>
        <v>0</v>
      </c>
      <c r="AC3098" s="55">
        <f t="shared" si="852"/>
        <v>0</v>
      </c>
      <c r="AD3098" s="56">
        <f t="shared" si="853"/>
        <v>13080.94</v>
      </c>
    </row>
    <row r="3099" spans="3:30">
      <c r="C3099" s="43" t="s">
        <v>5763</v>
      </c>
      <c r="D3099" s="44" t="s">
        <v>5764</v>
      </c>
      <c r="E3099" s="44"/>
      <c r="F3099" s="45">
        <v>43171.426087962958</v>
      </c>
      <c r="G3099" s="46">
        <v>6</v>
      </c>
      <c r="H3099" s="47">
        <v>43372</v>
      </c>
      <c r="I3099" s="47">
        <v>43441</v>
      </c>
      <c r="J3099" s="46">
        <v>2230200</v>
      </c>
      <c r="K3099" s="46">
        <v>0</v>
      </c>
      <c r="L3099" s="46">
        <v>0</v>
      </c>
      <c r="M3099" s="46">
        <f t="shared" si="842"/>
        <v>2230200</v>
      </c>
      <c r="N3099" s="46">
        <v>2373102</v>
      </c>
      <c r="O3099" s="48">
        <f t="shared" si="843"/>
        <v>6.0217386357602876E-2</v>
      </c>
      <c r="P3099" s="46">
        <v>0</v>
      </c>
      <c r="Q3099" s="46">
        <v>2230200</v>
      </c>
      <c r="R3099" s="49">
        <f t="shared" si="844"/>
        <v>1</v>
      </c>
      <c r="S3099" s="50">
        <f t="shared" si="845"/>
        <v>0.01</v>
      </c>
      <c r="T3099" s="49">
        <f t="shared" si="846"/>
        <v>22302</v>
      </c>
      <c r="U3099" s="51">
        <f t="shared" si="847"/>
        <v>0</v>
      </c>
      <c r="V3099" s="52">
        <f>IF(0&lt;0.8,0,IF(0&lt;1,Sheet3!L561,1))*IF(G3099&lt;3,0.12 - O3099,0.01) *U3099</f>
        <v>0</v>
      </c>
      <c r="W3099" s="52">
        <f t="shared" si="848"/>
        <v>0</v>
      </c>
      <c r="X3099" s="53">
        <f t="shared" si="849"/>
        <v>0</v>
      </c>
      <c r="Y3099" s="53">
        <f t="shared" si="850"/>
        <v>0</v>
      </c>
      <c r="Z3099" s="54">
        <f t="shared" si="854"/>
        <v>0</v>
      </c>
      <c r="AA3099" s="54">
        <f t="shared" si="851"/>
        <v>0</v>
      </c>
      <c r="AB3099" s="55">
        <f t="shared" si="855"/>
        <v>0</v>
      </c>
      <c r="AC3099" s="55">
        <f t="shared" si="852"/>
        <v>0</v>
      </c>
      <c r="AD3099" s="56">
        <f t="shared" si="853"/>
        <v>22302</v>
      </c>
    </row>
    <row r="3100" spans="3:30">
      <c r="C3100" s="43" t="s">
        <v>5765</v>
      </c>
      <c r="D3100" s="44" t="s">
        <v>5766</v>
      </c>
      <c r="E3100" s="44"/>
      <c r="F3100" s="45">
        <v>43188.332673611112</v>
      </c>
      <c r="G3100" s="46">
        <v>6</v>
      </c>
      <c r="H3100" s="47" t="s">
        <v>24</v>
      </c>
      <c r="I3100" s="47" t="s">
        <v>24</v>
      </c>
      <c r="J3100" s="46">
        <v>1034913</v>
      </c>
      <c r="K3100" s="46">
        <v>0</v>
      </c>
      <c r="L3100" s="46">
        <v>0</v>
      </c>
      <c r="M3100" s="46">
        <f t="shared" si="842"/>
        <v>1034913</v>
      </c>
      <c r="N3100" s="46">
        <v>1034913</v>
      </c>
      <c r="O3100" s="48">
        <f t="shared" si="843"/>
        <v>0</v>
      </c>
      <c r="P3100" s="46">
        <v>0</v>
      </c>
      <c r="Q3100" s="46">
        <v>1034913</v>
      </c>
      <c r="R3100" s="49">
        <f t="shared" si="844"/>
        <v>1</v>
      </c>
      <c r="S3100" s="50">
        <f t="shared" si="845"/>
        <v>0.01</v>
      </c>
      <c r="T3100" s="49">
        <f t="shared" si="846"/>
        <v>10349.130000000001</v>
      </c>
      <c r="U3100" s="51">
        <f t="shared" si="847"/>
        <v>0</v>
      </c>
      <c r="V3100" s="52">
        <f>IF(0&lt;0.8,0,IF(0&lt;1,Sheet3!L561,1))*IF(G3100&lt;3,0.12 - O3100,0.01) *U3100</f>
        <v>0</v>
      </c>
      <c r="W3100" s="52">
        <f t="shared" si="848"/>
        <v>0</v>
      </c>
      <c r="X3100" s="53">
        <f t="shared" si="849"/>
        <v>0</v>
      </c>
      <c r="Y3100" s="53">
        <f t="shared" si="850"/>
        <v>0</v>
      </c>
      <c r="Z3100" s="54">
        <f t="shared" si="854"/>
        <v>0</v>
      </c>
      <c r="AA3100" s="54">
        <f t="shared" si="851"/>
        <v>0</v>
      </c>
      <c r="AB3100" s="55">
        <f t="shared" si="855"/>
        <v>0</v>
      </c>
      <c r="AC3100" s="55">
        <f t="shared" si="852"/>
        <v>0</v>
      </c>
      <c r="AD3100" s="56">
        <f t="shared" si="853"/>
        <v>10349.130000000001</v>
      </c>
    </row>
    <row r="3101" spans="3:30">
      <c r="C3101" s="43" t="s">
        <v>5767</v>
      </c>
      <c r="D3101" s="44" t="s">
        <v>5768</v>
      </c>
      <c r="E3101" s="44"/>
      <c r="F3101" s="45">
        <v>43203.146608796298</v>
      </c>
      <c r="G3101" s="46">
        <v>5</v>
      </c>
      <c r="H3101" s="47">
        <v>43404</v>
      </c>
      <c r="I3101" s="47">
        <v>43413</v>
      </c>
      <c r="J3101" s="46">
        <v>971410</v>
      </c>
      <c r="K3101" s="46">
        <v>0</v>
      </c>
      <c r="L3101" s="46">
        <v>0</v>
      </c>
      <c r="M3101" s="46">
        <f t="shared" si="842"/>
        <v>971410</v>
      </c>
      <c r="N3101" s="46">
        <v>1184348</v>
      </c>
      <c r="O3101" s="48">
        <f t="shared" si="843"/>
        <v>0.17979343909053758</v>
      </c>
      <c r="P3101" s="46">
        <v>0</v>
      </c>
      <c r="Q3101" s="46">
        <v>971410</v>
      </c>
      <c r="R3101" s="49">
        <f t="shared" si="844"/>
        <v>1</v>
      </c>
      <c r="S3101" s="50">
        <f t="shared" si="845"/>
        <v>0.01</v>
      </c>
      <c r="T3101" s="49">
        <f t="shared" si="846"/>
        <v>9714.1</v>
      </c>
      <c r="U3101" s="51">
        <f t="shared" si="847"/>
        <v>0</v>
      </c>
      <c r="V3101" s="52">
        <f>IF(0&lt;0.8,0,IF(0&lt;1,Sheet3!L561,1))*IF(G3101&lt;3,0.12 - O3101,0.01) *U3101</f>
        <v>0</v>
      </c>
      <c r="W3101" s="52">
        <f t="shared" si="848"/>
        <v>0</v>
      </c>
      <c r="X3101" s="53">
        <f t="shared" si="849"/>
        <v>0</v>
      </c>
      <c r="Y3101" s="53">
        <f t="shared" si="850"/>
        <v>0</v>
      </c>
      <c r="Z3101" s="54">
        <f t="shared" si="854"/>
        <v>0</v>
      </c>
      <c r="AA3101" s="54">
        <f t="shared" si="851"/>
        <v>0</v>
      </c>
      <c r="AB3101" s="55">
        <f t="shared" si="855"/>
        <v>0</v>
      </c>
      <c r="AC3101" s="55">
        <f t="shared" si="852"/>
        <v>0</v>
      </c>
      <c r="AD3101" s="56">
        <f t="shared" si="853"/>
        <v>9714.1</v>
      </c>
    </row>
    <row r="3102" spans="3:30">
      <c r="C3102" s="43" t="s">
        <v>5769</v>
      </c>
      <c r="D3102" s="44" t="s">
        <v>5770</v>
      </c>
      <c r="E3102" s="44"/>
      <c r="F3102" s="45">
        <v>43219.7190162037</v>
      </c>
      <c r="G3102" s="46">
        <v>5</v>
      </c>
      <c r="H3102" s="47">
        <v>43404</v>
      </c>
      <c r="I3102" s="47">
        <v>43413</v>
      </c>
      <c r="J3102" s="46">
        <v>428065</v>
      </c>
      <c r="K3102" s="46">
        <v>0</v>
      </c>
      <c r="L3102" s="46">
        <v>0</v>
      </c>
      <c r="M3102" s="46">
        <f t="shared" si="842"/>
        <v>428065</v>
      </c>
      <c r="N3102" s="46">
        <v>602701</v>
      </c>
      <c r="O3102" s="48">
        <f t="shared" si="843"/>
        <v>0.28975561679837925</v>
      </c>
      <c r="P3102" s="46">
        <v>0</v>
      </c>
      <c r="Q3102" s="46">
        <v>428065</v>
      </c>
      <c r="R3102" s="49">
        <f t="shared" si="844"/>
        <v>1</v>
      </c>
      <c r="S3102" s="50">
        <f t="shared" si="845"/>
        <v>0.01</v>
      </c>
      <c r="T3102" s="49">
        <f t="shared" si="846"/>
        <v>4280.6499999999996</v>
      </c>
      <c r="U3102" s="51">
        <f t="shared" si="847"/>
        <v>0</v>
      </c>
      <c r="V3102" s="52">
        <f>IF(0&lt;0.8,0,IF(0&lt;1,Sheet3!L561,1))*IF(G3102&lt;3,0.12 - O3102,0.01) *U3102</f>
        <v>0</v>
      </c>
      <c r="W3102" s="52">
        <f t="shared" si="848"/>
        <v>0</v>
      </c>
      <c r="X3102" s="53">
        <f t="shared" si="849"/>
        <v>0</v>
      </c>
      <c r="Y3102" s="53">
        <f t="shared" si="850"/>
        <v>0</v>
      </c>
      <c r="Z3102" s="54">
        <f t="shared" si="854"/>
        <v>0</v>
      </c>
      <c r="AA3102" s="54">
        <f t="shared" si="851"/>
        <v>0</v>
      </c>
      <c r="AB3102" s="55">
        <f t="shared" si="855"/>
        <v>0</v>
      </c>
      <c r="AC3102" s="55">
        <f t="shared" si="852"/>
        <v>0</v>
      </c>
      <c r="AD3102" s="56">
        <f t="shared" si="853"/>
        <v>4280.6499999999996</v>
      </c>
    </row>
    <row r="3103" spans="3:30">
      <c r="C3103" s="43" t="s">
        <v>5771</v>
      </c>
      <c r="D3103" s="44" t="s">
        <v>5772</v>
      </c>
      <c r="E3103" s="44"/>
      <c r="F3103" s="45">
        <v>43248.112233796295</v>
      </c>
      <c r="G3103" s="46">
        <v>4</v>
      </c>
      <c r="H3103" s="47">
        <v>43404</v>
      </c>
      <c r="I3103" s="47">
        <v>43413</v>
      </c>
      <c r="J3103" s="46">
        <v>579590</v>
      </c>
      <c r="K3103" s="46">
        <v>0</v>
      </c>
      <c r="L3103" s="46">
        <v>0</v>
      </c>
      <c r="M3103" s="46">
        <f t="shared" si="842"/>
        <v>579590</v>
      </c>
      <c r="N3103" s="46">
        <v>804287</v>
      </c>
      <c r="O3103" s="48">
        <f t="shared" si="843"/>
        <v>0.279374153753573</v>
      </c>
      <c r="P3103" s="46">
        <v>0</v>
      </c>
      <c r="Q3103" s="46">
        <v>579590</v>
      </c>
      <c r="R3103" s="49">
        <f t="shared" si="844"/>
        <v>1</v>
      </c>
      <c r="S3103" s="50">
        <f t="shared" si="845"/>
        <v>0.01</v>
      </c>
      <c r="T3103" s="49">
        <f t="shared" si="846"/>
        <v>5795.9000000000005</v>
      </c>
      <c r="U3103" s="51">
        <f t="shared" si="847"/>
        <v>0</v>
      </c>
      <c r="V3103" s="52">
        <f>IF(0&lt;0.8,0,IF(0&lt;1,Sheet3!L561,1))*IF(G3103&lt;3,0.12 - O3103,0.01) *U3103</f>
        <v>0</v>
      </c>
      <c r="W3103" s="52">
        <f t="shared" si="848"/>
        <v>0</v>
      </c>
      <c r="X3103" s="53">
        <f t="shared" si="849"/>
        <v>0</v>
      </c>
      <c r="Y3103" s="53">
        <f t="shared" si="850"/>
        <v>0</v>
      </c>
      <c r="Z3103" s="54">
        <f t="shared" si="854"/>
        <v>0</v>
      </c>
      <c r="AA3103" s="54">
        <f t="shared" si="851"/>
        <v>0</v>
      </c>
      <c r="AB3103" s="55">
        <f t="shared" si="855"/>
        <v>0</v>
      </c>
      <c r="AC3103" s="55">
        <f t="shared" si="852"/>
        <v>0</v>
      </c>
      <c r="AD3103" s="56">
        <f t="shared" si="853"/>
        <v>5795.9000000000005</v>
      </c>
    </row>
    <row r="3104" spans="3:30">
      <c r="C3104" s="43" t="s">
        <v>5773</v>
      </c>
      <c r="D3104" s="44" t="s">
        <v>5774</v>
      </c>
      <c r="E3104" s="44"/>
      <c r="F3104" s="45">
        <v>42521.26122685185</v>
      </c>
      <c r="G3104" s="46">
        <v>28</v>
      </c>
      <c r="H3104" s="47" t="s">
        <v>24</v>
      </c>
      <c r="I3104" s="47" t="s">
        <v>24</v>
      </c>
      <c r="J3104" s="46">
        <v>0</v>
      </c>
      <c r="K3104" s="46">
        <v>0</v>
      </c>
      <c r="L3104" s="46">
        <v>0</v>
      </c>
      <c r="M3104" s="46">
        <f t="shared" si="842"/>
        <v>0</v>
      </c>
      <c r="N3104" s="46">
        <v>1562352</v>
      </c>
      <c r="O3104" s="48">
        <f t="shared" si="843"/>
        <v>1</v>
      </c>
      <c r="P3104" s="46">
        <v>0</v>
      </c>
      <c r="Q3104" s="46">
        <v>0</v>
      </c>
      <c r="R3104" s="49">
        <f t="shared" si="844"/>
        <v>1</v>
      </c>
      <c r="S3104" s="50">
        <f t="shared" si="845"/>
        <v>0.01</v>
      </c>
      <c r="T3104" s="49">
        <f t="shared" si="846"/>
        <v>0</v>
      </c>
      <c r="U3104" s="51">
        <f t="shared" si="847"/>
        <v>0</v>
      </c>
      <c r="V3104" s="52">
        <f>IF(0&lt;0.8,0,IF(0&lt;1,Sheet3!L561,1))*IF(G3104&lt;3,0.12 - O3104,0.01) *U3104</f>
        <v>0</v>
      </c>
      <c r="W3104" s="52">
        <f t="shared" si="848"/>
        <v>0</v>
      </c>
      <c r="X3104" s="53">
        <f t="shared" si="849"/>
        <v>0</v>
      </c>
      <c r="Y3104" s="53">
        <f t="shared" si="850"/>
        <v>0</v>
      </c>
      <c r="Z3104" s="54">
        <f>IF(R3104=1,0,"")</f>
        <v>0</v>
      </c>
      <c r="AA3104" s="54">
        <f t="shared" si="851"/>
        <v>0</v>
      </c>
      <c r="AB3104" s="55">
        <f>IF(R3104=0,"",0)</f>
        <v>0</v>
      </c>
      <c r="AC3104" s="55">
        <f t="shared" si="852"/>
        <v>0</v>
      </c>
      <c r="AD3104" s="56">
        <f t="shared" si="853"/>
        <v>0</v>
      </c>
    </row>
    <row r="3105" spans="3:30">
      <c r="C3105" s="43" t="s">
        <v>5775</v>
      </c>
      <c r="D3105" s="44" t="s">
        <v>995</v>
      </c>
      <c r="E3105" s="44"/>
      <c r="F3105" s="45">
        <v>43316.686956018515</v>
      </c>
      <c r="G3105" s="46">
        <v>1</v>
      </c>
      <c r="H3105" s="47">
        <v>43431</v>
      </c>
      <c r="I3105" s="47">
        <v>43460</v>
      </c>
      <c r="J3105" s="46">
        <v>846705</v>
      </c>
      <c r="K3105" s="46">
        <v>0</v>
      </c>
      <c r="L3105" s="46">
        <v>0</v>
      </c>
      <c r="M3105" s="46">
        <f t="shared" si="842"/>
        <v>846705</v>
      </c>
      <c r="N3105" s="46">
        <v>1176400</v>
      </c>
      <c r="O3105" s="48">
        <f t="shared" si="843"/>
        <v>0.28025756545392722</v>
      </c>
      <c r="P3105" s="46">
        <v>0</v>
      </c>
      <c r="Q3105" s="46">
        <v>0</v>
      </c>
      <c r="R3105" s="49">
        <f t="shared" si="844"/>
        <v>0</v>
      </c>
      <c r="S3105" s="50">
        <f t="shared" si="845"/>
        <v>0</v>
      </c>
      <c r="T3105" s="49">
        <f t="shared" si="846"/>
        <v>0</v>
      </c>
      <c r="U3105" s="51">
        <f t="shared" si="847"/>
        <v>0</v>
      </c>
      <c r="V3105" s="52">
        <f>IF(0&lt;0.8,0,IF(0&lt;1,Sheet3!L561,1))*IF(G3105&lt;3,0.12 - O3105,0.01) *U3105</f>
        <v>0</v>
      </c>
      <c r="W3105" s="52">
        <f t="shared" si="848"/>
        <v>0</v>
      </c>
      <c r="X3105" s="53">
        <f t="shared" si="849"/>
        <v>0</v>
      </c>
      <c r="Y3105" s="53">
        <f t="shared" si="850"/>
        <v>0</v>
      </c>
      <c r="Z3105" s="54">
        <f t="shared" ref="Z3105:Z3125" si="856">IF(R3105=1,0,0)</f>
        <v>0</v>
      </c>
      <c r="AA3105" s="54">
        <f t="shared" si="851"/>
        <v>0</v>
      </c>
      <c r="AB3105" s="55">
        <f t="shared" ref="AB3105:AB3125" si="857">IF(R3105=0,0,0)</f>
        <v>0</v>
      </c>
      <c r="AC3105" s="55">
        <f t="shared" si="852"/>
        <v>0</v>
      </c>
      <c r="AD3105" s="56">
        <f t="shared" si="853"/>
        <v>0</v>
      </c>
    </row>
    <row r="3106" spans="3:30">
      <c r="C3106" s="43" t="s">
        <v>5776</v>
      </c>
      <c r="D3106" s="44" t="s">
        <v>995</v>
      </c>
      <c r="E3106" s="44"/>
      <c r="F3106" s="45">
        <v>43316.68751157407</v>
      </c>
      <c r="G3106" s="46">
        <v>1</v>
      </c>
      <c r="H3106" s="47">
        <v>43431</v>
      </c>
      <c r="I3106" s="47">
        <v>43460</v>
      </c>
      <c r="J3106" s="46">
        <v>904165</v>
      </c>
      <c r="K3106" s="46">
        <v>0</v>
      </c>
      <c r="L3106" s="46">
        <v>0</v>
      </c>
      <c r="M3106" s="46">
        <f t="shared" si="842"/>
        <v>904165</v>
      </c>
      <c r="N3106" s="46">
        <v>1232767</v>
      </c>
      <c r="O3106" s="48">
        <f t="shared" si="843"/>
        <v>0.2665564538959917</v>
      </c>
      <c r="P3106" s="46">
        <v>0</v>
      </c>
      <c r="Q3106" s="46">
        <v>0</v>
      </c>
      <c r="R3106" s="49">
        <f t="shared" si="844"/>
        <v>0</v>
      </c>
      <c r="S3106" s="50">
        <f t="shared" si="845"/>
        <v>0</v>
      </c>
      <c r="T3106" s="49">
        <f t="shared" si="846"/>
        <v>0</v>
      </c>
      <c r="U3106" s="51">
        <f t="shared" si="847"/>
        <v>0</v>
      </c>
      <c r="V3106" s="52">
        <f>IF(0&lt;0.8,0,IF(0&lt;1,Sheet3!L561,1))*IF(G3106&lt;3,0.12 - O3106,0.01) *U3106</f>
        <v>0</v>
      </c>
      <c r="W3106" s="52">
        <f t="shared" si="848"/>
        <v>0</v>
      </c>
      <c r="X3106" s="53">
        <f t="shared" si="849"/>
        <v>0</v>
      </c>
      <c r="Y3106" s="53">
        <f t="shared" si="850"/>
        <v>0</v>
      </c>
      <c r="Z3106" s="54">
        <f t="shared" si="856"/>
        <v>0</v>
      </c>
      <c r="AA3106" s="54">
        <f t="shared" si="851"/>
        <v>0</v>
      </c>
      <c r="AB3106" s="55">
        <f t="shared" si="857"/>
        <v>0</v>
      </c>
      <c r="AC3106" s="55">
        <f t="shared" si="852"/>
        <v>0</v>
      </c>
      <c r="AD3106" s="56">
        <f t="shared" si="853"/>
        <v>0</v>
      </c>
    </row>
    <row r="3107" spans="3:30">
      <c r="C3107" s="43" t="s">
        <v>5777</v>
      </c>
      <c r="D3107" s="44" t="s">
        <v>995</v>
      </c>
      <c r="E3107" s="44"/>
      <c r="F3107" s="45">
        <v>43316.688043981478</v>
      </c>
      <c r="G3107" s="46">
        <v>1</v>
      </c>
      <c r="H3107" s="47">
        <v>43431</v>
      </c>
      <c r="I3107" s="47">
        <v>43460</v>
      </c>
      <c r="J3107" s="46">
        <v>915817</v>
      </c>
      <c r="K3107" s="46">
        <v>0</v>
      </c>
      <c r="L3107" s="46">
        <v>0</v>
      </c>
      <c r="M3107" s="46">
        <f t="shared" si="842"/>
        <v>915817</v>
      </c>
      <c r="N3107" s="46">
        <v>1206892</v>
      </c>
      <c r="O3107" s="48">
        <f t="shared" si="843"/>
        <v>0.24117733815453246</v>
      </c>
      <c r="P3107" s="46">
        <v>0</v>
      </c>
      <c r="Q3107" s="46">
        <v>0</v>
      </c>
      <c r="R3107" s="49">
        <f t="shared" si="844"/>
        <v>0</v>
      </c>
      <c r="S3107" s="50">
        <f t="shared" si="845"/>
        <v>0</v>
      </c>
      <c r="T3107" s="49">
        <f t="shared" si="846"/>
        <v>0</v>
      </c>
      <c r="U3107" s="51">
        <f t="shared" si="847"/>
        <v>0</v>
      </c>
      <c r="V3107" s="52">
        <f>IF(0&lt;0.8,0,IF(0&lt;1,Sheet3!L561,1))*IF(G3107&lt;3,0.12 - O3107,0.01) *U3107</f>
        <v>0</v>
      </c>
      <c r="W3107" s="52">
        <f t="shared" si="848"/>
        <v>0</v>
      </c>
      <c r="X3107" s="53">
        <f t="shared" si="849"/>
        <v>0</v>
      </c>
      <c r="Y3107" s="53">
        <f t="shared" si="850"/>
        <v>0</v>
      </c>
      <c r="Z3107" s="54">
        <f t="shared" si="856"/>
        <v>0</v>
      </c>
      <c r="AA3107" s="54">
        <f t="shared" si="851"/>
        <v>0</v>
      </c>
      <c r="AB3107" s="55">
        <f t="shared" si="857"/>
        <v>0</v>
      </c>
      <c r="AC3107" s="55">
        <f t="shared" si="852"/>
        <v>0</v>
      </c>
      <c r="AD3107" s="56">
        <f t="shared" si="853"/>
        <v>0</v>
      </c>
    </row>
    <row r="3108" spans="3:30">
      <c r="C3108" s="43" t="s">
        <v>5778</v>
      </c>
      <c r="D3108" s="44" t="s">
        <v>995</v>
      </c>
      <c r="E3108" s="44"/>
      <c r="F3108" s="45">
        <v>43316.68913194444</v>
      </c>
      <c r="G3108" s="46">
        <v>1</v>
      </c>
      <c r="H3108" s="47">
        <v>43431</v>
      </c>
      <c r="I3108" s="47">
        <v>43460</v>
      </c>
      <c r="J3108" s="46">
        <v>481929</v>
      </c>
      <c r="K3108" s="46">
        <v>0</v>
      </c>
      <c r="L3108" s="46">
        <v>0</v>
      </c>
      <c r="M3108" s="46">
        <f t="shared" si="842"/>
        <v>481929</v>
      </c>
      <c r="N3108" s="46">
        <v>760606</v>
      </c>
      <c r="O3108" s="48">
        <f t="shared" si="843"/>
        <v>0.36638811684367467</v>
      </c>
      <c r="P3108" s="46">
        <v>0</v>
      </c>
      <c r="Q3108" s="46">
        <v>0</v>
      </c>
      <c r="R3108" s="49">
        <f t="shared" si="844"/>
        <v>0</v>
      </c>
      <c r="S3108" s="50">
        <f t="shared" si="845"/>
        <v>0</v>
      </c>
      <c r="T3108" s="49">
        <f t="shared" si="846"/>
        <v>0</v>
      </c>
      <c r="U3108" s="51">
        <f t="shared" si="847"/>
        <v>0</v>
      </c>
      <c r="V3108" s="52">
        <f>IF(0&lt;0.8,0,IF(0&lt;1,Sheet3!L561,1))*IF(G3108&lt;3,0.12 - O3108,0.01) *U3108</f>
        <v>0</v>
      </c>
      <c r="W3108" s="52">
        <f t="shared" si="848"/>
        <v>0</v>
      </c>
      <c r="X3108" s="53">
        <f t="shared" si="849"/>
        <v>0</v>
      </c>
      <c r="Y3108" s="53">
        <f t="shared" si="850"/>
        <v>0</v>
      </c>
      <c r="Z3108" s="54">
        <f t="shared" si="856"/>
        <v>0</v>
      </c>
      <c r="AA3108" s="54">
        <f t="shared" si="851"/>
        <v>0</v>
      </c>
      <c r="AB3108" s="55">
        <f t="shared" si="857"/>
        <v>0</v>
      </c>
      <c r="AC3108" s="55">
        <f t="shared" si="852"/>
        <v>0</v>
      </c>
      <c r="AD3108" s="56">
        <f t="shared" si="853"/>
        <v>0</v>
      </c>
    </row>
    <row r="3109" spans="3:30">
      <c r="C3109" s="43" t="s">
        <v>5779</v>
      </c>
      <c r="D3109" s="44" t="s">
        <v>5780</v>
      </c>
      <c r="E3109" s="44"/>
      <c r="F3109" s="45">
        <v>41386.421377314815</v>
      </c>
      <c r="G3109" s="46">
        <v>65</v>
      </c>
      <c r="H3109" s="47">
        <v>43404</v>
      </c>
      <c r="I3109" s="47">
        <v>43413</v>
      </c>
      <c r="J3109" s="46">
        <v>989945</v>
      </c>
      <c r="K3109" s="46">
        <v>0</v>
      </c>
      <c r="L3109" s="46">
        <v>0</v>
      </c>
      <c r="M3109" s="46">
        <f t="shared" si="842"/>
        <v>989945</v>
      </c>
      <c r="N3109" s="46">
        <v>1381578</v>
      </c>
      <c r="O3109" s="48">
        <f t="shared" si="843"/>
        <v>0.28346788961607672</v>
      </c>
      <c r="P3109" s="46">
        <v>0</v>
      </c>
      <c r="Q3109" s="46">
        <v>989945</v>
      </c>
      <c r="R3109" s="49">
        <f t="shared" si="844"/>
        <v>1</v>
      </c>
      <c r="S3109" s="50">
        <f t="shared" si="845"/>
        <v>0.01</v>
      </c>
      <c r="T3109" s="49">
        <f t="shared" si="846"/>
        <v>9899.4500000000007</v>
      </c>
      <c r="U3109" s="51">
        <f t="shared" si="847"/>
        <v>0</v>
      </c>
      <c r="V3109" s="52">
        <f>IF(0&lt;0.8,0,IF(0&lt;1,Sheet3!L561,1))*IF(G3109&lt;3,0.12 - O3109,0.01) *U3109</f>
        <v>0</v>
      </c>
      <c r="W3109" s="52">
        <f t="shared" si="848"/>
        <v>0</v>
      </c>
      <c r="X3109" s="53">
        <f t="shared" si="849"/>
        <v>0</v>
      </c>
      <c r="Y3109" s="53">
        <f t="shared" si="850"/>
        <v>0</v>
      </c>
      <c r="Z3109" s="54">
        <f t="shared" si="856"/>
        <v>0</v>
      </c>
      <c r="AA3109" s="54">
        <f t="shared" si="851"/>
        <v>0</v>
      </c>
      <c r="AB3109" s="55">
        <f t="shared" si="857"/>
        <v>0</v>
      </c>
      <c r="AC3109" s="55">
        <f t="shared" si="852"/>
        <v>0</v>
      </c>
      <c r="AD3109" s="56">
        <f t="shared" si="853"/>
        <v>9899.4500000000007</v>
      </c>
    </row>
    <row r="3110" spans="3:30">
      <c r="C3110" s="43" t="s">
        <v>5781</v>
      </c>
      <c r="D3110" s="44" t="s">
        <v>5782</v>
      </c>
      <c r="E3110" s="44"/>
      <c r="F3110" s="45">
        <v>41464.45076388889</v>
      </c>
      <c r="G3110" s="46">
        <v>62</v>
      </c>
      <c r="H3110" s="47">
        <v>43404</v>
      </c>
      <c r="I3110" s="47">
        <v>43413</v>
      </c>
      <c r="J3110" s="46">
        <v>1446748</v>
      </c>
      <c r="K3110" s="46">
        <v>232496</v>
      </c>
      <c r="L3110" s="46">
        <v>0</v>
      </c>
      <c r="M3110" s="46">
        <f t="shared" si="842"/>
        <v>1214252</v>
      </c>
      <c r="N3110" s="46">
        <v>1916915</v>
      </c>
      <c r="O3110" s="48">
        <f t="shared" si="843"/>
        <v>0.36655928927469394</v>
      </c>
      <c r="P3110" s="46">
        <v>0</v>
      </c>
      <c r="Q3110" s="46">
        <v>1446748</v>
      </c>
      <c r="R3110" s="49">
        <f t="shared" si="844"/>
        <v>1</v>
      </c>
      <c r="S3110" s="50">
        <f t="shared" si="845"/>
        <v>0.01</v>
      </c>
      <c r="T3110" s="49">
        <f t="shared" si="846"/>
        <v>12142.52</v>
      </c>
      <c r="U3110" s="51">
        <f t="shared" si="847"/>
        <v>0</v>
      </c>
      <c r="V3110" s="52">
        <f>IF(0&lt;0.8,0,IF(0&lt;1,Sheet3!L561,1))*IF(G3110&lt;3,0.12 - O3110,0.01) *U3110</f>
        <v>0</v>
      </c>
      <c r="W3110" s="52">
        <f t="shared" si="848"/>
        <v>0</v>
      </c>
      <c r="X3110" s="53">
        <f t="shared" si="849"/>
        <v>0</v>
      </c>
      <c r="Y3110" s="53">
        <f t="shared" si="850"/>
        <v>0</v>
      </c>
      <c r="Z3110" s="54">
        <f t="shared" si="856"/>
        <v>0</v>
      </c>
      <c r="AA3110" s="54">
        <f t="shared" si="851"/>
        <v>0</v>
      </c>
      <c r="AB3110" s="55">
        <f t="shared" si="857"/>
        <v>0</v>
      </c>
      <c r="AC3110" s="55">
        <f t="shared" si="852"/>
        <v>0</v>
      </c>
      <c r="AD3110" s="56">
        <f t="shared" si="853"/>
        <v>12142.52</v>
      </c>
    </row>
    <row r="3111" spans="3:30">
      <c r="C3111" s="43" t="s">
        <v>5783</v>
      </c>
      <c r="D3111" s="44" t="s">
        <v>5784</v>
      </c>
      <c r="E3111" s="44"/>
      <c r="F3111" s="45">
        <v>41485.432453703703</v>
      </c>
      <c r="G3111" s="46">
        <v>62</v>
      </c>
      <c r="H3111" s="47">
        <v>43372</v>
      </c>
      <c r="I3111" s="47">
        <v>43399</v>
      </c>
      <c r="J3111" s="46">
        <v>580316</v>
      </c>
      <c r="K3111" s="46">
        <v>0</v>
      </c>
      <c r="L3111" s="46">
        <v>0</v>
      </c>
      <c r="M3111" s="46">
        <f t="shared" si="842"/>
        <v>580316</v>
      </c>
      <c r="N3111" s="46">
        <v>580316</v>
      </c>
      <c r="O3111" s="48">
        <f t="shared" si="843"/>
        <v>0</v>
      </c>
      <c r="P3111" s="46">
        <v>0</v>
      </c>
      <c r="Q3111" s="46">
        <v>580316</v>
      </c>
      <c r="R3111" s="49">
        <f t="shared" si="844"/>
        <v>1</v>
      </c>
      <c r="S3111" s="50">
        <f t="shared" si="845"/>
        <v>0.01</v>
      </c>
      <c r="T3111" s="49">
        <f t="shared" si="846"/>
        <v>5803.16</v>
      </c>
      <c r="U3111" s="51">
        <f t="shared" si="847"/>
        <v>0</v>
      </c>
      <c r="V3111" s="52">
        <f>IF(0&lt;0.8,0,IF(0&lt;1,Sheet3!L561,1))*IF(G3111&lt;3,0.12 - O3111,0.01) *U3111</f>
        <v>0</v>
      </c>
      <c r="W3111" s="52">
        <f t="shared" si="848"/>
        <v>0</v>
      </c>
      <c r="X3111" s="53">
        <f t="shared" si="849"/>
        <v>0</v>
      </c>
      <c r="Y3111" s="53">
        <f t="shared" si="850"/>
        <v>0</v>
      </c>
      <c r="Z3111" s="54">
        <f t="shared" si="856"/>
        <v>0</v>
      </c>
      <c r="AA3111" s="54">
        <f t="shared" si="851"/>
        <v>0</v>
      </c>
      <c r="AB3111" s="55">
        <f t="shared" si="857"/>
        <v>0</v>
      </c>
      <c r="AC3111" s="55">
        <f t="shared" si="852"/>
        <v>0</v>
      </c>
      <c r="AD3111" s="56">
        <f t="shared" si="853"/>
        <v>5803.16</v>
      </c>
    </row>
    <row r="3112" spans="3:30">
      <c r="C3112" s="43" t="s">
        <v>5785</v>
      </c>
      <c r="D3112" s="44" t="s">
        <v>5786</v>
      </c>
      <c r="E3112" s="44"/>
      <c r="F3112" s="45">
        <v>42338.729374999995</v>
      </c>
      <c r="G3112" s="46">
        <v>34</v>
      </c>
      <c r="H3112" s="47">
        <v>43404</v>
      </c>
      <c r="I3112" s="47">
        <v>43410</v>
      </c>
      <c r="J3112" s="46">
        <v>3385000</v>
      </c>
      <c r="K3112" s="46">
        <v>0</v>
      </c>
      <c r="L3112" s="46">
        <v>0</v>
      </c>
      <c r="M3112" s="46">
        <f t="shared" si="842"/>
        <v>3385000</v>
      </c>
      <c r="N3112" s="46">
        <v>2853664</v>
      </c>
      <c r="O3112" s="48">
        <f t="shared" si="843"/>
        <v>0</v>
      </c>
      <c r="P3112" s="46">
        <v>0</v>
      </c>
      <c r="Q3112" s="46">
        <v>3385000</v>
      </c>
      <c r="R3112" s="49">
        <f t="shared" si="844"/>
        <v>1</v>
      </c>
      <c r="S3112" s="50">
        <f t="shared" si="845"/>
        <v>0.01</v>
      </c>
      <c r="T3112" s="49">
        <f t="shared" si="846"/>
        <v>33850</v>
      </c>
      <c r="U3112" s="51">
        <f t="shared" si="847"/>
        <v>0</v>
      </c>
      <c r="V3112" s="52">
        <f>IF(0&lt;0.8,0,IF(0&lt;1,Sheet3!L561,1))*IF(G3112&lt;3,0.12 - O3112,0.01) *U3112</f>
        <v>0</v>
      </c>
      <c r="W3112" s="52">
        <f t="shared" si="848"/>
        <v>0</v>
      </c>
      <c r="X3112" s="53">
        <f t="shared" si="849"/>
        <v>0</v>
      </c>
      <c r="Y3112" s="53">
        <f t="shared" si="850"/>
        <v>0</v>
      </c>
      <c r="Z3112" s="54">
        <f t="shared" si="856"/>
        <v>0</v>
      </c>
      <c r="AA3112" s="54">
        <f t="shared" si="851"/>
        <v>0</v>
      </c>
      <c r="AB3112" s="55">
        <f t="shared" si="857"/>
        <v>0</v>
      </c>
      <c r="AC3112" s="55">
        <f t="shared" si="852"/>
        <v>0</v>
      </c>
      <c r="AD3112" s="56">
        <f t="shared" si="853"/>
        <v>33850</v>
      </c>
    </row>
    <row r="3113" spans="3:30">
      <c r="C3113" s="43" t="s">
        <v>5787</v>
      </c>
      <c r="D3113" s="44" t="s">
        <v>5788</v>
      </c>
      <c r="E3113" s="44"/>
      <c r="F3113" s="45">
        <v>42343.632534722223</v>
      </c>
      <c r="G3113" s="46">
        <v>33</v>
      </c>
      <c r="H3113" s="47">
        <v>43404</v>
      </c>
      <c r="I3113" s="47">
        <v>43413</v>
      </c>
      <c r="J3113" s="46">
        <v>19239</v>
      </c>
      <c r="K3113" s="46">
        <v>0</v>
      </c>
      <c r="L3113" s="46">
        <v>0</v>
      </c>
      <c r="M3113" s="46">
        <f t="shared" si="842"/>
        <v>19239</v>
      </c>
      <c r="N3113" s="46">
        <v>41140</v>
      </c>
      <c r="O3113" s="48">
        <f t="shared" si="843"/>
        <v>0.53235294117647058</v>
      </c>
      <c r="P3113" s="46">
        <v>0</v>
      </c>
      <c r="Q3113" s="46">
        <v>19239</v>
      </c>
      <c r="R3113" s="49">
        <f t="shared" si="844"/>
        <v>1</v>
      </c>
      <c r="S3113" s="50">
        <f t="shared" si="845"/>
        <v>0.01</v>
      </c>
      <c r="T3113" s="49">
        <f t="shared" si="846"/>
        <v>192.39000000000001</v>
      </c>
      <c r="U3113" s="51">
        <f t="shared" si="847"/>
        <v>0</v>
      </c>
      <c r="V3113" s="52">
        <f>IF(0&lt;0.8,0,IF(0&lt;1,Sheet3!L561,1))*IF(G3113&lt;3,0.12 - O3113,0.01) *U3113</f>
        <v>0</v>
      </c>
      <c r="W3113" s="52">
        <f t="shared" si="848"/>
        <v>0</v>
      </c>
      <c r="X3113" s="53">
        <f t="shared" si="849"/>
        <v>0</v>
      </c>
      <c r="Y3113" s="53">
        <f t="shared" si="850"/>
        <v>0</v>
      </c>
      <c r="Z3113" s="54">
        <f t="shared" si="856"/>
        <v>0</v>
      </c>
      <c r="AA3113" s="54">
        <f t="shared" si="851"/>
        <v>0</v>
      </c>
      <c r="AB3113" s="55">
        <f t="shared" si="857"/>
        <v>0</v>
      </c>
      <c r="AC3113" s="55">
        <f t="shared" si="852"/>
        <v>0</v>
      </c>
      <c r="AD3113" s="56">
        <f t="shared" si="853"/>
        <v>192.39000000000001</v>
      </c>
    </row>
    <row r="3114" spans="3:30">
      <c r="C3114" s="43" t="s">
        <v>5789</v>
      </c>
      <c r="D3114" s="44" t="s">
        <v>5790</v>
      </c>
      <c r="E3114" s="44"/>
      <c r="F3114" s="45">
        <v>42480.435949074075</v>
      </c>
      <c r="G3114" s="46">
        <v>29</v>
      </c>
      <c r="H3114" s="47">
        <v>43404</v>
      </c>
      <c r="I3114" s="47">
        <v>43413</v>
      </c>
      <c r="J3114" s="46">
        <v>1024760</v>
      </c>
      <c r="K3114" s="46">
        <v>0</v>
      </c>
      <c r="L3114" s="46">
        <v>0</v>
      </c>
      <c r="M3114" s="46">
        <f t="shared" si="842"/>
        <v>1024760</v>
      </c>
      <c r="N3114" s="46">
        <v>1277518</v>
      </c>
      <c r="O3114" s="48">
        <f t="shared" si="843"/>
        <v>0.19785083263014691</v>
      </c>
      <c r="P3114" s="46">
        <v>0</v>
      </c>
      <c r="Q3114" s="46">
        <v>1024760</v>
      </c>
      <c r="R3114" s="49">
        <f t="shared" si="844"/>
        <v>1</v>
      </c>
      <c r="S3114" s="50">
        <f t="shared" si="845"/>
        <v>0.01</v>
      </c>
      <c r="T3114" s="49">
        <f t="shared" si="846"/>
        <v>10247.6</v>
      </c>
      <c r="U3114" s="51">
        <f t="shared" si="847"/>
        <v>0</v>
      </c>
      <c r="V3114" s="52">
        <f>IF(0&lt;0.8,0,IF(0&lt;1,Sheet3!L561,1))*IF(G3114&lt;3,0.12 - O3114,0.01) *U3114</f>
        <v>0</v>
      </c>
      <c r="W3114" s="52">
        <f t="shared" si="848"/>
        <v>0</v>
      </c>
      <c r="X3114" s="53">
        <f t="shared" si="849"/>
        <v>0</v>
      </c>
      <c r="Y3114" s="53">
        <f t="shared" si="850"/>
        <v>0</v>
      </c>
      <c r="Z3114" s="54">
        <f t="shared" si="856"/>
        <v>0</v>
      </c>
      <c r="AA3114" s="54">
        <f t="shared" si="851"/>
        <v>0</v>
      </c>
      <c r="AB3114" s="55">
        <f t="shared" si="857"/>
        <v>0</v>
      </c>
      <c r="AC3114" s="55">
        <f t="shared" si="852"/>
        <v>0</v>
      </c>
      <c r="AD3114" s="56">
        <f t="shared" si="853"/>
        <v>10247.6</v>
      </c>
    </row>
    <row r="3115" spans="3:30">
      <c r="C3115" s="43" t="s">
        <v>5791</v>
      </c>
      <c r="D3115" s="44" t="s">
        <v>5792</v>
      </c>
      <c r="E3115" s="44"/>
      <c r="F3115" s="45">
        <v>42544.384988425925</v>
      </c>
      <c r="G3115" s="46">
        <v>27</v>
      </c>
      <c r="H3115" s="47">
        <v>43404</v>
      </c>
      <c r="I3115" s="47">
        <v>43413</v>
      </c>
      <c r="J3115" s="46">
        <v>20870</v>
      </c>
      <c r="K3115" s="46">
        <v>4150</v>
      </c>
      <c r="L3115" s="46">
        <v>0</v>
      </c>
      <c r="M3115" s="46">
        <f t="shared" si="842"/>
        <v>16720</v>
      </c>
      <c r="N3115" s="46">
        <v>35937</v>
      </c>
      <c r="O3115" s="48">
        <f t="shared" si="843"/>
        <v>0.53474135292317104</v>
      </c>
      <c r="P3115" s="46">
        <v>0</v>
      </c>
      <c r="Q3115" s="46">
        <v>20870</v>
      </c>
      <c r="R3115" s="49">
        <f t="shared" si="844"/>
        <v>1</v>
      </c>
      <c r="S3115" s="50">
        <f t="shared" si="845"/>
        <v>0.01</v>
      </c>
      <c r="T3115" s="49">
        <f t="shared" si="846"/>
        <v>167.20000000000002</v>
      </c>
      <c r="U3115" s="51">
        <f t="shared" si="847"/>
        <v>0</v>
      </c>
      <c r="V3115" s="52">
        <f>IF(0&lt;0.8,0,IF(0&lt;1,Sheet3!L561,1))*IF(G3115&lt;3,0.12 - O3115,0.01) *U3115</f>
        <v>0</v>
      </c>
      <c r="W3115" s="52">
        <f t="shared" si="848"/>
        <v>0</v>
      </c>
      <c r="X3115" s="53">
        <f t="shared" si="849"/>
        <v>0</v>
      </c>
      <c r="Y3115" s="53">
        <f t="shared" si="850"/>
        <v>0</v>
      </c>
      <c r="Z3115" s="54">
        <f t="shared" si="856"/>
        <v>0</v>
      </c>
      <c r="AA3115" s="54">
        <f t="shared" si="851"/>
        <v>0</v>
      </c>
      <c r="AB3115" s="55">
        <f t="shared" si="857"/>
        <v>0</v>
      </c>
      <c r="AC3115" s="55">
        <f t="shared" si="852"/>
        <v>0</v>
      </c>
      <c r="AD3115" s="56">
        <f t="shared" si="853"/>
        <v>167.20000000000002</v>
      </c>
    </row>
    <row r="3116" spans="3:30">
      <c r="C3116" s="43" t="s">
        <v>5793</v>
      </c>
      <c r="D3116" s="44" t="s">
        <v>5794</v>
      </c>
      <c r="E3116" s="44"/>
      <c r="F3116" s="45">
        <v>42623.094618055555</v>
      </c>
      <c r="G3116" s="46">
        <v>24</v>
      </c>
      <c r="H3116" s="47">
        <v>43404</v>
      </c>
      <c r="I3116" s="47">
        <v>43399</v>
      </c>
      <c r="J3116" s="46">
        <v>3164480</v>
      </c>
      <c r="K3116" s="46">
        <v>0</v>
      </c>
      <c r="L3116" s="46">
        <v>0</v>
      </c>
      <c r="M3116" s="46">
        <f t="shared" si="842"/>
        <v>3164480</v>
      </c>
      <c r="N3116" s="46">
        <v>3707632</v>
      </c>
      <c r="O3116" s="48">
        <f t="shared" si="843"/>
        <v>0.14649566084228427</v>
      </c>
      <c r="P3116" s="46">
        <v>0</v>
      </c>
      <c r="Q3116" s="46">
        <v>3164480</v>
      </c>
      <c r="R3116" s="49">
        <f t="shared" si="844"/>
        <v>1</v>
      </c>
      <c r="S3116" s="50">
        <f t="shared" si="845"/>
        <v>0.01</v>
      </c>
      <c r="T3116" s="49">
        <f t="shared" si="846"/>
        <v>31644.799999999999</v>
      </c>
      <c r="U3116" s="51">
        <f t="shared" si="847"/>
        <v>0</v>
      </c>
      <c r="V3116" s="52">
        <f>IF(0&lt;0.8,0,IF(0&lt;1,Sheet3!L561,1))*IF(G3116&lt;3,0.12 - O3116,0.01) *U3116</f>
        <v>0</v>
      </c>
      <c r="W3116" s="52">
        <f t="shared" si="848"/>
        <v>0</v>
      </c>
      <c r="X3116" s="53">
        <f t="shared" si="849"/>
        <v>0</v>
      </c>
      <c r="Y3116" s="53">
        <f t="shared" si="850"/>
        <v>0</v>
      </c>
      <c r="Z3116" s="54">
        <f t="shared" si="856"/>
        <v>0</v>
      </c>
      <c r="AA3116" s="54">
        <f t="shared" si="851"/>
        <v>0</v>
      </c>
      <c r="AB3116" s="55">
        <f t="shared" si="857"/>
        <v>0</v>
      </c>
      <c r="AC3116" s="55">
        <f t="shared" si="852"/>
        <v>0</v>
      </c>
      <c r="AD3116" s="56">
        <f t="shared" si="853"/>
        <v>31644.799999999999</v>
      </c>
    </row>
    <row r="3117" spans="3:30">
      <c r="C3117" s="43" t="s">
        <v>5795</v>
      </c>
      <c r="D3117" s="44" t="s">
        <v>5796</v>
      </c>
      <c r="E3117" s="44"/>
      <c r="F3117" s="45">
        <v>42632.200104166666</v>
      </c>
      <c r="G3117" s="46">
        <v>24</v>
      </c>
      <c r="H3117" s="47">
        <v>43404</v>
      </c>
      <c r="I3117" s="47">
        <v>43413</v>
      </c>
      <c r="J3117" s="46">
        <v>462200</v>
      </c>
      <c r="K3117" s="46">
        <v>0</v>
      </c>
      <c r="L3117" s="46">
        <v>0</v>
      </c>
      <c r="M3117" s="46">
        <f t="shared" si="842"/>
        <v>462200</v>
      </c>
      <c r="N3117" s="46">
        <v>678084</v>
      </c>
      <c r="O3117" s="48">
        <f t="shared" si="843"/>
        <v>0.31837353484229092</v>
      </c>
      <c r="P3117" s="46">
        <v>0</v>
      </c>
      <c r="Q3117" s="46">
        <v>462200</v>
      </c>
      <c r="R3117" s="49">
        <f t="shared" si="844"/>
        <v>1</v>
      </c>
      <c r="S3117" s="50">
        <f t="shared" si="845"/>
        <v>0.01</v>
      </c>
      <c r="T3117" s="49">
        <f t="shared" si="846"/>
        <v>4622</v>
      </c>
      <c r="U3117" s="51">
        <f t="shared" si="847"/>
        <v>0</v>
      </c>
      <c r="V3117" s="52">
        <f>IF(0&lt;0.8,0,IF(0&lt;1,Sheet3!L561,1))*IF(G3117&lt;3,0.12 - O3117,0.01) *U3117</f>
        <v>0</v>
      </c>
      <c r="W3117" s="52">
        <f t="shared" si="848"/>
        <v>0</v>
      </c>
      <c r="X3117" s="53">
        <f t="shared" si="849"/>
        <v>0</v>
      </c>
      <c r="Y3117" s="53">
        <f t="shared" si="850"/>
        <v>0</v>
      </c>
      <c r="Z3117" s="54">
        <f t="shared" si="856"/>
        <v>0</v>
      </c>
      <c r="AA3117" s="54">
        <f t="shared" si="851"/>
        <v>0</v>
      </c>
      <c r="AB3117" s="55">
        <f t="shared" si="857"/>
        <v>0</v>
      </c>
      <c r="AC3117" s="55">
        <f t="shared" si="852"/>
        <v>0</v>
      </c>
      <c r="AD3117" s="56">
        <f t="shared" si="853"/>
        <v>4622</v>
      </c>
    </row>
    <row r="3118" spans="3:30">
      <c r="C3118" s="43" t="s">
        <v>5797</v>
      </c>
      <c r="D3118" s="44" t="s">
        <v>5798</v>
      </c>
      <c r="E3118" s="44"/>
      <c r="F3118" s="45">
        <v>42698.146134259259</v>
      </c>
      <c r="G3118" s="46">
        <v>22</v>
      </c>
      <c r="H3118" s="47">
        <v>43434</v>
      </c>
      <c r="I3118" s="47">
        <v>43427</v>
      </c>
      <c r="J3118" s="46">
        <v>242020</v>
      </c>
      <c r="K3118" s="46">
        <v>0</v>
      </c>
      <c r="L3118" s="46">
        <v>0</v>
      </c>
      <c r="M3118" s="46">
        <f t="shared" si="842"/>
        <v>242020</v>
      </c>
      <c r="N3118" s="46">
        <v>264022</v>
      </c>
      <c r="O3118" s="48">
        <f t="shared" si="843"/>
        <v>8.3333964593859555E-2</v>
      </c>
      <c r="P3118" s="46">
        <v>0</v>
      </c>
      <c r="Q3118" s="46">
        <v>242020</v>
      </c>
      <c r="R3118" s="49">
        <f t="shared" si="844"/>
        <v>1</v>
      </c>
      <c r="S3118" s="50">
        <f t="shared" si="845"/>
        <v>0.01</v>
      </c>
      <c r="T3118" s="49">
        <f t="shared" si="846"/>
        <v>2420.2000000000003</v>
      </c>
      <c r="U3118" s="51">
        <f t="shared" si="847"/>
        <v>0</v>
      </c>
      <c r="V3118" s="52">
        <f>IF(0&lt;0.8,0,IF(0&lt;1,Sheet3!L561,1))*IF(G3118&lt;3,0.12 - O3118,0.01) *U3118</f>
        <v>0</v>
      </c>
      <c r="W3118" s="52">
        <f t="shared" si="848"/>
        <v>0</v>
      </c>
      <c r="X3118" s="53">
        <f t="shared" si="849"/>
        <v>0</v>
      </c>
      <c r="Y3118" s="53">
        <f t="shared" si="850"/>
        <v>0</v>
      </c>
      <c r="Z3118" s="54">
        <f t="shared" si="856"/>
        <v>0</v>
      </c>
      <c r="AA3118" s="54">
        <f t="shared" si="851"/>
        <v>0</v>
      </c>
      <c r="AB3118" s="55">
        <f t="shared" si="857"/>
        <v>0</v>
      </c>
      <c r="AC3118" s="55">
        <f t="shared" si="852"/>
        <v>0</v>
      </c>
      <c r="AD3118" s="56">
        <f t="shared" si="853"/>
        <v>2420.2000000000003</v>
      </c>
    </row>
    <row r="3119" spans="3:30">
      <c r="C3119" s="43" t="s">
        <v>5799</v>
      </c>
      <c r="D3119" s="44" t="s">
        <v>5800</v>
      </c>
      <c r="E3119" s="44"/>
      <c r="F3119" s="45">
        <v>42735.285775462959</v>
      </c>
      <c r="G3119" s="46">
        <v>21</v>
      </c>
      <c r="H3119" s="47">
        <v>43404</v>
      </c>
      <c r="I3119" s="47">
        <v>43392</v>
      </c>
      <c r="J3119" s="46">
        <v>105028</v>
      </c>
      <c r="K3119" s="46">
        <v>0</v>
      </c>
      <c r="L3119" s="46">
        <v>0</v>
      </c>
      <c r="M3119" s="46">
        <f t="shared" si="842"/>
        <v>105028</v>
      </c>
      <c r="N3119" s="46">
        <v>105028</v>
      </c>
      <c r="O3119" s="48">
        <f t="shared" si="843"/>
        <v>0</v>
      </c>
      <c r="P3119" s="46">
        <v>0</v>
      </c>
      <c r="Q3119" s="46">
        <v>105028</v>
      </c>
      <c r="R3119" s="49">
        <f t="shared" si="844"/>
        <v>1</v>
      </c>
      <c r="S3119" s="50">
        <f t="shared" si="845"/>
        <v>0.01</v>
      </c>
      <c r="T3119" s="49">
        <f t="shared" si="846"/>
        <v>1050.28</v>
      </c>
      <c r="U3119" s="51">
        <f t="shared" si="847"/>
        <v>0</v>
      </c>
      <c r="V3119" s="52">
        <f>IF(0&lt;0.8,0,IF(0&lt;1,Sheet3!L561,1))*IF(G3119&lt;3,0.12 - O3119,0.01) *U3119</f>
        <v>0</v>
      </c>
      <c r="W3119" s="52">
        <f t="shared" si="848"/>
        <v>0</v>
      </c>
      <c r="X3119" s="53">
        <f t="shared" si="849"/>
        <v>0</v>
      </c>
      <c r="Y3119" s="53">
        <f t="shared" si="850"/>
        <v>0</v>
      </c>
      <c r="Z3119" s="54">
        <f t="shared" si="856"/>
        <v>0</v>
      </c>
      <c r="AA3119" s="54">
        <f t="shared" si="851"/>
        <v>0</v>
      </c>
      <c r="AB3119" s="55">
        <f t="shared" si="857"/>
        <v>0</v>
      </c>
      <c r="AC3119" s="55">
        <f t="shared" si="852"/>
        <v>0</v>
      </c>
      <c r="AD3119" s="56">
        <f t="shared" si="853"/>
        <v>1050.28</v>
      </c>
    </row>
    <row r="3120" spans="3:30">
      <c r="C3120" s="43" t="s">
        <v>5801</v>
      </c>
      <c r="D3120" s="44" t="s">
        <v>5802</v>
      </c>
      <c r="E3120" s="44"/>
      <c r="F3120" s="45">
        <v>42971.162824074076</v>
      </c>
      <c r="G3120" s="46">
        <v>13</v>
      </c>
      <c r="H3120" s="47">
        <v>43404</v>
      </c>
      <c r="I3120" s="47">
        <v>43410</v>
      </c>
      <c r="J3120" s="46">
        <v>81070</v>
      </c>
      <c r="K3120" s="46">
        <v>0</v>
      </c>
      <c r="L3120" s="46">
        <v>0</v>
      </c>
      <c r="M3120" s="46">
        <f t="shared" si="842"/>
        <v>81070</v>
      </c>
      <c r="N3120" s="46">
        <v>81070</v>
      </c>
      <c r="O3120" s="48">
        <f t="shared" si="843"/>
        <v>0</v>
      </c>
      <c r="P3120" s="46">
        <v>0</v>
      </c>
      <c r="Q3120" s="46">
        <v>81070</v>
      </c>
      <c r="R3120" s="49">
        <f t="shared" si="844"/>
        <v>1</v>
      </c>
      <c r="S3120" s="50">
        <f t="shared" si="845"/>
        <v>0.01</v>
      </c>
      <c r="T3120" s="49">
        <f t="shared" si="846"/>
        <v>810.7</v>
      </c>
      <c r="U3120" s="51">
        <f t="shared" si="847"/>
        <v>0</v>
      </c>
      <c r="V3120" s="52">
        <f>IF(0&lt;0.8,0,IF(0&lt;1,Sheet3!L561,1))*IF(G3120&lt;3,0.12 - O3120,0.01) *U3120</f>
        <v>0</v>
      </c>
      <c r="W3120" s="52">
        <f t="shared" si="848"/>
        <v>0</v>
      </c>
      <c r="X3120" s="53">
        <f t="shared" si="849"/>
        <v>0</v>
      </c>
      <c r="Y3120" s="53">
        <f t="shared" si="850"/>
        <v>0</v>
      </c>
      <c r="Z3120" s="54">
        <f t="shared" si="856"/>
        <v>0</v>
      </c>
      <c r="AA3120" s="54">
        <f t="shared" si="851"/>
        <v>0</v>
      </c>
      <c r="AB3120" s="55">
        <f t="shared" si="857"/>
        <v>0</v>
      </c>
      <c r="AC3120" s="55">
        <f t="shared" si="852"/>
        <v>0</v>
      </c>
      <c r="AD3120" s="56">
        <f t="shared" si="853"/>
        <v>810.7</v>
      </c>
    </row>
    <row r="3121" spans="3:30">
      <c r="C3121" s="43" t="s">
        <v>5803</v>
      </c>
      <c r="D3121" s="44" t="s">
        <v>5804</v>
      </c>
      <c r="E3121" s="44"/>
      <c r="F3121" s="45">
        <v>43043.131967592592</v>
      </c>
      <c r="G3121" s="46">
        <v>10</v>
      </c>
      <c r="H3121" s="47">
        <v>43404</v>
      </c>
      <c r="I3121" s="47">
        <v>43410</v>
      </c>
      <c r="J3121" s="46">
        <v>2065140</v>
      </c>
      <c r="K3121" s="46">
        <v>0</v>
      </c>
      <c r="L3121" s="46">
        <v>0</v>
      </c>
      <c r="M3121" s="46">
        <f t="shared" si="842"/>
        <v>2065140</v>
      </c>
      <c r="N3121" s="46">
        <v>2271654</v>
      </c>
      <c r="O3121" s="48">
        <f t="shared" si="843"/>
        <v>9.0909090909090939E-2</v>
      </c>
      <c r="P3121" s="46">
        <v>0</v>
      </c>
      <c r="Q3121" s="46">
        <v>2065140</v>
      </c>
      <c r="R3121" s="49">
        <f t="shared" si="844"/>
        <v>1</v>
      </c>
      <c r="S3121" s="50">
        <f t="shared" si="845"/>
        <v>0.01</v>
      </c>
      <c r="T3121" s="49">
        <f t="shared" si="846"/>
        <v>20651.400000000001</v>
      </c>
      <c r="U3121" s="51">
        <f t="shared" si="847"/>
        <v>0</v>
      </c>
      <c r="V3121" s="52">
        <f>IF(0&lt;0.8,0,IF(0&lt;1,Sheet3!L561,1))*IF(G3121&lt;3,0.12 - O3121,0.01) *U3121</f>
        <v>0</v>
      </c>
      <c r="W3121" s="52">
        <f t="shared" si="848"/>
        <v>0</v>
      </c>
      <c r="X3121" s="53">
        <f t="shared" si="849"/>
        <v>0</v>
      </c>
      <c r="Y3121" s="53">
        <f t="shared" si="850"/>
        <v>0</v>
      </c>
      <c r="Z3121" s="54">
        <f t="shared" si="856"/>
        <v>0</v>
      </c>
      <c r="AA3121" s="54">
        <f t="shared" si="851"/>
        <v>0</v>
      </c>
      <c r="AB3121" s="55">
        <f t="shared" si="857"/>
        <v>0</v>
      </c>
      <c r="AC3121" s="55">
        <f t="shared" si="852"/>
        <v>0</v>
      </c>
      <c r="AD3121" s="56">
        <f t="shared" si="853"/>
        <v>20651.400000000001</v>
      </c>
    </row>
    <row r="3122" spans="3:30">
      <c r="C3122" s="43" t="s">
        <v>5805</v>
      </c>
      <c r="D3122" s="44" t="s">
        <v>5806</v>
      </c>
      <c r="E3122" s="44"/>
      <c r="F3122" s="45">
        <v>43043.138368055552</v>
      </c>
      <c r="G3122" s="46">
        <v>10</v>
      </c>
      <c r="H3122" s="47">
        <v>43404</v>
      </c>
      <c r="I3122" s="47">
        <v>43405</v>
      </c>
      <c r="J3122" s="46">
        <v>756800</v>
      </c>
      <c r="K3122" s="46">
        <v>0</v>
      </c>
      <c r="L3122" s="46">
        <v>0</v>
      </c>
      <c r="M3122" s="46">
        <f t="shared" si="842"/>
        <v>756800</v>
      </c>
      <c r="N3122" s="46">
        <v>884228</v>
      </c>
      <c r="O3122" s="48">
        <f t="shared" si="843"/>
        <v>0.14411215206937578</v>
      </c>
      <c r="P3122" s="46">
        <v>0</v>
      </c>
      <c r="Q3122" s="46">
        <v>756800</v>
      </c>
      <c r="R3122" s="49">
        <f t="shared" si="844"/>
        <v>1</v>
      </c>
      <c r="S3122" s="50">
        <f t="shared" si="845"/>
        <v>0.01</v>
      </c>
      <c r="T3122" s="49">
        <f t="shared" si="846"/>
        <v>7568</v>
      </c>
      <c r="U3122" s="51">
        <f t="shared" si="847"/>
        <v>0</v>
      </c>
      <c r="V3122" s="52">
        <f>IF(0&lt;0.8,0,IF(0&lt;1,Sheet3!L561,1))*IF(G3122&lt;3,0.12 - O3122,0.01) *U3122</f>
        <v>0</v>
      </c>
      <c r="W3122" s="52">
        <f t="shared" si="848"/>
        <v>0</v>
      </c>
      <c r="X3122" s="53">
        <f t="shared" si="849"/>
        <v>0</v>
      </c>
      <c r="Y3122" s="53">
        <f t="shared" si="850"/>
        <v>0</v>
      </c>
      <c r="Z3122" s="54">
        <f t="shared" si="856"/>
        <v>0</v>
      </c>
      <c r="AA3122" s="54">
        <f t="shared" si="851"/>
        <v>0</v>
      </c>
      <c r="AB3122" s="55">
        <f t="shared" si="857"/>
        <v>0</v>
      </c>
      <c r="AC3122" s="55">
        <f t="shared" si="852"/>
        <v>0</v>
      </c>
      <c r="AD3122" s="56">
        <f t="shared" si="853"/>
        <v>7568</v>
      </c>
    </row>
    <row r="3123" spans="3:30">
      <c r="C3123" s="43" t="s">
        <v>5807</v>
      </c>
      <c r="D3123" s="44" t="s">
        <v>5808</v>
      </c>
      <c r="E3123" s="44"/>
      <c r="F3123" s="45">
        <v>43188.335370370369</v>
      </c>
      <c r="G3123" s="46">
        <v>6</v>
      </c>
      <c r="H3123" s="47">
        <v>43404</v>
      </c>
      <c r="I3123" s="47">
        <v>43410</v>
      </c>
      <c r="J3123" s="46">
        <v>135190</v>
      </c>
      <c r="K3123" s="46">
        <v>0</v>
      </c>
      <c r="L3123" s="46">
        <v>0</v>
      </c>
      <c r="M3123" s="46">
        <f t="shared" ref="M3123:M3186" si="858">IFERROR(J3123-K3123-L3123,0)</f>
        <v>135190</v>
      </c>
      <c r="N3123" s="46">
        <v>148709</v>
      </c>
      <c r="O3123" s="48">
        <f t="shared" ref="O3123:O3186" si="859">IFERROR(IF(1 - M3123/N3123&lt;0,0,1-M3123/N3123),0)</f>
        <v>9.0909090909090939E-2</v>
      </c>
      <c r="P3123" s="46">
        <v>0</v>
      </c>
      <c r="Q3123" s="46">
        <v>135190</v>
      </c>
      <c r="R3123" s="49">
        <f t="shared" ref="R3123:R3186" si="860">IF(F3123&lt;DATEVALUE("2018-07-01"),1,0)</f>
        <v>1</v>
      </c>
      <c r="S3123" s="50">
        <f t="shared" ref="S3123:S3186" si="861">IF(R3123=1,1%,0)</f>
        <v>0.01</v>
      </c>
      <c r="T3123" s="49">
        <f t="shared" ref="T3123:T3186" si="862">IFERROR(S3123*M3123,0)</f>
        <v>1351.9</v>
      </c>
      <c r="U3123" s="51">
        <f t="shared" ref="U3123:U3186" si="863">IF(O3123&lt;=0.12,1,0)*(1-R3123)*M3123</f>
        <v>0</v>
      </c>
      <c r="V3123" s="52">
        <f>IF(0&lt;0.8,0,IF(0&lt;1,Sheet3!L561,1))*IF(G3123&lt;3,0.12 - O3123,0.01) *U3123</f>
        <v>0</v>
      </c>
      <c r="W3123" s="52">
        <f t="shared" ref="W3123:W3186" si="864">IF(0&gt;1,IF(0&lt;=1.1,1,IF(0&lt;=1.2,2,IF(0&lt;=1.5,3,5))),0) * 1000000</f>
        <v>0</v>
      </c>
      <c r="X3123" s="53">
        <f t="shared" ref="X3123:X3186" si="865">IF(AND(P3123&gt;=150000000,P3123&lt;300000000),5000000,IF(AND(P3123&gt;=300000000,P3123&lt;500000000),10000000,IF(AND(P3123&gt;=300000000,P3123&lt;500000000),15000000,IF(AND(P3123&gt;=500000000,P3123&lt;3000000000),20000000,IF(P3123&gt;=30000000000,35000000,0))))) * (1-R3123)</f>
        <v>0</v>
      </c>
      <c r="Y3123" s="53">
        <f t="shared" ref="Y3123:Y3186" si="866">IFERROR(Q3123 * (1-R3123),0)</f>
        <v>0</v>
      </c>
      <c r="Z3123" s="54">
        <f t="shared" si="856"/>
        <v>0</v>
      </c>
      <c r="AA3123" s="54">
        <f t="shared" ref="AA3123:AA3186" si="867">IFERROR((1-R3123) * Z3123 * 2%,0)</f>
        <v>0</v>
      </c>
      <c r="AB3123" s="55">
        <f t="shared" si="857"/>
        <v>0</v>
      </c>
      <c r="AC3123" s="55">
        <f t="shared" ref="AC3123:AC3186" si="868">IFERROR(AB3123 * (1-R3123) * 2%,0)</f>
        <v>0</v>
      </c>
      <c r="AD3123" s="56">
        <f t="shared" ref="AD3123:AD3186" si="869">T3123+V3123+W3123+X3123+AA3123+AC3123</f>
        <v>1351.9</v>
      </c>
    </row>
    <row r="3124" spans="3:30">
      <c r="C3124" s="43" t="s">
        <v>5809</v>
      </c>
      <c r="D3124" s="44" t="s">
        <v>5810</v>
      </c>
      <c r="E3124" s="44"/>
      <c r="F3124" s="45">
        <v>43214.074479166666</v>
      </c>
      <c r="G3124" s="46">
        <v>5</v>
      </c>
      <c r="H3124" s="47">
        <v>43404</v>
      </c>
      <c r="I3124" s="47">
        <v>43413</v>
      </c>
      <c r="J3124" s="46">
        <v>565455</v>
      </c>
      <c r="K3124" s="46">
        <v>0</v>
      </c>
      <c r="L3124" s="46">
        <v>0</v>
      </c>
      <c r="M3124" s="46">
        <f t="shared" si="858"/>
        <v>565455</v>
      </c>
      <c r="N3124" s="46">
        <v>663443</v>
      </c>
      <c r="O3124" s="48">
        <f t="shared" si="859"/>
        <v>0.14769618490209413</v>
      </c>
      <c r="P3124" s="46">
        <v>0</v>
      </c>
      <c r="Q3124" s="46">
        <v>565455</v>
      </c>
      <c r="R3124" s="49">
        <f t="shared" si="860"/>
        <v>1</v>
      </c>
      <c r="S3124" s="50">
        <f t="shared" si="861"/>
        <v>0.01</v>
      </c>
      <c r="T3124" s="49">
        <f t="shared" si="862"/>
        <v>5654.55</v>
      </c>
      <c r="U3124" s="51">
        <f t="shared" si="863"/>
        <v>0</v>
      </c>
      <c r="V3124" s="52">
        <f>IF(0&lt;0.8,0,IF(0&lt;1,Sheet3!L561,1))*IF(G3124&lt;3,0.12 - O3124,0.01) *U3124</f>
        <v>0</v>
      </c>
      <c r="W3124" s="52">
        <f t="shared" si="864"/>
        <v>0</v>
      </c>
      <c r="X3124" s="53">
        <f t="shared" si="865"/>
        <v>0</v>
      </c>
      <c r="Y3124" s="53">
        <f t="shared" si="866"/>
        <v>0</v>
      </c>
      <c r="Z3124" s="54">
        <f t="shared" si="856"/>
        <v>0</v>
      </c>
      <c r="AA3124" s="54">
        <f t="shared" si="867"/>
        <v>0</v>
      </c>
      <c r="AB3124" s="55">
        <f t="shared" si="857"/>
        <v>0</v>
      </c>
      <c r="AC3124" s="55">
        <f t="shared" si="868"/>
        <v>0</v>
      </c>
      <c r="AD3124" s="56">
        <f t="shared" si="869"/>
        <v>5654.55</v>
      </c>
    </row>
    <row r="3125" spans="3:30">
      <c r="C3125" s="43" t="s">
        <v>5811</v>
      </c>
      <c r="D3125" s="44" t="s">
        <v>5812</v>
      </c>
      <c r="E3125" s="44"/>
      <c r="F3125" s="45">
        <v>43321.349189814813</v>
      </c>
      <c r="G3125" s="46">
        <v>1</v>
      </c>
      <c r="H3125" s="47">
        <v>43404</v>
      </c>
      <c r="I3125" s="47">
        <v>43413</v>
      </c>
      <c r="J3125" s="46">
        <v>151976</v>
      </c>
      <c r="K3125" s="46">
        <v>0</v>
      </c>
      <c r="L3125" s="46">
        <v>0</v>
      </c>
      <c r="M3125" s="46">
        <f t="shared" si="858"/>
        <v>151976</v>
      </c>
      <c r="N3125" s="46">
        <v>151976</v>
      </c>
      <c r="O3125" s="48">
        <f t="shared" si="859"/>
        <v>0</v>
      </c>
      <c r="P3125" s="46">
        <v>0</v>
      </c>
      <c r="Q3125" s="46">
        <v>0</v>
      </c>
      <c r="R3125" s="49">
        <f t="shared" si="860"/>
        <v>0</v>
      </c>
      <c r="S3125" s="50">
        <f t="shared" si="861"/>
        <v>0</v>
      </c>
      <c r="T3125" s="49">
        <f t="shared" si="862"/>
        <v>0</v>
      </c>
      <c r="U3125" s="51">
        <f t="shared" si="863"/>
        <v>151976</v>
      </c>
      <c r="V3125" s="52">
        <f>IF(0&lt;0.8,0,IF(0&lt;1,Sheet3!L561,1))*IF(G3125&lt;3,0.12 - O3125,0.01) *U3125</f>
        <v>0</v>
      </c>
      <c r="W3125" s="52">
        <f t="shared" si="864"/>
        <v>0</v>
      </c>
      <c r="X3125" s="53">
        <f t="shared" si="865"/>
        <v>0</v>
      </c>
      <c r="Y3125" s="53">
        <f t="shared" si="866"/>
        <v>0</v>
      </c>
      <c r="Z3125" s="54">
        <f t="shared" si="856"/>
        <v>0</v>
      </c>
      <c r="AA3125" s="54">
        <f t="shared" si="867"/>
        <v>0</v>
      </c>
      <c r="AB3125" s="55">
        <f t="shared" si="857"/>
        <v>0</v>
      </c>
      <c r="AC3125" s="55">
        <f t="shared" si="868"/>
        <v>0</v>
      </c>
      <c r="AD3125" s="56">
        <f t="shared" si="869"/>
        <v>0</v>
      </c>
    </row>
    <row r="3126" spans="3:30">
      <c r="C3126" s="43" t="s">
        <v>5813</v>
      </c>
      <c r="D3126" s="44" t="s">
        <v>5814</v>
      </c>
      <c r="E3126" s="44"/>
      <c r="F3126" s="45">
        <v>42521.269293981481</v>
      </c>
      <c r="G3126" s="46">
        <v>28</v>
      </c>
      <c r="H3126" s="47" t="s">
        <v>24</v>
      </c>
      <c r="I3126" s="47" t="s">
        <v>24</v>
      </c>
      <c r="J3126" s="46">
        <v>0</v>
      </c>
      <c r="K3126" s="46">
        <v>0</v>
      </c>
      <c r="L3126" s="46">
        <v>0</v>
      </c>
      <c r="M3126" s="46">
        <f t="shared" si="858"/>
        <v>0</v>
      </c>
      <c r="N3126" s="46">
        <v>1368147</v>
      </c>
      <c r="O3126" s="48">
        <f t="shared" si="859"/>
        <v>1</v>
      </c>
      <c r="P3126" s="46">
        <v>0</v>
      </c>
      <c r="Q3126" s="46">
        <v>0</v>
      </c>
      <c r="R3126" s="49">
        <f t="shared" si="860"/>
        <v>1</v>
      </c>
      <c r="S3126" s="50">
        <f t="shared" si="861"/>
        <v>0.01</v>
      </c>
      <c r="T3126" s="49">
        <f t="shared" si="862"/>
        <v>0</v>
      </c>
      <c r="U3126" s="51">
        <f t="shared" si="863"/>
        <v>0</v>
      </c>
      <c r="V3126" s="52">
        <f>IF(0&lt;0.8,0,IF(0&lt;1,Sheet3!L561,1))*IF(G3126&lt;3,0.12 - O3126,0.01) *U3126</f>
        <v>0</v>
      </c>
      <c r="W3126" s="52">
        <f t="shared" si="864"/>
        <v>0</v>
      </c>
      <c r="X3126" s="53">
        <f t="shared" si="865"/>
        <v>0</v>
      </c>
      <c r="Y3126" s="53">
        <f t="shared" si="866"/>
        <v>0</v>
      </c>
      <c r="Z3126" s="54">
        <f>IF(R3126=1,0,"")</f>
        <v>0</v>
      </c>
      <c r="AA3126" s="54">
        <f t="shared" si="867"/>
        <v>0</v>
      </c>
      <c r="AB3126" s="55">
        <f>IF(R3126=0,"",0)</f>
        <v>0</v>
      </c>
      <c r="AC3126" s="55">
        <f t="shared" si="868"/>
        <v>0</v>
      </c>
      <c r="AD3126" s="56">
        <f t="shared" si="869"/>
        <v>0</v>
      </c>
    </row>
    <row r="3127" spans="3:30">
      <c r="C3127" s="43" t="s">
        <v>5815</v>
      </c>
      <c r="D3127" s="44" t="s">
        <v>995</v>
      </c>
      <c r="E3127" s="44"/>
      <c r="F3127" s="45">
        <v>43316.690243055556</v>
      </c>
      <c r="G3127" s="46">
        <v>1</v>
      </c>
      <c r="H3127" s="47">
        <v>43459</v>
      </c>
      <c r="I3127" s="47">
        <v>43487</v>
      </c>
      <c r="J3127" s="46">
        <v>512475</v>
      </c>
      <c r="K3127" s="46">
        <v>0</v>
      </c>
      <c r="L3127" s="46">
        <v>0</v>
      </c>
      <c r="M3127" s="46">
        <f t="shared" si="858"/>
        <v>512475</v>
      </c>
      <c r="N3127" s="46">
        <v>639504</v>
      </c>
      <c r="O3127" s="48">
        <f t="shared" si="859"/>
        <v>0.19863675598588904</v>
      </c>
      <c r="P3127" s="46">
        <v>0</v>
      </c>
      <c r="Q3127" s="46">
        <v>0</v>
      </c>
      <c r="R3127" s="49">
        <f t="shared" si="860"/>
        <v>0</v>
      </c>
      <c r="S3127" s="50">
        <f t="shared" si="861"/>
        <v>0</v>
      </c>
      <c r="T3127" s="49">
        <f t="shared" si="862"/>
        <v>0</v>
      </c>
      <c r="U3127" s="51">
        <f t="shared" si="863"/>
        <v>0</v>
      </c>
      <c r="V3127" s="52">
        <f>IF(0&lt;0.8,0,IF(0&lt;1,Sheet3!L561,1))*IF(G3127&lt;3,0.12 - O3127,0.01) *U3127</f>
        <v>0</v>
      </c>
      <c r="W3127" s="52">
        <f t="shared" si="864"/>
        <v>0</v>
      </c>
      <c r="X3127" s="53">
        <f t="shared" si="865"/>
        <v>0</v>
      </c>
      <c r="Y3127" s="53">
        <f t="shared" si="866"/>
        <v>0</v>
      </c>
      <c r="Z3127" s="54">
        <f t="shared" ref="Z3127:Z3137" si="870">IF(R3127=1,0,0)</f>
        <v>0</v>
      </c>
      <c r="AA3127" s="54">
        <f t="shared" si="867"/>
        <v>0</v>
      </c>
      <c r="AB3127" s="55">
        <f t="shared" ref="AB3127:AB3137" si="871">IF(R3127=0,0,0)</f>
        <v>0</v>
      </c>
      <c r="AC3127" s="55">
        <f t="shared" si="868"/>
        <v>0</v>
      </c>
      <c r="AD3127" s="56">
        <f t="shared" si="869"/>
        <v>0</v>
      </c>
    </row>
    <row r="3128" spans="3:30">
      <c r="C3128" s="43" t="s">
        <v>5816</v>
      </c>
      <c r="D3128" s="44" t="s">
        <v>5817</v>
      </c>
      <c r="E3128" s="44"/>
      <c r="F3128" s="45">
        <v>39527.62023148148</v>
      </c>
      <c r="G3128" s="46">
        <v>126</v>
      </c>
      <c r="H3128" s="47">
        <v>43404</v>
      </c>
      <c r="I3128" s="47">
        <v>43420</v>
      </c>
      <c r="J3128" s="46">
        <v>50844728</v>
      </c>
      <c r="K3128" s="46">
        <v>8874381</v>
      </c>
      <c r="L3128" s="46">
        <v>0</v>
      </c>
      <c r="M3128" s="46">
        <f t="shared" si="858"/>
        <v>41970347</v>
      </c>
      <c r="N3128" s="46">
        <v>77560695</v>
      </c>
      <c r="O3128" s="48">
        <f t="shared" si="859"/>
        <v>0.45887092682704811</v>
      </c>
      <c r="P3128" s="46">
        <v>0</v>
      </c>
      <c r="Q3128" s="46">
        <v>50382893</v>
      </c>
      <c r="R3128" s="49">
        <f t="shared" si="860"/>
        <v>1</v>
      </c>
      <c r="S3128" s="50">
        <f t="shared" si="861"/>
        <v>0.01</v>
      </c>
      <c r="T3128" s="49">
        <f t="shared" si="862"/>
        <v>419703.47000000003</v>
      </c>
      <c r="U3128" s="51">
        <f t="shared" si="863"/>
        <v>0</v>
      </c>
      <c r="V3128" s="52">
        <f>IF(0&lt;0.8,0,IF(0&lt;1,Sheet3!L561,1))*IF(G3128&lt;3,0.12 - O3128,0.01) *U3128</f>
        <v>0</v>
      </c>
      <c r="W3128" s="52">
        <f t="shared" si="864"/>
        <v>0</v>
      </c>
      <c r="X3128" s="53">
        <f t="shared" si="865"/>
        <v>0</v>
      </c>
      <c r="Y3128" s="53">
        <f t="shared" si="866"/>
        <v>0</v>
      </c>
      <c r="Z3128" s="54">
        <f t="shared" si="870"/>
        <v>0</v>
      </c>
      <c r="AA3128" s="54">
        <f t="shared" si="867"/>
        <v>0</v>
      </c>
      <c r="AB3128" s="55">
        <f t="shared" si="871"/>
        <v>0</v>
      </c>
      <c r="AC3128" s="55">
        <f t="shared" si="868"/>
        <v>0</v>
      </c>
      <c r="AD3128" s="56">
        <f t="shared" si="869"/>
        <v>419703.47000000003</v>
      </c>
    </row>
    <row r="3129" spans="3:30">
      <c r="C3129" s="43" t="s">
        <v>5818</v>
      </c>
      <c r="D3129" s="44" t="s">
        <v>5819</v>
      </c>
      <c r="E3129" s="44"/>
      <c r="F3129" s="45">
        <v>39506.48710648148</v>
      </c>
      <c r="G3129" s="46">
        <v>127</v>
      </c>
      <c r="H3129" s="47">
        <v>43395</v>
      </c>
      <c r="I3129" s="47">
        <v>43395</v>
      </c>
      <c r="J3129" s="46">
        <v>959424</v>
      </c>
      <c r="K3129" s="46">
        <v>0</v>
      </c>
      <c r="L3129" s="46">
        <v>0</v>
      </c>
      <c r="M3129" s="46">
        <f t="shared" si="858"/>
        <v>959424</v>
      </c>
      <c r="N3129" s="46">
        <v>959424</v>
      </c>
      <c r="O3129" s="48">
        <f t="shared" si="859"/>
        <v>0</v>
      </c>
      <c r="P3129" s="46">
        <v>0</v>
      </c>
      <c r="Q3129" s="46">
        <v>959424</v>
      </c>
      <c r="R3129" s="49">
        <f t="shared" si="860"/>
        <v>1</v>
      </c>
      <c r="S3129" s="50">
        <f t="shared" si="861"/>
        <v>0.01</v>
      </c>
      <c r="T3129" s="49">
        <f t="shared" si="862"/>
        <v>9594.24</v>
      </c>
      <c r="U3129" s="51">
        <f t="shared" si="863"/>
        <v>0</v>
      </c>
      <c r="V3129" s="52">
        <f>IF(0&lt;0.8,0,IF(0&lt;1,Sheet3!L561,1))*IF(G3129&lt;3,0.12 - O3129,0.01) *U3129</f>
        <v>0</v>
      </c>
      <c r="W3129" s="52">
        <f t="shared" si="864"/>
        <v>0</v>
      </c>
      <c r="X3129" s="53">
        <f t="shared" si="865"/>
        <v>0</v>
      </c>
      <c r="Y3129" s="53">
        <f t="shared" si="866"/>
        <v>0</v>
      </c>
      <c r="Z3129" s="54">
        <f t="shared" si="870"/>
        <v>0</v>
      </c>
      <c r="AA3129" s="54">
        <f t="shared" si="867"/>
        <v>0</v>
      </c>
      <c r="AB3129" s="55">
        <f t="shared" si="871"/>
        <v>0</v>
      </c>
      <c r="AC3129" s="55">
        <f t="shared" si="868"/>
        <v>0</v>
      </c>
      <c r="AD3129" s="56">
        <f t="shared" si="869"/>
        <v>9594.24</v>
      </c>
    </row>
    <row r="3130" spans="3:30">
      <c r="C3130" s="43" t="s">
        <v>5820</v>
      </c>
      <c r="D3130" s="44" t="s">
        <v>5821</v>
      </c>
      <c r="E3130" s="44"/>
      <c r="F3130" s="45">
        <v>40620.484837962962</v>
      </c>
      <c r="G3130" s="46">
        <v>90</v>
      </c>
      <c r="H3130" s="47">
        <v>43397</v>
      </c>
      <c r="I3130" s="47">
        <v>43404</v>
      </c>
      <c r="J3130" s="46">
        <v>6095377</v>
      </c>
      <c r="K3130" s="46">
        <v>332476</v>
      </c>
      <c r="L3130" s="46">
        <v>0</v>
      </c>
      <c r="M3130" s="46">
        <f t="shared" si="858"/>
        <v>5762901</v>
      </c>
      <c r="N3130" s="46">
        <v>6622723</v>
      </c>
      <c r="O3130" s="48">
        <f t="shared" si="859"/>
        <v>0.12982907483825001</v>
      </c>
      <c r="P3130" s="46">
        <v>0</v>
      </c>
      <c r="Q3130" s="46">
        <v>6095377</v>
      </c>
      <c r="R3130" s="49">
        <f t="shared" si="860"/>
        <v>1</v>
      </c>
      <c r="S3130" s="50">
        <f t="shared" si="861"/>
        <v>0.01</v>
      </c>
      <c r="T3130" s="49">
        <f t="shared" si="862"/>
        <v>57629.01</v>
      </c>
      <c r="U3130" s="51">
        <f t="shared" si="863"/>
        <v>0</v>
      </c>
      <c r="V3130" s="52">
        <f>IF(0&lt;0.8,0,IF(0&lt;1,Sheet3!L561,1))*IF(G3130&lt;3,0.12 - O3130,0.01) *U3130</f>
        <v>0</v>
      </c>
      <c r="W3130" s="52">
        <f t="shared" si="864"/>
        <v>0</v>
      </c>
      <c r="X3130" s="53">
        <f t="shared" si="865"/>
        <v>0</v>
      </c>
      <c r="Y3130" s="53">
        <f t="shared" si="866"/>
        <v>0</v>
      </c>
      <c r="Z3130" s="54">
        <f t="shared" si="870"/>
        <v>0</v>
      </c>
      <c r="AA3130" s="54">
        <f t="shared" si="867"/>
        <v>0</v>
      </c>
      <c r="AB3130" s="55">
        <f t="shared" si="871"/>
        <v>0</v>
      </c>
      <c r="AC3130" s="55">
        <f t="shared" si="868"/>
        <v>0</v>
      </c>
      <c r="AD3130" s="56">
        <f t="shared" si="869"/>
        <v>57629.01</v>
      </c>
    </row>
    <row r="3131" spans="3:30">
      <c r="C3131" s="43" t="s">
        <v>5822</v>
      </c>
      <c r="D3131" s="44" t="s">
        <v>5823</v>
      </c>
      <c r="E3131" s="44"/>
      <c r="F3131" s="45">
        <v>40892.602870370371</v>
      </c>
      <c r="G3131" s="46">
        <v>81</v>
      </c>
      <c r="H3131" s="47">
        <v>43372</v>
      </c>
      <c r="I3131" s="47">
        <v>43376</v>
      </c>
      <c r="J3131" s="46">
        <v>750924</v>
      </c>
      <c r="K3131" s="46">
        <v>0</v>
      </c>
      <c r="L3131" s="46">
        <v>0</v>
      </c>
      <c r="M3131" s="46">
        <f t="shared" si="858"/>
        <v>750924</v>
      </c>
      <c r="N3131" s="46">
        <v>863759</v>
      </c>
      <c r="O3131" s="48">
        <f t="shared" si="859"/>
        <v>0.130632502816179</v>
      </c>
      <c r="P3131" s="46">
        <v>0</v>
      </c>
      <c r="Q3131" s="46">
        <v>750924</v>
      </c>
      <c r="R3131" s="49">
        <f t="shared" si="860"/>
        <v>1</v>
      </c>
      <c r="S3131" s="50">
        <f t="shared" si="861"/>
        <v>0.01</v>
      </c>
      <c r="T3131" s="49">
        <f t="shared" si="862"/>
        <v>7509.24</v>
      </c>
      <c r="U3131" s="51">
        <f t="shared" si="863"/>
        <v>0</v>
      </c>
      <c r="V3131" s="52">
        <f>IF(0&lt;0.8,0,IF(0&lt;1,Sheet3!L561,1))*IF(G3131&lt;3,0.12 - O3131,0.01) *U3131</f>
        <v>0</v>
      </c>
      <c r="W3131" s="52">
        <f t="shared" si="864"/>
        <v>0</v>
      </c>
      <c r="X3131" s="53">
        <f t="shared" si="865"/>
        <v>0</v>
      </c>
      <c r="Y3131" s="53">
        <f t="shared" si="866"/>
        <v>0</v>
      </c>
      <c r="Z3131" s="54">
        <f t="shared" si="870"/>
        <v>0</v>
      </c>
      <c r="AA3131" s="54">
        <f t="shared" si="867"/>
        <v>0</v>
      </c>
      <c r="AB3131" s="55">
        <f t="shared" si="871"/>
        <v>0</v>
      </c>
      <c r="AC3131" s="55">
        <f t="shared" si="868"/>
        <v>0</v>
      </c>
      <c r="AD3131" s="56">
        <f t="shared" si="869"/>
        <v>7509.24</v>
      </c>
    </row>
    <row r="3132" spans="3:30">
      <c r="C3132" s="43" t="s">
        <v>5824</v>
      </c>
      <c r="D3132" s="44" t="s">
        <v>5825</v>
      </c>
      <c r="E3132" s="44"/>
      <c r="F3132" s="45">
        <v>40892.60434027778</v>
      </c>
      <c r="G3132" s="46">
        <v>81</v>
      </c>
      <c r="H3132" s="47">
        <v>43404</v>
      </c>
      <c r="I3132" s="47">
        <v>43420</v>
      </c>
      <c r="J3132" s="46">
        <v>570779</v>
      </c>
      <c r="K3132" s="46">
        <v>0</v>
      </c>
      <c r="L3132" s="46">
        <v>0</v>
      </c>
      <c r="M3132" s="46">
        <f t="shared" si="858"/>
        <v>570779</v>
      </c>
      <c r="N3132" s="46">
        <v>660902</v>
      </c>
      <c r="O3132" s="48">
        <f t="shared" si="859"/>
        <v>0.13636363636363635</v>
      </c>
      <c r="P3132" s="46">
        <v>0</v>
      </c>
      <c r="Q3132" s="46">
        <v>570779</v>
      </c>
      <c r="R3132" s="49">
        <f t="shared" si="860"/>
        <v>1</v>
      </c>
      <c r="S3132" s="50">
        <f t="shared" si="861"/>
        <v>0.01</v>
      </c>
      <c r="T3132" s="49">
        <f t="shared" si="862"/>
        <v>5707.79</v>
      </c>
      <c r="U3132" s="51">
        <f t="shared" si="863"/>
        <v>0</v>
      </c>
      <c r="V3132" s="52">
        <f>IF(0&lt;0.8,0,IF(0&lt;1,Sheet3!L561,1))*IF(G3132&lt;3,0.12 - O3132,0.01) *U3132</f>
        <v>0</v>
      </c>
      <c r="W3132" s="52">
        <f t="shared" si="864"/>
        <v>0</v>
      </c>
      <c r="X3132" s="53">
        <f t="shared" si="865"/>
        <v>0</v>
      </c>
      <c r="Y3132" s="53">
        <f t="shared" si="866"/>
        <v>0</v>
      </c>
      <c r="Z3132" s="54">
        <f t="shared" si="870"/>
        <v>0</v>
      </c>
      <c r="AA3132" s="54">
        <f t="shared" si="867"/>
        <v>0</v>
      </c>
      <c r="AB3132" s="55">
        <f t="shared" si="871"/>
        <v>0</v>
      </c>
      <c r="AC3132" s="55">
        <f t="shared" si="868"/>
        <v>0</v>
      </c>
      <c r="AD3132" s="56">
        <f t="shared" si="869"/>
        <v>5707.79</v>
      </c>
    </row>
    <row r="3133" spans="3:30">
      <c r="C3133" s="43" t="s">
        <v>5826</v>
      </c>
      <c r="D3133" s="44" t="s">
        <v>5827</v>
      </c>
      <c r="E3133" s="44"/>
      <c r="F3133" s="45">
        <v>41092.71969907407</v>
      </c>
      <c r="G3133" s="46">
        <v>74</v>
      </c>
      <c r="H3133" s="47">
        <v>43378</v>
      </c>
      <c r="I3133" s="47">
        <v>43389</v>
      </c>
      <c r="J3133" s="46">
        <v>289190</v>
      </c>
      <c r="K3133" s="46">
        <v>0</v>
      </c>
      <c r="L3133" s="46">
        <v>0</v>
      </c>
      <c r="M3133" s="46">
        <f t="shared" si="858"/>
        <v>289190</v>
      </c>
      <c r="N3133" s="46">
        <v>289190</v>
      </c>
      <c r="O3133" s="48">
        <f t="shared" si="859"/>
        <v>0</v>
      </c>
      <c r="P3133" s="46">
        <v>0</v>
      </c>
      <c r="Q3133" s="46">
        <v>289190</v>
      </c>
      <c r="R3133" s="49">
        <f t="shared" si="860"/>
        <v>1</v>
      </c>
      <c r="S3133" s="50">
        <f t="shared" si="861"/>
        <v>0.01</v>
      </c>
      <c r="T3133" s="49">
        <f t="shared" si="862"/>
        <v>2891.9</v>
      </c>
      <c r="U3133" s="51">
        <f t="shared" si="863"/>
        <v>0</v>
      </c>
      <c r="V3133" s="52">
        <f>IF(0&lt;0.8,0,IF(0&lt;1,Sheet3!L561,1))*IF(G3133&lt;3,0.12 - O3133,0.01) *U3133</f>
        <v>0</v>
      </c>
      <c r="W3133" s="52">
        <f t="shared" si="864"/>
        <v>0</v>
      </c>
      <c r="X3133" s="53">
        <f t="shared" si="865"/>
        <v>0</v>
      </c>
      <c r="Y3133" s="53">
        <f t="shared" si="866"/>
        <v>0</v>
      </c>
      <c r="Z3133" s="54">
        <f t="shared" si="870"/>
        <v>0</v>
      </c>
      <c r="AA3133" s="54">
        <f t="shared" si="867"/>
        <v>0</v>
      </c>
      <c r="AB3133" s="55">
        <f t="shared" si="871"/>
        <v>0</v>
      </c>
      <c r="AC3133" s="55">
        <f t="shared" si="868"/>
        <v>0</v>
      </c>
      <c r="AD3133" s="56">
        <f t="shared" si="869"/>
        <v>2891.9</v>
      </c>
    </row>
    <row r="3134" spans="3:30">
      <c r="C3134" s="43" t="s">
        <v>5828</v>
      </c>
      <c r="D3134" s="44" t="s">
        <v>5829</v>
      </c>
      <c r="E3134" s="44"/>
      <c r="F3134" s="45">
        <v>41141.573495370372</v>
      </c>
      <c r="G3134" s="46">
        <v>73</v>
      </c>
      <c r="H3134" s="47">
        <v>43378</v>
      </c>
      <c r="I3134" s="47">
        <v>43417</v>
      </c>
      <c r="J3134" s="46">
        <v>189300</v>
      </c>
      <c r="K3134" s="46">
        <v>0</v>
      </c>
      <c r="L3134" s="46">
        <v>0</v>
      </c>
      <c r="M3134" s="46">
        <f t="shared" si="858"/>
        <v>189300</v>
      </c>
      <c r="N3134" s="46">
        <v>124800</v>
      </c>
      <c r="O3134" s="48">
        <f t="shared" si="859"/>
        <v>0</v>
      </c>
      <c r="P3134" s="46">
        <v>0</v>
      </c>
      <c r="Q3134" s="46">
        <v>189300</v>
      </c>
      <c r="R3134" s="49">
        <f t="shared" si="860"/>
        <v>1</v>
      </c>
      <c r="S3134" s="50">
        <f t="shared" si="861"/>
        <v>0.01</v>
      </c>
      <c r="T3134" s="49">
        <f t="shared" si="862"/>
        <v>1893</v>
      </c>
      <c r="U3134" s="51">
        <f t="shared" si="863"/>
        <v>0</v>
      </c>
      <c r="V3134" s="52">
        <f>IF(0&lt;0.8,0,IF(0&lt;1,Sheet3!L561,1))*IF(G3134&lt;3,0.12 - O3134,0.01) *U3134</f>
        <v>0</v>
      </c>
      <c r="W3134" s="52">
        <f t="shared" si="864"/>
        <v>0</v>
      </c>
      <c r="X3134" s="53">
        <f t="shared" si="865"/>
        <v>0</v>
      </c>
      <c r="Y3134" s="53">
        <f t="shared" si="866"/>
        <v>0</v>
      </c>
      <c r="Z3134" s="54">
        <f t="shared" si="870"/>
        <v>0</v>
      </c>
      <c r="AA3134" s="54">
        <f t="shared" si="867"/>
        <v>0</v>
      </c>
      <c r="AB3134" s="55">
        <f t="shared" si="871"/>
        <v>0</v>
      </c>
      <c r="AC3134" s="55">
        <f t="shared" si="868"/>
        <v>0</v>
      </c>
      <c r="AD3134" s="56">
        <f t="shared" si="869"/>
        <v>1893</v>
      </c>
    </row>
    <row r="3135" spans="3:30">
      <c r="C3135" s="43" t="s">
        <v>5830</v>
      </c>
      <c r="D3135" s="44" t="s">
        <v>5831</v>
      </c>
      <c r="E3135" s="44"/>
      <c r="F3135" s="45">
        <v>41265.438888888886</v>
      </c>
      <c r="G3135" s="46">
        <v>69</v>
      </c>
      <c r="H3135" s="47">
        <v>43381</v>
      </c>
      <c r="I3135" s="47">
        <v>43388</v>
      </c>
      <c r="J3135" s="46">
        <v>565015</v>
      </c>
      <c r="K3135" s="46">
        <v>0</v>
      </c>
      <c r="L3135" s="46">
        <v>0</v>
      </c>
      <c r="M3135" s="46">
        <f t="shared" si="858"/>
        <v>565015</v>
      </c>
      <c r="N3135" s="46">
        <v>611270</v>
      </c>
      <c r="O3135" s="48">
        <f t="shared" si="859"/>
        <v>7.5670325715314068E-2</v>
      </c>
      <c r="P3135" s="46">
        <v>0</v>
      </c>
      <c r="Q3135" s="46">
        <v>565015</v>
      </c>
      <c r="R3135" s="49">
        <f t="shared" si="860"/>
        <v>1</v>
      </c>
      <c r="S3135" s="50">
        <f t="shared" si="861"/>
        <v>0.01</v>
      </c>
      <c r="T3135" s="49">
        <f t="shared" si="862"/>
        <v>5650.1500000000005</v>
      </c>
      <c r="U3135" s="51">
        <f t="shared" si="863"/>
        <v>0</v>
      </c>
      <c r="V3135" s="52">
        <f>IF(0&lt;0.8,0,IF(0&lt;1,Sheet3!L561,1))*IF(G3135&lt;3,0.12 - O3135,0.01) *U3135</f>
        <v>0</v>
      </c>
      <c r="W3135" s="52">
        <f t="shared" si="864"/>
        <v>0</v>
      </c>
      <c r="X3135" s="53">
        <f t="shared" si="865"/>
        <v>0</v>
      </c>
      <c r="Y3135" s="53">
        <f t="shared" si="866"/>
        <v>0</v>
      </c>
      <c r="Z3135" s="54">
        <f t="shared" si="870"/>
        <v>0</v>
      </c>
      <c r="AA3135" s="54">
        <f t="shared" si="867"/>
        <v>0</v>
      </c>
      <c r="AB3135" s="55">
        <f t="shared" si="871"/>
        <v>0</v>
      </c>
      <c r="AC3135" s="55">
        <f t="shared" si="868"/>
        <v>0</v>
      </c>
      <c r="AD3135" s="56">
        <f t="shared" si="869"/>
        <v>5650.1500000000005</v>
      </c>
    </row>
    <row r="3136" spans="3:30">
      <c r="C3136" s="43" t="s">
        <v>5832</v>
      </c>
      <c r="D3136" s="44" t="s">
        <v>5833</v>
      </c>
      <c r="E3136" s="44"/>
      <c r="F3136" s="45">
        <v>41437.627951388888</v>
      </c>
      <c r="G3136" s="46">
        <v>63</v>
      </c>
      <c r="H3136" s="47">
        <v>43402</v>
      </c>
      <c r="I3136" s="47">
        <v>43411</v>
      </c>
      <c r="J3136" s="46">
        <v>338606</v>
      </c>
      <c r="K3136" s="46">
        <v>0</v>
      </c>
      <c r="L3136" s="46">
        <v>0</v>
      </c>
      <c r="M3136" s="46">
        <f t="shared" si="858"/>
        <v>338606</v>
      </c>
      <c r="N3136" s="46">
        <v>338606</v>
      </c>
      <c r="O3136" s="48">
        <f t="shared" si="859"/>
        <v>0</v>
      </c>
      <c r="P3136" s="46">
        <v>0</v>
      </c>
      <c r="Q3136" s="46">
        <v>338606</v>
      </c>
      <c r="R3136" s="49">
        <f t="shared" si="860"/>
        <v>1</v>
      </c>
      <c r="S3136" s="50">
        <f t="shared" si="861"/>
        <v>0.01</v>
      </c>
      <c r="T3136" s="49">
        <f t="shared" si="862"/>
        <v>3386.06</v>
      </c>
      <c r="U3136" s="51">
        <f t="shared" si="863"/>
        <v>0</v>
      </c>
      <c r="V3136" s="52">
        <f>IF(0&lt;0.8,0,IF(0&lt;1,Sheet3!L561,1))*IF(G3136&lt;3,0.12 - O3136,0.01) *U3136</f>
        <v>0</v>
      </c>
      <c r="W3136" s="52">
        <f t="shared" si="864"/>
        <v>0</v>
      </c>
      <c r="X3136" s="53">
        <f t="shared" si="865"/>
        <v>0</v>
      </c>
      <c r="Y3136" s="53">
        <f t="shared" si="866"/>
        <v>0</v>
      </c>
      <c r="Z3136" s="54">
        <f t="shared" si="870"/>
        <v>0</v>
      </c>
      <c r="AA3136" s="54">
        <f t="shared" si="867"/>
        <v>0</v>
      </c>
      <c r="AB3136" s="55">
        <f t="shared" si="871"/>
        <v>0</v>
      </c>
      <c r="AC3136" s="55">
        <f t="shared" si="868"/>
        <v>0</v>
      </c>
      <c r="AD3136" s="56">
        <f t="shared" si="869"/>
        <v>3386.06</v>
      </c>
    </row>
    <row r="3137" spans="3:30">
      <c r="C3137" s="43" t="s">
        <v>5834</v>
      </c>
      <c r="D3137" s="44" t="s">
        <v>5835</v>
      </c>
      <c r="E3137" s="44"/>
      <c r="F3137" s="45">
        <v>41437.629444444443</v>
      </c>
      <c r="G3137" s="46">
        <v>63</v>
      </c>
      <c r="H3137" s="47">
        <v>43392</v>
      </c>
      <c r="I3137" s="47">
        <v>43403</v>
      </c>
      <c r="J3137" s="46">
        <v>2087373</v>
      </c>
      <c r="K3137" s="46">
        <v>0</v>
      </c>
      <c r="L3137" s="46">
        <v>0</v>
      </c>
      <c r="M3137" s="46">
        <f t="shared" si="858"/>
        <v>2087373</v>
      </c>
      <c r="N3137" s="46">
        <v>4265976</v>
      </c>
      <c r="O3137" s="48">
        <f t="shared" si="859"/>
        <v>0.51069274651334184</v>
      </c>
      <c r="P3137" s="46">
        <v>0</v>
      </c>
      <c r="Q3137" s="46">
        <v>2087373</v>
      </c>
      <c r="R3137" s="49">
        <f t="shared" si="860"/>
        <v>1</v>
      </c>
      <c r="S3137" s="50">
        <f t="shared" si="861"/>
        <v>0.01</v>
      </c>
      <c r="T3137" s="49">
        <f t="shared" si="862"/>
        <v>20873.73</v>
      </c>
      <c r="U3137" s="51">
        <f t="shared" si="863"/>
        <v>0</v>
      </c>
      <c r="V3137" s="52">
        <f>IF(0&lt;0.8,0,IF(0&lt;1,Sheet3!L561,1))*IF(G3137&lt;3,0.12 - O3137,0.01) *U3137</f>
        <v>0</v>
      </c>
      <c r="W3137" s="52">
        <f t="shared" si="864"/>
        <v>0</v>
      </c>
      <c r="X3137" s="53">
        <f t="shared" si="865"/>
        <v>0</v>
      </c>
      <c r="Y3137" s="53">
        <f t="shared" si="866"/>
        <v>0</v>
      </c>
      <c r="Z3137" s="54">
        <f t="shared" si="870"/>
        <v>0</v>
      </c>
      <c r="AA3137" s="54">
        <f t="shared" si="867"/>
        <v>0</v>
      </c>
      <c r="AB3137" s="55">
        <f t="shared" si="871"/>
        <v>0</v>
      </c>
      <c r="AC3137" s="55">
        <f t="shared" si="868"/>
        <v>0</v>
      </c>
      <c r="AD3137" s="56">
        <f t="shared" si="869"/>
        <v>20873.73</v>
      </c>
    </row>
    <row r="3138" spans="3:30">
      <c r="C3138" s="43" t="s">
        <v>5836</v>
      </c>
      <c r="D3138" s="44" t="s">
        <v>5837</v>
      </c>
      <c r="E3138" s="44"/>
      <c r="F3138" s="45">
        <v>41446.696793981479</v>
      </c>
      <c r="G3138" s="46">
        <v>63</v>
      </c>
      <c r="H3138" s="47" t="s">
        <v>24</v>
      </c>
      <c r="I3138" s="47" t="s">
        <v>24</v>
      </c>
      <c r="J3138" s="46">
        <v>441650</v>
      </c>
      <c r="K3138" s="46">
        <v>0</v>
      </c>
      <c r="L3138" s="46">
        <v>0</v>
      </c>
      <c r="M3138" s="46">
        <f t="shared" si="858"/>
        <v>441650</v>
      </c>
      <c r="N3138" s="46" t="s">
        <v>24</v>
      </c>
      <c r="O3138" s="48">
        <f t="shared" si="859"/>
        <v>0</v>
      </c>
      <c r="P3138" s="46">
        <v>0</v>
      </c>
      <c r="Q3138" s="46">
        <v>0</v>
      </c>
      <c r="R3138" s="49">
        <f t="shared" si="860"/>
        <v>1</v>
      </c>
      <c r="S3138" s="50">
        <f t="shared" si="861"/>
        <v>0.01</v>
      </c>
      <c r="T3138" s="49">
        <f t="shared" si="862"/>
        <v>4416.5</v>
      </c>
      <c r="U3138" s="51">
        <f t="shared" si="863"/>
        <v>0</v>
      </c>
      <c r="V3138" s="52">
        <f>IF(0&lt;0.8,0,IF(0&lt;1,Sheet3!L561,1))*IF(G3138&lt;3,0.12 - O3138,0.01) *U3138</f>
        <v>0</v>
      </c>
      <c r="W3138" s="52">
        <f t="shared" si="864"/>
        <v>0</v>
      </c>
      <c r="X3138" s="53">
        <f t="shared" si="865"/>
        <v>0</v>
      </c>
      <c r="Y3138" s="53">
        <f t="shared" si="866"/>
        <v>0</v>
      </c>
      <c r="Z3138" s="54">
        <f>IF(R3138=1,0,"")</f>
        <v>0</v>
      </c>
      <c r="AA3138" s="54">
        <f t="shared" si="867"/>
        <v>0</v>
      </c>
      <c r="AB3138" s="55">
        <f>IF(R3138=0,"",0)</f>
        <v>0</v>
      </c>
      <c r="AC3138" s="55">
        <f t="shared" si="868"/>
        <v>0</v>
      </c>
      <c r="AD3138" s="56">
        <f t="shared" si="869"/>
        <v>4416.5</v>
      </c>
    </row>
    <row r="3139" spans="3:30">
      <c r="C3139" s="43" t="s">
        <v>5838</v>
      </c>
      <c r="D3139" s="44" t="s">
        <v>5839</v>
      </c>
      <c r="E3139" s="44"/>
      <c r="F3139" s="45">
        <v>41594.521886574075</v>
      </c>
      <c r="G3139" s="46">
        <v>58</v>
      </c>
      <c r="H3139" s="47">
        <v>43385</v>
      </c>
      <c r="I3139" s="47">
        <v>43397</v>
      </c>
      <c r="J3139" s="46">
        <v>219010</v>
      </c>
      <c r="K3139" s="46">
        <v>0</v>
      </c>
      <c r="L3139" s="46">
        <v>0</v>
      </c>
      <c r="M3139" s="46">
        <f t="shared" si="858"/>
        <v>219010</v>
      </c>
      <c r="N3139" s="46">
        <v>219010</v>
      </c>
      <c r="O3139" s="48">
        <f t="shared" si="859"/>
        <v>0</v>
      </c>
      <c r="P3139" s="46">
        <v>0</v>
      </c>
      <c r="Q3139" s="46">
        <v>219010</v>
      </c>
      <c r="R3139" s="49">
        <f t="shared" si="860"/>
        <v>1</v>
      </c>
      <c r="S3139" s="50">
        <f t="shared" si="861"/>
        <v>0.01</v>
      </c>
      <c r="T3139" s="49">
        <f t="shared" si="862"/>
        <v>2190.1</v>
      </c>
      <c r="U3139" s="51">
        <f t="shared" si="863"/>
        <v>0</v>
      </c>
      <c r="V3139" s="52">
        <f>IF(0&lt;0.8,0,IF(0&lt;1,Sheet3!L561,1))*IF(G3139&lt;3,0.12 - O3139,0.01) *U3139</f>
        <v>0</v>
      </c>
      <c r="W3139" s="52">
        <f t="shared" si="864"/>
        <v>0</v>
      </c>
      <c r="X3139" s="53">
        <f t="shared" si="865"/>
        <v>0</v>
      </c>
      <c r="Y3139" s="53">
        <f t="shared" si="866"/>
        <v>0</v>
      </c>
      <c r="Z3139" s="54">
        <f t="shared" ref="Z3139:Z3164" si="872">IF(R3139=1,0,0)</f>
        <v>0</v>
      </c>
      <c r="AA3139" s="54">
        <f t="shared" si="867"/>
        <v>0</v>
      </c>
      <c r="AB3139" s="55">
        <f t="shared" ref="AB3139:AB3157" si="873">IF(R3139=0,0,0)</f>
        <v>0</v>
      </c>
      <c r="AC3139" s="55">
        <f t="shared" si="868"/>
        <v>0</v>
      </c>
      <c r="AD3139" s="56">
        <f t="shared" si="869"/>
        <v>2190.1</v>
      </c>
    </row>
    <row r="3140" spans="3:30">
      <c r="C3140" s="43" t="s">
        <v>5840</v>
      </c>
      <c r="D3140" s="44" t="s">
        <v>5841</v>
      </c>
      <c r="E3140" s="44"/>
      <c r="F3140" s="45">
        <v>41653.685567129629</v>
      </c>
      <c r="G3140" s="46">
        <v>56</v>
      </c>
      <c r="H3140" s="47">
        <v>43416</v>
      </c>
      <c r="I3140" s="47">
        <v>43419</v>
      </c>
      <c r="J3140" s="46">
        <v>228228</v>
      </c>
      <c r="K3140" s="46">
        <v>0</v>
      </c>
      <c r="L3140" s="46">
        <v>0</v>
      </c>
      <c r="M3140" s="46">
        <f t="shared" si="858"/>
        <v>228228</v>
      </c>
      <c r="N3140" s="46">
        <v>264264</v>
      </c>
      <c r="O3140" s="48">
        <f t="shared" si="859"/>
        <v>0.13636363636363635</v>
      </c>
      <c r="P3140" s="46">
        <v>0</v>
      </c>
      <c r="Q3140" s="46">
        <v>228228</v>
      </c>
      <c r="R3140" s="49">
        <f t="shared" si="860"/>
        <v>1</v>
      </c>
      <c r="S3140" s="50">
        <f t="shared" si="861"/>
        <v>0.01</v>
      </c>
      <c r="T3140" s="49">
        <f t="shared" si="862"/>
        <v>2282.2800000000002</v>
      </c>
      <c r="U3140" s="51">
        <f t="shared" si="863"/>
        <v>0</v>
      </c>
      <c r="V3140" s="52">
        <f>IF(0&lt;0.8,0,IF(0&lt;1,Sheet3!L561,1))*IF(G3140&lt;3,0.12 - O3140,0.01) *U3140</f>
        <v>0</v>
      </c>
      <c r="W3140" s="52">
        <f t="shared" si="864"/>
        <v>0</v>
      </c>
      <c r="X3140" s="53">
        <f t="shared" si="865"/>
        <v>0</v>
      </c>
      <c r="Y3140" s="53">
        <f t="shared" si="866"/>
        <v>0</v>
      </c>
      <c r="Z3140" s="54">
        <f t="shared" si="872"/>
        <v>0</v>
      </c>
      <c r="AA3140" s="54">
        <f t="shared" si="867"/>
        <v>0</v>
      </c>
      <c r="AB3140" s="55">
        <f t="shared" si="873"/>
        <v>0</v>
      </c>
      <c r="AC3140" s="55">
        <f t="shared" si="868"/>
        <v>0</v>
      </c>
      <c r="AD3140" s="56">
        <f t="shared" si="869"/>
        <v>2282.2800000000002</v>
      </c>
    </row>
    <row r="3141" spans="3:30">
      <c r="C3141" s="43" t="s">
        <v>5842</v>
      </c>
      <c r="D3141" s="44" t="s">
        <v>5843</v>
      </c>
      <c r="E3141" s="44"/>
      <c r="F3141" s="45">
        <v>41795.64975694444</v>
      </c>
      <c r="G3141" s="46">
        <v>51</v>
      </c>
      <c r="H3141" s="47">
        <v>43404</v>
      </c>
      <c r="I3141" s="47">
        <v>43413</v>
      </c>
      <c r="J3141" s="46">
        <v>2152425</v>
      </c>
      <c r="K3141" s="46">
        <v>0</v>
      </c>
      <c r="L3141" s="46">
        <v>0</v>
      </c>
      <c r="M3141" s="46">
        <f t="shared" si="858"/>
        <v>2152425</v>
      </c>
      <c r="N3141" s="46">
        <v>2624866</v>
      </c>
      <c r="O3141" s="48">
        <f t="shared" si="859"/>
        <v>0.17998671170261649</v>
      </c>
      <c r="P3141" s="46">
        <v>0</v>
      </c>
      <c r="Q3141" s="46">
        <v>2251425</v>
      </c>
      <c r="R3141" s="49">
        <f t="shared" si="860"/>
        <v>1</v>
      </c>
      <c r="S3141" s="50">
        <f t="shared" si="861"/>
        <v>0.01</v>
      </c>
      <c r="T3141" s="49">
        <f t="shared" si="862"/>
        <v>21524.25</v>
      </c>
      <c r="U3141" s="51">
        <f t="shared" si="863"/>
        <v>0</v>
      </c>
      <c r="V3141" s="52">
        <f>IF(0&lt;0.8,0,IF(0&lt;1,Sheet3!L561,1))*IF(G3141&lt;3,0.12 - O3141,0.01) *U3141</f>
        <v>0</v>
      </c>
      <c r="W3141" s="52">
        <f t="shared" si="864"/>
        <v>0</v>
      </c>
      <c r="X3141" s="53">
        <f t="shared" si="865"/>
        <v>0</v>
      </c>
      <c r="Y3141" s="53">
        <f t="shared" si="866"/>
        <v>0</v>
      </c>
      <c r="Z3141" s="54">
        <f t="shared" si="872"/>
        <v>0</v>
      </c>
      <c r="AA3141" s="54">
        <f t="shared" si="867"/>
        <v>0</v>
      </c>
      <c r="AB3141" s="55">
        <f t="shared" si="873"/>
        <v>0</v>
      </c>
      <c r="AC3141" s="55">
        <f t="shared" si="868"/>
        <v>0</v>
      </c>
      <c r="AD3141" s="56">
        <f t="shared" si="869"/>
        <v>21524.25</v>
      </c>
    </row>
    <row r="3142" spans="3:30">
      <c r="C3142" s="43" t="s">
        <v>5844</v>
      </c>
      <c r="D3142" s="44" t="s">
        <v>5845</v>
      </c>
      <c r="E3142" s="44"/>
      <c r="F3142" s="45">
        <v>42086.395497685182</v>
      </c>
      <c r="G3142" s="46">
        <v>42</v>
      </c>
      <c r="H3142" s="47">
        <v>43404</v>
      </c>
      <c r="I3142" s="47">
        <v>43413</v>
      </c>
      <c r="J3142" s="46">
        <v>2281280</v>
      </c>
      <c r="K3142" s="46">
        <v>0</v>
      </c>
      <c r="L3142" s="46">
        <v>0</v>
      </c>
      <c r="M3142" s="46">
        <f t="shared" si="858"/>
        <v>2281280</v>
      </c>
      <c r="N3142" s="46">
        <v>2850721</v>
      </c>
      <c r="O3142" s="48">
        <f t="shared" si="859"/>
        <v>0.19975332556219982</v>
      </c>
      <c r="P3142" s="46">
        <v>0</v>
      </c>
      <c r="Q3142" s="46">
        <v>2402720</v>
      </c>
      <c r="R3142" s="49">
        <f t="shared" si="860"/>
        <v>1</v>
      </c>
      <c r="S3142" s="50">
        <f t="shared" si="861"/>
        <v>0.01</v>
      </c>
      <c r="T3142" s="49">
        <f t="shared" si="862"/>
        <v>22812.799999999999</v>
      </c>
      <c r="U3142" s="51">
        <f t="shared" si="863"/>
        <v>0</v>
      </c>
      <c r="V3142" s="52">
        <f>IF(0&lt;0.8,0,IF(0&lt;1,Sheet3!L561,1))*IF(G3142&lt;3,0.12 - O3142,0.01) *U3142</f>
        <v>0</v>
      </c>
      <c r="W3142" s="52">
        <f t="shared" si="864"/>
        <v>0</v>
      </c>
      <c r="X3142" s="53">
        <f t="shared" si="865"/>
        <v>0</v>
      </c>
      <c r="Y3142" s="53">
        <f t="shared" si="866"/>
        <v>0</v>
      </c>
      <c r="Z3142" s="54">
        <f t="shared" si="872"/>
        <v>0</v>
      </c>
      <c r="AA3142" s="54">
        <f t="shared" si="867"/>
        <v>0</v>
      </c>
      <c r="AB3142" s="55">
        <f t="shared" si="873"/>
        <v>0</v>
      </c>
      <c r="AC3142" s="55">
        <f t="shared" si="868"/>
        <v>0</v>
      </c>
      <c r="AD3142" s="56">
        <f t="shared" si="869"/>
        <v>22812.799999999999</v>
      </c>
    </row>
    <row r="3143" spans="3:30">
      <c r="C3143" s="43" t="s">
        <v>5846</v>
      </c>
      <c r="D3143" s="44" t="s">
        <v>5847</v>
      </c>
      <c r="E3143" s="44"/>
      <c r="F3143" s="45">
        <v>42121.457604166666</v>
      </c>
      <c r="G3143" s="46">
        <v>41</v>
      </c>
      <c r="H3143" s="47">
        <v>43404</v>
      </c>
      <c r="I3143" s="47">
        <v>43413</v>
      </c>
      <c r="J3143" s="46">
        <v>1430683</v>
      </c>
      <c r="K3143" s="46">
        <v>0</v>
      </c>
      <c r="L3143" s="46">
        <v>0</v>
      </c>
      <c r="M3143" s="46">
        <f t="shared" si="858"/>
        <v>1430683</v>
      </c>
      <c r="N3143" s="46">
        <v>2048585</v>
      </c>
      <c r="O3143" s="48">
        <f t="shared" si="859"/>
        <v>0.30162380374746467</v>
      </c>
      <c r="P3143" s="46">
        <v>0</v>
      </c>
      <c r="Q3143" s="46">
        <v>1667458</v>
      </c>
      <c r="R3143" s="49">
        <f t="shared" si="860"/>
        <v>1</v>
      </c>
      <c r="S3143" s="50">
        <f t="shared" si="861"/>
        <v>0.01</v>
      </c>
      <c r="T3143" s="49">
        <f t="shared" si="862"/>
        <v>14306.83</v>
      </c>
      <c r="U3143" s="51">
        <f t="shared" si="863"/>
        <v>0</v>
      </c>
      <c r="V3143" s="52">
        <f>IF(0&lt;0.8,0,IF(0&lt;1,Sheet3!L561,1))*IF(G3143&lt;3,0.12 - O3143,0.01) *U3143</f>
        <v>0</v>
      </c>
      <c r="W3143" s="52">
        <f t="shared" si="864"/>
        <v>0</v>
      </c>
      <c r="X3143" s="53">
        <f t="shared" si="865"/>
        <v>0</v>
      </c>
      <c r="Y3143" s="53">
        <f t="shared" si="866"/>
        <v>0</v>
      </c>
      <c r="Z3143" s="54">
        <f t="shared" si="872"/>
        <v>0</v>
      </c>
      <c r="AA3143" s="54">
        <f t="shared" si="867"/>
        <v>0</v>
      </c>
      <c r="AB3143" s="55">
        <f t="shared" si="873"/>
        <v>0</v>
      </c>
      <c r="AC3143" s="55">
        <f t="shared" si="868"/>
        <v>0</v>
      </c>
      <c r="AD3143" s="56">
        <f t="shared" si="869"/>
        <v>14306.83</v>
      </c>
    </row>
    <row r="3144" spans="3:30">
      <c r="C3144" s="43" t="s">
        <v>5848</v>
      </c>
      <c r="D3144" s="44" t="s">
        <v>5849</v>
      </c>
      <c r="E3144" s="44"/>
      <c r="F3144" s="45">
        <v>42300.559398148143</v>
      </c>
      <c r="G3144" s="46">
        <v>35</v>
      </c>
      <c r="H3144" s="47">
        <v>43404</v>
      </c>
      <c r="I3144" s="47">
        <v>43413</v>
      </c>
      <c r="J3144" s="46">
        <v>1926096</v>
      </c>
      <c r="K3144" s="46">
        <v>0</v>
      </c>
      <c r="L3144" s="46">
        <v>0</v>
      </c>
      <c r="M3144" s="46">
        <f t="shared" si="858"/>
        <v>1926096</v>
      </c>
      <c r="N3144" s="46">
        <v>3021894</v>
      </c>
      <c r="O3144" s="48">
        <f t="shared" si="859"/>
        <v>0.36261960214355637</v>
      </c>
      <c r="P3144" s="46">
        <v>0</v>
      </c>
      <c r="Q3144" s="46">
        <v>1926096</v>
      </c>
      <c r="R3144" s="49">
        <f t="shared" si="860"/>
        <v>1</v>
      </c>
      <c r="S3144" s="50">
        <f t="shared" si="861"/>
        <v>0.01</v>
      </c>
      <c r="T3144" s="49">
        <f t="shared" si="862"/>
        <v>19260.96</v>
      </c>
      <c r="U3144" s="51">
        <f t="shared" si="863"/>
        <v>0</v>
      </c>
      <c r="V3144" s="52">
        <f>IF(0&lt;0.8,0,IF(0&lt;1,Sheet3!L561,1))*IF(G3144&lt;3,0.12 - O3144,0.01) *U3144</f>
        <v>0</v>
      </c>
      <c r="W3144" s="52">
        <f t="shared" si="864"/>
        <v>0</v>
      </c>
      <c r="X3144" s="53">
        <f t="shared" si="865"/>
        <v>0</v>
      </c>
      <c r="Y3144" s="53">
        <f t="shared" si="866"/>
        <v>0</v>
      </c>
      <c r="Z3144" s="54">
        <f t="shared" si="872"/>
        <v>0</v>
      </c>
      <c r="AA3144" s="54">
        <f t="shared" si="867"/>
        <v>0</v>
      </c>
      <c r="AB3144" s="55">
        <f t="shared" si="873"/>
        <v>0</v>
      </c>
      <c r="AC3144" s="55">
        <f t="shared" si="868"/>
        <v>0</v>
      </c>
      <c r="AD3144" s="56">
        <f t="shared" si="869"/>
        <v>19260.96</v>
      </c>
    </row>
    <row r="3145" spans="3:30">
      <c r="C3145" s="43" t="s">
        <v>5850</v>
      </c>
      <c r="D3145" s="44" t="s">
        <v>5851</v>
      </c>
      <c r="E3145" s="44"/>
      <c r="F3145" s="45">
        <v>42338.663263888884</v>
      </c>
      <c r="G3145" s="46">
        <v>34</v>
      </c>
      <c r="H3145" s="47">
        <v>43378</v>
      </c>
      <c r="I3145" s="47">
        <v>43391</v>
      </c>
      <c r="J3145" s="46">
        <v>29480</v>
      </c>
      <c r="K3145" s="46">
        <v>0</v>
      </c>
      <c r="L3145" s="46">
        <v>0</v>
      </c>
      <c r="M3145" s="46">
        <f t="shared" si="858"/>
        <v>29480</v>
      </c>
      <c r="N3145" s="46">
        <v>32428</v>
      </c>
      <c r="O3145" s="48">
        <f t="shared" si="859"/>
        <v>9.0909090909090939E-2</v>
      </c>
      <c r="P3145" s="46">
        <v>0</v>
      </c>
      <c r="Q3145" s="46">
        <v>29480</v>
      </c>
      <c r="R3145" s="49">
        <f t="shared" si="860"/>
        <v>1</v>
      </c>
      <c r="S3145" s="50">
        <f t="shared" si="861"/>
        <v>0.01</v>
      </c>
      <c r="T3145" s="49">
        <f t="shared" si="862"/>
        <v>294.8</v>
      </c>
      <c r="U3145" s="51">
        <f t="shared" si="863"/>
        <v>0</v>
      </c>
      <c r="V3145" s="52">
        <f>IF(0&lt;0.8,0,IF(0&lt;1,Sheet3!L561,1))*IF(G3145&lt;3,0.12 - O3145,0.01) *U3145</f>
        <v>0</v>
      </c>
      <c r="W3145" s="52">
        <f t="shared" si="864"/>
        <v>0</v>
      </c>
      <c r="X3145" s="53">
        <f t="shared" si="865"/>
        <v>0</v>
      </c>
      <c r="Y3145" s="53">
        <f t="shared" si="866"/>
        <v>0</v>
      </c>
      <c r="Z3145" s="54">
        <f t="shared" si="872"/>
        <v>0</v>
      </c>
      <c r="AA3145" s="54">
        <f t="shared" si="867"/>
        <v>0</v>
      </c>
      <c r="AB3145" s="55">
        <f t="shared" si="873"/>
        <v>0</v>
      </c>
      <c r="AC3145" s="55">
        <f t="shared" si="868"/>
        <v>0</v>
      </c>
      <c r="AD3145" s="56">
        <f t="shared" si="869"/>
        <v>294.8</v>
      </c>
    </row>
    <row r="3146" spans="3:30">
      <c r="C3146" s="43" t="s">
        <v>5852</v>
      </c>
      <c r="D3146" s="44" t="s">
        <v>5847</v>
      </c>
      <c r="E3146" s="44"/>
      <c r="F3146" s="45">
        <v>42509.078993055555</v>
      </c>
      <c r="G3146" s="46">
        <v>28</v>
      </c>
      <c r="H3146" s="47">
        <v>43404</v>
      </c>
      <c r="I3146" s="47">
        <v>43413</v>
      </c>
      <c r="J3146" s="46">
        <v>1476635</v>
      </c>
      <c r="K3146" s="46">
        <v>0</v>
      </c>
      <c r="L3146" s="46">
        <v>0</v>
      </c>
      <c r="M3146" s="46">
        <f t="shared" si="858"/>
        <v>1476635</v>
      </c>
      <c r="N3146" s="46">
        <v>1912988</v>
      </c>
      <c r="O3146" s="48">
        <f t="shared" si="859"/>
        <v>0.22810022854299139</v>
      </c>
      <c r="P3146" s="46">
        <v>0</v>
      </c>
      <c r="Q3146" s="46">
        <v>1476635</v>
      </c>
      <c r="R3146" s="49">
        <f t="shared" si="860"/>
        <v>1</v>
      </c>
      <c r="S3146" s="50">
        <f t="shared" si="861"/>
        <v>0.01</v>
      </c>
      <c r="T3146" s="49">
        <f t="shared" si="862"/>
        <v>14766.35</v>
      </c>
      <c r="U3146" s="51">
        <f t="shared" si="863"/>
        <v>0</v>
      </c>
      <c r="V3146" s="52">
        <f>IF(0&lt;0.8,0,IF(0&lt;1,Sheet3!L561,1))*IF(G3146&lt;3,0.12 - O3146,0.01) *U3146</f>
        <v>0</v>
      </c>
      <c r="W3146" s="52">
        <f t="shared" si="864"/>
        <v>0</v>
      </c>
      <c r="X3146" s="53">
        <f t="shared" si="865"/>
        <v>0</v>
      </c>
      <c r="Y3146" s="53">
        <f t="shared" si="866"/>
        <v>0</v>
      </c>
      <c r="Z3146" s="54">
        <f t="shared" si="872"/>
        <v>0</v>
      </c>
      <c r="AA3146" s="54">
        <f t="shared" si="867"/>
        <v>0</v>
      </c>
      <c r="AB3146" s="55">
        <f t="shared" si="873"/>
        <v>0</v>
      </c>
      <c r="AC3146" s="55">
        <f t="shared" si="868"/>
        <v>0</v>
      </c>
      <c r="AD3146" s="56">
        <f t="shared" si="869"/>
        <v>14766.35</v>
      </c>
    </row>
    <row r="3147" spans="3:30">
      <c r="C3147" s="43" t="s">
        <v>5853</v>
      </c>
      <c r="D3147" s="44" t="s">
        <v>5854</v>
      </c>
      <c r="E3147" s="44"/>
      <c r="F3147" s="45">
        <v>42551.416469907403</v>
      </c>
      <c r="G3147" s="46">
        <v>27</v>
      </c>
      <c r="H3147" s="47">
        <v>43459</v>
      </c>
      <c r="I3147" s="47">
        <v>43486</v>
      </c>
      <c r="J3147" s="46">
        <v>30592340</v>
      </c>
      <c r="K3147" s="46">
        <v>1560865</v>
      </c>
      <c r="L3147" s="46">
        <v>0</v>
      </c>
      <c r="M3147" s="46">
        <f t="shared" si="858"/>
        <v>29031475</v>
      </c>
      <c r="N3147" s="46">
        <v>11833512</v>
      </c>
      <c r="O3147" s="48">
        <f t="shared" si="859"/>
        <v>0</v>
      </c>
      <c r="P3147" s="46">
        <v>0</v>
      </c>
      <c r="Q3147" s="46">
        <v>29212610</v>
      </c>
      <c r="R3147" s="49">
        <f t="shared" si="860"/>
        <v>1</v>
      </c>
      <c r="S3147" s="50">
        <f t="shared" si="861"/>
        <v>0.01</v>
      </c>
      <c r="T3147" s="49">
        <f t="shared" si="862"/>
        <v>290314.75</v>
      </c>
      <c r="U3147" s="51">
        <f t="shared" si="863"/>
        <v>0</v>
      </c>
      <c r="V3147" s="52">
        <f>IF(0&lt;0.8,0,IF(0&lt;1,Sheet3!L561,1))*IF(G3147&lt;3,0.12 - O3147,0.01) *U3147</f>
        <v>0</v>
      </c>
      <c r="W3147" s="52">
        <f t="shared" si="864"/>
        <v>0</v>
      </c>
      <c r="X3147" s="53">
        <f t="shared" si="865"/>
        <v>0</v>
      </c>
      <c r="Y3147" s="53">
        <f t="shared" si="866"/>
        <v>0</v>
      </c>
      <c r="Z3147" s="54">
        <f t="shared" si="872"/>
        <v>0</v>
      </c>
      <c r="AA3147" s="54">
        <f t="shared" si="867"/>
        <v>0</v>
      </c>
      <c r="AB3147" s="55">
        <f t="shared" si="873"/>
        <v>0</v>
      </c>
      <c r="AC3147" s="55">
        <f t="shared" si="868"/>
        <v>0</v>
      </c>
      <c r="AD3147" s="56">
        <f t="shared" si="869"/>
        <v>290314.75</v>
      </c>
    </row>
    <row r="3148" spans="3:30">
      <c r="C3148" s="43" t="s">
        <v>5855</v>
      </c>
      <c r="D3148" s="44" t="s">
        <v>5856</v>
      </c>
      <c r="E3148" s="44"/>
      <c r="F3148" s="45">
        <v>42570.383657407408</v>
      </c>
      <c r="G3148" s="46">
        <v>26</v>
      </c>
      <c r="H3148" s="47">
        <v>43378</v>
      </c>
      <c r="I3148" s="47">
        <v>43386</v>
      </c>
      <c r="J3148" s="46">
        <v>252890</v>
      </c>
      <c r="K3148" s="46">
        <v>0</v>
      </c>
      <c r="L3148" s="46">
        <v>0</v>
      </c>
      <c r="M3148" s="46">
        <f t="shared" si="858"/>
        <v>252890</v>
      </c>
      <c r="N3148" s="46">
        <v>252890</v>
      </c>
      <c r="O3148" s="48">
        <f t="shared" si="859"/>
        <v>0</v>
      </c>
      <c r="P3148" s="46">
        <v>0</v>
      </c>
      <c r="Q3148" s="46">
        <v>252890</v>
      </c>
      <c r="R3148" s="49">
        <f t="shared" si="860"/>
        <v>1</v>
      </c>
      <c r="S3148" s="50">
        <f t="shared" si="861"/>
        <v>0.01</v>
      </c>
      <c r="T3148" s="49">
        <f t="shared" si="862"/>
        <v>2528.9</v>
      </c>
      <c r="U3148" s="51">
        <f t="shared" si="863"/>
        <v>0</v>
      </c>
      <c r="V3148" s="52">
        <f>IF(0&lt;0.8,0,IF(0&lt;1,Sheet3!L561,1))*IF(G3148&lt;3,0.12 - O3148,0.01) *U3148</f>
        <v>0</v>
      </c>
      <c r="W3148" s="52">
        <f t="shared" si="864"/>
        <v>0</v>
      </c>
      <c r="X3148" s="53">
        <f t="shared" si="865"/>
        <v>0</v>
      </c>
      <c r="Y3148" s="53">
        <f t="shared" si="866"/>
        <v>0</v>
      </c>
      <c r="Z3148" s="54">
        <f t="shared" si="872"/>
        <v>0</v>
      </c>
      <c r="AA3148" s="54">
        <f t="shared" si="867"/>
        <v>0</v>
      </c>
      <c r="AB3148" s="55">
        <f t="shared" si="873"/>
        <v>0</v>
      </c>
      <c r="AC3148" s="55">
        <f t="shared" si="868"/>
        <v>0</v>
      </c>
      <c r="AD3148" s="56">
        <f t="shared" si="869"/>
        <v>2528.9</v>
      </c>
    </row>
    <row r="3149" spans="3:30">
      <c r="C3149" s="43" t="s">
        <v>5857</v>
      </c>
      <c r="D3149" s="44" t="s">
        <v>5858</v>
      </c>
      <c r="E3149" s="44"/>
      <c r="F3149" s="45">
        <v>42804.306574074071</v>
      </c>
      <c r="G3149" s="46">
        <v>18</v>
      </c>
      <c r="H3149" s="47">
        <v>43412</v>
      </c>
      <c r="I3149" s="47">
        <v>43385</v>
      </c>
      <c r="J3149" s="46">
        <v>408520</v>
      </c>
      <c r="K3149" s="46">
        <v>0</v>
      </c>
      <c r="L3149" s="46">
        <v>0</v>
      </c>
      <c r="M3149" s="46">
        <f t="shared" si="858"/>
        <v>408520</v>
      </c>
      <c r="N3149" s="46">
        <v>408520</v>
      </c>
      <c r="O3149" s="48">
        <f t="shared" si="859"/>
        <v>0</v>
      </c>
      <c r="P3149" s="46">
        <v>0</v>
      </c>
      <c r="Q3149" s="46">
        <v>458493</v>
      </c>
      <c r="R3149" s="49">
        <f t="shared" si="860"/>
        <v>1</v>
      </c>
      <c r="S3149" s="50">
        <f t="shared" si="861"/>
        <v>0.01</v>
      </c>
      <c r="T3149" s="49">
        <f t="shared" si="862"/>
        <v>4085.2000000000003</v>
      </c>
      <c r="U3149" s="51">
        <f t="shared" si="863"/>
        <v>0</v>
      </c>
      <c r="V3149" s="52">
        <f>IF(0&lt;0.8,0,IF(0&lt;1,Sheet3!L561,1))*IF(G3149&lt;3,0.12 - O3149,0.01) *U3149</f>
        <v>0</v>
      </c>
      <c r="W3149" s="52">
        <f t="shared" si="864"/>
        <v>0</v>
      </c>
      <c r="X3149" s="53">
        <f t="shared" si="865"/>
        <v>0</v>
      </c>
      <c r="Y3149" s="53">
        <f t="shared" si="866"/>
        <v>0</v>
      </c>
      <c r="Z3149" s="54">
        <f t="shared" si="872"/>
        <v>0</v>
      </c>
      <c r="AA3149" s="54">
        <f t="shared" si="867"/>
        <v>0</v>
      </c>
      <c r="AB3149" s="55">
        <f t="shared" si="873"/>
        <v>0</v>
      </c>
      <c r="AC3149" s="55">
        <f t="shared" si="868"/>
        <v>0</v>
      </c>
      <c r="AD3149" s="56">
        <f t="shared" si="869"/>
        <v>4085.2000000000003</v>
      </c>
    </row>
    <row r="3150" spans="3:30">
      <c r="C3150" s="43" t="s">
        <v>5859</v>
      </c>
      <c r="D3150" s="44" t="s">
        <v>5860</v>
      </c>
      <c r="E3150" s="44"/>
      <c r="F3150" s="45">
        <v>42823.167002314811</v>
      </c>
      <c r="G3150" s="46">
        <v>18</v>
      </c>
      <c r="H3150" s="47">
        <v>43395</v>
      </c>
      <c r="I3150" s="47">
        <v>43396</v>
      </c>
      <c r="J3150" s="46">
        <v>1194710</v>
      </c>
      <c r="K3150" s="46">
        <v>0</v>
      </c>
      <c r="L3150" s="46">
        <v>0</v>
      </c>
      <c r="M3150" s="46">
        <f t="shared" si="858"/>
        <v>1194710</v>
      </c>
      <c r="N3150" s="46">
        <v>1630838</v>
      </c>
      <c r="O3150" s="48">
        <f t="shared" si="859"/>
        <v>0.26742570384060216</v>
      </c>
      <c r="P3150" s="46">
        <v>0</v>
      </c>
      <c r="Q3150" s="46">
        <v>1194710</v>
      </c>
      <c r="R3150" s="49">
        <f t="shared" si="860"/>
        <v>1</v>
      </c>
      <c r="S3150" s="50">
        <f t="shared" si="861"/>
        <v>0.01</v>
      </c>
      <c r="T3150" s="49">
        <f t="shared" si="862"/>
        <v>11947.1</v>
      </c>
      <c r="U3150" s="51">
        <f t="shared" si="863"/>
        <v>0</v>
      </c>
      <c r="V3150" s="52">
        <f>IF(0&lt;0.8,0,IF(0&lt;1,Sheet3!L561,1))*IF(G3150&lt;3,0.12 - O3150,0.01) *U3150</f>
        <v>0</v>
      </c>
      <c r="W3150" s="52">
        <f t="shared" si="864"/>
        <v>0</v>
      </c>
      <c r="X3150" s="53">
        <f t="shared" si="865"/>
        <v>0</v>
      </c>
      <c r="Y3150" s="53">
        <f t="shared" si="866"/>
        <v>0</v>
      </c>
      <c r="Z3150" s="54">
        <f t="shared" si="872"/>
        <v>0</v>
      </c>
      <c r="AA3150" s="54">
        <f t="shared" si="867"/>
        <v>0</v>
      </c>
      <c r="AB3150" s="55">
        <f t="shared" si="873"/>
        <v>0</v>
      </c>
      <c r="AC3150" s="55">
        <f t="shared" si="868"/>
        <v>0</v>
      </c>
      <c r="AD3150" s="56">
        <f t="shared" si="869"/>
        <v>11947.1</v>
      </c>
    </row>
    <row r="3151" spans="3:30">
      <c r="C3151" s="43" t="s">
        <v>5861</v>
      </c>
      <c r="D3151" s="44" t="s">
        <v>5862</v>
      </c>
      <c r="E3151" s="44"/>
      <c r="F3151" s="45">
        <v>42935.214733796296</v>
      </c>
      <c r="G3151" s="46">
        <v>14</v>
      </c>
      <c r="H3151" s="47">
        <v>43404</v>
      </c>
      <c r="I3151" s="47">
        <v>43413</v>
      </c>
      <c r="J3151" s="46">
        <v>2196008</v>
      </c>
      <c r="K3151" s="46">
        <v>1196664</v>
      </c>
      <c r="L3151" s="46">
        <v>0</v>
      </c>
      <c r="M3151" s="46">
        <f t="shared" si="858"/>
        <v>999344</v>
      </c>
      <c r="N3151" s="46">
        <v>2882011</v>
      </c>
      <c r="O3151" s="48">
        <f t="shared" si="859"/>
        <v>0.65324768017887513</v>
      </c>
      <c r="P3151" s="46">
        <v>0</v>
      </c>
      <c r="Q3151" s="46">
        <v>2196008</v>
      </c>
      <c r="R3151" s="49">
        <f t="shared" si="860"/>
        <v>1</v>
      </c>
      <c r="S3151" s="50">
        <f t="shared" si="861"/>
        <v>0.01</v>
      </c>
      <c r="T3151" s="49">
        <f t="shared" si="862"/>
        <v>9993.44</v>
      </c>
      <c r="U3151" s="51">
        <f t="shared" si="863"/>
        <v>0</v>
      </c>
      <c r="V3151" s="52">
        <f>IF(0&lt;0.8,0,IF(0&lt;1,Sheet3!L561,1))*IF(G3151&lt;3,0.12 - O3151,0.01) *U3151</f>
        <v>0</v>
      </c>
      <c r="W3151" s="52">
        <f t="shared" si="864"/>
        <v>0</v>
      </c>
      <c r="X3151" s="53">
        <f t="shared" si="865"/>
        <v>0</v>
      </c>
      <c r="Y3151" s="53">
        <f t="shared" si="866"/>
        <v>0</v>
      </c>
      <c r="Z3151" s="54">
        <f t="shared" si="872"/>
        <v>0</v>
      </c>
      <c r="AA3151" s="54">
        <f t="shared" si="867"/>
        <v>0</v>
      </c>
      <c r="AB3151" s="55">
        <f t="shared" si="873"/>
        <v>0</v>
      </c>
      <c r="AC3151" s="55">
        <f t="shared" si="868"/>
        <v>0</v>
      </c>
      <c r="AD3151" s="56">
        <f t="shared" si="869"/>
        <v>9993.44</v>
      </c>
    </row>
    <row r="3152" spans="3:30">
      <c r="C3152" s="43" t="s">
        <v>5863</v>
      </c>
      <c r="D3152" s="44" t="s">
        <v>5864</v>
      </c>
      <c r="E3152" s="44"/>
      <c r="F3152" s="45">
        <v>42947.338020833333</v>
      </c>
      <c r="G3152" s="46">
        <v>14</v>
      </c>
      <c r="H3152" s="47">
        <v>43404</v>
      </c>
      <c r="I3152" s="47">
        <v>43399</v>
      </c>
      <c r="J3152" s="46">
        <v>493000</v>
      </c>
      <c r="K3152" s="46">
        <v>0</v>
      </c>
      <c r="L3152" s="46">
        <v>0</v>
      </c>
      <c r="M3152" s="46">
        <f t="shared" si="858"/>
        <v>493000</v>
      </c>
      <c r="N3152" s="46">
        <v>330000</v>
      </c>
      <c r="O3152" s="48">
        <f t="shared" si="859"/>
        <v>0</v>
      </c>
      <c r="P3152" s="46">
        <v>0</v>
      </c>
      <c r="Q3152" s="46">
        <v>493000</v>
      </c>
      <c r="R3152" s="49">
        <f t="shared" si="860"/>
        <v>1</v>
      </c>
      <c r="S3152" s="50">
        <f t="shared" si="861"/>
        <v>0.01</v>
      </c>
      <c r="T3152" s="49">
        <f t="shared" si="862"/>
        <v>4930</v>
      </c>
      <c r="U3152" s="51">
        <f t="shared" si="863"/>
        <v>0</v>
      </c>
      <c r="V3152" s="52">
        <f>IF(0&lt;0.8,0,IF(0&lt;1,Sheet3!L561,1))*IF(G3152&lt;3,0.12 - O3152,0.01) *U3152</f>
        <v>0</v>
      </c>
      <c r="W3152" s="52">
        <f t="shared" si="864"/>
        <v>0</v>
      </c>
      <c r="X3152" s="53">
        <f t="shared" si="865"/>
        <v>0</v>
      </c>
      <c r="Y3152" s="53">
        <f t="shared" si="866"/>
        <v>0</v>
      </c>
      <c r="Z3152" s="54">
        <f t="shared" si="872"/>
        <v>0</v>
      </c>
      <c r="AA3152" s="54">
        <f t="shared" si="867"/>
        <v>0</v>
      </c>
      <c r="AB3152" s="55">
        <f t="shared" si="873"/>
        <v>0</v>
      </c>
      <c r="AC3152" s="55">
        <f t="shared" si="868"/>
        <v>0</v>
      </c>
      <c r="AD3152" s="56">
        <f t="shared" si="869"/>
        <v>4930</v>
      </c>
    </row>
    <row r="3153" spans="3:30">
      <c r="C3153" s="43" t="s">
        <v>5865</v>
      </c>
      <c r="D3153" s="44" t="s">
        <v>5866</v>
      </c>
      <c r="E3153" s="44"/>
      <c r="F3153" s="45">
        <v>42948.328043981477</v>
      </c>
      <c r="G3153" s="46">
        <v>13</v>
      </c>
      <c r="H3153" s="47">
        <v>43378</v>
      </c>
      <c r="I3153" s="47">
        <v>43384</v>
      </c>
      <c r="J3153" s="46">
        <v>407165</v>
      </c>
      <c r="K3153" s="46">
        <v>0</v>
      </c>
      <c r="L3153" s="46">
        <v>0</v>
      </c>
      <c r="M3153" s="46">
        <f t="shared" si="858"/>
        <v>407165</v>
      </c>
      <c r="N3153" s="46">
        <v>407165</v>
      </c>
      <c r="O3153" s="48">
        <f t="shared" si="859"/>
        <v>0</v>
      </c>
      <c r="P3153" s="46">
        <v>0</v>
      </c>
      <c r="Q3153" s="46">
        <v>407165</v>
      </c>
      <c r="R3153" s="49">
        <f t="shared" si="860"/>
        <v>1</v>
      </c>
      <c r="S3153" s="50">
        <f t="shared" si="861"/>
        <v>0.01</v>
      </c>
      <c r="T3153" s="49">
        <f t="shared" si="862"/>
        <v>4071.65</v>
      </c>
      <c r="U3153" s="51">
        <f t="shared" si="863"/>
        <v>0</v>
      </c>
      <c r="V3153" s="52">
        <f>IF(0&lt;0.8,0,IF(0&lt;1,Sheet3!L561,1))*IF(G3153&lt;3,0.12 - O3153,0.01) *U3153</f>
        <v>0</v>
      </c>
      <c r="W3153" s="52">
        <f t="shared" si="864"/>
        <v>0</v>
      </c>
      <c r="X3153" s="53">
        <f t="shared" si="865"/>
        <v>0</v>
      </c>
      <c r="Y3153" s="53">
        <f t="shared" si="866"/>
        <v>0</v>
      </c>
      <c r="Z3153" s="54">
        <f t="shared" si="872"/>
        <v>0</v>
      </c>
      <c r="AA3153" s="54">
        <f t="shared" si="867"/>
        <v>0</v>
      </c>
      <c r="AB3153" s="55">
        <f t="shared" si="873"/>
        <v>0</v>
      </c>
      <c r="AC3153" s="55">
        <f t="shared" si="868"/>
        <v>0</v>
      </c>
      <c r="AD3153" s="56">
        <f t="shared" si="869"/>
        <v>4071.65</v>
      </c>
    </row>
    <row r="3154" spans="3:30">
      <c r="C3154" s="43" t="s">
        <v>5867</v>
      </c>
      <c r="D3154" s="44" t="s">
        <v>5868</v>
      </c>
      <c r="E3154" s="44"/>
      <c r="F3154" s="45">
        <v>42968.279074074075</v>
      </c>
      <c r="G3154" s="46">
        <v>13</v>
      </c>
      <c r="H3154" s="47">
        <v>43385</v>
      </c>
      <c r="I3154" s="47">
        <v>43403</v>
      </c>
      <c r="J3154" s="46">
        <v>12150295</v>
      </c>
      <c r="K3154" s="46">
        <v>0</v>
      </c>
      <c r="L3154" s="46">
        <v>0</v>
      </c>
      <c r="M3154" s="46">
        <f t="shared" si="858"/>
        <v>12150295</v>
      </c>
      <c r="N3154" s="46">
        <v>6755373</v>
      </c>
      <c r="O3154" s="48">
        <f t="shared" si="859"/>
        <v>0</v>
      </c>
      <c r="P3154" s="46">
        <v>0</v>
      </c>
      <c r="Q3154" s="46">
        <v>12150295</v>
      </c>
      <c r="R3154" s="49">
        <f t="shared" si="860"/>
        <v>1</v>
      </c>
      <c r="S3154" s="50">
        <f t="shared" si="861"/>
        <v>0.01</v>
      </c>
      <c r="T3154" s="49">
        <f t="shared" si="862"/>
        <v>121502.95</v>
      </c>
      <c r="U3154" s="51">
        <f t="shared" si="863"/>
        <v>0</v>
      </c>
      <c r="V3154" s="52">
        <f>IF(0&lt;0.8,0,IF(0&lt;1,Sheet3!L561,1))*IF(G3154&lt;3,0.12 - O3154,0.01) *U3154</f>
        <v>0</v>
      </c>
      <c r="W3154" s="52">
        <f t="shared" si="864"/>
        <v>0</v>
      </c>
      <c r="X3154" s="53">
        <f t="shared" si="865"/>
        <v>0</v>
      </c>
      <c r="Y3154" s="53">
        <f t="shared" si="866"/>
        <v>0</v>
      </c>
      <c r="Z3154" s="54">
        <f t="shared" si="872"/>
        <v>0</v>
      </c>
      <c r="AA3154" s="54">
        <f t="shared" si="867"/>
        <v>0</v>
      </c>
      <c r="AB3154" s="55">
        <f t="shared" si="873"/>
        <v>0</v>
      </c>
      <c r="AC3154" s="55">
        <f t="shared" si="868"/>
        <v>0</v>
      </c>
      <c r="AD3154" s="56">
        <f t="shared" si="869"/>
        <v>121502.95</v>
      </c>
    </row>
    <row r="3155" spans="3:30">
      <c r="C3155" s="43" t="s">
        <v>5869</v>
      </c>
      <c r="D3155" s="44" t="s">
        <v>5870</v>
      </c>
      <c r="E3155" s="44"/>
      <c r="F3155" s="45">
        <v>42990.306458333333</v>
      </c>
      <c r="G3155" s="46">
        <v>12</v>
      </c>
      <c r="H3155" s="47">
        <v>43397</v>
      </c>
      <c r="I3155" s="47">
        <v>43413</v>
      </c>
      <c r="J3155" s="46">
        <v>1788138</v>
      </c>
      <c r="K3155" s="46">
        <v>0</v>
      </c>
      <c r="L3155" s="46">
        <v>0</v>
      </c>
      <c r="M3155" s="46">
        <f t="shared" si="858"/>
        <v>1788138</v>
      </c>
      <c r="N3155" s="46">
        <v>1788138</v>
      </c>
      <c r="O3155" s="48">
        <f t="shared" si="859"/>
        <v>0</v>
      </c>
      <c r="P3155" s="46">
        <v>0</v>
      </c>
      <c r="Q3155" s="46">
        <v>1788138</v>
      </c>
      <c r="R3155" s="49">
        <f t="shared" si="860"/>
        <v>1</v>
      </c>
      <c r="S3155" s="50">
        <f t="shared" si="861"/>
        <v>0.01</v>
      </c>
      <c r="T3155" s="49">
        <f t="shared" si="862"/>
        <v>17881.38</v>
      </c>
      <c r="U3155" s="51">
        <f t="shared" si="863"/>
        <v>0</v>
      </c>
      <c r="V3155" s="52">
        <f>IF(0&lt;0.8,0,IF(0&lt;1,Sheet3!L561,1))*IF(G3155&lt;3,0.12 - O3155,0.01) *U3155</f>
        <v>0</v>
      </c>
      <c r="W3155" s="52">
        <f t="shared" si="864"/>
        <v>0</v>
      </c>
      <c r="X3155" s="53">
        <f t="shared" si="865"/>
        <v>0</v>
      </c>
      <c r="Y3155" s="53">
        <f t="shared" si="866"/>
        <v>0</v>
      </c>
      <c r="Z3155" s="54">
        <f t="shared" si="872"/>
        <v>0</v>
      </c>
      <c r="AA3155" s="54">
        <f t="shared" si="867"/>
        <v>0</v>
      </c>
      <c r="AB3155" s="55">
        <f t="shared" si="873"/>
        <v>0</v>
      </c>
      <c r="AC3155" s="55">
        <f t="shared" si="868"/>
        <v>0</v>
      </c>
      <c r="AD3155" s="56">
        <f t="shared" si="869"/>
        <v>17881.38</v>
      </c>
    </row>
    <row r="3156" spans="3:30">
      <c r="C3156" s="43" t="s">
        <v>5871</v>
      </c>
      <c r="D3156" s="44" t="s">
        <v>5872</v>
      </c>
      <c r="E3156" s="44"/>
      <c r="F3156" s="45">
        <v>43059.416076388887</v>
      </c>
      <c r="G3156" s="46">
        <v>10</v>
      </c>
      <c r="H3156" s="47">
        <v>43372</v>
      </c>
      <c r="I3156" s="47">
        <v>43378</v>
      </c>
      <c r="J3156" s="46">
        <v>525382</v>
      </c>
      <c r="K3156" s="46">
        <v>0</v>
      </c>
      <c r="L3156" s="46">
        <v>0</v>
      </c>
      <c r="M3156" s="46">
        <f t="shared" si="858"/>
        <v>525382</v>
      </c>
      <c r="N3156" s="46">
        <v>525382</v>
      </c>
      <c r="O3156" s="48">
        <f t="shared" si="859"/>
        <v>0</v>
      </c>
      <c r="P3156" s="46">
        <v>0</v>
      </c>
      <c r="Q3156" s="46">
        <v>525382</v>
      </c>
      <c r="R3156" s="49">
        <f t="shared" si="860"/>
        <v>1</v>
      </c>
      <c r="S3156" s="50">
        <f t="shared" si="861"/>
        <v>0.01</v>
      </c>
      <c r="T3156" s="49">
        <f t="shared" si="862"/>
        <v>5253.82</v>
      </c>
      <c r="U3156" s="51">
        <f t="shared" si="863"/>
        <v>0</v>
      </c>
      <c r="V3156" s="52">
        <f>IF(0&lt;0.8,0,IF(0&lt;1,Sheet3!L561,1))*IF(G3156&lt;3,0.12 - O3156,0.01) *U3156</f>
        <v>0</v>
      </c>
      <c r="W3156" s="52">
        <f t="shared" si="864"/>
        <v>0</v>
      </c>
      <c r="X3156" s="53">
        <f t="shared" si="865"/>
        <v>0</v>
      </c>
      <c r="Y3156" s="53">
        <f t="shared" si="866"/>
        <v>0</v>
      </c>
      <c r="Z3156" s="54">
        <f t="shared" si="872"/>
        <v>0</v>
      </c>
      <c r="AA3156" s="54">
        <f t="shared" si="867"/>
        <v>0</v>
      </c>
      <c r="AB3156" s="55">
        <f t="shared" si="873"/>
        <v>0</v>
      </c>
      <c r="AC3156" s="55">
        <f t="shared" si="868"/>
        <v>0</v>
      </c>
      <c r="AD3156" s="56">
        <f t="shared" si="869"/>
        <v>5253.82</v>
      </c>
    </row>
    <row r="3157" spans="3:30">
      <c r="C3157" s="43" t="s">
        <v>5873</v>
      </c>
      <c r="D3157" s="44" t="s">
        <v>5874</v>
      </c>
      <c r="E3157" s="44"/>
      <c r="F3157" s="45">
        <v>43070.391180555554</v>
      </c>
      <c r="G3157" s="46">
        <v>9</v>
      </c>
      <c r="H3157" s="47">
        <v>43397</v>
      </c>
      <c r="I3157" s="47">
        <v>43432</v>
      </c>
      <c r="J3157" s="46">
        <v>875556</v>
      </c>
      <c r="K3157" s="46">
        <v>0</v>
      </c>
      <c r="L3157" s="46">
        <v>0</v>
      </c>
      <c r="M3157" s="46">
        <f t="shared" si="858"/>
        <v>875556</v>
      </c>
      <c r="N3157" s="46">
        <v>875556</v>
      </c>
      <c r="O3157" s="48">
        <f t="shared" si="859"/>
        <v>0</v>
      </c>
      <c r="P3157" s="46">
        <v>0</v>
      </c>
      <c r="Q3157" s="46">
        <v>875556</v>
      </c>
      <c r="R3157" s="49">
        <f t="shared" si="860"/>
        <v>1</v>
      </c>
      <c r="S3157" s="50">
        <f t="shared" si="861"/>
        <v>0.01</v>
      </c>
      <c r="T3157" s="49">
        <f t="shared" si="862"/>
        <v>8755.56</v>
      </c>
      <c r="U3157" s="51">
        <f t="shared" si="863"/>
        <v>0</v>
      </c>
      <c r="V3157" s="52">
        <f>IF(0&lt;0.8,0,IF(0&lt;1,Sheet3!L561,1))*IF(G3157&lt;3,0.12 - O3157,0.01) *U3157</f>
        <v>0</v>
      </c>
      <c r="W3157" s="52">
        <f t="shared" si="864"/>
        <v>0</v>
      </c>
      <c r="X3157" s="53">
        <f t="shared" si="865"/>
        <v>0</v>
      </c>
      <c r="Y3157" s="53">
        <f t="shared" si="866"/>
        <v>0</v>
      </c>
      <c r="Z3157" s="54">
        <f t="shared" si="872"/>
        <v>0</v>
      </c>
      <c r="AA3157" s="54">
        <f t="shared" si="867"/>
        <v>0</v>
      </c>
      <c r="AB3157" s="55">
        <f t="shared" si="873"/>
        <v>0</v>
      </c>
      <c r="AC3157" s="55">
        <f t="shared" si="868"/>
        <v>0</v>
      </c>
      <c r="AD3157" s="56">
        <f t="shared" si="869"/>
        <v>8755.56</v>
      </c>
    </row>
    <row r="3158" spans="3:30">
      <c r="C3158" s="43" t="s">
        <v>5875</v>
      </c>
      <c r="D3158" s="44" t="s">
        <v>5876</v>
      </c>
      <c r="E3158" s="44"/>
      <c r="F3158" s="45">
        <v>43153.105150462958</v>
      </c>
      <c r="G3158" s="46">
        <v>7</v>
      </c>
      <c r="H3158" s="47">
        <v>43372</v>
      </c>
      <c r="I3158" s="47">
        <v>43403</v>
      </c>
      <c r="J3158" s="46">
        <v>1985888</v>
      </c>
      <c r="K3158" s="46">
        <v>0</v>
      </c>
      <c r="L3158" s="46">
        <v>0</v>
      </c>
      <c r="M3158" s="46">
        <f t="shared" si="858"/>
        <v>1985888</v>
      </c>
      <c r="N3158" s="46">
        <v>74654</v>
      </c>
      <c r="O3158" s="48">
        <f t="shared" si="859"/>
        <v>0</v>
      </c>
      <c r="P3158" s="46">
        <v>0</v>
      </c>
      <c r="Q3158" s="46">
        <v>1985888</v>
      </c>
      <c r="R3158" s="49">
        <f t="shared" si="860"/>
        <v>1</v>
      </c>
      <c r="S3158" s="50">
        <f t="shared" si="861"/>
        <v>0.01</v>
      </c>
      <c r="T3158" s="49">
        <f t="shared" si="862"/>
        <v>19858.88</v>
      </c>
      <c r="U3158" s="51">
        <f t="shared" si="863"/>
        <v>0</v>
      </c>
      <c r="V3158" s="52">
        <f>IF(0&lt;0.8,0,IF(0&lt;1,Sheet3!L561,1))*IF(G3158&lt;3,0.12 - O3158,0.01) *U3158</f>
        <v>0</v>
      </c>
      <c r="W3158" s="52">
        <f t="shared" si="864"/>
        <v>0</v>
      </c>
      <c r="X3158" s="53">
        <f t="shared" si="865"/>
        <v>0</v>
      </c>
      <c r="Y3158" s="53">
        <f t="shared" si="866"/>
        <v>0</v>
      </c>
      <c r="Z3158" s="54">
        <f t="shared" si="872"/>
        <v>0</v>
      </c>
      <c r="AA3158" s="54">
        <f t="shared" si="867"/>
        <v>0</v>
      </c>
      <c r="AB3158" s="55">
        <f>IF(R3158=0,1923124,0)</f>
        <v>0</v>
      </c>
      <c r="AC3158" s="55">
        <f t="shared" si="868"/>
        <v>0</v>
      </c>
      <c r="AD3158" s="56">
        <f t="shared" si="869"/>
        <v>19858.88</v>
      </c>
    </row>
    <row r="3159" spans="3:30">
      <c r="C3159" s="43" t="s">
        <v>5877</v>
      </c>
      <c r="D3159" s="44" t="s">
        <v>5878</v>
      </c>
      <c r="E3159" s="44"/>
      <c r="F3159" s="45">
        <v>43188.31417824074</v>
      </c>
      <c r="G3159" s="46">
        <v>6</v>
      </c>
      <c r="H3159" s="47">
        <v>43381</v>
      </c>
      <c r="I3159" s="47">
        <v>43391</v>
      </c>
      <c r="J3159" s="46">
        <v>12320</v>
      </c>
      <c r="K3159" s="46">
        <v>0</v>
      </c>
      <c r="L3159" s="46">
        <v>0</v>
      </c>
      <c r="M3159" s="46">
        <f t="shared" si="858"/>
        <v>12320</v>
      </c>
      <c r="N3159" s="46">
        <v>10084</v>
      </c>
      <c r="O3159" s="48">
        <f t="shared" si="859"/>
        <v>0</v>
      </c>
      <c r="P3159" s="46">
        <v>0</v>
      </c>
      <c r="Q3159" s="46">
        <v>12320</v>
      </c>
      <c r="R3159" s="49">
        <f t="shared" si="860"/>
        <v>1</v>
      </c>
      <c r="S3159" s="50">
        <f t="shared" si="861"/>
        <v>0.01</v>
      </c>
      <c r="T3159" s="49">
        <f t="shared" si="862"/>
        <v>123.2</v>
      </c>
      <c r="U3159" s="51">
        <f t="shared" si="863"/>
        <v>0</v>
      </c>
      <c r="V3159" s="52">
        <f>IF(0&lt;0.8,0,IF(0&lt;1,Sheet3!L561,1))*IF(G3159&lt;3,0.12 - O3159,0.01) *U3159</f>
        <v>0</v>
      </c>
      <c r="W3159" s="52">
        <f t="shared" si="864"/>
        <v>0</v>
      </c>
      <c r="X3159" s="53">
        <f t="shared" si="865"/>
        <v>0</v>
      </c>
      <c r="Y3159" s="53">
        <f t="shared" si="866"/>
        <v>0</v>
      </c>
      <c r="Z3159" s="54">
        <f t="shared" si="872"/>
        <v>0</v>
      </c>
      <c r="AA3159" s="54">
        <f t="shared" si="867"/>
        <v>0</v>
      </c>
      <c r="AB3159" s="55">
        <f t="shared" ref="AB3159:AB3164" si="874">IF(R3159=0,0,0)</f>
        <v>0</v>
      </c>
      <c r="AC3159" s="55">
        <f t="shared" si="868"/>
        <v>0</v>
      </c>
      <c r="AD3159" s="56">
        <f t="shared" si="869"/>
        <v>123.2</v>
      </c>
    </row>
    <row r="3160" spans="3:30">
      <c r="C3160" s="43" t="s">
        <v>5879</v>
      </c>
      <c r="D3160" s="44" t="s">
        <v>2677</v>
      </c>
      <c r="E3160" s="44"/>
      <c r="F3160" s="45">
        <v>43230.335694444446</v>
      </c>
      <c r="G3160" s="46">
        <v>4</v>
      </c>
      <c r="H3160" s="47">
        <v>43423</v>
      </c>
      <c r="I3160" s="47">
        <v>43439</v>
      </c>
      <c r="J3160" s="46">
        <v>2815912</v>
      </c>
      <c r="K3160" s="46">
        <v>55176</v>
      </c>
      <c r="L3160" s="46">
        <v>0</v>
      </c>
      <c r="M3160" s="46">
        <f t="shared" si="858"/>
        <v>2760736</v>
      </c>
      <c r="N3160" s="46">
        <v>2879316</v>
      </c>
      <c r="O3160" s="48">
        <f t="shared" si="859"/>
        <v>4.118339216675071E-2</v>
      </c>
      <c r="P3160" s="46">
        <v>0</v>
      </c>
      <c r="Q3160" s="46">
        <v>2815912</v>
      </c>
      <c r="R3160" s="49">
        <f t="shared" si="860"/>
        <v>1</v>
      </c>
      <c r="S3160" s="50">
        <f t="shared" si="861"/>
        <v>0.01</v>
      </c>
      <c r="T3160" s="49">
        <f t="shared" si="862"/>
        <v>27607.360000000001</v>
      </c>
      <c r="U3160" s="51">
        <f t="shared" si="863"/>
        <v>0</v>
      </c>
      <c r="V3160" s="52">
        <f>IF(0&lt;0.8,0,IF(0&lt;1,Sheet3!L561,1))*IF(G3160&lt;3,0.12 - O3160,0.01) *U3160</f>
        <v>0</v>
      </c>
      <c r="W3160" s="52">
        <f t="shared" si="864"/>
        <v>0</v>
      </c>
      <c r="X3160" s="53">
        <f t="shared" si="865"/>
        <v>0</v>
      </c>
      <c r="Y3160" s="53">
        <f t="shared" si="866"/>
        <v>0</v>
      </c>
      <c r="Z3160" s="54">
        <f t="shared" si="872"/>
        <v>0</v>
      </c>
      <c r="AA3160" s="54">
        <f t="shared" si="867"/>
        <v>0</v>
      </c>
      <c r="AB3160" s="55">
        <f t="shared" si="874"/>
        <v>0</v>
      </c>
      <c r="AC3160" s="55">
        <f t="shared" si="868"/>
        <v>0</v>
      </c>
      <c r="AD3160" s="56">
        <f t="shared" si="869"/>
        <v>27607.360000000001</v>
      </c>
    </row>
    <row r="3161" spans="3:30">
      <c r="C3161" s="43" t="s">
        <v>5880</v>
      </c>
      <c r="D3161" s="44" t="s">
        <v>5881</v>
      </c>
      <c r="E3161" s="44"/>
      <c r="F3161" s="45">
        <v>43239.187858796293</v>
      </c>
      <c r="G3161" s="46">
        <v>4</v>
      </c>
      <c r="H3161" s="47">
        <v>43378</v>
      </c>
      <c r="I3161" s="47">
        <v>43432</v>
      </c>
      <c r="J3161" s="46">
        <v>78167</v>
      </c>
      <c r="K3161" s="46">
        <v>0</v>
      </c>
      <c r="L3161" s="46">
        <v>0</v>
      </c>
      <c r="M3161" s="46">
        <f t="shared" si="858"/>
        <v>78167</v>
      </c>
      <c r="N3161" s="46">
        <v>100007</v>
      </c>
      <c r="O3161" s="48">
        <f t="shared" si="859"/>
        <v>0.21838471307008511</v>
      </c>
      <c r="P3161" s="46">
        <v>0</v>
      </c>
      <c r="Q3161" s="46">
        <v>78167</v>
      </c>
      <c r="R3161" s="49">
        <f t="shared" si="860"/>
        <v>1</v>
      </c>
      <c r="S3161" s="50">
        <f t="shared" si="861"/>
        <v>0.01</v>
      </c>
      <c r="T3161" s="49">
        <f t="shared" si="862"/>
        <v>781.67000000000007</v>
      </c>
      <c r="U3161" s="51">
        <f t="shared" si="863"/>
        <v>0</v>
      </c>
      <c r="V3161" s="52">
        <f>IF(0&lt;0.8,0,IF(0&lt;1,Sheet3!L561,1))*IF(G3161&lt;3,0.12 - O3161,0.01) *U3161</f>
        <v>0</v>
      </c>
      <c r="W3161" s="52">
        <f t="shared" si="864"/>
        <v>0</v>
      </c>
      <c r="X3161" s="53">
        <f t="shared" si="865"/>
        <v>0</v>
      </c>
      <c r="Y3161" s="53">
        <f t="shared" si="866"/>
        <v>0</v>
      </c>
      <c r="Z3161" s="54">
        <f t="shared" si="872"/>
        <v>0</v>
      </c>
      <c r="AA3161" s="54">
        <f t="shared" si="867"/>
        <v>0</v>
      </c>
      <c r="AB3161" s="55">
        <f t="shared" si="874"/>
        <v>0</v>
      </c>
      <c r="AC3161" s="55">
        <f t="shared" si="868"/>
        <v>0</v>
      </c>
      <c r="AD3161" s="56">
        <f t="shared" si="869"/>
        <v>781.67000000000007</v>
      </c>
    </row>
    <row r="3162" spans="3:30">
      <c r="C3162" s="43" t="s">
        <v>5882</v>
      </c>
      <c r="D3162" s="44" t="s">
        <v>5883</v>
      </c>
      <c r="E3162" s="44"/>
      <c r="F3162" s="45">
        <v>43277.081805555557</v>
      </c>
      <c r="G3162" s="46">
        <v>3</v>
      </c>
      <c r="H3162" s="47">
        <v>43404</v>
      </c>
      <c r="I3162" s="47">
        <v>43413</v>
      </c>
      <c r="J3162" s="46">
        <v>1321815</v>
      </c>
      <c r="K3162" s="46">
        <v>0</v>
      </c>
      <c r="L3162" s="46">
        <v>0</v>
      </c>
      <c r="M3162" s="46">
        <f t="shared" si="858"/>
        <v>1321815</v>
      </c>
      <c r="N3162" s="46">
        <v>1607283</v>
      </c>
      <c r="O3162" s="48">
        <f t="shared" si="859"/>
        <v>0.1776090458245374</v>
      </c>
      <c r="P3162" s="46">
        <v>0</v>
      </c>
      <c r="Q3162" s="46">
        <v>0</v>
      </c>
      <c r="R3162" s="49">
        <f t="shared" si="860"/>
        <v>1</v>
      </c>
      <c r="S3162" s="50">
        <f t="shared" si="861"/>
        <v>0.01</v>
      </c>
      <c r="T3162" s="49">
        <f t="shared" si="862"/>
        <v>13218.15</v>
      </c>
      <c r="U3162" s="51">
        <f t="shared" si="863"/>
        <v>0</v>
      </c>
      <c r="V3162" s="52">
        <f>IF(0&lt;0.8,0,IF(0&lt;1,Sheet3!L561,1))*IF(G3162&lt;3,0.12 - O3162,0.01) *U3162</f>
        <v>0</v>
      </c>
      <c r="W3162" s="52">
        <f t="shared" si="864"/>
        <v>0</v>
      </c>
      <c r="X3162" s="53">
        <f t="shared" si="865"/>
        <v>0</v>
      </c>
      <c r="Y3162" s="53">
        <f t="shared" si="866"/>
        <v>0</v>
      </c>
      <c r="Z3162" s="54">
        <f t="shared" si="872"/>
        <v>0</v>
      </c>
      <c r="AA3162" s="54">
        <f t="shared" si="867"/>
        <v>0</v>
      </c>
      <c r="AB3162" s="55">
        <f t="shared" si="874"/>
        <v>0</v>
      </c>
      <c r="AC3162" s="55">
        <f t="shared" si="868"/>
        <v>0</v>
      </c>
      <c r="AD3162" s="56">
        <f t="shared" si="869"/>
        <v>13218.15</v>
      </c>
    </row>
    <row r="3163" spans="3:30">
      <c r="C3163" s="43" t="s">
        <v>5884</v>
      </c>
      <c r="D3163" s="44" t="s">
        <v>5885</v>
      </c>
      <c r="E3163" s="44"/>
      <c r="F3163" s="45">
        <v>43311.387662037036</v>
      </c>
      <c r="G3163" s="46">
        <v>2</v>
      </c>
      <c r="H3163" s="47">
        <v>43412</v>
      </c>
      <c r="I3163" s="47">
        <v>43420</v>
      </c>
      <c r="J3163" s="46">
        <v>481850</v>
      </c>
      <c r="K3163" s="46">
        <v>0</v>
      </c>
      <c r="L3163" s="46">
        <v>0</v>
      </c>
      <c r="M3163" s="46">
        <f t="shared" si="858"/>
        <v>481850</v>
      </c>
      <c r="N3163" s="46">
        <v>550660</v>
      </c>
      <c r="O3163" s="48">
        <f t="shared" si="859"/>
        <v>0.12495913994116148</v>
      </c>
      <c r="P3163" s="46">
        <v>481850</v>
      </c>
      <c r="Q3163" s="46">
        <v>0</v>
      </c>
      <c r="R3163" s="49">
        <f t="shared" si="860"/>
        <v>0</v>
      </c>
      <c r="S3163" s="50">
        <f t="shared" si="861"/>
        <v>0</v>
      </c>
      <c r="T3163" s="49">
        <f t="shared" si="862"/>
        <v>0</v>
      </c>
      <c r="U3163" s="51">
        <f t="shared" si="863"/>
        <v>0</v>
      </c>
      <c r="V3163" s="52">
        <f>IF(0&lt;0.8,0,IF(0&lt;1,Sheet3!L561,1))*IF(G3163&lt;3,0.12 - O3163,0.01) *U3163</f>
        <v>0</v>
      </c>
      <c r="W3163" s="52">
        <f t="shared" si="864"/>
        <v>0</v>
      </c>
      <c r="X3163" s="53">
        <f t="shared" si="865"/>
        <v>0</v>
      </c>
      <c r="Y3163" s="53">
        <f t="shared" si="866"/>
        <v>0</v>
      </c>
      <c r="Z3163" s="54">
        <f t="shared" si="872"/>
        <v>0</v>
      </c>
      <c r="AA3163" s="54">
        <f t="shared" si="867"/>
        <v>0</v>
      </c>
      <c r="AB3163" s="55">
        <f t="shared" si="874"/>
        <v>0</v>
      </c>
      <c r="AC3163" s="55">
        <f t="shared" si="868"/>
        <v>0</v>
      </c>
      <c r="AD3163" s="56">
        <f t="shared" si="869"/>
        <v>0</v>
      </c>
    </row>
    <row r="3164" spans="3:30">
      <c r="C3164" s="43" t="s">
        <v>5886</v>
      </c>
      <c r="D3164" s="44" t="s">
        <v>5887</v>
      </c>
      <c r="E3164" s="44"/>
      <c r="F3164" s="45">
        <v>43311.389733796292</v>
      </c>
      <c r="G3164" s="46">
        <v>2</v>
      </c>
      <c r="H3164" s="47">
        <v>43423</v>
      </c>
      <c r="I3164" s="47">
        <v>43411</v>
      </c>
      <c r="J3164" s="46">
        <v>1311917</v>
      </c>
      <c r="K3164" s="46">
        <v>0</v>
      </c>
      <c r="L3164" s="46">
        <v>0</v>
      </c>
      <c r="M3164" s="46">
        <f t="shared" si="858"/>
        <v>1311917</v>
      </c>
      <c r="N3164" s="46">
        <v>1288685</v>
      </c>
      <c r="O3164" s="48">
        <f t="shared" si="859"/>
        <v>0</v>
      </c>
      <c r="P3164" s="46">
        <v>1311917</v>
      </c>
      <c r="Q3164" s="46">
        <v>0</v>
      </c>
      <c r="R3164" s="49">
        <f t="shared" si="860"/>
        <v>0</v>
      </c>
      <c r="S3164" s="50">
        <f t="shared" si="861"/>
        <v>0</v>
      </c>
      <c r="T3164" s="49">
        <f t="shared" si="862"/>
        <v>0</v>
      </c>
      <c r="U3164" s="51">
        <f t="shared" si="863"/>
        <v>1311917</v>
      </c>
      <c r="V3164" s="52">
        <f>IF(0&lt;0.8,0,IF(0&lt;1,Sheet3!L561,1))*IF(G3164&lt;3,0.12 - O3164,0.01) *U3164</f>
        <v>0</v>
      </c>
      <c r="W3164" s="52">
        <f t="shared" si="864"/>
        <v>0</v>
      </c>
      <c r="X3164" s="53">
        <f t="shared" si="865"/>
        <v>0</v>
      </c>
      <c r="Y3164" s="53">
        <f t="shared" si="866"/>
        <v>0</v>
      </c>
      <c r="Z3164" s="54">
        <f t="shared" si="872"/>
        <v>0</v>
      </c>
      <c r="AA3164" s="54">
        <f t="shared" si="867"/>
        <v>0</v>
      </c>
      <c r="AB3164" s="55">
        <f t="shared" si="874"/>
        <v>0</v>
      </c>
      <c r="AC3164" s="55">
        <f t="shared" si="868"/>
        <v>0</v>
      </c>
      <c r="AD3164" s="56">
        <f t="shared" si="869"/>
        <v>0</v>
      </c>
    </row>
    <row r="3165" spans="3:30">
      <c r="C3165" s="43" t="s">
        <v>5888</v>
      </c>
      <c r="D3165" s="44" t="s">
        <v>24</v>
      </c>
      <c r="E3165" s="44"/>
      <c r="F3165" s="45" t="s">
        <v>24</v>
      </c>
      <c r="G3165" s="46" t="s">
        <v>24</v>
      </c>
      <c r="H3165" s="47" t="s">
        <v>24</v>
      </c>
      <c r="I3165" s="47" t="s">
        <v>24</v>
      </c>
      <c r="J3165" s="46">
        <v>66550</v>
      </c>
      <c r="K3165" s="46">
        <v>0</v>
      </c>
      <c r="L3165" s="46">
        <v>0</v>
      </c>
      <c r="M3165" s="46">
        <f t="shared" si="858"/>
        <v>66550</v>
      </c>
      <c r="N3165" s="46" t="s">
        <v>24</v>
      </c>
      <c r="O3165" s="48">
        <f t="shared" si="859"/>
        <v>0</v>
      </c>
      <c r="P3165" s="46">
        <v>0</v>
      </c>
      <c r="Q3165" s="46">
        <v>0</v>
      </c>
      <c r="R3165" s="49">
        <f t="shared" si="860"/>
        <v>0</v>
      </c>
      <c r="S3165" s="50">
        <f t="shared" si="861"/>
        <v>0</v>
      </c>
      <c r="T3165" s="49">
        <f t="shared" si="862"/>
        <v>0</v>
      </c>
      <c r="U3165" s="51">
        <f t="shared" si="863"/>
        <v>66550</v>
      </c>
      <c r="V3165" s="52">
        <f>IF(0&lt;0.8,0,IF(0&lt;1,Sheet3!L561,1))*IF(G3165&lt;3,0.12 - O3165,0.01) *U3165</f>
        <v>0</v>
      </c>
      <c r="W3165" s="52">
        <f t="shared" si="864"/>
        <v>0</v>
      </c>
      <c r="X3165" s="53">
        <f t="shared" si="865"/>
        <v>0</v>
      </c>
      <c r="Y3165" s="53">
        <f t="shared" si="866"/>
        <v>0</v>
      </c>
      <c r="Z3165" s="54" t="str">
        <f>IF(R3165=1,0,"")</f>
        <v/>
      </c>
      <c r="AA3165" s="54">
        <f t="shared" si="867"/>
        <v>0</v>
      </c>
      <c r="AB3165" s="55" t="str">
        <f>IF(R3165=0,"",0)</f>
        <v/>
      </c>
      <c r="AC3165" s="55">
        <f t="shared" si="868"/>
        <v>0</v>
      </c>
      <c r="AD3165" s="56">
        <f t="shared" si="869"/>
        <v>0</v>
      </c>
    </row>
    <row r="3166" spans="3:30">
      <c r="C3166" s="43" t="s">
        <v>5889</v>
      </c>
      <c r="D3166" s="44" t="s">
        <v>5890</v>
      </c>
      <c r="E3166" s="44"/>
      <c r="F3166" s="45">
        <v>43339.207754629628</v>
      </c>
      <c r="G3166" s="46">
        <v>1</v>
      </c>
      <c r="H3166" s="47">
        <v>43381</v>
      </c>
      <c r="I3166" s="47">
        <v>43437</v>
      </c>
      <c r="J3166" s="46">
        <v>857648</v>
      </c>
      <c r="K3166" s="46">
        <v>0</v>
      </c>
      <c r="L3166" s="46">
        <v>0</v>
      </c>
      <c r="M3166" s="46">
        <f t="shared" si="858"/>
        <v>857648</v>
      </c>
      <c r="N3166" s="46">
        <v>857648</v>
      </c>
      <c r="O3166" s="48">
        <f t="shared" si="859"/>
        <v>0</v>
      </c>
      <c r="P3166" s="46">
        <v>0</v>
      </c>
      <c r="Q3166" s="46">
        <v>0</v>
      </c>
      <c r="R3166" s="49">
        <f t="shared" si="860"/>
        <v>0</v>
      </c>
      <c r="S3166" s="50">
        <f t="shared" si="861"/>
        <v>0</v>
      </c>
      <c r="T3166" s="49">
        <f t="shared" si="862"/>
        <v>0</v>
      </c>
      <c r="U3166" s="51">
        <f t="shared" si="863"/>
        <v>857648</v>
      </c>
      <c r="V3166" s="52">
        <f>IF(0&lt;0.8,0,IF(0&lt;1,Sheet3!L561,1))*IF(G3166&lt;3,0.12 - O3166,0.01) *U3166</f>
        <v>0</v>
      </c>
      <c r="W3166" s="52">
        <f t="shared" si="864"/>
        <v>0</v>
      </c>
      <c r="X3166" s="53">
        <f t="shared" si="865"/>
        <v>0</v>
      </c>
      <c r="Y3166" s="53">
        <f t="shared" si="866"/>
        <v>0</v>
      </c>
      <c r="Z3166" s="54">
        <f>IF(R3166=1,0,0)</f>
        <v>0</v>
      </c>
      <c r="AA3166" s="54">
        <f t="shared" si="867"/>
        <v>0</v>
      </c>
      <c r="AB3166" s="55">
        <f>IF(R3166=0,0,0)</f>
        <v>0</v>
      </c>
      <c r="AC3166" s="55">
        <f t="shared" si="868"/>
        <v>0</v>
      </c>
      <c r="AD3166" s="56">
        <f t="shared" si="869"/>
        <v>0</v>
      </c>
    </row>
    <row r="3167" spans="3:30">
      <c r="C3167" s="43" t="s">
        <v>5891</v>
      </c>
      <c r="D3167" s="44" t="s">
        <v>5892</v>
      </c>
      <c r="E3167" s="44"/>
      <c r="F3167" s="45">
        <v>43356.165648148148</v>
      </c>
      <c r="G3167" s="46">
        <v>0</v>
      </c>
      <c r="H3167" s="47">
        <v>43389</v>
      </c>
      <c r="I3167" s="47">
        <v>43384</v>
      </c>
      <c r="J3167" s="46">
        <v>53240</v>
      </c>
      <c r="K3167" s="46">
        <v>0</v>
      </c>
      <c r="L3167" s="46">
        <v>0</v>
      </c>
      <c r="M3167" s="46">
        <f t="shared" si="858"/>
        <v>53240</v>
      </c>
      <c r="N3167" s="46">
        <v>53240</v>
      </c>
      <c r="O3167" s="48">
        <f t="shared" si="859"/>
        <v>0</v>
      </c>
      <c r="P3167" s="46">
        <v>0</v>
      </c>
      <c r="Q3167" s="46">
        <v>0</v>
      </c>
      <c r="R3167" s="49">
        <f t="shared" si="860"/>
        <v>0</v>
      </c>
      <c r="S3167" s="50">
        <f t="shared" si="861"/>
        <v>0</v>
      </c>
      <c r="T3167" s="49">
        <f t="shared" si="862"/>
        <v>0</v>
      </c>
      <c r="U3167" s="51">
        <f t="shared" si="863"/>
        <v>53240</v>
      </c>
      <c r="V3167" s="52">
        <f>IF(0&lt;0.8,0,IF(0&lt;1,Sheet3!L561,1))*IF(G3167&lt;3,0.12 - O3167,0.01) *U3167</f>
        <v>0</v>
      </c>
      <c r="W3167" s="52">
        <f t="shared" si="864"/>
        <v>0</v>
      </c>
      <c r="X3167" s="53">
        <f t="shared" si="865"/>
        <v>0</v>
      </c>
      <c r="Y3167" s="53">
        <f t="shared" si="866"/>
        <v>0</v>
      </c>
      <c r="Z3167" s="54">
        <f>IF(R3167=1,0,0)</f>
        <v>0</v>
      </c>
      <c r="AA3167" s="54">
        <f t="shared" si="867"/>
        <v>0</v>
      </c>
      <c r="AB3167" s="55">
        <f>IF(R3167=0,0,0)</f>
        <v>0</v>
      </c>
      <c r="AC3167" s="55">
        <f t="shared" si="868"/>
        <v>0</v>
      </c>
      <c r="AD3167" s="56">
        <f t="shared" si="869"/>
        <v>0</v>
      </c>
    </row>
    <row r="3168" spans="3:30">
      <c r="C3168" s="43" t="s">
        <v>5893</v>
      </c>
      <c r="D3168" s="44" t="s">
        <v>5894</v>
      </c>
      <c r="E3168" s="44"/>
      <c r="F3168" s="45">
        <v>43356.169710648144</v>
      </c>
      <c r="G3168" s="46">
        <v>0</v>
      </c>
      <c r="H3168" s="47">
        <v>43389</v>
      </c>
      <c r="I3168" s="47">
        <v>43384</v>
      </c>
      <c r="J3168" s="46">
        <v>238854</v>
      </c>
      <c r="K3168" s="46">
        <v>0</v>
      </c>
      <c r="L3168" s="46">
        <v>0</v>
      </c>
      <c r="M3168" s="46">
        <f t="shared" si="858"/>
        <v>238854</v>
      </c>
      <c r="N3168" s="46">
        <v>238854</v>
      </c>
      <c r="O3168" s="48">
        <f t="shared" si="859"/>
        <v>0</v>
      </c>
      <c r="P3168" s="46">
        <v>0</v>
      </c>
      <c r="Q3168" s="46">
        <v>0</v>
      </c>
      <c r="R3168" s="49">
        <f t="shared" si="860"/>
        <v>0</v>
      </c>
      <c r="S3168" s="50">
        <f t="shared" si="861"/>
        <v>0</v>
      </c>
      <c r="T3168" s="49">
        <f t="shared" si="862"/>
        <v>0</v>
      </c>
      <c r="U3168" s="51">
        <f t="shared" si="863"/>
        <v>238854</v>
      </c>
      <c r="V3168" s="52">
        <f>IF(0&lt;0.8,0,IF(0&lt;1,Sheet3!L561,1))*IF(G3168&lt;3,0.12 - O3168,0.01) *U3168</f>
        <v>0</v>
      </c>
      <c r="W3168" s="52">
        <f t="shared" si="864"/>
        <v>0</v>
      </c>
      <c r="X3168" s="53">
        <f t="shared" si="865"/>
        <v>0</v>
      </c>
      <c r="Y3168" s="53">
        <f t="shared" si="866"/>
        <v>0</v>
      </c>
      <c r="Z3168" s="54">
        <f>IF(R3168=1,0,0)</f>
        <v>0</v>
      </c>
      <c r="AA3168" s="54">
        <f t="shared" si="867"/>
        <v>0</v>
      </c>
      <c r="AB3168" s="55">
        <f>IF(R3168=0,0,0)</f>
        <v>0</v>
      </c>
      <c r="AC3168" s="55">
        <f t="shared" si="868"/>
        <v>0</v>
      </c>
      <c r="AD3168" s="56">
        <f t="shared" si="869"/>
        <v>0</v>
      </c>
    </row>
    <row r="3169" spans="3:30">
      <c r="C3169" s="43" t="s">
        <v>5895</v>
      </c>
      <c r="D3169" s="44" t="s">
        <v>5896</v>
      </c>
      <c r="E3169" s="44"/>
      <c r="F3169" s="45">
        <v>43356.182291666664</v>
      </c>
      <c r="G3169" s="46">
        <v>0</v>
      </c>
      <c r="H3169" s="47">
        <v>43389</v>
      </c>
      <c r="I3169" s="47">
        <v>43384</v>
      </c>
      <c r="J3169" s="46">
        <v>69817</v>
      </c>
      <c r="K3169" s="46">
        <v>0</v>
      </c>
      <c r="L3169" s="46">
        <v>0</v>
      </c>
      <c r="M3169" s="46">
        <f t="shared" si="858"/>
        <v>69817</v>
      </c>
      <c r="N3169" s="46">
        <v>69817</v>
      </c>
      <c r="O3169" s="48">
        <f t="shared" si="859"/>
        <v>0</v>
      </c>
      <c r="P3169" s="46">
        <v>0</v>
      </c>
      <c r="Q3169" s="46">
        <v>0</v>
      </c>
      <c r="R3169" s="49">
        <f t="shared" si="860"/>
        <v>0</v>
      </c>
      <c r="S3169" s="50">
        <f t="shared" si="861"/>
        <v>0</v>
      </c>
      <c r="T3169" s="49">
        <f t="shared" si="862"/>
        <v>0</v>
      </c>
      <c r="U3169" s="51">
        <f t="shared" si="863"/>
        <v>69817</v>
      </c>
      <c r="V3169" s="52">
        <f>IF(0&lt;0.8,0,IF(0&lt;1,Sheet3!L561,1))*IF(G3169&lt;3,0.12 - O3169,0.01) *U3169</f>
        <v>0</v>
      </c>
      <c r="W3169" s="52">
        <f t="shared" si="864"/>
        <v>0</v>
      </c>
      <c r="X3169" s="53">
        <f t="shared" si="865"/>
        <v>0</v>
      </c>
      <c r="Y3169" s="53">
        <f t="shared" si="866"/>
        <v>0</v>
      </c>
      <c r="Z3169" s="54">
        <f>IF(R3169=1,0,0)</f>
        <v>0</v>
      </c>
      <c r="AA3169" s="54">
        <f t="shared" si="867"/>
        <v>0</v>
      </c>
      <c r="AB3169" s="55">
        <f>IF(R3169=0,0,0)</f>
        <v>0</v>
      </c>
      <c r="AC3169" s="55">
        <f t="shared" si="868"/>
        <v>0</v>
      </c>
      <c r="AD3169" s="56">
        <f t="shared" si="869"/>
        <v>0</v>
      </c>
    </row>
    <row r="3170" spans="3:30">
      <c r="C3170" s="43" t="s">
        <v>5897</v>
      </c>
      <c r="D3170" s="44" t="s">
        <v>5898</v>
      </c>
      <c r="E3170" s="44"/>
      <c r="F3170" s="45">
        <v>43369.423668981479</v>
      </c>
      <c r="G3170" s="46">
        <v>0</v>
      </c>
      <c r="H3170" s="47">
        <v>43395</v>
      </c>
      <c r="I3170" s="47">
        <v>43396</v>
      </c>
      <c r="J3170" s="46">
        <v>441650</v>
      </c>
      <c r="K3170" s="46">
        <v>0</v>
      </c>
      <c r="L3170" s="46">
        <v>0</v>
      </c>
      <c r="M3170" s="46">
        <f t="shared" si="858"/>
        <v>441650</v>
      </c>
      <c r="N3170" s="46">
        <v>441650</v>
      </c>
      <c r="O3170" s="48">
        <f t="shared" si="859"/>
        <v>0</v>
      </c>
      <c r="P3170" s="46">
        <v>0</v>
      </c>
      <c r="Q3170" s="46">
        <v>0</v>
      </c>
      <c r="R3170" s="49">
        <f t="shared" si="860"/>
        <v>0</v>
      </c>
      <c r="S3170" s="50">
        <f t="shared" si="861"/>
        <v>0</v>
      </c>
      <c r="T3170" s="49">
        <f t="shared" si="862"/>
        <v>0</v>
      </c>
      <c r="U3170" s="51">
        <f t="shared" si="863"/>
        <v>441650</v>
      </c>
      <c r="V3170" s="52">
        <f>IF(0&lt;0.8,0,IF(0&lt;1,Sheet3!L561,1))*IF(G3170&lt;3,0.12 - O3170,0.01) *U3170</f>
        <v>0</v>
      </c>
      <c r="W3170" s="52">
        <f t="shared" si="864"/>
        <v>0</v>
      </c>
      <c r="X3170" s="53">
        <f t="shared" si="865"/>
        <v>0</v>
      </c>
      <c r="Y3170" s="53">
        <f t="shared" si="866"/>
        <v>0</v>
      </c>
      <c r="Z3170" s="54">
        <f>IF(R3170=1,0,0)</f>
        <v>0</v>
      </c>
      <c r="AA3170" s="54">
        <f t="shared" si="867"/>
        <v>0</v>
      </c>
      <c r="AB3170" s="55">
        <f>IF(R3170=0,0,0)</f>
        <v>0</v>
      </c>
      <c r="AC3170" s="55">
        <f t="shared" si="868"/>
        <v>0</v>
      </c>
      <c r="AD3170" s="56">
        <f t="shared" si="869"/>
        <v>0</v>
      </c>
    </row>
    <row r="3171" spans="3:30">
      <c r="C3171" s="43" t="s">
        <v>5899</v>
      </c>
      <c r="D3171" s="44" t="s">
        <v>5900</v>
      </c>
      <c r="E3171" s="44"/>
      <c r="F3171" s="45">
        <v>42521.193171296298</v>
      </c>
      <c r="G3171" s="46">
        <v>28</v>
      </c>
      <c r="H3171" s="47" t="s">
        <v>24</v>
      </c>
      <c r="I3171" s="47" t="s">
        <v>24</v>
      </c>
      <c r="J3171" s="46">
        <v>0</v>
      </c>
      <c r="K3171" s="46">
        <v>0</v>
      </c>
      <c r="L3171" s="46">
        <v>0</v>
      </c>
      <c r="M3171" s="46">
        <f t="shared" si="858"/>
        <v>0</v>
      </c>
      <c r="N3171" s="46">
        <v>5366592</v>
      </c>
      <c r="O3171" s="48">
        <f t="shared" si="859"/>
        <v>1</v>
      </c>
      <c r="P3171" s="46">
        <v>0</v>
      </c>
      <c r="Q3171" s="46">
        <v>0</v>
      </c>
      <c r="R3171" s="49">
        <f t="shared" si="860"/>
        <v>1</v>
      </c>
      <c r="S3171" s="50">
        <f t="shared" si="861"/>
        <v>0.01</v>
      </c>
      <c r="T3171" s="49">
        <f t="shared" si="862"/>
        <v>0</v>
      </c>
      <c r="U3171" s="51">
        <f t="shared" si="863"/>
        <v>0</v>
      </c>
      <c r="V3171" s="52">
        <f>IF(0&lt;0.8,0,IF(0&lt;1,Sheet3!L561,1))*IF(G3171&lt;3,0.12 - O3171,0.01) *U3171</f>
        <v>0</v>
      </c>
      <c r="W3171" s="52">
        <f t="shared" si="864"/>
        <v>0</v>
      </c>
      <c r="X3171" s="53">
        <f t="shared" si="865"/>
        <v>0</v>
      </c>
      <c r="Y3171" s="53">
        <f t="shared" si="866"/>
        <v>0</v>
      </c>
      <c r="Z3171" s="54">
        <f>IF(R3171=1,0,"")</f>
        <v>0</v>
      </c>
      <c r="AA3171" s="54">
        <f t="shared" si="867"/>
        <v>0</v>
      </c>
      <c r="AB3171" s="55">
        <f>IF(R3171=0,"",0)</f>
        <v>0</v>
      </c>
      <c r="AC3171" s="55">
        <f t="shared" si="868"/>
        <v>0</v>
      </c>
      <c r="AD3171" s="56">
        <f t="shared" si="869"/>
        <v>0</v>
      </c>
    </row>
    <row r="3172" spans="3:30">
      <c r="C3172" s="43" t="s">
        <v>5901</v>
      </c>
      <c r="D3172" s="44" t="s">
        <v>995</v>
      </c>
      <c r="E3172" s="44"/>
      <c r="F3172" s="45">
        <v>43316.253402777773</v>
      </c>
      <c r="G3172" s="46">
        <v>1</v>
      </c>
      <c r="H3172" s="47">
        <v>43431</v>
      </c>
      <c r="I3172" s="47">
        <v>43462</v>
      </c>
      <c r="J3172" s="46">
        <v>574064</v>
      </c>
      <c r="K3172" s="46">
        <v>0</v>
      </c>
      <c r="L3172" s="46">
        <v>0</v>
      </c>
      <c r="M3172" s="46">
        <f t="shared" si="858"/>
        <v>574064</v>
      </c>
      <c r="N3172" s="46">
        <v>710633</v>
      </c>
      <c r="O3172" s="48">
        <f t="shared" si="859"/>
        <v>0.19217936684617798</v>
      </c>
      <c r="P3172" s="46">
        <v>0</v>
      </c>
      <c r="Q3172" s="46">
        <v>0</v>
      </c>
      <c r="R3172" s="49">
        <f t="shared" si="860"/>
        <v>0</v>
      </c>
      <c r="S3172" s="50">
        <f t="shared" si="861"/>
        <v>0</v>
      </c>
      <c r="T3172" s="49">
        <f t="shared" si="862"/>
        <v>0</v>
      </c>
      <c r="U3172" s="51">
        <f t="shared" si="863"/>
        <v>0</v>
      </c>
      <c r="V3172" s="52">
        <f>IF(0&lt;0.8,0,IF(0&lt;1,Sheet3!L561,1))*IF(G3172&lt;3,0.12 - O3172,0.01) *U3172</f>
        <v>0</v>
      </c>
      <c r="W3172" s="52">
        <f t="shared" si="864"/>
        <v>0</v>
      </c>
      <c r="X3172" s="53">
        <f t="shared" si="865"/>
        <v>0</v>
      </c>
      <c r="Y3172" s="53">
        <f t="shared" si="866"/>
        <v>0</v>
      </c>
      <c r="Z3172" s="54">
        <f t="shared" ref="Z3172:Z3178" si="875">IF(R3172=1,0,0)</f>
        <v>0</v>
      </c>
      <c r="AA3172" s="54">
        <f t="shared" si="867"/>
        <v>0</v>
      </c>
      <c r="AB3172" s="55">
        <f t="shared" ref="AB3172:AB3178" si="876">IF(R3172=0,0,0)</f>
        <v>0</v>
      </c>
      <c r="AC3172" s="55">
        <f t="shared" si="868"/>
        <v>0</v>
      </c>
      <c r="AD3172" s="56">
        <f t="shared" si="869"/>
        <v>0</v>
      </c>
    </row>
    <row r="3173" spans="3:30">
      <c r="C3173" s="43" t="s">
        <v>5902</v>
      </c>
      <c r="D3173" s="44" t="s">
        <v>5903</v>
      </c>
      <c r="E3173" s="44"/>
      <c r="F3173" s="45">
        <v>41755.43787037037</v>
      </c>
      <c r="G3173" s="46">
        <v>53</v>
      </c>
      <c r="H3173" s="47">
        <v>43404</v>
      </c>
      <c r="I3173" s="47">
        <v>43413</v>
      </c>
      <c r="J3173" s="46">
        <v>2174641</v>
      </c>
      <c r="K3173" s="46">
        <v>992665</v>
      </c>
      <c r="L3173" s="46">
        <v>0</v>
      </c>
      <c r="M3173" s="46">
        <f t="shared" si="858"/>
        <v>1181976</v>
      </c>
      <c r="N3173" s="46">
        <v>2893231</v>
      </c>
      <c r="O3173" s="48">
        <f t="shared" si="859"/>
        <v>0.59146850009556795</v>
      </c>
      <c r="P3173" s="46">
        <v>0</v>
      </c>
      <c r="Q3173" s="46">
        <v>2174641</v>
      </c>
      <c r="R3173" s="49">
        <f t="shared" si="860"/>
        <v>1</v>
      </c>
      <c r="S3173" s="50">
        <f t="shared" si="861"/>
        <v>0.01</v>
      </c>
      <c r="T3173" s="49">
        <f t="shared" si="862"/>
        <v>11819.76</v>
      </c>
      <c r="U3173" s="51">
        <f t="shared" si="863"/>
        <v>0</v>
      </c>
      <c r="V3173" s="52">
        <f>IF(0&lt;0.8,0,IF(0&lt;1,Sheet3!L561,1))*IF(G3173&lt;3,0.12 - O3173,0.01) *U3173</f>
        <v>0</v>
      </c>
      <c r="W3173" s="52">
        <f t="shared" si="864"/>
        <v>0</v>
      </c>
      <c r="X3173" s="53">
        <f t="shared" si="865"/>
        <v>0</v>
      </c>
      <c r="Y3173" s="53">
        <f t="shared" si="866"/>
        <v>0</v>
      </c>
      <c r="Z3173" s="54">
        <f t="shared" si="875"/>
        <v>0</v>
      </c>
      <c r="AA3173" s="54">
        <f t="shared" si="867"/>
        <v>0</v>
      </c>
      <c r="AB3173" s="55">
        <f t="shared" si="876"/>
        <v>0</v>
      </c>
      <c r="AC3173" s="55">
        <f t="shared" si="868"/>
        <v>0</v>
      </c>
      <c r="AD3173" s="56">
        <f t="shared" si="869"/>
        <v>11819.76</v>
      </c>
    </row>
    <row r="3174" spans="3:30">
      <c r="C3174" s="43" t="s">
        <v>5904</v>
      </c>
      <c r="D3174" s="44" t="s">
        <v>5905</v>
      </c>
      <c r="E3174" s="44"/>
      <c r="F3174" s="45">
        <v>42100.663865740738</v>
      </c>
      <c r="G3174" s="46">
        <v>41</v>
      </c>
      <c r="H3174" s="47">
        <v>43404</v>
      </c>
      <c r="I3174" s="47">
        <v>43413</v>
      </c>
      <c r="J3174" s="46">
        <v>2497000</v>
      </c>
      <c r="K3174" s="46">
        <v>1408000</v>
      </c>
      <c r="L3174" s="46">
        <v>0</v>
      </c>
      <c r="M3174" s="46">
        <f t="shared" si="858"/>
        <v>1089000</v>
      </c>
      <c r="N3174" s="46">
        <v>2939918</v>
      </c>
      <c r="O3174" s="48">
        <f t="shared" si="859"/>
        <v>0.62958150533450252</v>
      </c>
      <c r="P3174" s="46">
        <v>0</v>
      </c>
      <c r="Q3174" s="46">
        <v>2497000</v>
      </c>
      <c r="R3174" s="49">
        <f t="shared" si="860"/>
        <v>1</v>
      </c>
      <c r="S3174" s="50">
        <f t="shared" si="861"/>
        <v>0.01</v>
      </c>
      <c r="T3174" s="49">
        <f t="shared" si="862"/>
        <v>10890</v>
      </c>
      <c r="U3174" s="51">
        <f t="shared" si="863"/>
        <v>0</v>
      </c>
      <c r="V3174" s="52">
        <f>IF(0&lt;0.8,0,IF(0&lt;1,Sheet3!L561,1))*IF(G3174&lt;3,0.12 - O3174,0.01) *U3174</f>
        <v>0</v>
      </c>
      <c r="W3174" s="52">
        <f t="shared" si="864"/>
        <v>0</v>
      </c>
      <c r="X3174" s="53">
        <f t="shared" si="865"/>
        <v>0</v>
      </c>
      <c r="Y3174" s="53">
        <f t="shared" si="866"/>
        <v>0</v>
      </c>
      <c r="Z3174" s="54">
        <f t="shared" si="875"/>
        <v>0</v>
      </c>
      <c r="AA3174" s="54">
        <f t="shared" si="867"/>
        <v>0</v>
      </c>
      <c r="AB3174" s="55">
        <f t="shared" si="876"/>
        <v>0</v>
      </c>
      <c r="AC3174" s="55">
        <f t="shared" si="868"/>
        <v>0</v>
      </c>
      <c r="AD3174" s="56">
        <f t="shared" si="869"/>
        <v>10890</v>
      </c>
    </row>
    <row r="3175" spans="3:30">
      <c r="C3175" s="43" t="s">
        <v>5906</v>
      </c>
      <c r="D3175" s="44" t="s">
        <v>5907</v>
      </c>
      <c r="E3175" s="44"/>
      <c r="F3175" s="45">
        <v>42689.387118055551</v>
      </c>
      <c r="G3175" s="46">
        <v>22</v>
      </c>
      <c r="H3175" s="47">
        <v>43404</v>
      </c>
      <c r="I3175" s="47">
        <v>43413</v>
      </c>
      <c r="J3175" s="46">
        <v>1010599</v>
      </c>
      <c r="K3175" s="46">
        <v>0</v>
      </c>
      <c r="L3175" s="46">
        <v>0</v>
      </c>
      <c r="M3175" s="46">
        <f t="shared" si="858"/>
        <v>1010599</v>
      </c>
      <c r="N3175" s="46">
        <v>1365183</v>
      </c>
      <c r="O3175" s="48">
        <f t="shared" si="859"/>
        <v>0.25973367673051895</v>
      </c>
      <c r="P3175" s="46">
        <v>0</v>
      </c>
      <c r="Q3175" s="46">
        <v>1010599</v>
      </c>
      <c r="R3175" s="49">
        <f t="shared" si="860"/>
        <v>1</v>
      </c>
      <c r="S3175" s="50">
        <f t="shared" si="861"/>
        <v>0.01</v>
      </c>
      <c r="T3175" s="49">
        <f t="shared" si="862"/>
        <v>10105.99</v>
      </c>
      <c r="U3175" s="51">
        <f t="shared" si="863"/>
        <v>0</v>
      </c>
      <c r="V3175" s="52">
        <f>IF(0&lt;0.8,0,IF(0&lt;1,Sheet3!L561,1))*IF(G3175&lt;3,0.12 - O3175,0.01) *U3175</f>
        <v>0</v>
      </c>
      <c r="W3175" s="52">
        <f t="shared" si="864"/>
        <v>0</v>
      </c>
      <c r="X3175" s="53">
        <f t="shared" si="865"/>
        <v>0</v>
      </c>
      <c r="Y3175" s="53">
        <f t="shared" si="866"/>
        <v>0</v>
      </c>
      <c r="Z3175" s="54">
        <f t="shared" si="875"/>
        <v>0</v>
      </c>
      <c r="AA3175" s="54">
        <f t="shared" si="867"/>
        <v>0</v>
      </c>
      <c r="AB3175" s="55">
        <f t="shared" si="876"/>
        <v>0</v>
      </c>
      <c r="AC3175" s="55">
        <f t="shared" si="868"/>
        <v>0</v>
      </c>
      <c r="AD3175" s="56">
        <f t="shared" si="869"/>
        <v>10105.99</v>
      </c>
    </row>
    <row r="3176" spans="3:30">
      <c r="C3176" s="43" t="s">
        <v>5908</v>
      </c>
      <c r="D3176" s="44" t="s">
        <v>5909</v>
      </c>
      <c r="E3176" s="44"/>
      <c r="F3176" s="45">
        <v>42808.267106481479</v>
      </c>
      <c r="G3176" s="46">
        <v>18</v>
      </c>
      <c r="H3176" s="47">
        <v>43404</v>
      </c>
      <c r="I3176" s="47">
        <v>43413</v>
      </c>
      <c r="J3176" s="46">
        <v>2481109</v>
      </c>
      <c r="K3176" s="46">
        <v>0</v>
      </c>
      <c r="L3176" s="46">
        <v>0</v>
      </c>
      <c r="M3176" s="46">
        <f t="shared" si="858"/>
        <v>2481109</v>
      </c>
      <c r="N3176" s="46">
        <v>2851398</v>
      </c>
      <c r="O3176" s="48">
        <f t="shared" si="859"/>
        <v>0.1298622640543341</v>
      </c>
      <c r="P3176" s="46">
        <v>0</v>
      </c>
      <c r="Q3176" s="46">
        <v>2481109</v>
      </c>
      <c r="R3176" s="49">
        <f t="shared" si="860"/>
        <v>1</v>
      </c>
      <c r="S3176" s="50">
        <f t="shared" si="861"/>
        <v>0.01</v>
      </c>
      <c r="T3176" s="49">
        <f t="shared" si="862"/>
        <v>24811.09</v>
      </c>
      <c r="U3176" s="51">
        <f t="shared" si="863"/>
        <v>0</v>
      </c>
      <c r="V3176" s="52">
        <f>IF(0&lt;0.8,0,IF(0&lt;1,Sheet3!L561,1))*IF(G3176&lt;3,0.12 - O3176,0.01) *U3176</f>
        <v>0</v>
      </c>
      <c r="W3176" s="52">
        <f t="shared" si="864"/>
        <v>0</v>
      </c>
      <c r="X3176" s="53">
        <f t="shared" si="865"/>
        <v>0</v>
      </c>
      <c r="Y3176" s="53">
        <f t="shared" si="866"/>
        <v>0</v>
      </c>
      <c r="Z3176" s="54">
        <f t="shared" si="875"/>
        <v>0</v>
      </c>
      <c r="AA3176" s="54">
        <f t="shared" si="867"/>
        <v>0</v>
      </c>
      <c r="AB3176" s="55">
        <f t="shared" si="876"/>
        <v>0</v>
      </c>
      <c r="AC3176" s="55">
        <f t="shared" si="868"/>
        <v>0</v>
      </c>
      <c r="AD3176" s="56">
        <f t="shared" si="869"/>
        <v>24811.09</v>
      </c>
    </row>
    <row r="3177" spans="3:30">
      <c r="C3177" s="43" t="s">
        <v>5910</v>
      </c>
      <c r="D3177" s="44" t="s">
        <v>5911</v>
      </c>
      <c r="E3177" s="44"/>
      <c r="F3177" s="45">
        <v>42968.281307870369</v>
      </c>
      <c r="G3177" s="46">
        <v>13</v>
      </c>
      <c r="H3177" s="47">
        <v>43385</v>
      </c>
      <c r="I3177" s="47">
        <v>43403</v>
      </c>
      <c r="J3177" s="46">
        <v>3801700</v>
      </c>
      <c r="K3177" s="46">
        <v>0</v>
      </c>
      <c r="L3177" s="46">
        <v>0</v>
      </c>
      <c r="M3177" s="46">
        <f t="shared" si="858"/>
        <v>3801700</v>
      </c>
      <c r="N3177" s="46">
        <v>2464330</v>
      </c>
      <c r="O3177" s="48">
        <f t="shared" si="859"/>
        <v>0</v>
      </c>
      <c r="P3177" s="46">
        <v>0</v>
      </c>
      <c r="Q3177" s="46">
        <v>3801700</v>
      </c>
      <c r="R3177" s="49">
        <f t="shared" si="860"/>
        <v>1</v>
      </c>
      <c r="S3177" s="50">
        <f t="shared" si="861"/>
        <v>0.01</v>
      </c>
      <c r="T3177" s="49">
        <f t="shared" si="862"/>
        <v>38017</v>
      </c>
      <c r="U3177" s="51">
        <f t="shared" si="863"/>
        <v>0</v>
      </c>
      <c r="V3177" s="52">
        <f>IF(0&lt;0.8,0,IF(0&lt;1,Sheet3!L561,1))*IF(G3177&lt;3,0.12 - O3177,0.01) *U3177</f>
        <v>0</v>
      </c>
      <c r="W3177" s="52">
        <f t="shared" si="864"/>
        <v>0</v>
      </c>
      <c r="X3177" s="53">
        <f t="shared" si="865"/>
        <v>0</v>
      </c>
      <c r="Y3177" s="53">
        <f t="shared" si="866"/>
        <v>0</v>
      </c>
      <c r="Z3177" s="54">
        <f t="shared" si="875"/>
        <v>0</v>
      </c>
      <c r="AA3177" s="54">
        <f t="shared" si="867"/>
        <v>0</v>
      </c>
      <c r="AB3177" s="55">
        <f t="shared" si="876"/>
        <v>0</v>
      </c>
      <c r="AC3177" s="55">
        <f t="shared" si="868"/>
        <v>0</v>
      </c>
      <c r="AD3177" s="56">
        <f t="shared" si="869"/>
        <v>38017</v>
      </c>
    </row>
    <row r="3178" spans="3:30">
      <c r="C3178" s="43" t="s">
        <v>5912</v>
      </c>
      <c r="D3178" s="44" t="s">
        <v>5913</v>
      </c>
      <c r="E3178" s="44"/>
      <c r="F3178" s="45">
        <v>43153.099791666667</v>
      </c>
      <c r="G3178" s="46">
        <v>7</v>
      </c>
      <c r="H3178" s="47">
        <v>43404</v>
      </c>
      <c r="I3178" s="47">
        <v>43399</v>
      </c>
      <c r="J3178" s="46">
        <v>11210322</v>
      </c>
      <c r="K3178" s="46">
        <v>0</v>
      </c>
      <c r="L3178" s="46">
        <v>0</v>
      </c>
      <c r="M3178" s="46">
        <f t="shared" si="858"/>
        <v>11210322</v>
      </c>
      <c r="N3178" s="46">
        <v>11209319</v>
      </c>
      <c r="O3178" s="48">
        <f t="shared" si="859"/>
        <v>0</v>
      </c>
      <c r="P3178" s="46">
        <v>0</v>
      </c>
      <c r="Q3178" s="46">
        <v>11210322</v>
      </c>
      <c r="R3178" s="49">
        <f t="shared" si="860"/>
        <v>1</v>
      </c>
      <c r="S3178" s="50">
        <f t="shared" si="861"/>
        <v>0.01</v>
      </c>
      <c r="T3178" s="49">
        <f t="shared" si="862"/>
        <v>112103.22</v>
      </c>
      <c r="U3178" s="51">
        <f t="shared" si="863"/>
        <v>0</v>
      </c>
      <c r="V3178" s="52">
        <f>IF(0&lt;0.8,0,IF(0&lt;1,Sheet3!L561,1))*IF(G3178&lt;3,0.12 - O3178,0.01) *U3178</f>
        <v>0</v>
      </c>
      <c r="W3178" s="52">
        <f t="shared" si="864"/>
        <v>0</v>
      </c>
      <c r="X3178" s="53">
        <f t="shared" si="865"/>
        <v>0</v>
      </c>
      <c r="Y3178" s="53">
        <f t="shared" si="866"/>
        <v>0</v>
      </c>
      <c r="Z3178" s="54">
        <f t="shared" si="875"/>
        <v>0</v>
      </c>
      <c r="AA3178" s="54">
        <f t="shared" si="867"/>
        <v>0</v>
      </c>
      <c r="AB3178" s="55">
        <f t="shared" si="876"/>
        <v>0</v>
      </c>
      <c r="AC3178" s="55">
        <f t="shared" si="868"/>
        <v>0</v>
      </c>
      <c r="AD3178" s="56">
        <f t="shared" si="869"/>
        <v>112103.22</v>
      </c>
    </row>
    <row r="3179" spans="3:30">
      <c r="C3179" s="43" t="s">
        <v>5914</v>
      </c>
      <c r="D3179" s="44" t="s">
        <v>5915</v>
      </c>
      <c r="E3179" s="44"/>
      <c r="F3179" s="45">
        <v>42521.269953703704</v>
      </c>
      <c r="G3179" s="46">
        <v>28</v>
      </c>
      <c r="H3179" s="47" t="s">
        <v>24</v>
      </c>
      <c r="I3179" s="47" t="s">
        <v>24</v>
      </c>
      <c r="J3179" s="46">
        <v>0</v>
      </c>
      <c r="K3179" s="46">
        <v>0</v>
      </c>
      <c r="L3179" s="46">
        <v>0</v>
      </c>
      <c r="M3179" s="46">
        <f t="shared" si="858"/>
        <v>0</v>
      </c>
      <c r="N3179" s="46">
        <v>706640</v>
      </c>
      <c r="O3179" s="48">
        <f t="shared" si="859"/>
        <v>1</v>
      </c>
      <c r="P3179" s="46">
        <v>0</v>
      </c>
      <c r="Q3179" s="46">
        <v>0</v>
      </c>
      <c r="R3179" s="49">
        <f t="shared" si="860"/>
        <v>1</v>
      </c>
      <c r="S3179" s="50">
        <f t="shared" si="861"/>
        <v>0.01</v>
      </c>
      <c r="T3179" s="49">
        <f t="shared" si="862"/>
        <v>0</v>
      </c>
      <c r="U3179" s="51">
        <f t="shared" si="863"/>
        <v>0</v>
      </c>
      <c r="V3179" s="52">
        <f>IF(0&lt;0.8,0,IF(0&lt;1,Sheet3!L561,1))*IF(G3179&lt;3,0.12 - O3179,0.01) *U3179</f>
        <v>0</v>
      </c>
      <c r="W3179" s="52">
        <f t="shared" si="864"/>
        <v>0</v>
      </c>
      <c r="X3179" s="53">
        <f t="shared" si="865"/>
        <v>0</v>
      </c>
      <c r="Y3179" s="53">
        <f t="shared" si="866"/>
        <v>0</v>
      </c>
      <c r="Z3179" s="54">
        <f>IF(R3179=1,0,"")</f>
        <v>0</v>
      </c>
      <c r="AA3179" s="54">
        <f t="shared" si="867"/>
        <v>0</v>
      </c>
      <c r="AB3179" s="55">
        <f>IF(R3179=0,"",0)</f>
        <v>0</v>
      </c>
      <c r="AC3179" s="55">
        <f t="shared" si="868"/>
        <v>0</v>
      </c>
      <c r="AD3179" s="56">
        <f t="shared" si="869"/>
        <v>0</v>
      </c>
    </row>
    <row r="3180" spans="3:30">
      <c r="C3180" s="43" t="s">
        <v>5916</v>
      </c>
      <c r="D3180" s="44" t="s">
        <v>995</v>
      </c>
      <c r="E3180" s="44"/>
      <c r="F3180" s="45">
        <v>43316.491909722223</v>
      </c>
      <c r="G3180" s="46">
        <v>1</v>
      </c>
      <c r="H3180" s="47">
        <v>43431</v>
      </c>
      <c r="I3180" s="47">
        <v>43462</v>
      </c>
      <c r="J3180" s="46">
        <v>799163</v>
      </c>
      <c r="K3180" s="46">
        <v>0</v>
      </c>
      <c r="L3180" s="46">
        <v>0</v>
      </c>
      <c r="M3180" s="46">
        <f t="shared" si="858"/>
        <v>799163</v>
      </c>
      <c r="N3180" s="46">
        <v>927102</v>
      </c>
      <c r="O3180" s="48">
        <f t="shared" si="859"/>
        <v>0.13799883939415514</v>
      </c>
      <c r="P3180" s="46">
        <v>0</v>
      </c>
      <c r="Q3180" s="46">
        <v>0</v>
      </c>
      <c r="R3180" s="49">
        <f t="shared" si="860"/>
        <v>0</v>
      </c>
      <c r="S3180" s="50">
        <f t="shared" si="861"/>
        <v>0</v>
      </c>
      <c r="T3180" s="49">
        <f t="shared" si="862"/>
        <v>0</v>
      </c>
      <c r="U3180" s="51">
        <f t="shared" si="863"/>
        <v>0</v>
      </c>
      <c r="V3180" s="52">
        <f>IF(0&lt;0.8,0,IF(0&lt;1,Sheet3!L561,1))*IF(G3180&lt;3,0.12 - O3180,0.01) *U3180</f>
        <v>0</v>
      </c>
      <c r="W3180" s="52">
        <f t="shared" si="864"/>
        <v>0</v>
      </c>
      <c r="X3180" s="53">
        <f t="shared" si="865"/>
        <v>0</v>
      </c>
      <c r="Y3180" s="53">
        <f t="shared" si="866"/>
        <v>0</v>
      </c>
      <c r="Z3180" s="54">
        <f>IF(R3180=1,0,0)</f>
        <v>0</v>
      </c>
      <c r="AA3180" s="54">
        <f t="shared" si="867"/>
        <v>0</v>
      </c>
      <c r="AB3180" s="55">
        <f>IF(R3180=0,0,0)</f>
        <v>0</v>
      </c>
      <c r="AC3180" s="55">
        <f t="shared" si="868"/>
        <v>0</v>
      </c>
      <c r="AD3180" s="56">
        <f t="shared" si="869"/>
        <v>0</v>
      </c>
    </row>
    <row r="3181" spans="3:30">
      <c r="C3181" s="43" t="s">
        <v>5917</v>
      </c>
      <c r="D3181" s="44" t="s">
        <v>995</v>
      </c>
      <c r="E3181" s="44"/>
      <c r="F3181" s="45">
        <v>43316.492488425924</v>
      </c>
      <c r="G3181" s="46">
        <v>1</v>
      </c>
      <c r="H3181" s="47">
        <v>43431</v>
      </c>
      <c r="I3181" s="47">
        <v>43462</v>
      </c>
      <c r="J3181" s="46">
        <v>859035</v>
      </c>
      <c r="K3181" s="46">
        <v>0</v>
      </c>
      <c r="L3181" s="46">
        <v>0</v>
      </c>
      <c r="M3181" s="46">
        <f t="shared" si="858"/>
        <v>859035</v>
      </c>
      <c r="N3181" s="46">
        <v>988194</v>
      </c>
      <c r="O3181" s="48">
        <f t="shared" si="859"/>
        <v>0.13070206862215317</v>
      </c>
      <c r="P3181" s="46">
        <v>0</v>
      </c>
      <c r="Q3181" s="46">
        <v>0</v>
      </c>
      <c r="R3181" s="49">
        <f t="shared" si="860"/>
        <v>0</v>
      </c>
      <c r="S3181" s="50">
        <f t="shared" si="861"/>
        <v>0</v>
      </c>
      <c r="T3181" s="49">
        <f t="shared" si="862"/>
        <v>0</v>
      </c>
      <c r="U3181" s="51">
        <f t="shared" si="863"/>
        <v>0</v>
      </c>
      <c r="V3181" s="52">
        <f>IF(0&lt;0.8,0,IF(0&lt;1,Sheet3!L561,1))*IF(G3181&lt;3,0.12 - O3181,0.01) *U3181</f>
        <v>0</v>
      </c>
      <c r="W3181" s="52">
        <f t="shared" si="864"/>
        <v>0</v>
      </c>
      <c r="X3181" s="53">
        <f t="shared" si="865"/>
        <v>0</v>
      </c>
      <c r="Y3181" s="53">
        <f t="shared" si="866"/>
        <v>0</v>
      </c>
      <c r="Z3181" s="54">
        <f>IF(R3181=1,0,0)</f>
        <v>0</v>
      </c>
      <c r="AA3181" s="54">
        <f t="shared" si="867"/>
        <v>0</v>
      </c>
      <c r="AB3181" s="55">
        <f>IF(R3181=0,0,0)</f>
        <v>0</v>
      </c>
      <c r="AC3181" s="55">
        <f t="shared" si="868"/>
        <v>0</v>
      </c>
      <c r="AD3181" s="56">
        <f t="shared" si="869"/>
        <v>0</v>
      </c>
    </row>
    <row r="3182" spans="3:30">
      <c r="C3182" s="43" t="s">
        <v>5918</v>
      </c>
      <c r="D3182" s="44" t="s">
        <v>5919</v>
      </c>
      <c r="E3182" s="44"/>
      <c r="F3182" s="45">
        <v>41403.435752314814</v>
      </c>
      <c r="G3182" s="46">
        <v>64</v>
      </c>
      <c r="H3182" s="47">
        <v>43372</v>
      </c>
      <c r="I3182" s="47">
        <v>43396</v>
      </c>
      <c r="J3182" s="46">
        <v>23624310</v>
      </c>
      <c r="K3182" s="46">
        <v>0</v>
      </c>
      <c r="L3182" s="46">
        <v>0</v>
      </c>
      <c r="M3182" s="46">
        <f t="shared" si="858"/>
        <v>23624310</v>
      </c>
      <c r="N3182" s="46">
        <v>23502867</v>
      </c>
      <c r="O3182" s="48">
        <f t="shared" si="859"/>
        <v>0</v>
      </c>
      <c r="P3182" s="46">
        <v>0</v>
      </c>
      <c r="Q3182" s="46">
        <v>23624310</v>
      </c>
      <c r="R3182" s="49">
        <f t="shared" si="860"/>
        <v>1</v>
      </c>
      <c r="S3182" s="50">
        <f t="shared" si="861"/>
        <v>0.01</v>
      </c>
      <c r="T3182" s="49">
        <f t="shared" si="862"/>
        <v>236243.1</v>
      </c>
      <c r="U3182" s="51">
        <f t="shared" si="863"/>
        <v>0</v>
      </c>
      <c r="V3182" s="52">
        <f>IF(0&lt;0.8,0,IF(0&lt;1,Sheet3!L561,1))*IF(G3182&lt;3,0.12 - O3182,0.01) *U3182</f>
        <v>0</v>
      </c>
      <c r="W3182" s="52">
        <f t="shared" si="864"/>
        <v>0</v>
      </c>
      <c r="X3182" s="53">
        <f t="shared" si="865"/>
        <v>0</v>
      </c>
      <c r="Y3182" s="53">
        <f t="shared" si="866"/>
        <v>0</v>
      </c>
      <c r="Z3182" s="54">
        <f>IF(R3182=1,0,0)</f>
        <v>0</v>
      </c>
      <c r="AA3182" s="54">
        <f t="shared" si="867"/>
        <v>0</v>
      </c>
      <c r="AB3182" s="55">
        <f>IF(R3182=0,0,0)</f>
        <v>0</v>
      </c>
      <c r="AC3182" s="55">
        <f t="shared" si="868"/>
        <v>0</v>
      </c>
      <c r="AD3182" s="56">
        <f t="shared" si="869"/>
        <v>236243.1</v>
      </c>
    </row>
    <row r="3183" spans="3:30">
      <c r="C3183" s="43" t="s">
        <v>5920</v>
      </c>
      <c r="D3183" s="44" t="s">
        <v>5921</v>
      </c>
      <c r="E3183" s="44"/>
      <c r="F3183" s="45">
        <v>41515.701828703699</v>
      </c>
      <c r="G3183" s="46">
        <v>61</v>
      </c>
      <c r="H3183" s="47">
        <v>43404</v>
      </c>
      <c r="I3183" s="47">
        <v>43413</v>
      </c>
      <c r="J3183" s="46">
        <v>3830851</v>
      </c>
      <c r="K3183" s="46">
        <v>1872280</v>
      </c>
      <c r="L3183" s="46">
        <v>0</v>
      </c>
      <c r="M3183" s="46">
        <f t="shared" si="858"/>
        <v>1958571</v>
      </c>
      <c r="N3183" s="46">
        <v>4486317</v>
      </c>
      <c r="O3183" s="48">
        <f t="shared" si="859"/>
        <v>0.5634345499883312</v>
      </c>
      <c r="P3183" s="46">
        <v>0</v>
      </c>
      <c r="Q3183" s="46">
        <v>3830851</v>
      </c>
      <c r="R3183" s="49">
        <f t="shared" si="860"/>
        <v>1</v>
      </c>
      <c r="S3183" s="50">
        <f t="shared" si="861"/>
        <v>0.01</v>
      </c>
      <c r="T3183" s="49">
        <f t="shared" si="862"/>
        <v>19585.71</v>
      </c>
      <c r="U3183" s="51">
        <f t="shared" si="863"/>
        <v>0</v>
      </c>
      <c r="V3183" s="52">
        <f>IF(0&lt;0.8,0,IF(0&lt;1,Sheet3!L561,1))*IF(G3183&lt;3,0.12 - O3183,0.01) *U3183</f>
        <v>0</v>
      </c>
      <c r="W3183" s="52">
        <f t="shared" si="864"/>
        <v>0</v>
      </c>
      <c r="X3183" s="53">
        <f t="shared" si="865"/>
        <v>0</v>
      </c>
      <c r="Y3183" s="53">
        <f t="shared" si="866"/>
        <v>0</v>
      </c>
      <c r="Z3183" s="54">
        <f>IF(R3183=1,0,0)</f>
        <v>0</v>
      </c>
      <c r="AA3183" s="54">
        <f t="shared" si="867"/>
        <v>0</v>
      </c>
      <c r="AB3183" s="55">
        <f>IF(R3183=0,0,0)</f>
        <v>0</v>
      </c>
      <c r="AC3183" s="55">
        <f t="shared" si="868"/>
        <v>0</v>
      </c>
      <c r="AD3183" s="56">
        <f t="shared" si="869"/>
        <v>19585.71</v>
      </c>
    </row>
    <row r="3184" spans="3:30">
      <c r="C3184" s="43" t="s">
        <v>5922</v>
      </c>
      <c r="D3184" s="44" t="s">
        <v>24</v>
      </c>
      <c r="E3184" s="44"/>
      <c r="F3184" s="45" t="s">
        <v>24</v>
      </c>
      <c r="G3184" s="46" t="s">
        <v>24</v>
      </c>
      <c r="H3184" s="47" t="s">
        <v>24</v>
      </c>
      <c r="I3184" s="47" t="s">
        <v>24</v>
      </c>
      <c r="J3184" s="46">
        <v>1126000</v>
      </c>
      <c r="K3184" s="46">
        <v>0</v>
      </c>
      <c r="L3184" s="46">
        <v>0</v>
      </c>
      <c r="M3184" s="46">
        <f t="shared" si="858"/>
        <v>1126000</v>
      </c>
      <c r="N3184" s="46" t="s">
        <v>24</v>
      </c>
      <c r="O3184" s="48">
        <f t="shared" si="859"/>
        <v>0</v>
      </c>
      <c r="P3184" s="46">
        <v>0</v>
      </c>
      <c r="Q3184" s="46">
        <v>0</v>
      </c>
      <c r="R3184" s="49">
        <f t="shared" si="860"/>
        <v>0</v>
      </c>
      <c r="S3184" s="50">
        <f t="shared" si="861"/>
        <v>0</v>
      </c>
      <c r="T3184" s="49">
        <f t="shared" si="862"/>
        <v>0</v>
      </c>
      <c r="U3184" s="51">
        <f t="shared" si="863"/>
        <v>1126000</v>
      </c>
      <c r="V3184" s="52">
        <f>IF(0&lt;0.8,0,IF(0&lt;1,Sheet3!L561,1))*IF(G3184&lt;3,0.12 - O3184,0.01) *U3184</f>
        <v>0</v>
      </c>
      <c r="W3184" s="52">
        <f t="shared" si="864"/>
        <v>0</v>
      </c>
      <c r="X3184" s="53">
        <f t="shared" si="865"/>
        <v>0</v>
      </c>
      <c r="Y3184" s="53">
        <f t="shared" si="866"/>
        <v>0</v>
      </c>
      <c r="Z3184" s="54" t="str">
        <f>IF(R3184=1,0,"")</f>
        <v/>
      </c>
      <c r="AA3184" s="54">
        <f t="shared" si="867"/>
        <v>0</v>
      </c>
      <c r="AB3184" s="55" t="str">
        <f>IF(R3184=0,"",0)</f>
        <v/>
      </c>
      <c r="AC3184" s="55">
        <f t="shared" si="868"/>
        <v>0</v>
      </c>
      <c r="AD3184" s="56">
        <f t="shared" si="869"/>
        <v>0</v>
      </c>
    </row>
    <row r="3185" spans="3:30">
      <c r="C3185" s="43" t="s">
        <v>5923</v>
      </c>
      <c r="D3185" s="44" t="s">
        <v>5924</v>
      </c>
      <c r="E3185" s="44"/>
      <c r="F3185" s="45">
        <v>41592.657824074071</v>
      </c>
      <c r="G3185" s="46">
        <v>58</v>
      </c>
      <c r="H3185" s="47">
        <v>43404</v>
      </c>
      <c r="I3185" s="47">
        <v>43413</v>
      </c>
      <c r="J3185" s="46">
        <v>3844034</v>
      </c>
      <c r="K3185" s="46">
        <v>44000</v>
      </c>
      <c r="L3185" s="46">
        <v>0</v>
      </c>
      <c r="M3185" s="46">
        <f t="shared" si="858"/>
        <v>3800034</v>
      </c>
      <c r="N3185" s="46">
        <v>4034712</v>
      </c>
      <c r="O3185" s="48">
        <f t="shared" si="859"/>
        <v>5.8164746331336614E-2</v>
      </c>
      <c r="P3185" s="46">
        <v>0</v>
      </c>
      <c r="Q3185" s="46">
        <v>3844034</v>
      </c>
      <c r="R3185" s="49">
        <f t="shared" si="860"/>
        <v>1</v>
      </c>
      <c r="S3185" s="50">
        <f t="shared" si="861"/>
        <v>0.01</v>
      </c>
      <c r="T3185" s="49">
        <f t="shared" si="862"/>
        <v>38000.340000000004</v>
      </c>
      <c r="U3185" s="51">
        <f t="shared" si="863"/>
        <v>0</v>
      </c>
      <c r="V3185" s="52">
        <f>IF(0&lt;0.8,0,IF(0&lt;1,Sheet3!L561,1))*IF(G3185&lt;3,0.12 - O3185,0.01) *U3185</f>
        <v>0</v>
      </c>
      <c r="W3185" s="52">
        <f t="shared" si="864"/>
        <v>0</v>
      </c>
      <c r="X3185" s="53">
        <f t="shared" si="865"/>
        <v>0</v>
      </c>
      <c r="Y3185" s="53">
        <f t="shared" si="866"/>
        <v>0</v>
      </c>
      <c r="Z3185" s="54">
        <f t="shared" ref="Z3185:Z3196" si="877">IF(R3185=1,0,0)</f>
        <v>0</v>
      </c>
      <c r="AA3185" s="54">
        <f t="shared" si="867"/>
        <v>0</v>
      </c>
      <c r="AB3185" s="55">
        <f t="shared" ref="AB3185:AB3196" si="878">IF(R3185=0,0,0)</f>
        <v>0</v>
      </c>
      <c r="AC3185" s="55">
        <f t="shared" si="868"/>
        <v>0</v>
      </c>
      <c r="AD3185" s="56">
        <f t="shared" si="869"/>
        <v>38000.340000000004</v>
      </c>
    </row>
    <row r="3186" spans="3:30">
      <c r="C3186" s="43" t="s">
        <v>5925</v>
      </c>
      <c r="D3186" s="44" t="s">
        <v>5926</v>
      </c>
      <c r="E3186" s="44"/>
      <c r="F3186" s="45">
        <v>41632.399930555555</v>
      </c>
      <c r="G3186" s="46">
        <v>57</v>
      </c>
      <c r="H3186" s="47">
        <v>43404</v>
      </c>
      <c r="I3186" s="47">
        <v>43413</v>
      </c>
      <c r="J3186" s="46">
        <v>2131388</v>
      </c>
      <c r="K3186" s="46">
        <v>0</v>
      </c>
      <c r="L3186" s="46">
        <v>0</v>
      </c>
      <c r="M3186" s="46">
        <f t="shared" si="858"/>
        <v>2131388</v>
      </c>
      <c r="N3186" s="46">
        <v>2146903</v>
      </c>
      <c r="O3186" s="48">
        <f t="shared" si="859"/>
        <v>7.2266888629807235E-3</v>
      </c>
      <c r="P3186" s="46">
        <v>0</v>
      </c>
      <c r="Q3186" s="46">
        <v>2131388</v>
      </c>
      <c r="R3186" s="49">
        <f t="shared" si="860"/>
        <v>1</v>
      </c>
      <c r="S3186" s="50">
        <f t="shared" si="861"/>
        <v>0.01</v>
      </c>
      <c r="T3186" s="49">
        <f t="shared" si="862"/>
        <v>21313.88</v>
      </c>
      <c r="U3186" s="51">
        <f t="shared" si="863"/>
        <v>0</v>
      </c>
      <c r="V3186" s="52">
        <f>IF(0&lt;0.8,0,IF(0&lt;1,Sheet3!L561,1))*IF(G3186&lt;3,0.12 - O3186,0.01) *U3186</f>
        <v>0</v>
      </c>
      <c r="W3186" s="52">
        <f t="shared" si="864"/>
        <v>0</v>
      </c>
      <c r="X3186" s="53">
        <f t="shared" si="865"/>
        <v>0</v>
      </c>
      <c r="Y3186" s="53">
        <f t="shared" si="866"/>
        <v>0</v>
      </c>
      <c r="Z3186" s="54">
        <f t="shared" si="877"/>
        <v>0</v>
      </c>
      <c r="AA3186" s="54">
        <f t="shared" si="867"/>
        <v>0</v>
      </c>
      <c r="AB3186" s="55">
        <f t="shared" si="878"/>
        <v>0</v>
      </c>
      <c r="AC3186" s="55">
        <f t="shared" si="868"/>
        <v>0</v>
      </c>
      <c r="AD3186" s="56">
        <f t="shared" si="869"/>
        <v>21313.88</v>
      </c>
    </row>
    <row r="3187" spans="3:30">
      <c r="C3187" s="43" t="s">
        <v>5927</v>
      </c>
      <c r="D3187" s="44" t="s">
        <v>5928</v>
      </c>
      <c r="E3187" s="44"/>
      <c r="F3187" s="45">
        <v>41808.592488425922</v>
      </c>
      <c r="G3187" s="46">
        <v>51</v>
      </c>
      <c r="H3187" s="47">
        <v>43404</v>
      </c>
      <c r="I3187" s="47">
        <v>43413</v>
      </c>
      <c r="J3187" s="46">
        <v>3664398</v>
      </c>
      <c r="K3187" s="46">
        <v>1892000</v>
      </c>
      <c r="L3187" s="46">
        <v>0</v>
      </c>
      <c r="M3187" s="46">
        <f t="shared" ref="M3187:M3250" si="879">IFERROR(J3187-K3187-L3187,0)</f>
        <v>1772398</v>
      </c>
      <c r="N3187" s="46">
        <v>4117795</v>
      </c>
      <c r="O3187" s="48">
        <f t="shared" ref="O3187:O3250" si="880">IFERROR(IF(1 - M3187/N3187&lt;0,0,1-M3187/N3187),0)</f>
        <v>0.56957595023550223</v>
      </c>
      <c r="P3187" s="46">
        <v>0</v>
      </c>
      <c r="Q3187" s="46">
        <v>3664398</v>
      </c>
      <c r="R3187" s="49">
        <f t="shared" ref="R3187:R3250" si="881">IF(F3187&lt;DATEVALUE("2018-07-01"),1,0)</f>
        <v>1</v>
      </c>
      <c r="S3187" s="50">
        <f t="shared" ref="S3187:S3250" si="882">IF(R3187=1,1%,0)</f>
        <v>0.01</v>
      </c>
      <c r="T3187" s="49">
        <f t="shared" ref="T3187:T3250" si="883">IFERROR(S3187*M3187,0)</f>
        <v>17723.98</v>
      </c>
      <c r="U3187" s="51">
        <f t="shared" ref="U3187:U3250" si="884">IF(O3187&lt;=0.12,1,0)*(1-R3187)*M3187</f>
        <v>0</v>
      </c>
      <c r="V3187" s="52">
        <f>IF(0&lt;0.8,0,IF(0&lt;1,Sheet3!L561,1))*IF(G3187&lt;3,0.12 - O3187,0.01) *U3187</f>
        <v>0</v>
      </c>
      <c r="W3187" s="52">
        <f t="shared" ref="W3187:W3250" si="885">IF(0&gt;1,IF(0&lt;=1.1,1,IF(0&lt;=1.2,2,IF(0&lt;=1.5,3,5))),0) * 1000000</f>
        <v>0</v>
      </c>
      <c r="X3187" s="53">
        <f t="shared" ref="X3187:X3250" si="886">IF(AND(P3187&gt;=150000000,P3187&lt;300000000),5000000,IF(AND(P3187&gt;=300000000,P3187&lt;500000000),10000000,IF(AND(P3187&gt;=300000000,P3187&lt;500000000),15000000,IF(AND(P3187&gt;=500000000,P3187&lt;3000000000),20000000,IF(P3187&gt;=30000000000,35000000,0))))) * (1-R3187)</f>
        <v>0</v>
      </c>
      <c r="Y3187" s="53">
        <f t="shared" ref="Y3187:Y3250" si="887">IFERROR(Q3187 * (1-R3187),0)</f>
        <v>0</v>
      </c>
      <c r="Z3187" s="54">
        <f t="shared" si="877"/>
        <v>0</v>
      </c>
      <c r="AA3187" s="54">
        <f t="shared" ref="AA3187:AA3250" si="888">IFERROR((1-R3187) * Z3187 * 2%,0)</f>
        <v>0</v>
      </c>
      <c r="AB3187" s="55">
        <f t="shared" si="878"/>
        <v>0</v>
      </c>
      <c r="AC3187" s="55">
        <f t="shared" ref="AC3187:AC3250" si="889">IFERROR(AB3187 * (1-R3187) * 2%,0)</f>
        <v>0</v>
      </c>
      <c r="AD3187" s="56">
        <f t="shared" ref="AD3187:AD3250" si="890">T3187+V3187+W3187+X3187+AA3187+AC3187</f>
        <v>17723.98</v>
      </c>
    </row>
    <row r="3188" spans="3:30">
      <c r="C3188" s="43" t="s">
        <v>5929</v>
      </c>
      <c r="D3188" s="44" t="s">
        <v>5930</v>
      </c>
      <c r="E3188" s="44"/>
      <c r="F3188" s="45">
        <v>42212.614328703705</v>
      </c>
      <c r="G3188" s="46">
        <v>38</v>
      </c>
      <c r="H3188" s="47">
        <v>43404</v>
      </c>
      <c r="I3188" s="47">
        <v>43413</v>
      </c>
      <c r="J3188" s="46">
        <v>4553313</v>
      </c>
      <c r="K3188" s="46">
        <v>0</v>
      </c>
      <c r="L3188" s="46">
        <v>0</v>
      </c>
      <c r="M3188" s="46">
        <f t="shared" si="879"/>
        <v>4553313</v>
      </c>
      <c r="N3188" s="46">
        <v>5025317</v>
      </c>
      <c r="O3188" s="48">
        <f t="shared" si="880"/>
        <v>9.3925219045883024E-2</v>
      </c>
      <c r="P3188" s="46">
        <v>0</v>
      </c>
      <c r="Q3188" s="46">
        <v>4553313</v>
      </c>
      <c r="R3188" s="49">
        <f t="shared" si="881"/>
        <v>1</v>
      </c>
      <c r="S3188" s="50">
        <f t="shared" si="882"/>
        <v>0.01</v>
      </c>
      <c r="T3188" s="49">
        <f t="shared" si="883"/>
        <v>45533.13</v>
      </c>
      <c r="U3188" s="51">
        <f t="shared" si="884"/>
        <v>0</v>
      </c>
      <c r="V3188" s="52">
        <f>IF(0&lt;0.8,0,IF(0&lt;1,Sheet3!L561,1))*IF(G3188&lt;3,0.12 - O3188,0.01) *U3188</f>
        <v>0</v>
      </c>
      <c r="W3188" s="52">
        <f t="shared" si="885"/>
        <v>0</v>
      </c>
      <c r="X3188" s="53">
        <f t="shared" si="886"/>
        <v>0</v>
      </c>
      <c r="Y3188" s="53">
        <f t="shared" si="887"/>
        <v>0</v>
      </c>
      <c r="Z3188" s="54">
        <f t="shared" si="877"/>
        <v>0</v>
      </c>
      <c r="AA3188" s="54">
        <f t="shared" si="888"/>
        <v>0</v>
      </c>
      <c r="AB3188" s="55">
        <f t="shared" si="878"/>
        <v>0</v>
      </c>
      <c r="AC3188" s="55">
        <f t="shared" si="889"/>
        <v>0</v>
      </c>
      <c r="AD3188" s="56">
        <f t="shared" si="890"/>
        <v>45533.13</v>
      </c>
    </row>
    <row r="3189" spans="3:30">
      <c r="C3189" s="43" t="s">
        <v>5931</v>
      </c>
      <c r="D3189" s="44" t="s">
        <v>5932</v>
      </c>
      <c r="E3189" s="44"/>
      <c r="F3189" s="45">
        <v>42304.544675925921</v>
      </c>
      <c r="G3189" s="46">
        <v>35</v>
      </c>
      <c r="H3189" s="47">
        <v>43404</v>
      </c>
      <c r="I3189" s="47">
        <v>43413</v>
      </c>
      <c r="J3189" s="46">
        <v>2929936</v>
      </c>
      <c r="K3189" s="46">
        <v>0</v>
      </c>
      <c r="L3189" s="46">
        <v>0</v>
      </c>
      <c r="M3189" s="46">
        <f t="shared" si="879"/>
        <v>2929936</v>
      </c>
      <c r="N3189" s="46">
        <v>3718740</v>
      </c>
      <c r="O3189" s="48">
        <f t="shared" si="880"/>
        <v>0.21211593174032062</v>
      </c>
      <c r="P3189" s="46">
        <v>0</v>
      </c>
      <c r="Q3189" s="46">
        <v>2929936</v>
      </c>
      <c r="R3189" s="49">
        <f t="shared" si="881"/>
        <v>1</v>
      </c>
      <c r="S3189" s="50">
        <f t="shared" si="882"/>
        <v>0.01</v>
      </c>
      <c r="T3189" s="49">
        <f t="shared" si="883"/>
        <v>29299.360000000001</v>
      </c>
      <c r="U3189" s="51">
        <f t="shared" si="884"/>
        <v>0</v>
      </c>
      <c r="V3189" s="52">
        <f>IF(0&lt;0.8,0,IF(0&lt;1,Sheet3!L561,1))*IF(G3189&lt;3,0.12 - O3189,0.01) *U3189</f>
        <v>0</v>
      </c>
      <c r="W3189" s="52">
        <f t="shared" si="885"/>
        <v>0</v>
      </c>
      <c r="X3189" s="53">
        <f t="shared" si="886"/>
        <v>0</v>
      </c>
      <c r="Y3189" s="53">
        <f t="shared" si="887"/>
        <v>0</v>
      </c>
      <c r="Z3189" s="54">
        <f t="shared" si="877"/>
        <v>0</v>
      </c>
      <c r="AA3189" s="54">
        <f t="shared" si="888"/>
        <v>0</v>
      </c>
      <c r="AB3189" s="55">
        <f t="shared" si="878"/>
        <v>0</v>
      </c>
      <c r="AC3189" s="55">
        <f t="shared" si="889"/>
        <v>0</v>
      </c>
      <c r="AD3189" s="56">
        <f t="shared" si="890"/>
        <v>29299.360000000001</v>
      </c>
    </row>
    <row r="3190" spans="3:30">
      <c r="C3190" s="43" t="s">
        <v>5933</v>
      </c>
      <c r="D3190" s="44" t="s">
        <v>5934</v>
      </c>
      <c r="E3190" s="44"/>
      <c r="F3190" s="45">
        <v>42630.311620370368</v>
      </c>
      <c r="G3190" s="46">
        <v>24</v>
      </c>
      <c r="H3190" s="47">
        <v>43404</v>
      </c>
      <c r="I3190" s="47">
        <v>43413</v>
      </c>
      <c r="J3190" s="46">
        <v>1836918</v>
      </c>
      <c r="K3190" s="46">
        <v>0</v>
      </c>
      <c r="L3190" s="46">
        <v>0</v>
      </c>
      <c r="M3190" s="46">
        <f t="shared" si="879"/>
        <v>1836918</v>
      </c>
      <c r="N3190" s="46">
        <v>2185139</v>
      </c>
      <c r="O3190" s="48">
        <f t="shared" si="880"/>
        <v>0.15935874102288228</v>
      </c>
      <c r="P3190" s="46">
        <v>0</v>
      </c>
      <c r="Q3190" s="46">
        <v>1836918</v>
      </c>
      <c r="R3190" s="49">
        <f t="shared" si="881"/>
        <v>1</v>
      </c>
      <c r="S3190" s="50">
        <f t="shared" si="882"/>
        <v>0.01</v>
      </c>
      <c r="T3190" s="49">
        <f t="shared" si="883"/>
        <v>18369.18</v>
      </c>
      <c r="U3190" s="51">
        <f t="shared" si="884"/>
        <v>0</v>
      </c>
      <c r="V3190" s="52">
        <f>IF(0&lt;0.8,0,IF(0&lt;1,Sheet3!L561,1))*IF(G3190&lt;3,0.12 - O3190,0.01) *U3190</f>
        <v>0</v>
      </c>
      <c r="W3190" s="52">
        <f t="shared" si="885"/>
        <v>0</v>
      </c>
      <c r="X3190" s="53">
        <f t="shared" si="886"/>
        <v>0</v>
      </c>
      <c r="Y3190" s="53">
        <f t="shared" si="887"/>
        <v>0</v>
      </c>
      <c r="Z3190" s="54">
        <f t="shared" si="877"/>
        <v>0</v>
      </c>
      <c r="AA3190" s="54">
        <f t="shared" si="888"/>
        <v>0</v>
      </c>
      <c r="AB3190" s="55">
        <f t="shared" si="878"/>
        <v>0</v>
      </c>
      <c r="AC3190" s="55">
        <f t="shared" si="889"/>
        <v>0</v>
      </c>
      <c r="AD3190" s="56">
        <f t="shared" si="890"/>
        <v>18369.18</v>
      </c>
    </row>
    <row r="3191" spans="3:30">
      <c r="C3191" s="43" t="s">
        <v>5935</v>
      </c>
      <c r="D3191" s="44" t="s">
        <v>5936</v>
      </c>
      <c r="E3191" s="44"/>
      <c r="F3191" s="45">
        <v>42817.250694444439</v>
      </c>
      <c r="G3191" s="46">
        <v>18</v>
      </c>
      <c r="H3191" s="47">
        <v>43404</v>
      </c>
      <c r="I3191" s="47">
        <v>43413</v>
      </c>
      <c r="J3191" s="46">
        <v>1681900</v>
      </c>
      <c r="K3191" s="46">
        <v>0</v>
      </c>
      <c r="L3191" s="46">
        <v>0</v>
      </c>
      <c r="M3191" s="46">
        <f t="shared" si="879"/>
        <v>1681900</v>
      </c>
      <c r="N3191" s="46">
        <v>1626339</v>
      </c>
      <c r="O3191" s="48">
        <f t="shared" si="880"/>
        <v>0</v>
      </c>
      <c r="P3191" s="46">
        <v>0</v>
      </c>
      <c r="Q3191" s="46">
        <v>1681900</v>
      </c>
      <c r="R3191" s="49">
        <f t="shared" si="881"/>
        <v>1</v>
      </c>
      <c r="S3191" s="50">
        <f t="shared" si="882"/>
        <v>0.01</v>
      </c>
      <c r="T3191" s="49">
        <f t="shared" si="883"/>
        <v>16819</v>
      </c>
      <c r="U3191" s="51">
        <f t="shared" si="884"/>
        <v>0</v>
      </c>
      <c r="V3191" s="52">
        <f>IF(0&lt;0.8,0,IF(0&lt;1,Sheet3!L561,1))*IF(G3191&lt;3,0.12 - O3191,0.01) *U3191</f>
        <v>0</v>
      </c>
      <c r="W3191" s="52">
        <f t="shared" si="885"/>
        <v>0</v>
      </c>
      <c r="X3191" s="53">
        <f t="shared" si="886"/>
        <v>0</v>
      </c>
      <c r="Y3191" s="53">
        <f t="shared" si="887"/>
        <v>0</v>
      </c>
      <c r="Z3191" s="54">
        <f t="shared" si="877"/>
        <v>0</v>
      </c>
      <c r="AA3191" s="54">
        <f t="shared" si="888"/>
        <v>0</v>
      </c>
      <c r="AB3191" s="55">
        <f t="shared" si="878"/>
        <v>0</v>
      </c>
      <c r="AC3191" s="55">
        <f t="shared" si="889"/>
        <v>0</v>
      </c>
      <c r="AD3191" s="56">
        <f t="shared" si="890"/>
        <v>16819</v>
      </c>
    </row>
    <row r="3192" spans="3:30">
      <c r="C3192" s="43" t="s">
        <v>5937</v>
      </c>
      <c r="D3192" s="44" t="s">
        <v>5938</v>
      </c>
      <c r="E3192" s="44"/>
      <c r="F3192" s="45">
        <v>42873.170300925922</v>
      </c>
      <c r="G3192" s="46">
        <v>16</v>
      </c>
      <c r="H3192" s="47">
        <v>43372</v>
      </c>
      <c r="I3192" s="47">
        <v>43405</v>
      </c>
      <c r="J3192" s="46">
        <v>7167868</v>
      </c>
      <c r="K3192" s="46">
        <v>0</v>
      </c>
      <c r="L3192" s="46">
        <v>0</v>
      </c>
      <c r="M3192" s="46">
        <f t="shared" si="879"/>
        <v>7167868</v>
      </c>
      <c r="N3192" s="46">
        <v>10070951</v>
      </c>
      <c r="O3192" s="48">
        <f t="shared" si="880"/>
        <v>0.28826304487034049</v>
      </c>
      <c r="P3192" s="46">
        <v>0</v>
      </c>
      <c r="Q3192" s="46">
        <v>7167868</v>
      </c>
      <c r="R3192" s="49">
        <f t="shared" si="881"/>
        <v>1</v>
      </c>
      <c r="S3192" s="50">
        <f t="shared" si="882"/>
        <v>0.01</v>
      </c>
      <c r="T3192" s="49">
        <f t="shared" si="883"/>
        <v>71678.680000000008</v>
      </c>
      <c r="U3192" s="51">
        <f t="shared" si="884"/>
        <v>0</v>
      </c>
      <c r="V3192" s="52">
        <f>IF(0&lt;0.8,0,IF(0&lt;1,Sheet3!L561,1))*IF(G3192&lt;3,0.12 - O3192,0.01) *U3192</f>
        <v>0</v>
      </c>
      <c r="W3192" s="52">
        <f t="shared" si="885"/>
        <v>0</v>
      </c>
      <c r="X3192" s="53">
        <f t="shared" si="886"/>
        <v>0</v>
      </c>
      <c r="Y3192" s="53">
        <f t="shared" si="887"/>
        <v>0</v>
      </c>
      <c r="Z3192" s="54">
        <f t="shared" si="877"/>
        <v>0</v>
      </c>
      <c r="AA3192" s="54">
        <f t="shared" si="888"/>
        <v>0</v>
      </c>
      <c r="AB3192" s="55">
        <f t="shared" si="878"/>
        <v>0</v>
      </c>
      <c r="AC3192" s="55">
        <f t="shared" si="889"/>
        <v>0</v>
      </c>
      <c r="AD3192" s="56">
        <f t="shared" si="890"/>
        <v>71678.680000000008</v>
      </c>
    </row>
    <row r="3193" spans="3:30">
      <c r="C3193" s="43" t="s">
        <v>5939</v>
      </c>
      <c r="D3193" s="44" t="s">
        <v>5940</v>
      </c>
      <c r="E3193" s="44"/>
      <c r="F3193" s="45">
        <v>43091.341493055552</v>
      </c>
      <c r="G3193" s="46">
        <v>9</v>
      </c>
      <c r="H3193" s="47">
        <v>43389</v>
      </c>
      <c r="I3193" s="47">
        <v>43377</v>
      </c>
      <c r="J3193" s="46">
        <v>4481300</v>
      </c>
      <c r="K3193" s="46">
        <v>0</v>
      </c>
      <c r="L3193" s="46">
        <v>0</v>
      </c>
      <c r="M3193" s="46">
        <f t="shared" si="879"/>
        <v>4481300</v>
      </c>
      <c r="N3193" s="46">
        <v>4919430</v>
      </c>
      <c r="O3193" s="48">
        <f t="shared" si="880"/>
        <v>8.9061131065997445E-2</v>
      </c>
      <c r="P3193" s="46">
        <v>0</v>
      </c>
      <c r="Q3193" s="46">
        <v>4481300</v>
      </c>
      <c r="R3193" s="49">
        <f t="shared" si="881"/>
        <v>1</v>
      </c>
      <c r="S3193" s="50">
        <f t="shared" si="882"/>
        <v>0.01</v>
      </c>
      <c r="T3193" s="49">
        <f t="shared" si="883"/>
        <v>44813</v>
      </c>
      <c r="U3193" s="51">
        <f t="shared" si="884"/>
        <v>0</v>
      </c>
      <c r="V3193" s="52">
        <f>IF(0&lt;0.8,0,IF(0&lt;1,Sheet3!L561,1))*IF(G3193&lt;3,0.12 - O3193,0.01) *U3193</f>
        <v>0</v>
      </c>
      <c r="W3193" s="52">
        <f t="shared" si="885"/>
        <v>0</v>
      </c>
      <c r="X3193" s="53">
        <f t="shared" si="886"/>
        <v>0</v>
      </c>
      <c r="Y3193" s="53">
        <f t="shared" si="887"/>
        <v>0</v>
      </c>
      <c r="Z3193" s="54">
        <f t="shared" si="877"/>
        <v>0</v>
      </c>
      <c r="AA3193" s="54">
        <f t="shared" si="888"/>
        <v>0</v>
      </c>
      <c r="AB3193" s="55">
        <f t="shared" si="878"/>
        <v>0</v>
      </c>
      <c r="AC3193" s="55">
        <f t="shared" si="889"/>
        <v>0</v>
      </c>
      <c r="AD3193" s="56">
        <f t="shared" si="890"/>
        <v>44813</v>
      </c>
    </row>
    <row r="3194" spans="3:30">
      <c r="C3194" s="43" t="s">
        <v>5941</v>
      </c>
      <c r="D3194" s="44" t="s">
        <v>5936</v>
      </c>
      <c r="E3194" s="44"/>
      <c r="F3194" s="45">
        <v>43259.095370370371</v>
      </c>
      <c r="G3194" s="46">
        <v>3</v>
      </c>
      <c r="H3194" s="47">
        <v>43404</v>
      </c>
      <c r="I3194" s="47">
        <v>43413</v>
      </c>
      <c r="J3194" s="46">
        <v>1003070</v>
      </c>
      <c r="K3194" s="46">
        <v>75031</v>
      </c>
      <c r="L3194" s="46">
        <v>0</v>
      </c>
      <c r="M3194" s="46">
        <f t="shared" si="879"/>
        <v>928039</v>
      </c>
      <c r="N3194" s="46">
        <v>1203301</v>
      </c>
      <c r="O3194" s="48">
        <f t="shared" si="880"/>
        <v>0.22875573110967251</v>
      </c>
      <c r="P3194" s="46">
        <v>0</v>
      </c>
      <c r="Q3194" s="46">
        <v>0</v>
      </c>
      <c r="R3194" s="49">
        <f t="shared" si="881"/>
        <v>1</v>
      </c>
      <c r="S3194" s="50">
        <f t="shared" si="882"/>
        <v>0.01</v>
      </c>
      <c r="T3194" s="49">
        <f t="shared" si="883"/>
        <v>9280.39</v>
      </c>
      <c r="U3194" s="51">
        <f t="shared" si="884"/>
        <v>0</v>
      </c>
      <c r="V3194" s="52">
        <f>IF(0&lt;0.8,0,IF(0&lt;1,Sheet3!L561,1))*IF(G3194&lt;3,0.12 - O3194,0.01) *U3194</f>
        <v>0</v>
      </c>
      <c r="W3194" s="52">
        <f t="shared" si="885"/>
        <v>0</v>
      </c>
      <c r="X3194" s="53">
        <f t="shared" si="886"/>
        <v>0</v>
      </c>
      <c r="Y3194" s="53">
        <f t="shared" si="887"/>
        <v>0</v>
      </c>
      <c r="Z3194" s="54">
        <f t="shared" si="877"/>
        <v>0</v>
      </c>
      <c r="AA3194" s="54">
        <f t="shared" si="888"/>
        <v>0</v>
      </c>
      <c r="AB3194" s="55">
        <f t="shared" si="878"/>
        <v>0</v>
      </c>
      <c r="AC3194" s="55">
        <f t="shared" si="889"/>
        <v>0</v>
      </c>
      <c r="AD3194" s="56">
        <f t="shared" si="890"/>
        <v>9280.39</v>
      </c>
    </row>
    <row r="3195" spans="3:30">
      <c r="C3195" s="43" t="s">
        <v>5942</v>
      </c>
      <c r="D3195" s="44" t="s">
        <v>5943</v>
      </c>
      <c r="E3195" s="44"/>
      <c r="F3195" s="45">
        <v>43295.20344907407</v>
      </c>
      <c r="G3195" s="46">
        <v>2</v>
      </c>
      <c r="H3195" s="47">
        <v>43389</v>
      </c>
      <c r="I3195" s="47">
        <v>43378</v>
      </c>
      <c r="J3195" s="46">
        <v>10452860</v>
      </c>
      <c r="K3195" s="46">
        <v>0</v>
      </c>
      <c r="L3195" s="46">
        <v>0</v>
      </c>
      <c r="M3195" s="46">
        <f t="shared" si="879"/>
        <v>10452860</v>
      </c>
      <c r="N3195" s="46">
        <v>11498146</v>
      </c>
      <c r="O3195" s="48">
        <f t="shared" si="880"/>
        <v>9.0909090909090939E-2</v>
      </c>
      <c r="P3195" s="46">
        <v>10452860</v>
      </c>
      <c r="Q3195" s="46">
        <v>0</v>
      </c>
      <c r="R3195" s="49">
        <f t="shared" si="881"/>
        <v>0</v>
      </c>
      <c r="S3195" s="50">
        <f t="shared" si="882"/>
        <v>0</v>
      </c>
      <c r="T3195" s="49">
        <f t="shared" si="883"/>
        <v>0</v>
      </c>
      <c r="U3195" s="51">
        <f t="shared" si="884"/>
        <v>10452860</v>
      </c>
      <c r="V3195" s="52">
        <f>IF(0&lt;0.8,0,IF(0&lt;1,Sheet3!L561,1))*IF(G3195&lt;3,0.12 - O3195,0.01) *U3195</f>
        <v>0</v>
      </c>
      <c r="W3195" s="52">
        <f t="shared" si="885"/>
        <v>0</v>
      </c>
      <c r="X3195" s="53">
        <f t="shared" si="886"/>
        <v>0</v>
      </c>
      <c r="Y3195" s="53">
        <f t="shared" si="887"/>
        <v>0</v>
      </c>
      <c r="Z3195" s="54">
        <f t="shared" si="877"/>
        <v>0</v>
      </c>
      <c r="AA3195" s="54">
        <f t="shared" si="888"/>
        <v>0</v>
      </c>
      <c r="AB3195" s="55">
        <f t="shared" si="878"/>
        <v>0</v>
      </c>
      <c r="AC3195" s="55">
        <f t="shared" si="889"/>
        <v>0</v>
      </c>
      <c r="AD3195" s="56">
        <f t="shared" si="890"/>
        <v>0</v>
      </c>
    </row>
    <row r="3196" spans="3:30">
      <c r="C3196" s="43" t="s">
        <v>5944</v>
      </c>
      <c r="D3196" s="44" t="s">
        <v>5945</v>
      </c>
      <c r="E3196" s="44"/>
      <c r="F3196" s="45">
        <v>43364.183437499996</v>
      </c>
      <c r="G3196" s="46">
        <v>0</v>
      </c>
      <c r="H3196" s="47">
        <v>43404</v>
      </c>
      <c r="I3196" s="47">
        <v>43376</v>
      </c>
      <c r="J3196" s="46">
        <v>20874850</v>
      </c>
      <c r="K3196" s="46">
        <v>0</v>
      </c>
      <c r="L3196" s="46">
        <v>0</v>
      </c>
      <c r="M3196" s="46">
        <f t="shared" si="879"/>
        <v>20874850</v>
      </c>
      <c r="N3196" s="46">
        <v>22948735</v>
      </c>
      <c r="O3196" s="48">
        <f t="shared" si="880"/>
        <v>9.0370340674551297E-2</v>
      </c>
      <c r="P3196" s="46">
        <v>0</v>
      </c>
      <c r="Q3196" s="46">
        <v>0</v>
      </c>
      <c r="R3196" s="49">
        <f t="shared" si="881"/>
        <v>0</v>
      </c>
      <c r="S3196" s="50">
        <f t="shared" si="882"/>
        <v>0</v>
      </c>
      <c r="T3196" s="49">
        <f t="shared" si="883"/>
        <v>0</v>
      </c>
      <c r="U3196" s="51">
        <f t="shared" si="884"/>
        <v>20874850</v>
      </c>
      <c r="V3196" s="52">
        <f>IF(0&lt;0.8,0,IF(0&lt;1,Sheet3!L561,1))*IF(G3196&lt;3,0.12 - O3196,0.01) *U3196</f>
        <v>0</v>
      </c>
      <c r="W3196" s="52">
        <f t="shared" si="885"/>
        <v>0</v>
      </c>
      <c r="X3196" s="53">
        <f t="shared" si="886"/>
        <v>0</v>
      </c>
      <c r="Y3196" s="53">
        <f t="shared" si="887"/>
        <v>0</v>
      </c>
      <c r="Z3196" s="54">
        <f t="shared" si="877"/>
        <v>0</v>
      </c>
      <c r="AA3196" s="54">
        <f t="shared" si="888"/>
        <v>0</v>
      </c>
      <c r="AB3196" s="55">
        <f t="shared" si="878"/>
        <v>0</v>
      </c>
      <c r="AC3196" s="55">
        <f t="shared" si="889"/>
        <v>0</v>
      </c>
      <c r="AD3196" s="56">
        <f t="shared" si="890"/>
        <v>0</v>
      </c>
    </row>
    <row r="3197" spans="3:30">
      <c r="C3197" s="43" t="s">
        <v>5946</v>
      </c>
      <c r="D3197" s="44" t="s">
        <v>5947</v>
      </c>
      <c r="E3197" s="44"/>
      <c r="F3197" s="45">
        <v>42521.271261574075</v>
      </c>
      <c r="G3197" s="46">
        <v>28</v>
      </c>
      <c r="H3197" s="47" t="s">
        <v>24</v>
      </c>
      <c r="I3197" s="47" t="s">
        <v>24</v>
      </c>
      <c r="J3197" s="46">
        <v>0</v>
      </c>
      <c r="K3197" s="46">
        <v>0</v>
      </c>
      <c r="L3197" s="46">
        <v>0</v>
      </c>
      <c r="M3197" s="46">
        <f t="shared" si="879"/>
        <v>0</v>
      </c>
      <c r="N3197" s="46">
        <v>3004953</v>
      </c>
      <c r="O3197" s="48">
        <f t="shared" si="880"/>
        <v>1</v>
      </c>
      <c r="P3197" s="46">
        <v>0</v>
      </c>
      <c r="Q3197" s="46">
        <v>0</v>
      </c>
      <c r="R3197" s="49">
        <f t="shared" si="881"/>
        <v>1</v>
      </c>
      <c r="S3197" s="50">
        <f t="shared" si="882"/>
        <v>0.01</v>
      </c>
      <c r="T3197" s="49">
        <f t="shared" si="883"/>
        <v>0</v>
      </c>
      <c r="U3197" s="51">
        <f t="shared" si="884"/>
        <v>0</v>
      </c>
      <c r="V3197" s="52">
        <f>IF(0&lt;0.8,0,IF(0&lt;1,Sheet3!L561,1))*IF(G3197&lt;3,0.12 - O3197,0.01) *U3197</f>
        <v>0</v>
      </c>
      <c r="W3197" s="52">
        <f t="shared" si="885"/>
        <v>0</v>
      </c>
      <c r="X3197" s="53">
        <f t="shared" si="886"/>
        <v>0</v>
      </c>
      <c r="Y3197" s="53">
        <f t="shared" si="887"/>
        <v>0</v>
      </c>
      <c r="Z3197" s="54">
        <f>IF(R3197=1,0,"")</f>
        <v>0</v>
      </c>
      <c r="AA3197" s="54">
        <f t="shared" si="888"/>
        <v>0</v>
      </c>
      <c r="AB3197" s="55">
        <f>IF(R3197=0,"",0)</f>
        <v>0</v>
      </c>
      <c r="AC3197" s="55">
        <f t="shared" si="889"/>
        <v>0</v>
      </c>
      <c r="AD3197" s="56">
        <f t="shared" si="890"/>
        <v>0</v>
      </c>
    </row>
    <row r="3198" spans="3:30">
      <c r="C3198" s="43" t="s">
        <v>5948</v>
      </c>
      <c r="D3198" s="44" t="s">
        <v>995</v>
      </c>
      <c r="E3198" s="44"/>
      <c r="F3198" s="45">
        <v>43316.238668981481</v>
      </c>
      <c r="G3198" s="46">
        <v>1</v>
      </c>
      <c r="H3198" s="47">
        <v>43431</v>
      </c>
      <c r="I3198" s="47">
        <v>43462</v>
      </c>
      <c r="J3198" s="46">
        <v>925115</v>
      </c>
      <c r="K3198" s="46">
        <v>0</v>
      </c>
      <c r="L3198" s="46">
        <v>0</v>
      </c>
      <c r="M3198" s="46">
        <f t="shared" si="879"/>
        <v>925115</v>
      </c>
      <c r="N3198" s="46">
        <v>1131955</v>
      </c>
      <c r="O3198" s="48">
        <f t="shared" si="880"/>
        <v>0.18272811198325023</v>
      </c>
      <c r="P3198" s="46">
        <v>0</v>
      </c>
      <c r="Q3198" s="46">
        <v>0</v>
      </c>
      <c r="R3198" s="49">
        <f t="shared" si="881"/>
        <v>0</v>
      </c>
      <c r="S3198" s="50">
        <f t="shared" si="882"/>
        <v>0</v>
      </c>
      <c r="T3198" s="49">
        <f t="shared" si="883"/>
        <v>0</v>
      </c>
      <c r="U3198" s="51">
        <f t="shared" si="884"/>
        <v>0</v>
      </c>
      <c r="V3198" s="52">
        <f>IF(0&lt;0.8,0,IF(0&lt;1,Sheet3!L561,1))*IF(G3198&lt;3,0.12 - O3198,0.01) *U3198</f>
        <v>0</v>
      </c>
      <c r="W3198" s="52">
        <f t="shared" si="885"/>
        <v>0</v>
      </c>
      <c r="X3198" s="53">
        <f t="shared" si="886"/>
        <v>0</v>
      </c>
      <c r="Y3198" s="53">
        <f t="shared" si="887"/>
        <v>0</v>
      </c>
      <c r="Z3198" s="54">
        <f>IF(R3198=1,0,0)</f>
        <v>0</v>
      </c>
      <c r="AA3198" s="54">
        <f t="shared" si="888"/>
        <v>0</v>
      </c>
      <c r="AB3198" s="55">
        <f>IF(R3198=0,0,0)</f>
        <v>0</v>
      </c>
      <c r="AC3198" s="55">
        <f t="shared" si="889"/>
        <v>0</v>
      </c>
      <c r="AD3198" s="56">
        <f t="shared" si="890"/>
        <v>0</v>
      </c>
    </row>
    <row r="3199" spans="3:30">
      <c r="C3199" s="43" t="s">
        <v>5949</v>
      </c>
      <c r="D3199" s="44" t="s">
        <v>24</v>
      </c>
      <c r="E3199" s="44"/>
      <c r="F3199" s="45" t="s">
        <v>24</v>
      </c>
      <c r="G3199" s="46" t="s">
        <v>24</v>
      </c>
      <c r="H3199" s="47" t="s">
        <v>24</v>
      </c>
      <c r="I3199" s="47" t="s">
        <v>24</v>
      </c>
      <c r="J3199" s="46">
        <v>352000</v>
      </c>
      <c r="K3199" s="46">
        <v>0</v>
      </c>
      <c r="L3199" s="46">
        <v>0</v>
      </c>
      <c r="M3199" s="46">
        <f t="shared" si="879"/>
        <v>352000</v>
      </c>
      <c r="N3199" s="46" t="s">
        <v>24</v>
      </c>
      <c r="O3199" s="48">
        <f t="shared" si="880"/>
        <v>0</v>
      </c>
      <c r="P3199" s="46">
        <v>0</v>
      </c>
      <c r="Q3199" s="46">
        <v>0</v>
      </c>
      <c r="R3199" s="49">
        <f t="shared" si="881"/>
        <v>0</v>
      </c>
      <c r="S3199" s="50">
        <f t="shared" si="882"/>
        <v>0</v>
      </c>
      <c r="T3199" s="49">
        <f t="shared" si="883"/>
        <v>0</v>
      </c>
      <c r="U3199" s="51">
        <f t="shared" si="884"/>
        <v>352000</v>
      </c>
      <c r="V3199" s="52">
        <f>IF(0&lt;0.8,0,IF(0&lt;1,Sheet3!L561,1))*IF(G3199&lt;3,0.12 - O3199,0.01) *U3199</f>
        <v>0</v>
      </c>
      <c r="W3199" s="52">
        <f t="shared" si="885"/>
        <v>0</v>
      </c>
      <c r="X3199" s="53">
        <f t="shared" si="886"/>
        <v>0</v>
      </c>
      <c r="Y3199" s="53">
        <f t="shared" si="887"/>
        <v>0</v>
      </c>
      <c r="Z3199" s="54" t="str">
        <f>IF(R3199=1,0,"")</f>
        <v/>
      </c>
      <c r="AA3199" s="54">
        <f t="shared" si="888"/>
        <v>0</v>
      </c>
      <c r="AB3199" s="55" t="str">
        <f>IF(R3199=0,"",0)</f>
        <v/>
      </c>
      <c r="AC3199" s="55">
        <f t="shared" si="889"/>
        <v>0</v>
      </c>
      <c r="AD3199" s="56">
        <f t="shared" si="890"/>
        <v>0</v>
      </c>
    </row>
    <row r="3200" spans="3:30">
      <c r="C3200" s="43" t="s">
        <v>5950</v>
      </c>
      <c r="D3200" s="44" t="s">
        <v>24</v>
      </c>
      <c r="E3200" s="44"/>
      <c r="F3200" s="45" t="s">
        <v>24</v>
      </c>
      <c r="G3200" s="46" t="s">
        <v>24</v>
      </c>
      <c r="H3200" s="47" t="s">
        <v>24</v>
      </c>
      <c r="I3200" s="47" t="s">
        <v>24</v>
      </c>
      <c r="J3200" s="46">
        <v>4512617</v>
      </c>
      <c r="K3200" s="46">
        <v>0</v>
      </c>
      <c r="L3200" s="46">
        <v>0</v>
      </c>
      <c r="M3200" s="46">
        <f t="shared" si="879"/>
        <v>4512617</v>
      </c>
      <c r="N3200" s="46" t="s">
        <v>24</v>
      </c>
      <c r="O3200" s="48">
        <f t="shared" si="880"/>
        <v>0</v>
      </c>
      <c r="P3200" s="46">
        <v>0</v>
      </c>
      <c r="Q3200" s="46">
        <v>0</v>
      </c>
      <c r="R3200" s="49">
        <f t="shared" si="881"/>
        <v>0</v>
      </c>
      <c r="S3200" s="50">
        <f t="shared" si="882"/>
        <v>0</v>
      </c>
      <c r="T3200" s="49">
        <f t="shared" si="883"/>
        <v>0</v>
      </c>
      <c r="U3200" s="51">
        <f t="shared" si="884"/>
        <v>4512617</v>
      </c>
      <c r="V3200" s="52">
        <f>IF(0&lt;0.8,0,IF(0&lt;1,Sheet3!L561,1))*IF(G3200&lt;3,0.12 - O3200,0.01) *U3200</f>
        <v>0</v>
      </c>
      <c r="W3200" s="52">
        <f t="shared" si="885"/>
        <v>0</v>
      </c>
      <c r="X3200" s="53">
        <f t="shared" si="886"/>
        <v>0</v>
      </c>
      <c r="Y3200" s="53">
        <f t="shared" si="887"/>
        <v>0</v>
      </c>
      <c r="Z3200" s="54" t="str">
        <f>IF(R3200=1,0,"")</f>
        <v/>
      </c>
      <c r="AA3200" s="54">
        <f t="shared" si="888"/>
        <v>0</v>
      </c>
      <c r="AB3200" s="55" t="str">
        <f>IF(R3200=0,"",0)</f>
        <v/>
      </c>
      <c r="AC3200" s="55">
        <f t="shared" si="889"/>
        <v>0</v>
      </c>
      <c r="AD3200" s="56">
        <f t="shared" si="890"/>
        <v>0</v>
      </c>
    </row>
    <row r="3201" spans="3:30">
      <c r="C3201" s="43" t="s">
        <v>5951</v>
      </c>
      <c r="D3201" s="44" t="s">
        <v>5952</v>
      </c>
      <c r="E3201" s="44"/>
      <c r="F3201" s="45">
        <v>42159.390590277777</v>
      </c>
      <c r="G3201" s="46">
        <v>39</v>
      </c>
      <c r="H3201" s="47">
        <v>43404</v>
      </c>
      <c r="I3201" s="47">
        <v>43413</v>
      </c>
      <c r="J3201" s="46">
        <v>3207893</v>
      </c>
      <c r="K3201" s="46">
        <v>1907797</v>
      </c>
      <c r="L3201" s="46">
        <v>0</v>
      </c>
      <c r="M3201" s="46">
        <f t="shared" si="879"/>
        <v>1300096</v>
      </c>
      <c r="N3201" s="46">
        <v>4346768</v>
      </c>
      <c r="O3201" s="48">
        <f t="shared" si="880"/>
        <v>0.70090513227299001</v>
      </c>
      <c r="P3201" s="46">
        <v>0</v>
      </c>
      <c r="Q3201" s="46">
        <v>3207893</v>
      </c>
      <c r="R3201" s="49">
        <f t="shared" si="881"/>
        <v>1</v>
      </c>
      <c r="S3201" s="50">
        <f t="shared" si="882"/>
        <v>0.01</v>
      </c>
      <c r="T3201" s="49">
        <f t="shared" si="883"/>
        <v>13000.960000000001</v>
      </c>
      <c r="U3201" s="51">
        <f t="shared" si="884"/>
        <v>0</v>
      </c>
      <c r="V3201" s="52">
        <f>IF(0&lt;0.8,0,IF(0&lt;1,Sheet3!L561,1))*IF(G3201&lt;3,0.12 - O3201,0.01) *U3201</f>
        <v>0</v>
      </c>
      <c r="W3201" s="52">
        <f t="shared" si="885"/>
        <v>0</v>
      </c>
      <c r="X3201" s="53">
        <f t="shared" si="886"/>
        <v>0</v>
      </c>
      <c r="Y3201" s="53">
        <f t="shared" si="887"/>
        <v>0</v>
      </c>
      <c r="Z3201" s="54">
        <f t="shared" ref="Z3201:Z3209" si="891">IF(R3201=1,0,0)</f>
        <v>0</v>
      </c>
      <c r="AA3201" s="54">
        <f t="shared" si="888"/>
        <v>0</v>
      </c>
      <c r="AB3201" s="55">
        <f t="shared" ref="AB3201:AB3209" si="892">IF(R3201=0,0,0)</f>
        <v>0</v>
      </c>
      <c r="AC3201" s="55">
        <f t="shared" si="889"/>
        <v>0</v>
      </c>
      <c r="AD3201" s="56">
        <f t="shared" si="890"/>
        <v>13000.960000000001</v>
      </c>
    </row>
    <row r="3202" spans="3:30">
      <c r="C3202" s="43" t="s">
        <v>5953</v>
      </c>
      <c r="D3202" s="44" t="s">
        <v>5954</v>
      </c>
      <c r="E3202" s="44"/>
      <c r="F3202" s="45">
        <v>42422.641701388886</v>
      </c>
      <c r="G3202" s="46">
        <v>31</v>
      </c>
      <c r="H3202" s="47">
        <v>43404</v>
      </c>
      <c r="I3202" s="47">
        <v>43413</v>
      </c>
      <c r="J3202" s="46">
        <v>2815893</v>
      </c>
      <c r="K3202" s="46">
        <v>0</v>
      </c>
      <c r="L3202" s="46">
        <v>0</v>
      </c>
      <c r="M3202" s="46">
        <f t="shared" si="879"/>
        <v>2815893</v>
      </c>
      <c r="N3202" s="46">
        <v>3410143</v>
      </c>
      <c r="O3202" s="48">
        <f t="shared" si="880"/>
        <v>0.17425955451135045</v>
      </c>
      <c r="P3202" s="46">
        <v>0</v>
      </c>
      <c r="Q3202" s="46">
        <v>2815893</v>
      </c>
      <c r="R3202" s="49">
        <f t="shared" si="881"/>
        <v>1</v>
      </c>
      <c r="S3202" s="50">
        <f t="shared" si="882"/>
        <v>0.01</v>
      </c>
      <c r="T3202" s="49">
        <f t="shared" si="883"/>
        <v>28158.93</v>
      </c>
      <c r="U3202" s="51">
        <f t="shared" si="884"/>
        <v>0</v>
      </c>
      <c r="V3202" s="52">
        <f>IF(0&lt;0.8,0,IF(0&lt;1,Sheet3!L561,1))*IF(G3202&lt;3,0.12 - O3202,0.01) *U3202</f>
        <v>0</v>
      </c>
      <c r="W3202" s="52">
        <f t="shared" si="885"/>
        <v>0</v>
      </c>
      <c r="X3202" s="53">
        <f t="shared" si="886"/>
        <v>0</v>
      </c>
      <c r="Y3202" s="53">
        <f t="shared" si="887"/>
        <v>0</v>
      </c>
      <c r="Z3202" s="54">
        <f t="shared" si="891"/>
        <v>0</v>
      </c>
      <c r="AA3202" s="54">
        <f t="shared" si="888"/>
        <v>0</v>
      </c>
      <c r="AB3202" s="55">
        <f t="shared" si="892"/>
        <v>0</v>
      </c>
      <c r="AC3202" s="55">
        <f t="shared" si="889"/>
        <v>0</v>
      </c>
      <c r="AD3202" s="56">
        <f t="shared" si="890"/>
        <v>28158.93</v>
      </c>
    </row>
    <row r="3203" spans="3:30">
      <c r="C3203" s="43" t="s">
        <v>5955</v>
      </c>
      <c r="D3203" s="44" t="s">
        <v>5956</v>
      </c>
      <c r="E3203" s="44"/>
      <c r="F3203" s="45">
        <v>42606.116597222222</v>
      </c>
      <c r="G3203" s="46">
        <v>25</v>
      </c>
      <c r="H3203" s="47">
        <v>43404</v>
      </c>
      <c r="I3203" s="47">
        <v>43413</v>
      </c>
      <c r="J3203" s="46">
        <v>2599714</v>
      </c>
      <c r="K3203" s="46">
        <v>0</v>
      </c>
      <c r="L3203" s="46">
        <v>0</v>
      </c>
      <c r="M3203" s="46">
        <f t="shared" si="879"/>
        <v>2599714</v>
      </c>
      <c r="N3203" s="46">
        <v>2977150</v>
      </c>
      <c r="O3203" s="48">
        <f t="shared" si="880"/>
        <v>0.12677762289437888</v>
      </c>
      <c r="P3203" s="46">
        <v>0</v>
      </c>
      <c r="Q3203" s="46">
        <v>2599714</v>
      </c>
      <c r="R3203" s="49">
        <f t="shared" si="881"/>
        <v>1</v>
      </c>
      <c r="S3203" s="50">
        <f t="shared" si="882"/>
        <v>0.01</v>
      </c>
      <c r="T3203" s="49">
        <f t="shared" si="883"/>
        <v>25997.14</v>
      </c>
      <c r="U3203" s="51">
        <f t="shared" si="884"/>
        <v>0</v>
      </c>
      <c r="V3203" s="52">
        <f>IF(0&lt;0.8,0,IF(0&lt;1,Sheet3!L561,1))*IF(G3203&lt;3,0.12 - O3203,0.01) *U3203</f>
        <v>0</v>
      </c>
      <c r="W3203" s="52">
        <f t="shared" si="885"/>
        <v>0</v>
      </c>
      <c r="X3203" s="53">
        <f t="shared" si="886"/>
        <v>0</v>
      </c>
      <c r="Y3203" s="53">
        <f t="shared" si="887"/>
        <v>0</v>
      </c>
      <c r="Z3203" s="54">
        <f t="shared" si="891"/>
        <v>0</v>
      </c>
      <c r="AA3203" s="54">
        <f t="shared" si="888"/>
        <v>0</v>
      </c>
      <c r="AB3203" s="55">
        <f t="shared" si="892"/>
        <v>0</v>
      </c>
      <c r="AC3203" s="55">
        <f t="shared" si="889"/>
        <v>0</v>
      </c>
      <c r="AD3203" s="56">
        <f t="shared" si="890"/>
        <v>25997.14</v>
      </c>
    </row>
    <row r="3204" spans="3:30">
      <c r="C3204" s="43" t="s">
        <v>5957</v>
      </c>
      <c r="D3204" s="44" t="s">
        <v>5956</v>
      </c>
      <c r="E3204" s="44"/>
      <c r="F3204" s="45">
        <v>42682.391446759255</v>
      </c>
      <c r="G3204" s="46">
        <v>22</v>
      </c>
      <c r="H3204" s="47">
        <v>43404</v>
      </c>
      <c r="I3204" s="47">
        <v>43413</v>
      </c>
      <c r="J3204" s="46">
        <v>2136621</v>
      </c>
      <c r="K3204" s="46">
        <v>0</v>
      </c>
      <c r="L3204" s="46">
        <v>0</v>
      </c>
      <c r="M3204" s="46">
        <f t="shared" si="879"/>
        <v>2136621</v>
      </c>
      <c r="N3204" s="46">
        <v>2839386</v>
      </c>
      <c r="O3204" s="48">
        <f t="shared" si="880"/>
        <v>0.24750597488330228</v>
      </c>
      <c r="P3204" s="46">
        <v>0</v>
      </c>
      <c r="Q3204" s="46">
        <v>2136621</v>
      </c>
      <c r="R3204" s="49">
        <f t="shared" si="881"/>
        <v>1</v>
      </c>
      <c r="S3204" s="50">
        <f t="shared" si="882"/>
        <v>0.01</v>
      </c>
      <c r="T3204" s="49">
        <f t="shared" si="883"/>
        <v>21366.21</v>
      </c>
      <c r="U3204" s="51">
        <f t="shared" si="884"/>
        <v>0</v>
      </c>
      <c r="V3204" s="52">
        <f>IF(0&lt;0.8,0,IF(0&lt;1,Sheet3!L561,1))*IF(G3204&lt;3,0.12 - O3204,0.01) *U3204</f>
        <v>0</v>
      </c>
      <c r="W3204" s="52">
        <f t="shared" si="885"/>
        <v>0</v>
      </c>
      <c r="X3204" s="53">
        <f t="shared" si="886"/>
        <v>0</v>
      </c>
      <c r="Y3204" s="53">
        <f t="shared" si="887"/>
        <v>0</v>
      </c>
      <c r="Z3204" s="54">
        <f t="shared" si="891"/>
        <v>0</v>
      </c>
      <c r="AA3204" s="54">
        <f t="shared" si="888"/>
        <v>0</v>
      </c>
      <c r="AB3204" s="55">
        <f t="shared" si="892"/>
        <v>0</v>
      </c>
      <c r="AC3204" s="55">
        <f t="shared" si="889"/>
        <v>0</v>
      </c>
      <c r="AD3204" s="56">
        <f t="shared" si="890"/>
        <v>21366.21</v>
      </c>
    </row>
    <row r="3205" spans="3:30">
      <c r="C3205" s="43" t="s">
        <v>5958</v>
      </c>
      <c r="D3205" s="44" t="s">
        <v>5956</v>
      </c>
      <c r="E3205" s="44"/>
      <c r="F3205" s="45">
        <v>42728.361574074072</v>
      </c>
      <c r="G3205" s="46">
        <v>21</v>
      </c>
      <c r="H3205" s="47">
        <v>43404</v>
      </c>
      <c r="I3205" s="47">
        <v>43413</v>
      </c>
      <c r="J3205" s="46">
        <v>2564179</v>
      </c>
      <c r="K3205" s="46">
        <v>0</v>
      </c>
      <c r="L3205" s="46">
        <v>0</v>
      </c>
      <c r="M3205" s="46">
        <f t="shared" si="879"/>
        <v>2564179</v>
      </c>
      <c r="N3205" s="46">
        <v>3020270</v>
      </c>
      <c r="O3205" s="48">
        <f t="shared" si="880"/>
        <v>0.15101000903892703</v>
      </c>
      <c r="P3205" s="46">
        <v>0</v>
      </c>
      <c r="Q3205" s="46">
        <v>2564179</v>
      </c>
      <c r="R3205" s="49">
        <f t="shared" si="881"/>
        <v>1</v>
      </c>
      <c r="S3205" s="50">
        <f t="shared" si="882"/>
        <v>0.01</v>
      </c>
      <c r="T3205" s="49">
        <f t="shared" si="883"/>
        <v>25641.79</v>
      </c>
      <c r="U3205" s="51">
        <f t="shared" si="884"/>
        <v>0</v>
      </c>
      <c r="V3205" s="52">
        <f>IF(0&lt;0.8,0,IF(0&lt;1,Sheet3!L561,1))*IF(G3205&lt;3,0.12 - O3205,0.01) *U3205</f>
        <v>0</v>
      </c>
      <c r="W3205" s="52">
        <f t="shared" si="885"/>
        <v>0</v>
      </c>
      <c r="X3205" s="53">
        <f t="shared" si="886"/>
        <v>0</v>
      </c>
      <c r="Y3205" s="53">
        <f t="shared" si="887"/>
        <v>0</v>
      </c>
      <c r="Z3205" s="54">
        <f t="shared" si="891"/>
        <v>0</v>
      </c>
      <c r="AA3205" s="54">
        <f t="shared" si="888"/>
        <v>0</v>
      </c>
      <c r="AB3205" s="55">
        <f t="shared" si="892"/>
        <v>0</v>
      </c>
      <c r="AC3205" s="55">
        <f t="shared" si="889"/>
        <v>0</v>
      </c>
      <c r="AD3205" s="56">
        <f t="shared" si="890"/>
        <v>25641.79</v>
      </c>
    </row>
    <row r="3206" spans="3:30">
      <c r="C3206" s="43" t="s">
        <v>5959</v>
      </c>
      <c r="D3206" s="44" t="s">
        <v>5956</v>
      </c>
      <c r="E3206" s="44"/>
      <c r="F3206" s="45">
        <v>42808.268333333333</v>
      </c>
      <c r="G3206" s="46">
        <v>18</v>
      </c>
      <c r="H3206" s="47">
        <v>43404</v>
      </c>
      <c r="I3206" s="47">
        <v>43413</v>
      </c>
      <c r="J3206" s="46">
        <v>795422</v>
      </c>
      <c r="K3206" s="46">
        <v>55699</v>
      </c>
      <c r="L3206" s="46">
        <v>0</v>
      </c>
      <c r="M3206" s="46">
        <f t="shared" si="879"/>
        <v>739723</v>
      </c>
      <c r="N3206" s="46">
        <v>1061775</v>
      </c>
      <c r="O3206" s="48">
        <f t="shared" si="880"/>
        <v>0.30331473240564155</v>
      </c>
      <c r="P3206" s="46">
        <v>0</v>
      </c>
      <c r="Q3206" s="46">
        <v>795422</v>
      </c>
      <c r="R3206" s="49">
        <f t="shared" si="881"/>
        <v>1</v>
      </c>
      <c r="S3206" s="50">
        <f t="shared" si="882"/>
        <v>0.01</v>
      </c>
      <c r="T3206" s="49">
        <f t="shared" si="883"/>
        <v>7397.2300000000005</v>
      </c>
      <c r="U3206" s="51">
        <f t="shared" si="884"/>
        <v>0</v>
      </c>
      <c r="V3206" s="52">
        <f>IF(0&lt;0.8,0,IF(0&lt;1,Sheet3!L561,1))*IF(G3206&lt;3,0.12 - O3206,0.01) *U3206</f>
        <v>0</v>
      </c>
      <c r="W3206" s="52">
        <f t="shared" si="885"/>
        <v>0</v>
      </c>
      <c r="X3206" s="53">
        <f t="shared" si="886"/>
        <v>0</v>
      </c>
      <c r="Y3206" s="53">
        <f t="shared" si="887"/>
        <v>0</v>
      </c>
      <c r="Z3206" s="54">
        <f t="shared" si="891"/>
        <v>0</v>
      </c>
      <c r="AA3206" s="54">
        <f t="shared" si="888"/>
        <v>0</v>
      </c>
      <c r="AB3206" s="55">
        <f t="shared" si="892"/>
        <v>0</v>
      </c>
      <c r="AC3206" s="55">
        <f t="shared" si="889"/>
        <v>0</v>
      </c>
      <c r="AD3206" s="56">
        <f t="shared" si="890"/>
        <v>7397.2300000000005</v>
      </c>
    </row>
    <row r="3207" spans="3:30">
      <c r="C3207" s="43" t="s">
        <v>5960</v>
      </c>
      <c r="D3207" s="44" t="s">
        <v>5956</v>
      </c>
      <c r="E3207" s="44"/>
      <c r="F3207" s="45">
        <v>42817.248865740738</v>
      </c>
      <c r="G3207" s="46">
        <v>18</v>
      </c>
      <c r="H3207" s="47">
        <v>43404</v>
      </c>
      <c r="I3207" s="47">
        <v>43413</v>
      </c>
      <c r="J3207" s="46">
        <v>2798011</v>
      </c>
      <c r="K3207" s="46">
        <v>33022</v>
      </c>
      <c r="L3207" s="46">
        <v>0</v>
      </c>
      <c r="M3207" s="46">
        <f t="shared" si="879"/>
        <v>2764989</v>
      </c>
      <c r="N3207" s="46">
        <v>3615677</v>
      </c>
      <c r="O3207" s="48">
        <f t="shared" si="880"/>
        <v>0.2352776533965838</v>
      </c>
      <c r="P3207" s="46">
        <v>0</v>
      </c>
      <c r="Q3207" s="46">
        <v>2798011</v>
      </c>
      <c r="R3207" s="49">
        <f t="shared" si="881"/>
        <v>1</v>
      </c>
      <c r="S3207" s="50">
        <f t="shared" si="882"/>
        <v>0.01</v>
      </c>
      <c r="T3207" s="49">
        <f t="shared" si="883"/>
        <v>27649.89</v>
      </c>
      <c r="U3207" s="51">
        <f t="shared" si="884"/>
        <v>0</v>
      </c>
      <c r="V3207" s="52">
        <f>IF(0&lt;0.8,0,IF(0&lt;1,Sheet3!L561,1))*IF(G3207&lt;3,0.12 - O3207,0.01) *U3207</f>
        <v>0</v>
      </c>
      <c r="W3207" s="52">
        <f t="shared" si="885"/>
        <v>0</v>
      </c>
      <c r="X3207" s="53">
        <f t="shared" si="886"/>
        <v>0</v>
      </c>
      <c r="Y3207" s="53">
        <f t="shared" si="887"/>
        <v>0</v>
      </c>
      <c r="Z3207" s="54">
        <f t="shared" si="891"/>
        <v>0</v>
      </c>
      <c r="AA3207" s="54">
        <f t="shared" si="888"/>
        <v>0</v>
      </c>
      <c r="AB3207" s="55">
        <f t="shared" si="892"/>
        <v>0</v>
      </c>
      <c r="AC3207" s="55">
        <f t="shared" si="889"/>
        <v>0</v>
      </c>
      <c r="AD3207" s="56">
        <f t="shared" si="890"/>
        <v>27649.89</v>
      </c>
    </row>
    <row r="3208" spans="3:30">
      <c r="C3208" s="43" t="s">
        <v>5961</v>
      </c>
      <c r="D3208" s="44" t="s">
        <v>5956</v>
      </c>
      <c r="E3208" s="44"/>
      <c r="F3208" s="45">
        <v>42842.092893518515</v>
      </c>
      <c r="G3208" s="46">
        <v>17</v>
      </c>
      <c r="H3208" s="47">
        <v>43404</v>
      </c>
      <c r="I3208" s="47">
        <v>43413</v>
      </c>
      <c r="J3208" s="46">
        <v>2322657</v>
      </c>
      <c r="K3208" s="46">
        <v>0</v>
      </c>
      <c r="L3208" s="46">
        <v>0</v>
      </c>
      <c r="M3208" s="46">
        <f t="shared" si="879"/>
        <v>2322657</v>
      </c>
      <c r="N3208" s="46">
        <v>2964016</v>
      </c>
      <c r="O3208" s="48">
        <f t="shared" si="880"/>
        <v>0.21638176042234591</v>
      </c>
      <c r="P3208" s="46">
        <v>0</v>
      </c>
      <c r="Q3208" s="46">
        <v>2322657</v>
      </c>
      <c r="R3208" s="49">
        <f t="shared" si="881"/>
        <v>1</v>
      </c>
      <c r="S3208" s="50">
        <f t="shared" si="882"/>
        <v>0.01</v>
      </c>
      <c r="T3208" s="49">
        <f t="shared" si="883"/>
        <v>23226.57</v>
      </c>
      <c r="U3208" s="51">
        <f t="shared" si="884"/>
        <v>0</v>
      </c>
      <c r="V3208" s="52">
        <f>IF(0&lt;0.8,0,IF(0&lt;1,Sheet3!L561,1))*IF(G3208&lt;3,0.12 - O3208,0.01) *U3208</f>
        <v>0</v>
      </c>
      <c r="W3208" s="52">
        <f t="shared" si="885"/>
        <v>0</v>
      </c>
      <c r="X3208" s="53">
        <f t="shared" si="886"/>
        <v>0</v>
      </c>
      <c r="Y3208" s="53">
        <f t="shared" si="887"/>
        <v>0</v>
      </c>
      <c r="Z3208" s="54">
        <f t="shared" si="891"/>
        <v>0</v>
      </c>
      <c r="AA3208" s="54">
        <f t="shared" si="888"/>
        <v>0</v>
      </c>
      <c r="AB3208" s="55">
        <f t="shared" si="892"/>
        <v>0</v>
      </c>
      <c r="AC3208" s="55">
        <f t="shared" si="889"/>
        <v>0</v>
      </c>
      <c r="AD3208" s="56">
        <f t="shared" si="890"/>
        <v>23226.57</v>
      </c>
    </row>
    <row r="3209" spans="3:30">
      <c r="C3209" s="43" t="s">
        <v>5962</v>
      </c>
      <c r="D3209" s="44" t="s">
        <v>5956</v>
      </c>
      <c r="E3209" s="44"/>
      <c r="F3209" s="45">
        <v>43108.198634259257</v>
      </c>
      <c r="G3209" s="46">
        <v>8</v>
      </c>
      <c r="H3209" s="47">
        <v>43404</v>
      </c>
      <c r="I3209" s="47">
        <v>43413</v>
      </c>
      <c r="J3209" s="46">
        <v>1512940</v>
      </c>
      <c r="K3209" s="46">
        <v>0</v>
      </c>
      <c r="L3209" s="46">
        <v>0</v>
      </c>
      <c r="M3209" s="46">
        <f t="shared" si="879"/>
        <v>1512940</v>
      </c>
      <c r="N3209" s="46">
        <v>2006954</v>
      </c>
      <c r="O3209" s="48">
        <f t="shared" si="880"/>
        <v>0.24615113251225484</v>
      </c>
      <c r="P3209" s="46">
        <v>0</v>
      </c>
      <c r="Q3209" s="46">
        <v>1512940</v>
      </c>
      <c r="R3209" s="49">
        <f t="shared" si="881"/>
        <v>1</v>
      </c>
      <c r="S3209" s="50">
        <f t="shared" si="882"/>
        <v>0.01</v>
      </c>
      <c r="T3209" s="49">
        <f t="shared" si="883"/>
        <v>15129.4</v>
      </c>
      <c r="U3209" s="51">
        <f t="shared" si="884"/>
        <v>0</v>
      </c>
      <c r="V3209" s="52">
        <f>IF(0&lt;0.8,0,IF(0&lt;1,Sheet3!L561,1))*IF(G3209&lt;3,0.12 - O3209,0.01) *U3209</f>
        <v>0</v>
      </c>
      <c r="W3209" s="52">
        <f t="shared" si="885"/>
        <v>0</v>
      </c>
      <c r="X3209" s="53">
        <f t="shared" si="886"/>
        <v>0</v>
      </c>
      <c r="Y3209" s="53">
        <f t="shared" si="887"/>
        <v>0</v>
      </c>
      <c r="Z3209" s="54">
        <f t="shared" si="891"/>
        <v>0</v>
      </c>
      <c r="AA3209" s="54">
        <f t="shared" si="888"/>
        <v>0</v>
      </c>
      <c r="AB3209" s="55">
        <f t="shared" si="892"/>
        <v>0</v>
      </c>
      <c r="AC3209" s="55">
        <f t="shared" si="889"/>
        <v>0</v>
      </c>
      <c r="AD3209" s="56">
        <f t="shared" si="890"/>
        <v>15129.4</v>
      </c>
    </row>
    <row r="3210" spans="3:30">
      <c r="C3210" s="43" t="s">
        <v>5963</v>
      </c>
      <c r="D3210" s="44" t="s">
        <v>5964</v>
      </c>
      <c r="E3210" s="44"/>
      <c r="F3210" s="45">
        <v>42521.27175925926</v>
      </c>
      <c r="G3210" s="46">
        <v>28</v>
      </c>
      <c r="H3210" s="47" t="s">
        <v>24</v>
      </c>
      <c r="I3210" s="47" t="s">
        <v>24</v>
      </c>
      <c r="J3210" s="46">
        <v>0</v>
      </c>
      <c r="K3210" s="46">
        <v>0</v>
      </c>
      <c r="L3210" s="46">
        <v>0</v>
      </c>
      <c r="M3210" s="46">
        <f t="shared" si="879"/>
        <v>0</v>
      </c>
      <c r="N3210" s="46">
        <v>971630</v>
      </c>
      <c r="O3210" s="48">
        <f t="shared" si="880"/>
        <v>1</v>
      </c>
      <c r="P3210" s="46">
        <v>0</v>
      </c>
      <c r="Q3210" s="46">
        <v>0</v>
      </c>
      <c r="R3210" s="49">
        <f t="shared" si="881"/>
        <v>1</v>
      </c>
      <c r="S3210" s="50">
        <f t="shared" si="882"/>
        <v>0.01</v>
      </c>
      <c r="T3210" s="49">
        <f t="shared" si="883"/>
        <v>0</v>
      </c>
      <c r="U3210" s="51">
        <f t="shared" si="884"/>
        <v>0</v>
      </c>
      <c r="V3210" s="52">
        <f>IF(0&lt;0.8,0,IF(0&lt;1,Sheet3!L561,1))*IF(G3210&lt;3,0.12 - O3210,0.01) *U3210</f>
        <v>0</v>
      </c>
      <c r="W3210" s="52">
        <f t="shared" si="885"/>
        <v>0</v>
      </c>
      <c r="X3210" s="53">
        <f t="shared" si="886"/>
        <v>0</v>
      </c>
      <c r="Y3210" s="53">
        <f t="shared" si="887"/>
        <v>0</v>
      </c>
      <c r="Z3210" s="54">
        <f>IF(R3210=1,0,"")</f>
        <v>0</v>
      </c>
      <c r="AA3210" s="54">
        <f t="shared" si="888"/>
        <v>0</v>
      </c>
      <c r="AB3210" s="55">
        <f>IF(R3210=0,"",0)</f>
        <v>0</v>
      </c>
      <c r="AC3210" s="55">
        <f t="shared" si="889"/>
        <v>0</v>
      </c>
      <c r="AD3210" s="56">
        <f t="shared" si="890"/>
        <v>0</v>
      </c>
    </row>
    <row r="3211" spans="3:30">
      <c r="C3211" s="43" t="s">
        <v>5965</v>
      </c>
      <c r="D3211" s="44" t="s">
        <v>995</v>
      </c>
      <c r="E3211" s="44"/>
      <c r="F3211" s="45">
        <v>43316.677708333329</v>
      </c>
      <c r="G3211" s="46">
        <v>1</v>
      </c>
      <c r="H3211" s="47">
        <v>43431</v>
      </c>
      <c r="I3211" s="47">
        <v>43462</v>
      </c>
      <c r="J3211" s="46">
        <v>931290</v>
      </c>
      <c r="K3211" s="46">
        <v>0</v>
      </c>
      <c r="L3211" s="46">
        <v>0</v>
      </c>
      <c r="M3211" s="46">
        <f t="shared" si="879"/>
        <v>931290</v>
      </c>
      <c r="N3211" s="46">
        <v>1042657</v>
      </c>
      <c r="O3211" s="48">
        <f t="shared" si="880"/>
        <v>0.10681077286202456</v>
      </c>
      <c r="P3211" s="46">
        <v>0</v>
      </c>
      <c r="Q3211" s="46">
        <v>0</v>
      </c>
      <c r="R3211" s="49">
        <f t="shared" si="881"/>
        <v>0</v>
      </c>
      <c r="S3211" s="50">
        <f t="shared" si="882"/>
        <v>0</v>
      </c>
      <c r="T3211" s="49">
        <f t="shared" si="883"/>
        <v>0</v>
      </c>
      <c r="U3211" s="51">
        <f t="shared" si="884"/>
        <v>931290</v>
      </c>
      <c r="V3211" s="52">
        <f>IF(0&lt;0.8,0,IF(0&lt;1,Sheet3!L561,1))*IF(G3211&lt;3,0.12 - O3211,0.01) *U3211</f>
        <v>0</v>
      </c>
      <c r="W3211" s="52">
        <f t="shared" si="885"/>
        <v>0</v>
      </c>
      <c r="X3211" s="53">
        <f t="shared" si="886"/>
        <v>0</v>
      </c>
      <c r="Y3211" s="53">
        <f t="shared" si="887"/>
        <v>0</v>
      </c>
      <c r="Z3211" s="54">
        <f t="shared" ref="Z3211:Z3219" si="893">IF(R3211=1,0,0)</f>
        <v>0</v>
      </c>
      <c r="AA3211" s="54">
        <f t="shared" si="888"/>
        <v>0</v>
      </c>
      <c r="AB3211" s="55">
        <f t="shared" ref="AB3211:AB3219" si="894">IF(R3211=0,0,0)</f>
        <v>0</v>
      </c>
      <c r="AC3211" s="55">
        <f t="shared" si="889"/>
        <v>0</v>
      </c>
      <c r="AD3211" s="56">
        <f t="shared" si="890"/>
        <v>0</v>
      </c>
    </row>
    <row r="3212" spans="3:30">
      <c r="C3212" s="43" t="s">
        <v>5966</v>
      </c>
      <c r="D3212" s="44" t="s">
        <v>995</v>
      </c>
      <c r="E3212" s="44"/>
      <c r="F3212" s="45">
        <v>43316.678414351853</v>
      </c>
      <c r="G3212" s="46">
        <v>1</v>
      </c>
      <c r="H3212" s="47">
        <v>43431</v>
      </c>
      <c r="I3212" s="47">
        <v>43462</v>
      </c>
      <c r="J3212" s="46">
        <v>933530</v>
      </c>
      <c r="K3212" s="46">
        <v>0</v>
      </c>
      <c r="L3212" s="46">
        <v>0</v>
      </c>
      <c r="M3212" s="46">
        <f t="shared" si="879"/>
        <v>933530</v>
      </c>
      <c r="N3212" s="46">
        <v>1158817</v>
      </c>
      <c r="O3212" s="48">
        <f t="shared" si="880"/>
        <v>0.1944111969361858</v>
      </c>
      <c r="P3212" s="46">
        <v>0</v>
      </c>
      <c r="Q3212" s="46">
        <v>0</v>
      </c>
      <c r="R3212" s="49">
        <f t="shared" si="881"/>
        <v>0</v>
      </c>
      <c r="S3212" s="50">
        <f t="shared" si="882"/>
        <v>0</v>
      </c>
      <c r="T3212" s="49">
        <f t="shared" si="883"/>
        <v>0</v>
      </c>
      <c r="U3212" s="51">
        <f t="shared" si="884"/>
        <v>0</v>
      </c>
      <c r="V3212" s="52">
        <f>IF(0&lt;0.8,0,IF(0&lt;1,Sheet3!L561,1))*IF(G3212&lt;3,0.12 - O3212,0.01) *U3212</f>
        <v>0</v>
      </c>
      <c r="W3212" s="52">
        <f t="shared" si="885"/>
        <v>0</v>
      </c>
      <c r="X3212" s="53">
        <f t="shared" si="886"/>
        <v>0</v>
      </c>
      <c r="Y3212" s="53">
        <f t="shared" si="887"/>
        <v>0</v>
      </c>
      <c r="Z3212" s="54">
        <f t="shared" si="893"/>
        <v>0</v>
      </c>
      <c r="AA3212" s="54">
        <f t="shared" si="888"/>
        <v>0</v>
      </c>
      <c r="AB3212" s="55">
        <f t="shared" si="894"/>
        <v>0</v>
      </c>
      <c r="AC3212" s="55">
        <f t="shared" si="889"/>
        <v>0</v>
      </c>
      <c r="AD3212" s="56">
        <f t="shared" si="890"/>
        <v>0</v>
      </c>
    </row>
    <row r="3213" spans="3:30">
      <c r="C3213" s="43" t="s">
        <v>5967</v>
      </c>
      <c r="D3213" s="44" t="s">
        <v>995</v>
      </c>
      <c r="E3213" s="44"/>
      <c r="F3213" s="45">
        <v>43316.678946759261</v>
      </c>
      <c r="G3213" s="46">
        <v>1</v>
      </c>
      <c r="H3213" s="47">
        <v>43459</v>
      </c>
      <c r="I3213" s="47">
        <v>43487</v>
      </c>
      <c r="J3213" s="46">
        <v>1240129</v>
      </c>
      <c r="K3213" s="46">
        <v>0</v>
      </c>
      <c r="L3213" s="46">
        <v>0</v>
      </c>
      <c r="M3213" s="46">
        <f t="shared" si="879"/>
        <v>1240129</v>
      </c>
      <c r="N3213" s="46">
        <v>1372146</v>
      </c>
      <c r="O3213" s="48">
        <f t="shared" si="880"/>
        <v>9.6212064896884164E-2</v>
      </c>
      <c r="P3213" s="46">
        <v>0</v>
      </c>
      <c r="Q3213" s="46">
        <v>0</v>
      </c>
      <c r="R3213" s="49">
        <f t="shared" si="881"/>
        <v>0</v>
      </c>
      <c r="S3213" s="50">
        <f t="shared" si="882"/>
        <v>0</v>
      </c>
      <c r="T3213" s="49">
        <f t="shared" si="883"/>
        <v>0</v>
      </c>
      <c r="U3213" s="51">
        <f t="shared" si="884"/>
        <v>1240129</v>
      </c>
      <c r="V3213" s="52">
        <f>IF(0&lt;0.8,0,IF(0&lt;1,Sheet3!L561,1))*IF(G3213&lt;3,0.12 - O3213,0.01) *U3213</f>
        <v>0</v>
      </c>
      <c r="W3213" s="52">
        <f t="shared" si="885"/>
        <v>0</v>
      </c>
      <c r="X3213" s="53">
        <f t="shared" si="886"/>
        <v>0</v>
      </c>
      <c r="Y3213" s="53">
        <f t="shared" si="887"/>
        <v>0</v>
      </c>
      <c r="Z3213" s="54">
        <f t="shared" si="893"/>
        <v>0</v>
      </c>
      <c r="AA3213" s="54">
        <f t="shared" si="888"/>
        <v>0</v>
      </c>
      <c r="AB3213" s="55">
        <f t="shared" si="894"/>
        <v>0</v>
      </c>
      <c r="AC3213" s="55">
        <f t="shared" si="889"/>
        <v>0</v>
      </c>
      <c r="AD3213" s="56">
        <f t="shared" si="890"/>
        <v>0</v>
      </c>
    </row>
    <row r="3214" spans="3:30">
      <c r="C3214" s="43" t="s">
        <v>5968</v>
      </c>
      <c r="D3214" s="44" t="s">
        <v>5969</v>
      </c>
      <c r="E3214" s="44"/>
      <c r="F3214" s="45">
        <v>41582.715763888889</v>
      </c>
      <c r="G3214" s="46">
        <v>58</v>
      </c>
      <c r="H3214" s="47">
        <v>43404</v>
      </c>
      <c r="I3214" s="47">
        <v>43413</v>
      </c>
      <c r="J3214" s="46">
        <v>1249160</v>
      </c>
      <c r="K3214" s="46">
        <v>666578</v>
      </c>
      <c r="L3214" s="46">
        <v>0</v>
      </c>
      <c r="M3214" s="46">
        <f t="shared" si="879"/>
        <v>582582</v>
      </c>
      <c r="N3214" s="46">
        <v>1714933</v>
      </c>
      <c r="O3214" s="48">
        <f t="shared" si="880"/>
        <v>0.66028876929885882</v>
      </c>
      <c r="P3214" s="46">
        <v>0</v>
      </c>
      <c r="Q3214" s="46">
        <v>1249160</v>
      </c>
      <c r="R3214" s="49">
        <f t="shared" si="881"/>
        <v>1</v>
      </c>
      <c r="S3214" s="50">
        <f t="shared" si="882"/>
        <v>0.01</v>
      </c>
      <c r="T3214" s="49">
        <f t="shared" si="883"/>
        <v>5825.82</v>
      </c>
      <c r="U3214" s="51">
        <f t="shared" si="884"/>
        <v>0</v>
      </c>
      <c r="V3214" s="52">
        <f>IF(0&lt;0.8,0,IF(0&lt;1,Sheet3!L561,1))*IF(G3214&lt;3,0.12 - O3214,0.01) *U3214</f>
        <v>0</v>
      </c>
      <c r="W3214" s="52">
        <f t="shared" si="885"/>
        <v>0</v>
      </c>
      <c r="X3214" s="53">
        <f t="shared" si="886"/>
        <v>0</v>
      </c>
      <c r="Y3214" s="53">
        <f t="shared" si="887"/>
        <v>0</v>
      </c>
      <c r="Z3214" s="54">
        <f t="shared" si="893"/>
        <v>0</v>
      </c>
      <c r="AA3214" s="54">
        <f t="shared" si="888"/>
        <v>0</v>
      </c>
      <c r="AB3214" s="55">
        <f t="shared" si="894"/>
        <v>0</v>
      </c>
      <c r="AC3214" s="55">
        <f t="shared" si="889"/>
        <v>0</v>
      </c>
      <c r="AD3214" s="56">
        <f t="shared" si="890"/>
        <v>5825.82</v>
      </c>
    </row>
    <row r="3215" spans="3:30">
      <c r="C3215" s="43" t="s">
        <v>5970</v>
      </c>
      <c r="D3215" s="44" t="s">
        <v>5969</v>
      </c>
      <c r="E3215" s="44"/>
      <c r="F3215" s="45">
        <v>41809.459756944445</v>
      </c>
      <c r="G3215" s="46">
        <v>51</v>
      </c>
      <c r="H3215" s="47">
        <v>43404</v>
      </c>
      <c r="I3215" s="47">
        <v>43413</v>
      </c>
      <c r="J3215" s="46">
        <v>1815359</v>
      </c>
      <c r="K3215" s="46">
        <v>0</v>
      </c>
      <c r="L3215" s="46">
        <v>0</v>
      </c>
      <c r="M3215" s="46">
        <f t="shared" si="879"/>
        <v>1815359</v>
      </c>
      <c r="N3215" s="46">
        <v>2377529</v>
      </c>
      <c r="O3215" s="48">
        <f t="shared" si="880"/>
        <v>0.23645137451530562</v>
      </c>
      <c r="P3215" s="46">
        <v>0</v>
      </c>
      <c r="Q3215" s="46">
        <v>1815359</v>
      </c>
      <c r="R3215" s="49">
        <f t="shared" si="881"/>
        <v>1</v>
      </c>
      <c r="S3215" s="50">
        <f t="shared" si="882"/>
        <v>0.01</v>
      </c>
      <c r="T3215" s="49">
        <f t="shared" si="883"/>
        <v>18153.59</v>
      </c>
      <c r="U3215" s="51">
        <f t="shared" si="884"/>
        <v>0</v>
      </c>
      <c r="V3215" s="52">
        <f>IF(0&lt;0.8,0,IF(0&lt;1,Sheet3!L561,1))*IF(G3215&lt;3,0.12 - O3215,0.01) *U3215</f>
        <v>0</v>
      </c>
      <c r="W3215" s="52">
        <f t="shared" si="885"/>
        <v>0</v>
      </c>
      <c r="X3215" s="53">
        <f t="shared" si="886"/>
        <v>0</v>
      </c>
      <c r="Y3215" s="53">
        <f t="shared" si="887"/>
        <v>0</v>
      </c>
      <c r="Z3215" s="54">
        <f t="shared" si="893"/>
        <v>0</v>
      </c>
      <c r="AA3215" s="54">
        <f t="shared" si="888"/>
        <v>0</v>
      </c>
      <c r="AB3215" s="55">
        <f t="shared" si="894"/>
        <v>0</v>
      </c>
      <c r="AC3215" s="55">
        <f t="shared" si="889"/>
        <v>0</v>
      </c>
      <c r="AD3215" s="56">
        <f t="shared" si="890"/>
        <v>18153.59</v>
      </c>
    </row>
    <row r="3216" spans="3:30">
      <c r="C3216" s="43" t="s">
        <v>5971</v>
      </c>
      <c r="D3216" s="44" t="s">
        <v>5972</v>
      </c>
      <c r="E3216" s="44"/>
      <c r="F3216" s="45">
        <v>42563.347002314811</v>
      </c>
      <c r="G3216" s="46">
        <v>26</v>
      </c>
      <c r="H3216" s="47">
        <v>43404</v>
      </c>
      <c r="I3216" s="47">
        <v>43413</v>
      </c>
      <c r="J3216" s="46">
        <v>1157503</v>
      </c>
      <c r="K3216" s="46">
        <v>44000</v>
      </c>
      <c r="L3216" s="46">
        <v>0</v>
      </c>
      <c r="M3216" s="46">
        <f t="shared" si="879"/>
        <v>1113503</v>
      </c>
      <c r="N3216" s="46">
        <v>1523346</v>
      </c>
      <c r="O3216" s="48">
        <f t="shared" si="880"/>
        <v>0.26904130775280211</v>
      </c>
      <c r="P3216" s="46">
        <v>0</v>
      </c>
      <c r="Q3216" s="46">
        <v>1157503</v>
      </c>
      <c r="R3216" s="49">
        <f t="shared" si="881"/>
        <v>1</v>
      </c>
      <c r="S3216" s="50">
        <f t="shared" si="882"/>
        <v>0.01</v>
      </c>
      <c r="T3216" s="49">
        <f t="shared" si="883"/>
        <v>11135.03</v>
      </c>
      <c r="U3216" s="51">
        <f t="shared" si="884"/>
        <v>0</v>
      </c>
      <c r="V3216" s="52">
        <f>IF(0&lt;0.8,0,IF(0&lt;1,Sheet3!L561,1))*IF(G3216&lt;3,0.12 - O3216,0.01) *U3216</f>
        <v>0</v>
      </c>
      <c r="W3216" s="52">
        <f t="shared" si="885"/>
        <v>0</v>
      </c>
      <c r="X3216" s="53">
        <f t="shared" si="886"/>
        <v>0</v>
      </c>
      <c r="Y3216" s="53">
        <f t="shared" si="887"/>
        <v>0</v>
      </c>
      <c r="Z3216" s="54">
        <f t="shared" si="893"/>
        <v>0</v>
      </c>
      <c r="AA3216" s="54">
        <f t="shared" si="888"/>
        <v>0</v>
      </c>
      <c r="AB3216" s="55">
        <f t="shared" si="894"/>
        <v>0</v>
      </c>
      <c r="AC3216" s="55">
        <f t="shared" si="889"/>
        <v>0</v>
      </c>
      <c r="AD3216" s="56">
        <f t="shared" si="890"/>
        <v>11135.03</v>
      </c>
    </row>
    <row r="3217" spans="3:30">
      <c r="C3217" s="43" t="s">
        <v>5973</v>
      </c>
      <c r="D3217" s="44" t="s">
        <v>5974</v>
      </c>
      <c r="E3217" s="44"/>
      <c r="F3217" s="45">
        <v>42630.310243055552</v>
      </c>
      <c r="G3217" s="46">
        <v>24</v>
      </c>
      <c r="H3217" s="47">
        <v>43404</v>
      </c>
      <c r="I3217" s="47">
        <v>43413</v>
      </c>
      <c r="J3217" s="46">
        <v>2404215</v>
      </c>
      <c r="K3217" s="46">
        <v>44000</v>
      </c>
      <c r="L3217" s="46">
        <v>0</v>
      </c>
      <c r="M3217" s="46">
        <f t="shared" si="879"/>
        <v>2360215</v>
      </c>
      <c r="N3217" s="46">
        <v>2649170</v>
      </c>
      <c r="O3217" s="48">
        <f t="shared" si="880"/>
        <v>0.10907378537428702</v>
      </c>
      <c r="P3217" s="46">
        <v>0</v>
      </c>
      <c r="Q3217" s="46">
        <v>2404215</v>
      </c>
      <c r="R3217" s="49">
        <f t="shared" si="881"/>
        <v>1</v>
      </c>
      <c r="S3217" s="50">
        <f t="shared" si="882"/>
        <v>0.01</v>
      </c>
      <c r="T3217" s="49">
        <f t="shared" si="883"/>
        <v>23602.15</v>
      </c>
      <c r="U3217" s="51">
        <f t="shared" si="884"/>
        <v>0</v>
      </c>
      <c r="V3217" s="52">
        <f>IF(0&lt;0.8,0,IF(0&lt;1,Sheet3!L561,1))*IF(G3217&lt;3,0.12 - O3217,0.01) *U3217</f>
        <v>0</v>
      </c>
      <c r="W3217" s="52">
        <f t="shared" si="885"/>
        <v>0</v>
      </c>
      <c r="X3217" s="53">
        <f t="shared" si="886"/>
        <v>0</v>
      </c>
      <c r="Y3217" s="53">
        <f t="shared" si="887"/>
        <v>0</v>
      </c>
      <c r="Z3217" s="54">
        <f t="shared" si="893"/>
        <v>0</v>
      </c>
      <c r="AA3217" s="54">
        <f t="shared" si="888"/>
        <v>0</v>
      </c>
      <c r="AB3217" s="55">
        <f t="shared" si="894"/>
        <v>0</v>
      </c>
      <c r="AC3217" s="55">
        <f t="shared" si="889"/>
        <v>0</v>
      </c>
      <c r="AD3217" s="56">
        <f t="shared" si="890"/>
        <v>23602.15</v>
      </c>
    </row>
    <row r="3218" spans="3:30">
      <c r="C3218" s="43" t="s">
        <v>5975</v>
      </c>
      <c r="D3218" s="44" t="s">
        <v>5976</v>
      </c>
      <c r="E3218" s="44"/>
      <c r="F3218" s="45">
        <v>43140.283553240741</v>
      </c>
      <c r="G3218" s="46">
        <v>7</v>
      </c>
      <c r="H3218" s="47">
        <v>43397</v>
      </c>
      <c r="I3218" s="47">
        <v>43391</v>
      </c>
      <c r="J3218" s="46">
        <v>794970</v>
      </c>
      <c r="K3218" s="46">
        <v>0</v>
      </c>
      <c r="L3218" s="46">
        <v>0</v>
      </c>
      <c r="M3218" s="46">
        <f t="shared" si="879"/>
        <v>794970</v>
      </c>
      <c r="N3218" s="46">
        <v>883300</v>
      </c>
      <c r="O3218" s="48">
        <f t="shared" si="880"/>
        <v>9.9999999999999978E-2</v>
      </c>
      <c r="P3218" s="46">
        <v>0</v>
      </c>
      <c r="Q3218" s="46">
        <v>794970</v>
      </c>
      <c r="R3218" s="49">
        <f t="shared" si="881"/>
        <v>1</v>
      </c>
      <c r="S3218" s="50">
        <f t="shared" si="882"/>
        <v>0.01</v>
      </c>
      <c r="T3218" s="49">
        <f t="shared" si="883"/>
        <v>7949.7</v>
      </c>
      <c r="U3218" s="51">
        <f t="shared" si="884"/>
        <v>0</v>
      </c>
      <c r="V3218" s="52">
        <f>IF(0&lt;0.8,0,IF(0&lt;1,Sheet3!L561,1))*IF(G3218&lt;3,0.12 - O3218,0.01) *U3218</f>
        <v>0</v>
      </c>
      <c r="W3218" s="52">
        <f t="shared" si="885"/>
        <v>0</v>
      </c>
      <c r="X3218" s="53">
        <f t="shared" si="886"/>
        <v>0</v>
      </c>
      <c r="Y3218" s="53">
        <f t="shared" si="887"/>
        <v>0</v>
      </c>
      <c r="Z3218" s="54">
        <f t="shared" si="893"/>
        <v>0</v>
      </c>
      <c r="AA3218" s="54">
        <f t="shared" si="888"/>
        <v>0</v>
      </c>
      <c r="AB3218" s="55">
        <f t="shared" si="894"/>
        <v>0</v>
      </c>
      <c r="AC3218" s="55">
        <f t="shared" si="889"/>
        <v>0</v>
      </c>
      <c r="AD3218" s="56">
        <f t="shared" si="890"/>
        <v>7949.7</v>
      </c>
    </row>
    <row r="3219" spans="3:30">
      <c r="C3219" s="43" t="s">
        <v>5977</v>
      </c>
      <c r="D3219" s="44" t="s">
        <v>5978</v>
      </c>
      <c r="E3219" s="44"/>
      <c r="F3219" s="45">
        <v>43370.398796296293</v>
      </c>
      <c r="G3219" s="46">
        <v>0</v>
      </c>
      <c r="H3219" s="47">
        <v>43404</v>
      </c>
      <c r="I3219" s="47">
        <v>43413</v>
      </c>
      <c r="J3219" s="46">
        <v>4310544</v>
      </c>
      <c r="K3219" s="46">
        <v>1848000</v>
      </c>
      <c r="L3219" s="46">
        <v>0</v>
      </c>
      <c r="M3219" s="46">
        <f t="shared" si="879"/>
        <v>2462544</v>
      </c>
      <c r="N3219" s="46">
        <v>4392300</v>
      </c>
      <c r="O3219" s="48">
        <f t="shared" si="880"/>
        <v>0.43934977119049246</v>
      </c>
      <c r="P3219" s="46">
        <v>0</v>
      </c>
      <c r="Q3219" s="46">
        <v>0</v>
      </c>
      <c r="R3219" s="49">
        <f t="shared" si="881"/>
        <v>0</v>
      </c>
      <c r="S3219" s="50">
        <f t="shared" si="882"/>
        <v>0</v>
      </c>
      <c r="T3219" s="49">
        <f t="shared" si="883"/>
        <v>0</v>
      </c>
      <c r="U3219" s="51">
        <f t="shared" si="884"/>
        <v>0</v>
      </c>
      <c r="V3219" s="52">
        <f>IF(0&lt;0.8,0,IF(0&lt;1,Sheet3!L561,1))*IF(G3219&lt;3,0.12 - O3219,0.01) *U3219</f>
        <v>0</v>
      </c>
      <c r="W3219" s="52">
        <f t="shared" si="885"/>
        <v>0</v>
      </c>
      <c r="X3219" s="53">
        <f t="shared" si="886"/>
        <v>0</v>
      </c>
      <c r="Y3219" s="53">
        <f t="shared" si="887"/>
        <v>0</v>
      </c>
      <c r="Z3219" s="54">
        <f t="shared" si="893"/>
        <v>0</v>
      </c>
      <c r="AA3219" s="54">
        <f t="shared" si="888"/>
        <v>0</v>
      </c>
      <c r="AB3219" s="55">
        <f t="shared" si="894"/>
        <v>0</v>
      </c>
      <c r="AC3219" s="55">
        <f t="shared" si="889"/>
        <v>0</v>
      </c>
      <c r="AD3219" s="56">
        <f t="shared" si="890"/>
        <v>0</v>
      </c>
    </row>
    <row r="3220" spans="3:30">
      <c r="C3220" s="43" t="s">
        <v>5979</v>
      </c>
      <c r="D3220" s="44" t="s">
        <v>5980</v>
      </c>
      <c r="E3220" s="44"/>
      <c r="F3220" s="45">
        <v>42521.272326388884</v>
      </c>
      <c r="G3220" s="46">
        <v>28</v>
      </c>
      <c r="H3220" s="47" t="s">
        <v>24</v>
      </c>
      <c r="I3220" s="47" t="s">
        <v>24</v>
      </c>
      <c r="J3220" s="46">
        <v>0</v>
      </c>
      <c r="K3220" s="46">
        <v>0</v>
      </c>
      <c r="L3220" s="46">
        <v>0</v>
      </c>
      <c r="M3220" s="46">
        <f t="shared" si="879"/>
        <v>0</v>
      </c>
      <c r="N3220" s="46">
        <v>612260</v>
      </c>
      <c r="O3220" s="48">
        <f t="shared" si="880"/>
        <v>1</v>
      </c>
      <c r="P3220" s="46">
        <v>0</v>
      </c>
      <c r="Q3220" s="46">
        <v>0</v>
      </c>
      <c r="R3220" s="49">
        <f t="shared" si="881"/>
        <v>1</v>
      </c>
      <c r="S3220" s="50">
        <f t="shared" si="882"/>
        <v>0.01</v>
      </c>
      <c r="T3220" s="49">
        <f t="shared" si="883"/>
        <v>0</v>
      </c>
      <c r="U3220" s="51">
        <f t="shared" si="884"/>
        <v>0</v>
      </c>
      <c r="V3220" s="52">
        <f>IF(0&lt;0.8,0,IF(0&lt;1,Sheet3!L561,1))*IF(G3220&lt;3,0.12 - O3220,0.01) *U3220</f>
        <v>0</v>
      </c>
      <c r="W3220" s="52">
        <f t="shared" si="885"/>
        <v>0</v>
      </c>
      <c r="X3220" s="53">
        <f t="shared" si="886"/>
        <v>0</v>
      </c>
      <c r="Y3220" s="53">
        <f t="shared" si="887"/>
        <v>0</v>
      </c>
      <c r="Z3220" s="54">
        <f>IF(R3220=1,0,"")</f>
        <v>0</v>
      </c>
      <c r="AA3220" s="54">
        <f t="shared" si="888"/>
        <v>0</v>
      </c>
      <c r="AB3220" s="55">
        <f>IF(R3220=0,"",0)</f>
        <v>0</v>
      </c>
      <c r="AC3220" s="55">
        <f t="shared" si="889"/>
        <v>0</v>
      </c>
      <c r="AD3220" s="56">
        <f t="shared" si="890"/>
        <v>0</v>
      </c>
    </row>
    <row r="3221" spans="3:30">
      <c r="C3221" s="43" t="s">
        <v>5981</v>
      </c>
      <c r="D3221" s="44" t="s">
        <v>995</v>
      </c>
      <c r="E3221" s="44"/>
      <c r="F3221" s="45">
        <v>43316.252766203703</v>
      </c>
      <c r="G3221" s="46">
        <v>1</v>
      </c>
      <c r="H3221" s="47">
        <v>43431</v>
      </c>
      <c r="I3221" s="47">
        <v>43462</v>
      </c>
      <c r="J3221" s="46">
        <v>766715</v>
      </c>
      <c r="K3221" s="46">
        <v>0</v>
      </c>
      <c r="L3221" s="46">
        <v>0</v>
      </c>
      <c r="M3221" s="46">
        <f t="shared" si="879"/>
        <v>766715</v>
      </c>
      <c r="N3221" s="46">
        <v>964128</v>
      </c>
      <c r="O3221" s="48">
        <f t="shared" si="880"/>
        <v>0.20475808191443456</v>
      </c>
      <c r="P3221" s="46">
        <v>0</v>
      </c>
      <c r="Q3221" s="46">
        <v>0</v>
      </c>
      <c r="R3221" s="49">
        <f t="shared" si="881"/>
        <v>0</v>
      </c>
      <c r="S3221" s="50">
        <f t="shared" si="882"/>
        <v>0</v>
      </c>
      <c r="T3221" s="49">
        <f t="shared" si="883"/>
        <v>0</v>
      </c>
      <c r="U3221" s="51">
        <f t="shared" si="884"/>
        <v>0</v>
      </c>
      <c r="V3221" s="52">
        <f>IF(0&lt;0.8,0,IF(0&lt;1,Sheet3!L561,1))*IF(G3221&lt;3,0.12 - O3221,0.01) *U3221</f>
        <v>0</v>
      </c>
      <c r="W3221" s="52">
        <f t="shared" si="885"/>
        <v>0</v>
      </c>
      <c r="X3221" s="53">
        <f t="shared" si="886"/>
        <v>0</v>
      </c>
      <c r="Y3221" s="53">
        <f t="shared" si="887"/>
        <v>0</v>
      </c>
      <c r="Z3221" s="54">
        <f t="shared" ref="Z3221:Z3231" si="895">IF(R3221=1,0,0)</f>
        <v>0</v>
      </c>
      <c r="AA3221" s="54">
        <f t="shared" si="888"/>
        <v>0</v>
      </c>
      <c r="AB3221" s="55">
        <f t="shared" ref="AB3221:AB3231" si="896">IF(R3221=0,0,0)</f>
        <v>0</v>
      </c>
      <c r="AC3221" s="55">
        <f t="shared" si="889"/>
        <v>0</v>
      </c>
      <c r="AD3221" s="56">
        <f t="shared" si="890"/>
        <v>0</v>
      </c>
    </row>
    <row r="3222" spans="3:30">
      <c r="C3222" s="43" t="s">
        <v>5982</v>
      </c>
      <c r="D3222" s="44" t="s">
        <v>995</v>
      </c>
      <c r="E3222" s="44"/>
      <c r="F3222" s="45">
        <v>43316.691979166666</v>
      </c>
      <c r="G3222" s="46">
        <v>1</v>
      </c>
      <c r="H3222" s="47">
        <v>43431</v>
      </c>
      <c r="I3222" s="47">
        <v>43462</v>
      </c>
      <c r="J3222" s="46">
        <v>2383819</v>
      </c>
      <c r="K3222" s="46">
        <v>0</v>
      </c>
      <c r="L3222" s="46">
        <v>0</v>
      </c>
      <c r="M3222" s="46">
        <f t="shared" si="879"/>
        <v>2383819</v>
      </c>
      <c r="N3222" s="46">
        <v>2758921</v>
      </c>
      <c r="O3222" s="48">
        <f t="shared" si="880"/>
        <v>0.13595967408997933</v>
      </c>
      <c r="P3222" s="46">
        <v>0</v>
      </c>
      <c r="Q3222" s="46">
        <v>0</v>
      </c>
      <c r="R3222" s="49">
        <f t="shared" si="881"/>
        <v>0</v>
      </c>
      <c r="S3222" s="50">
        <f t="shared" si="882"/>
        <v>0</v>
      </c>
      <c r="T3222" s="49">
        <f t="shared" si="883"/>
        <v>0</v>
      </c>
      <c r="U3222" s="51">
        <f t="shared" si="884"/>
        <v>0</v>
      </c>
      <c r="V3222" s="52">
        <f>IF(0&lt;0.8,0,IF(0&lt;1,Sheet3!L561,1))*IF(G3222&lt;3,0.12 - O3222,0.01) *U3222</f>
        <v>0</v>
      </c>
      <c r="W3222" s="52">
        <f t="shared" si="885"/>
        <v>0</v>
      </c>
      <c r="X3222" s="53">
        <f t="shared" si="886"/>
        <v>0</v>
      </c>
      <c r="Y3222" s="53">
        <f t="shared" si="887"/>
        <v>0</v>
      </c>
      <c r="Z3222" s="54">
        <f t="shared" si="895"/>
        <v>0</v>
      </c>
      <c r="AA3222" s="54">
        <f t="shared" si="888"/>
        <v>0</v>
      </c>
      <c r="AB3222" s="55">
        <f t="shared" si="896"/>
        <v>0</v>
      </c>
      <c r="AC3222" s="55">
        <f t="shared" si="889"/>
        <v>0</v>
      </c>
      <c r="AD3222" s="56">
        <f t="shared" si="890"/>
        <v>0</v>
      </c>
    </row>
    <row r="3223" spans="3:30">
      <c r="C3223" s="43" t="s">
        <v>5983</v>
      </c>
      <c r="D3223" s="44" t="s">
        <v>5984</v>
      </c>
      <c r="E3223" s="44"/>
      <c r="F3223" s="45">
        <v>41130.685532407406</v>
      </c>
      <c r="G3223" s="46">
        <v>73</v>
      </c>
      <c r="H3223" s="47">
        <v>43459</v>
      </c>
      <c r="I3223" s="47">
        <v>43487</v>
      </c>
      <c r="J3223" s="46">
        <v>3964797</v>
      </c>
      <c r="K3223" s="46">
        <v>0</v>
      </c>
      <c r="L3223" s="46">
        <v>0</v>
      </c>
      <c r="M3223" s="46">
        <f t="shared" si="879"/>
        <v>3964797</v>
      </c>
      <c r="N3223" s="46">
        <v>3948062</v>
      </c>
      <c r="O3223" s="48">
        <f t="shared" si="880"/>
        <v>0</v>
      </c>
      <c r="P3223" s="46">
        <v>0</v>
      </c>
      <c r="Q3223" s="46">
        <v>3964797</v>
      </c>
      <c r="R3223" s="49">
        <f t="shared" si="881"/>
        <v>1</v>
      </c>
      <c r="S3223" s="50">
        <f t="shared" si="882"/>
        <v>0.01</v>
      </c>
      <c r="T3223" s="49">
        <f t="shared" si="883"/>
        <v>39647.97</v>
      </c>
      <c r="U3223" s="51">
        <f t="shared" si="884"/>
        <v>0</v>
      </c>
      <c r="V3223" s="52">
        <f>IF(0&lt;0.8,0,IF(0&lt;1,Sheet3!L561,1))*IF(G3223&lt;3,0.12 - O3223,0.01) *U3223</f>
        <v>0</v>
      </c>
      <c r="W3223" s="52">
        <f t="shared" si="885"/>
        <v>0</v>
      </c>
      <c r="X3223" s="53">
        <f t="shared" si="886"/>
        <v>0</v>
      </c>
      <c r="Y3223" s="53">
        <f t="shared" si="887"/>
        <v>0</v>
      </c>
      <c r="Z3223" s="54">
        <f t="shared" si="895"/>
        <v>0</v>
      </c>
      <c r="AA3223" s="54">
        <f t="shared" si="888"/>
        <v>0</v>
      </c>
      <c r="AB3223" s="55">
        <f t="shared" si="896"/>
        <v>0</v>
      </c>
      <c r="AC3223" s="55">
        <f t="shared" si="889"/>
        <v>0</v>
      </c>
      <c r="AD3223" s="56">
        <f t="shared" si="890"/>
        <v>39647.97</v>
      </c>
    </row>
    <row r="3224" spans="3:30">
      <c r="C3224" s="43" t="s">
        <v>5985</v>
      </c>
      <c r="D3224" s="44" t="s">
        <v>5986</v>
      </c>
      <c r="E3224" s="44"/>
      <c r="F3224" s="45">
        <v>41281.646458333329</v>
      </c>
      <c r="G3224" s="46">
        <v>68</v>
      </c>
      <c r="H3224" s="47">
        <v>43397</v>
      </c>
      <c r="I3224" s="47">
        <v>43413</v>
      </c>
      <c r="J3224" s="46">
        <v>2621936</v>
      </c>
      <c r="K3224" s="46">
        <v>238361</v>
      </c>
      <c r="L3224" s="46">
        <v>0</v>
      </c>
      <c r="M3224" s="46">
        <f t="shared" si="879"/>
        <v>2383575</v>
      </c>
      <c r="N3224" s="46">
        <v>4480505</v>
      </c>
      <c r="O3224" s="48">
        <f t="shared" si="880"/>
        <v>0.46801197632856117</v>
      </c>
      <c r="P3224" s="46">
        <v>0</v>
      </c>
      <c r="Q3224" s="46">
        <v>2621936</v>
      </c>
      <c r="R3224" s="49">
        <f t="shared" si="881"/>
        <v>1</v>
      </c>
      <c r="S3224" s="50">
        <f t="shared" si="882"/>
        <v>0.01</v>
      </c>
      <c r="T3224" s="49">
        <f t="shared" si="883"/>
        <v>23835.75</v>
      </c>
      <c r="U3224" s="51">
        <f t="shared" si="884"/>
        <v>0</v>
      </c>
      <c r="V3224" s="52">
        <f>IF(0&lt;0.8,0,IF(0&lt;1,Sheet3!L561,1))*IF(G3224&lt;3,0.12 - O3224,0.01) *U3224</f>
        <v>0</v>
      </c>
      <c r="W3224" s="52">
        <f t="shared" si="885"/>
        <v>0</v>
      </c>
      <c r="X3224" s="53">
        <f t="shared" si="886"/>
        <v>0</v>
      </c>
      <c r="Y3224" s="53">
        <f t="shared" si="887"/>
        <v>0</v>
      </c>
      <c r="Z3224" s="54">
        <f t="shared" si="895"/>
        <v>0</v>
      </c>
      <c r="AA3224" s="54">
        <f t="shared" si="888"/>
        <v>0</v>
      </c>
      <c r="AB3224" s="55">
        <f t="shared" si="896"/>
        <v>0</v>
      </c>
      <c r="AC3224" s="55">
        <f t="shared" si="889"/>
        <v>0</v>
      </c>
      <c r="AD3224" s="56">
        <f t="shared" si="890"/>
        <v>23835.75</v>
      </c>
    </row>
    <row r="3225" spans="3:30">
      <c r="C3225" s="43" t="s">
        <v>5987</v>
      </c>
      <c r="D3225" s="44" t="s">
        <v>5988</v>
      </c>
      <c r="E3225" s="44"/>
      <c r="F3225" s="45">
        <v>41540.398090277777</v>
      </c>
      <c r="G3225" s="46">
        <v>60</v>
      </c>
      <c r="H3225" s="47">
        <v>43397</v>
      </c>
      <c r="I3225" s="47">
        <v>43413</v>
      </c>
      <c r="J3225" s="46">
        <v>9865472</v>
      </c>
      <c r="K3225" s="46">
        <v>896867</v>
      </c>
      <c r="L3225" s="46">
        <v>0</v>
      </c>
      <c r="M3225" s="46">
        <f t="shared" si="879"/>
        <v>8968605</v>
      </c>
      <c r="N3225" s="46">
        <v>12574793</v>
      </c>
      <c r="O3225" s="48">
        <f t="shared" si="880"/>
        <v>0.28677911437587877</v>
      </c>
      <c r="P3225" s="46">
        <v>0</v>
      </c>
      <c r="Q3225" s="46">
        <v>9865472</v>
      </c>
      <c r="R3225" s="49">
        <f t="shared" si="881"/>
        <v>1</v>
      </c>
      <c r="S3225" s="50">
        <f t="shared" si="882"/>
        <v>0.01</v>
      </c>
      <c r="T3225" s="49">
        <f t="shared" si="883"/>
        <v>89686.05</v>
      </c>
      <c r="U3225" s="51">
        <f t="shared" si="884"/>
        <v>0</v>
      </c>
      <c r="V3225" s="52">
        <f>IF(0&lt;0.8,0,IF(0&lt;1,Sheet3!L561,1))*IF(G3225&lt;3,0.12 - O3225,0.01) *U3225</f>
        <v>0</v>
      </c>
      <c r="W3225" s="52">
        <f t="shared" si="885"/>
        <v>0</v>
      </c>
      <c r="X3225" s="53">
        <f t="shared" si="886"/>
        <v>0</v>
      </c>
      <c r="Y3225" s="53">
        <f t="shared" si="887"/>
        <v>0</v>
      </c>
      <c r="Z3225" s="54">
        <f t="shared" si="895"/>
        <v>0</v>
      </c>
      <c r="AA3225" s="54">
        <f t="shared" si="888"/>
        <v>0</v>
      </c>
      <c r="AB3225" s="55">
        <f t="shared" si="896"/>
        <v>0</v>
      </c>
      <c r="AC3225" s="55">
        <f t="shared" si="889"/>
        <v>0</v>
      </c>
      <c r="AD3225" s="56">
        <f t="shared" si="890"/>
        <v>89686.05</v>
      </c>
    </row>
    <row r="3226" spans="3:30">
      <c r="C3226" s="43" t="s">
        <v>5989</v>
      </c>
      <c r="D3226" s="44" t="s">
        <v>5990</v>
      </c>
      <c r="E3226" s="44"/>
      <c r="F3226" s="45">
        <v>41860.408715277779</v>
      </c>
      <c r="G3226" s="46">
        <v>49</v>
      </c>
      <c r="H3226" s="47">
        <v>43392</v>
      </c>
      <c r="I3226" s="47">
        <v>43416</v>
      </c>
      <c r="J3226" s="46">
        <v>1077760</v>
      </c>
      <c r="K3226" s="46">
        <v>0</v>
      </c>
      <c r="L3226" s="46">
        <v>0</v>
      </c>
      <c r="M3226" s="46">
        <f t="shared" si="879"/>
        <v>1077760</v>
      </c>
      <c r="N3226" s="46">
        <v>1075085</v>
      </c>
      <c r="O3226" s="48">
        <f t="shared" si="880"/>
        <v>0</v>
      </c>
      <c r="P3226" s="46">
        <v>0</v>
      </c>
      <c r="Q3226" s="46">
        <v>1077760</v>
      </c>
      <c r="R3226" s="49">
        <f t="shared" si="881"/>
        <v>1</v>
      </c>
      <c r="S3226" s="50">
        <f t="shared" si="882"/>
        <v>0.01</v>
      </c>
      <c r="T3226" s="49">
        <f t="shared" si="883"/>
        <v>10777.6</v>
      </c>
      <c r="U3226" s="51">
        <f t="shared" si="884"/>
        <v>0</v>
      </c>
      <c r="V3226" s="52">
        <f>IF(0&lt;0.8,0,IF(0&lt;1,Sheet3!L561,1))*IF(G3226&lt;3,0.12 - O3226,0.01) *U3226</f>
        <v>0</v>
      </c>
      <c r="W3226" s="52">
        <f t="shared" si="885"/>
        <v>0</v>
      </c>
      <c r="X3226" s="53">
        <f t="shared" si="886"/>
        <v>0</v>
      </c>
      <c r="Y3226" s="53">
        <f t="shared" si="887"/>
        <v>0</v>
      </c>
      <c r="Z3226" s="54">
        <f t="shared" si="895"/>
        <v>0</v>
      </c>
      <c r="AA3226" s="54">
        <f t="shared" si="888"/>
        <v>0</v>
      </c>
      <c r="AB3226" s="55">
        <f t="shared" si="896"/>
        <v>0</v>
      </c>
      <c r="AC3226" s="55">
        <f t="shared" si="889"/>
        <v>0</v>
      </c>
      <c r="AD3226" s="56">
        <f t="shared" si="890"/>
        <v>10777.6</v>
      </c>
    </row>
    <row r="3227" spans="3:30">
      <c r="C3227" s="43" t="s">
        <v>5991</v>
      </c>
      <c r="D3227" s="44" t="s">
        <v>5992</v>
      </c>
      <c r="E3227" s="44"/>
      <c r="F3227" s="45">
        <v>42172.66538194444</v>
      </c>
      <c r="G3227" s="46">
        <v>39</v>
      </c>
      <c r="H3227" s="47">
        <v>43397</v>
      </c>
      <c r="I3227" s="47">
        <v>43413</v>
      </c>
      <c r="J3227" s="46">
        <v>2651719</v>
      </c>
      <c r="K3227" s="46">
        <v>241069</v>
      </c>
      <c r="L3227" s="46">
        <v>0</v>
      </c>
      <c r="M3227" s="46">
        <f t="shared" si="879"/>
        <v>2410650</v>
      </c>
      <c r="N3227" s="46">
        <v>4241530</v>
      </c>
      <c r="O3227" s="48">
        <f t="shared" si="880"/>
        <v>0.43165555825374335</v>
      </c>
      <c r="P3227" s="46">
        <v>0</v>
      </c>
      <c r="Q3227" s="46">
        <v>2651719</v>
      </c>
      <c r="R3227" s="49">
        <f t="shared" si="881"/>
        <v>1</v>
      </c>
      <c r="S3227" s="50">
        <f t="shared" si="882"/>
        <v>0.01</v>
      </c>
      <c r="T3227" s="49">
        <f t="shared" si="883"/>
        <v>24106.5</v>
      </c>
      <c r="U3227" s="51">
        <f t="shared" si="884"/>
        <v>0</v>
      </c>
      <c r="V3227" s="52">
        <f>IF(0&lt;0.8,0,IF(0&lt;1,Sheet3!L561,1))*IF(G3227&lt;3,0.12 - O3227,0.01) *U3227</f>
        <v>0</v>
      </c>
      <c r="W3227" s="52">
        <f t="shared" si="885"/>
        <v>0</v>
      </c>
      <c r="X3227" s="53">
        <f t="shared" si="886"/>
        <v>0</v>
      </c>
      <c r="Y3227" s="53">
        <f t="shared" si="887"/>
        <v>0</v>
      </c>
      <c r="Z3227" s="54">
        <f t="shared" si="895"/>
        <v>0</v>
      </c>
      <c r="AA3227" s="54">
        <f t="shared" si="888"/>
        <v>0</v>
      </c>
      <c r="AB3227" s="55">
        <f t="shared" si="896"/>
        <v>0</v>
      </c>
      <c r="AC3227" s="55">
        <f t="shared" si="889"/>
        <v>0</v>
      </c>
      <c r="AD3227" s="56">
        <f t="shared" si="890"/>
        <v>24106.5</v>
      </c>
    </row>
    <row r="3228" spans="3:30">
      <c r="C3228" s="43" t="s">
        <v>5993</v>
      </c>
      <c r="D3228" s="44" t="s">
        <v>5994</v>
      </c>
      <c r="E3228" s="44"/>
      <c r="F3228" s="45">
        <v>42521.101724537039</v>
      </c>
      <c r="G3228" s="46">
        <v>28</v>
      </c>
      <c r="H3228" s="47">
        <v>43397</v>
      </c>
      <c r="I3228" s="47">
        <v>43413</v>
      </c>
      <c r="J3228" s="46">
        <v>3183620</v>
      </c>
      <c r="K3228" s="46">
        <v>289420</v>
      </c>
      <c r="L3228" s="46">
        <v>0</v>
      </c>
      <c r="M3228" s="46">
        <f t="shared" si="879"/>
        <v>2894200</v>
      </c>
      <c r="N3228" s="46">
        <v>4005979</v>
      </c>
      <c r="O3228" s="48">
        <f t="shared" si="880"/>
        <v>0.27752991216379319</v>
      </c>
      <c r="P3228" s="46">
        <v>0</v>
      </c>
      <c r="Q3228" s="46">
        <v>3183620</v>
      </c>
      <c r="R3228" s="49">
        <f t="shared" si="881"/>
        <v>1</v>
      </c>
      <c r="S3228" s="50">
        <f t="shared" si="882"/>
        <v>0.01</v>
      </c>
      <c r="T3228" s="49">
        <f t="shared" si="883"/>
        <v>28942</v>
      </c>
      <c r="U3228" s="51">
        <f t="shared" si="884"/>
        <v>0</v>
      </c>
      <c r="V3228" s="52">
        <f>IF(0&lt;0.8,0,IF(0&lt;1,Sheet3!L561,1))*IF(G3228&lt;3,0.12 - O3228,0.01) *U3228</f>
        <v>0</v>
      </c>
      <c r="W3228" s="52">
        <f t="shared" si="885"/>
        <v>0</v>
      </c>
      <c r="X3228" s="53">
        <f t="shared" si="886"/>
        <v>0</v>
      </c>
      <c r="Y3228" s="53">
        <f t="shared" si="887"/>
        <v>0</v>
      </c>
      <c r="Z3228" s="54">
        <f t="shared" si="895"/>
        <v>0</v>
      </c>
      <c r="AA3228" s="54">
        <f t="shared" si="888"/>
        <v>0</v>
      </c>
      <c r="AB3228" s="55">
        <f t="shared" si="896"/>
        <v>0</v>
      </c>
      <c r="AC3228" s="55">
        <f t="shared" si="889"/>
        <v>0</v>
      </c>
      <c r="AD3228" s="56">
        <f t="shared" si="890"/>
        <v>28942</v>
      </c>
    </row>
    <row r="3229" spans="3:30">
      <c r="C3229" s="43" t="s">
        <v>5995</v>
      </c>
      <c r="D3229" s="44" t="s">
        <v>5996</v>
      </c>
      <c r="E3229" s="44"/>
      <c r="F3229" s="45">
        <v>42746.13549768518</v>
      </c>
      <c r="G3229" s="46">
        <v>20</v>
      </c>
      <c r="H3229" s="47">
        <v>43397</v>
      </c>
      <c r="I3229" s="47">
        <v>43413</v>
      </c>
      <c r="J3229" s="46">
        <v>2484661</v>
      </c>
      <c r="K3229" s="46">
        <v>26058</v>
      </c>
      <c r="L3229" s="46">
        <v>0</v>
      </c>
      <c r="M3229" s="46">
        <f t="shared" si="879"/>
        <v>2458603</v>
      </c>
      <c r="N3229" s="46">
        <v>3762928</v>
      </c>
      <c r="O3229" s="48">
        <f t="shared" si="880"/>
        <v>0.34662502179154109</v>
      </c>
      <c r="P3229" s="46">
        <v>0</v>
      </c>
      <c r="Q3229" s="46">
        <v>2484661</v>
      </c>
      <c r="R3229" s="49">
        <f t="shared" si="881"/>
        <v>1</v>
      </c>
      <c r="S3229" s="50">
        <f t="shared" si="882"/>
        <v>0.01</v>
      </c>
      <c r="T3229" s="49">
        <f t="shared" si="883"/>
        <v>24586.03</v>
      </c>
      <c r="U3229" s="51">
        <f t="shared" si="884"/>
        <v>0</v>
      </c>
      <c r="V3229" s="52">
        <f>IF(0&lt;0.8,0,IF(0&lt;1,Sheet3!L561,1))*IF(G3229&lt;3,0.12 - O3229,0.01) *U3229</f>
        <v>0</v>
      </c>
      <c r="W3229" s="52">
        <f t="shared" si="885"/>
        <v>0</v>
      </c>
      <c r="X3229" s="53">
        <f t="shared" si="886"/>
        <v>0</v>
      </c>
      <c r="Y3229" s="53">
        <f t="shared" si="887"/>
        <v>0</v>
      </c>
      <c r="Z3229" s="54">
        <f t="shared" si="895"/>
        <v>0</v>
      </c>
      <c r="AA3229" s="54">
        <f t="shared" si="888"/>
        <v>0</v>
      </c>
      <c r="AB3229" s="55">
        <f t="shared" si="896"/>
        <v>0</v>
      </c>
      <c r="AC3229" s="55">
        <f t="shared" si="889"/>
        <v>0</v>
      </c>
      <c r="AD3229" s="56">
        <f t="shared" si="890"/>
        <v>24586.03</v>
      </c>
    </row>
    <row r="3230" spans="3:30">
      <c r="C3230" s="43" t="s">
        <v>5997</v>
      </c>
      <c r="D3230" s="44" t="s">
        <v>5998</v>
      </c>
      <c r="E3230" s="44"/>
      <c r="F3230" s="45">
        <v>42746.136770833335</v>
      </c>
      <c r="G3230" s="46">
        <v>20</v>
      </c>
      <c r="H3230" s="47">
        <v>43397</v>
      </c>
      <c r="I3230" s="47">
        <v>43413</v>
      </c>
      <c r="J3230" s="46">
        <v>1324593</v>
      </c>
      <c r="K3230" s="46">
        <v>191400</v>
      </c>
      <c r="L3230" s="46">
        <v>0</v>
      </c>
      <c r="M3230" s="46">
        <f t="shared" si="879"/>
        <v>1133193</v>
      </c>
      <c r="N3230" s="46">
        <v>2184237</v>
      </c>
      <c r="O3230" s="48">
        <f t="shared" si="880"/>
        <v>0.48119503515415218</v>
      </c>
      <c r="P3230" s="46">
        <v>0</v>
      </c>
      <c r="Q3230" s="46">
        <v>1153213</v>
      </c>
      <c r="R3230" s="49">
        <f t="shared" si="881"/>
        <v>1</v>
      </c>
      <c r="S3230" s="50">
        <f t="shared" si="882"/>
        <v>0.01</v>
      </c>
      <c r="T3230" s="49">
        <f t="shared" si="883"/>
        <v>11331.93</v>
      </c>
      <c r="U3230" s="51">
        <f t="shared" si="884"/>
        <v>0</v>
      </c>
      <c r="V3230" s="52">
        <f>IF(0&lt;0.8,0,IF(0&lt;1,Sheet3!L561,1))*IF(G3230&lt;3,0.12 - O3230,0.01) *U3230</f>
        <v>0</v>
      </c>
      <c r="W3230" s="52">
        <f t="shared" si="885"/>
        <v>0</v>
      </c>
      <c r="X3230" s="53">
        <f t="shared" si="886"/>
        <v>0</v>
      </c>
      <c r="Y3230" s="53">
        <f t="shared" si="887"/>
        <v>0</v>
      </c>
      <c r="Z3230" s="54">
        <f t="shared" si="895"/>
        <v>0</v>
      </c>
      <c r="AA3230" s="54">
        <f t="shared" si="888"/>
        <v>0</v>
      </c>
      <c r="AB3230" s="55">
        <f t="shared" si="896"/>
        <v>0</v>
      </c>
      <c r="AC3230" s="55">
        <f t="shared" si="889"/>
        <v>0</v>
      </c>
      <c r="AD3230" s="56">
        <f t="shared" si="890"/>
        <v>11331.93</v>
      </c>
    </row>
    <row r="3231" spans="3:30">
      <c r="C3231" s="43" t="s">
        <v>5999</v>
      </c>
      <c r="D3231" s="44" t="s">
        <v>6000</v>
      </c>
      <c r="E3231" s="44"/>
      <c r="F3231" s="45">
        <v>42800.17597222222</v>
      </c>
      <c r="G3231" s="46">
        <v>18</v>
      </c>
      <c r="H3231" s="47">
        <v>43392</v>
      </c>
      <c r="I3231" s="47">
        <v>43409</v>
      </c>
      <c r="J3231" s="46">
        <v>771440</v>
      </c>
      <c r="K3231" s="46">
        <v>0</v>
      </c>
      <c r="L3231" s="46">
        <v>0</v>
      </c>
      <c r="M3231" s="46">
        <f t="shared" si="879"/>
        <v>771440</v>
      </c>
      <c r="N3231" s="46">
        <v>715695</v>
      </c>
      <c r="O3231" s="48">
        <f t="shared" si="880"/>
        <v>0</v>
      </c>
      <c r="P3231" s="46">
        <v>0</v>
      </c>
      <c r="Q3231" s="46">
        <v>771440</v>
      </c>
      <c r="R3231" s="49">
        <f t="shared" si="881"/>
        <v>1</v>
      </c>
      <c r="S3231" s="50">
        <f t="shared" si="882"/>
        <v>0.01</v>
      </c>
      <c r="T3231" s="49">
        <f t="shared" si="883"/>
        <v>7714.4000000000005</v>
      </c>
      <c r="U3231" s="51">
        <f t="shared" si="884"/>
        <v>0</v>
      </c>
      <c r="V3231" s="52">
        <f>IF(0&lt;0.8,0,IF(0&lt;1,Sheet3!L561,1))*IF(G3231&lt;3,0.12 - O3231,0.01) *U3231</f>
        <v>0</v>
      </c>
      <c r="W3231" s="52">
        <f t="shared" si="885"/>
        <v>0</v>
      </c>
      <c r="X3231" s="53">
        <f t="shared" si="886"/>
        <v>0</v>
      </c>
      <c r="Y3231" s="53">
        <f t="shared" si="887"/>
        <v>0</v>
      </c>
      <c r="Z3231" s="54">
        <f t="shared" si="895"/>
        <v>0</v>
      </c>
      <c r="AA3231" s="54">
        <f t="shared" si="888"/>
        <v>0</v>
      </c>
      <c r="AB3231" s="55">
        <f t="shared" si="896"/>
        <v>0</v>
      </c>
      <c r="AC3231" s="55">
        <f t="shared" si="889"/>
        <v>0</v>
      </c>
      <c r="AD3231" s="56">
        <f t="shared" si="890"/>
        <v>7714.4000000000005</v>
      </c>
    </row>
    <row r="3232" spans="3:30">
      <c r="C3232" s="43" t="s">
        <v>6001</v>
      </c>
      <c r="D3232" s="44" t="s">
        <v>6002</v>
      </c>
      <c r="E3232" s="44"/>
      <c r="F3232" s="45">
        <v>42521.278333333328</v>
      </c>
      <c r="G3232" s="46">
        <v>28</v>
      </c>
      <c r="H3232" s="47" t="s">
        <v>24</v>
      </c>
      <c r="I3232" s="47" t="s">
        <v>24</v>
      </c>
      <c r="J3232" s="46">
        <v>0</v>
      </c>
      <c r="K3232" s="46">
        <v>0</v>
      </c>
      <c r="L3232" s="46">
        <v>0</v>
      </c>
      <c r="M3232" s="46">
        <f t="shared" si="879"/>
        <v>0</v>
      </c>
      <c r="N3232" s="46">
        <v>1648141</v>
      </c>
      <c r="O3232" s="48">
        <f t="shared" si="880"/>
        <v>1</v>
      </c>
      <c r="P3232" s="46">
        <v>0</v>
      </c>
      <c r="Q3232" s="46">
        <v>0</v>
      </c>
      <c r="R3232" s="49">
        <f t="shared" si="881"/>
        <v>1</v>
      </c>
      <c r="S3232" s="50">
        <f t="shared" si="882"/>
        <v>0.01</v>
      </c>
      <c r="T3232" s="49">
        <f t="shared" si="883"/>
        <v>0</v>
      </c>
      <c r="U3232" s="51">
        <f t="shared" si="884"/>
        <v>0</v>
      </c>
      <c r="V3232" s="52">
        <f>IF(0&lt;0.8,0,IF(0&lt;1,Sheet3!L561,1))*IF(G3232&lt;3,0.12 - O3232,0.01) *U3232</f>
        <v>0</v>
      </c>
      <c r="W3232" s="52">
        <f t="shared" si="885"/>
        <v>0</v>
      </c>
      <c r="X3232" s="53">
        <f t="shared" si="886"/>
        <v>0</v>
      </c>
      <c r="Y3232" s="53">
        <f t="shared" si="887"/>
        <v>0</v>
      </c>
      <c r="Z3232" s="54">
        <f>IF(R3232=1,0,"")</f>
        <v>0</v>
      </c>
      <c r="AA3232" s="54">
        <f t="shared" si="888"/>
        <v>0</v>
      </c>
      <c r="AB3232" s="55">
        <f>IF(R3232=0,"",0)</f>
        <v>0</v>
      </c>
      <c r="AC3232" s="55">
        <f t="shared" si="889"/>
        <v>0</v>
      </c>
      <c r="AD3232" s="56">
        <f t="shared" si="890"/>
        <v>0</v>
      </c>
    </row>
    <row r="3233" spans="3:30">
      <c r="C3233" s="43" t="s">
        <v>6003</v>
      </c>
      <c r="D3233" s="44" t="s">
        <v>995</v>
      </c>
      <c r="E3233" s="44"/>
      <c r="F3233" s="45">
        <v>43316.68608796296</v>
      </c>
      <c r="G3233" s="46">
        <v>1</v>
      </c>
      <c r="H3233" s="47">
        <v>43431</v>
      </c>
      <c r="I3233" s="47">
        <v>43462</v>
      </c>
      <c r="J3233" s="46">
        <v>915282</v>
      </c>
      <c r="K3233" s="46">
        <v>0</v>
      </c>
      <c r="L3233" s="46">
        <v>0</v>
      </c>
      <c r="M3233" s="46">
        <f t="shared" si="879"/>
        <v>915282</v>
      </c>
      <c r="N3233" s="46">
        <v>1334662</v>
      </c>
      <c r="O3233" s="48">
        <f t="shared" si="880"/>
        <v>0.31422187789867395</v>
      </c>
      <c r="P3233" s="46">
        <v>0</v>
      </c>
      <c r="Q3233" s="46">
        <v>0</v>
      </c>
      <c r="R3233" s="49">
        <f t="shared" si="881"/>
        <v>0</v>
      </c>
      <c r="S3233" s="50">
        <f t="shared" si="882"/>
        <v>0</v>
      </c>
      <c r="T3233" s="49">
        <f t="shared" si="883"/>
        <v>0</v>
      </c>
      <c r="U3233" s="51">
        <f t="shared" si="884"/>
        <v>0</v>
      </c>
      <c r="V3233" s="52">
        <f>IF(0&lt;0.8,0,IF(0&lt;1,Sheet3!L561,1))*IF(G3233&lt;3,0.12 - O3233,0.01) *U3233</f>
        <v>0</v>
      </c>
      <c r="W3233" s="52">
        <f t="shared" si="885"/>
        <v>0</v>
      </c>
      <c r="X3233" s="53">
        <f t="shared" si="886"/>
        <v>0</v>
      </c>
      <c r="Y3233" s="53">
        <f t="shared" si="887"/>
        <v>0</v>
      </c>
      <c r="Z3233" s="54">
        <f>IF(R3233=1,0,0)</f>
        <v>0</v>
      </c>
      <c r="AA3233" s="54">
        <f t="shared" si="888"/>
        <v>0</v>
      </c>
      <c r="AB3233" s="55">
        <f>IF(R3233=0,0,0)</f>
        <v>0</v>
      </c>
      <c r="AC3233" s="55">
        <f t="shared" si="889"/>
        <v>0</v>
      </c>
      <c r="AD3233" s="56">
        <f t="shared" si="890"/>
        <v>0</v>
      </c>
    </row>
    <row r="3234" spans="3:30">
      <c r="C3234" s="43" t="s">
        <v>6004</v>
      </c>
      <c r="D3234" s="44" t="s">
        <v>6005</v>
      </c>
      <c r="E3234" s="44"/>
      <c r="F3234" s="45">
        <v>42026.596076388887</v>
      </c>
      <c r="G3234" s="46">
        <v>44</v>
      </c>
      <c r="H3234" s="47">
        <v>43404</v>
      </c>
      <c r="I3234" s="47">
        <v>43413</v>
      </c>
      <c r="J3234" s="46">
        <v>1985006</v>
      </c>
      <c r="K3234" s="46">
        <v>464160</v>
      </c>
      <c r="L3234" s="46">
        <v>0</v>
      </c>
      <c r="M3234" s="46">
        <f t="shared" si="879"/>
        <v>1520846</v>
      </c>
      <c r="N3234" s="46">
        <v>2626547</v>
      </c>
      <c r="O3234" s="48">
        <f t="shared" si="880"/>
        <v>0.42097133613066895</v>
      </c>
      <c r="P3234" s="46">
        <v>0</v>
      </c>
      <c r="Q3234" s="46">
        <v>1985006</v>
      </c>
      <c r="R3234" s="49">
        <f t="shared" si="881"/>
        <v>1</v>
      </c>
      <c r="S3234" s="50">
        <f t="shared" si="882"/>
        <v>0.01</v>
      </c>
      <c r="T3234" s="49">
        <f t="shared" si="883"/>
        <v>15208.460000000001</v>
      </c>
      <c r="U3234" s="51">
        <f t="shared" si="884"/>
        <v>0</v>
      </c>
      <c r="V3234" s="52">
        <f>IF(0&lt;0.8,0,IF(0&lt;1,Sheet3!L561,1))*IF(G3234&lt;3,0.12 - O3234,0.01) *U3234</f>
        <v>0</v>
      </c>
      <c r="W3234" s="52">
        <f t="shared" si="885"/>
        <v>0</v>
      </c>
      <c r="X3234" s="53">
        <f t="shared" si="886"/>
        <v>0</v>
      </c>
      <c r="Y3234" s="53">
        <f t="shared" si="887"/>
        <v>0</v>
      </c>
      <c r="Z3234" s="54">
        <f>IF(R3234=1,0,0)</f>
        <v>0</v>
      </c>
      <c r="AA3234" s="54">
        <f t="shared" si="888"/>
        <v>0</v>
      </c>
      <c r="AB3234" s="55">
        <f>IF(R3234=0,0,0)</f>
        <v>0</v>
      </c>
      <c r="AC3234" s="55">
        <f t="shared" si="889"/>
        <v>0</v>
      </c>
      <c r="AD3234" s="56">
        <f t="shared" si="890"/>
        <v>15208.460000000001</v>
      </c>
    </row>
    <row r="3235" spans="3:30">
      <c r="C3235" s="43" t="s">
        <v>6006</v>
      </c>
      <c r="D3235" s="44" t="s">
        <v>6007</v>
      </c>
      <c r="E3235" s="44"/>
      <c r="F3235" s="45">
        <v>41396.38181712963</v>
      </c>
      <c r="G3235" s="46">
        <v>64</v>
      </c>
      <c r="H3235" s="47">
        <v>43404</v>
      </c>
      <c r="I3235" s="47">
        <v>43413</v>
      </c>
      <c r="J3235" s="46">
        <v>1808649</v>
      </c>
      <c r="K3235" s="46">
        <v>0</v>
      </c>
      <c r="L3235" s="46">
        <v>0</v>
      </c>
      <c r="M3235" s="46">
        <f t="shared" si="879"/>
        <v>1808649</v>
      </c>
      <c r="N3235" s="46">
        <v>2712930</v>
      </c>
      <c r="O3235" s="48">
        <f t="shared" si="880"/>
        <v>0.33332264378365828</v>
      </c>
      <c r="P3235" s="46">
        <v>0</v>
      </c>
      <c r="Q3235" s="46">
        <v>1808649</v>
      </c>
      <c r="R3235" s="49">
        <f t="shared" si="881"/>
        <v>1</v>
      </c>
      <c r="S3235" s="50">
        <f t="shared" si="882"/>
        <v>0.01</v>
      </c>
      <c r="T3235" s="49">
        <f t="shared" si="883"/>
        <v>18086.490000000002</v>
      </c>
      <c r="U3235" s="51">
        <f t="shared" si="884"/>
        <v>0</v>
      </c>
      <c r="V3235" s="52">
        <f>IF(0&lt;0.8,0,IF(0&lt;1,Sheet3!L561,1))*IF(G3235&lt;3,0.12 - O3235,0.01) *U3235</f>
        <v>0</v>
      </c>
      <c r="W3235" s="52">
        <f t="shared" si="885"/>
        <v>0</v>
      </c>
      <c r="X3235" s="53">
        <f t="shared" si="886"/>
        <v>0</v>
      </c>
      <c r="Y3235" s="53">
        <f t="shared" si="887"/>
        <v>0</v>
      </c>
      <c r="Z3235" s="54">
        <f>IF(R3235=1,0,0)</f>
        <v>0</v>
      </c>
      <c r="AA3235" s="54">
        <f t="shared" si="888"/>
        <v>0</v>
      </c>
      <c r="AB3235" s="55">
        <f>IF(R3235=0,0,0)</f>
        <v>0</v>
      </c>
      <c r="AC3235" s="55">
        <f t="shared" si="889"/>
        <v>0</v>
      </c>
      <c r="AD3235" s="56">
        <f t="shared" si="890"/>
        <v>18086.490000000002</v>
      </c>
    </row>
    <row r="3236" spans="3:30">
      <c r="C3236" s="43" t="s">
        <v>6008</v>
      </c>
      <c r="D3236" s="44" t="s">
        <v>6009</v>
      </c>
      <c r="E3236" s="44"/>
      <c r="F3236" s="45">
        <v>42738.333402777775</v>
      </c>
      <c r="G3236" s="46">
        <v>20</v>
      </c>
      <c r="H3236" s="47">
        <v>43372</v>
      </c>
      <c r="I3236" s="47">
        <v>43388</v>
      </c>
      <c r="J3236" s="46">
        <v>5426971</v>
      </c>
      <c r="K3236" s="46">
        <v>0</v>
      </c>
      <c r="L3236" s="46">
        <v>0</v>
      </c>
      <c r="M3236" s="46">
        <f t="shared" si="879"/>
        <v>5426971</v>
      </c>
      <c r="N3236" s="46">
        <v>5426971</v>
      </c>
      <c r="O3236" s="48">
        <f t="shared" si="880"/>
        <v>0</v>
      </c>
      <c r="P3236" s="46">
        <v>0</v>
      </c>
      <c r="Q3236" s="46">
        <v>5426971</v>
      </c>
      <c r="R3236" s="49">
        <f t="shared" si="881"/>
        <v>1</v>
      </c>
      <c r="S3236" s="50">
        <f t="shared" si="882"/>
        <v>0.01</v>
      </c>
      <c r="T3236" s="49">
        <f t="shared" si="883"/>
        <v>54269.71</v>
      </c>
      <c r="U3236" s="51">
        <f t="shared" si="884"/>
        <v>0</v>
      </c>
      <c r="V3236" s="52">
        <f>IF(0&lt;0.8,0,IF(0&lt;1,Sheet3!L561,1))*IF(G3236&lt;3,0.12 - O3236,0.01) *U3236</f>
        <v>0</v>
      </c>
      <c r="W3236" s="52">
        <f t="shared" si="885"/>
        <v>0</v>
      </c>
      <c r="X3236" s="53">
        <f t="shared" si="886"/>
        <v>0</v>
      </c>
      <c r="Y3236" s="53">
        <f t="shared" si="887"/>
        <v>0</v>
      </c>
      <c r="Z3236" s="54">
        <f>IF(R3236=1,0,0)</f>
        <v>0</v>
      </c>
      <c r="AA3236" s="54">
        <f t="shared" si="888"/>
        <v>0</v>
      </c>
      <c r="AB3236" s="55">
        <f>IF(R3236=0,0,0)</f>
        <v>0</v>
      </c>
      <c r="AC3236" s="55">
        <f t="shared" si="889"/>
        <v>0</v>
      </c>
      <c r="AD3236" s="56">
        <f t="shared" si="890"/>
        <v>54269.71</v>
      </c>
    </row>
    <row r="3237" spans="3:30">
      <c r="C3237" s="43" t="s">
        <v>6010</v>
      </c>
      <c r="D3237" s="44" t="s">
        <v>6005</v>
      </c>
      <c r="E3237" s="44"/>
      <c r="F3237" s="45">
        <v>43070.385057870371</v>
      </c>
      <c r="G3237" s="46">
        <v>9</v>
      </c>
      <c r="H3237" s="47">
        <v>43404</v>
      </c>
      <c r="I3237" s="47">
        <v>43413</v>
      </c>
      <c r="J3237" s="46">
        <v>1907869</v>
      </c>
      <c r="K3237" s="46">
        <v>0</v>
      </c>
      <c r="L3237" s="46">
        <v>0</v>
      </c>
      <c r="M3237" s="46">
        <f t="shared" si="879"/>
        <v>1907869</v>
      </c>
      <c r="N3237" s="46">
        <v>2515590</v>
      </c>
      <c r="O3237" s="48">
        <f t="shared" si="880"/>
        <v>0.24158189530090357</v>
      </c>
      <c r="P3237" s="46">
        <v>0</v>
      </c>
      <c r="Q3237" s="46">
        <v>1907869</v>
      </c>
      <c r="R3237" s="49">
        <f t="shared" si="881"/>
        <v>1</v>
      </c>
      <c r="S3237" s="50">
        <f t="shared" si="882"/>
        <v>0.01</v>
      </c>
      <c r="T3237" s="49">
        <f t="shared" si="883"/>
        <v>19078.689999999999</v>
      </c>
      <c r="U3237" s="51">
        <f t="shared" si="884"/>
        <v>0</v>
      </c>
      <c r="V3237" s="52">
        <f>IF(0&lt;0.8,0,IF(0&lt;1,Sheet3!L561,1))*IF(G3237&lt;3,0.12 - O3237,0.01) *U3237</f>
        <v>0</v>
      </c>
      <c r="W3237" s="52">
        <f t="shared" si="885"/>
        <v>0</v>
      </c>
      <c r="X3237" s="53">
        <f t="shared" si="886"/>
        <v>0</v>
      </c>
      <c r="Y3237" s="53">
        <f t="shared" si="887"/>
        <v>0</v>
      </c>
      <c r="Z3237" s="54">
        <f>IF(R3237=1,0,0)</f>
        <v>0</v>
      </c>
      <c r="AA3237" s="54">
        <f t="shared" si="888"/>
        <v>0</v>
      </c>
      <c r="AB3237" s="55">
        <f>IF(R3237=0,0,0)</f>
        <v>0</v>
      </c>
      <c r="AC3237" s="55">
        <f t="shared" si="889"/>
        <v>0</v>
      </c>
      <c r="AD3237" s="56">
        <f t="shared" si="890"/>
        <v>19078.689999999999</v>
      </c>
    </row>
    <row r="3238" spans="3:30">
      <c r="C3238" s="43" t="s">
        <v>6011</v>
      </c>
      <c r="D3238" s="44" t="s">
        <v>6012</v>
      </c>
      <c r="E3238" s="44"/>
      <c r="F3238" s="45">
        <v>42521.273032407407</v>
      </c>
      <c r="G3238" s="46">
        <v>28</v>
      </c>
      <c r="H3238" s="47" t="s">
        <v>24</v>
      </c>
      <c r="I3238" s="47" t="s">
        <v>24</v>
      </c>
      <c r="J3238" s="46">
        <v>0</v>
      </c>
      <c r="K3238" s="46">
        <v>0</v>
      </c>
      <c r="L3238" s="46">
        <v>0</v>
      </c>
      <c r="M3238" s="46">
        <f t="shared" si="879"/>
        <v>0</v>
      </c>
      <c r="N3238" s="46">
        <v>1267717</v>
      </c>
      <c r="O3238" s="48">
        <f t="shared" si="880"/>
        <v>1</v>
      </c>
      <c r="P3238" s="46">
        <v>0</v>
      </c>
      <c r="Q3238" s="46">
        <v>0</v>
      </c>
      <c r="R3238" s="49">
        <f t="shared" si="881"/>
        <v>1</v>
      </c>
      <c r="S3238" s="50">
        <f t="shared" si="882"/>
        <v>0.01</v>
      </c>
      <c r="T3238" s="49">
        <f t="shared" si="883"/>
        <v>0</v>
      </c>
      <c r="U3238" s="51">
        <f t="shared" si="884"/>
        <v>0</v>
      </c>
      <c r="V3238" s="52">
        <f>IF(0&lt;0.8,0,IF(0&lt;1,Sheet3!L561,1))*IF(G3238&lt;3,0.12 - O3238,0.01) *U3238</f>
        <v>0</v>
      </c>
      <c r="W3238" s="52">
        <f t="shared" si="885"/>
        <v>0</v>
      </c>
      <c r="X3238" s="53">
        <f t="shared" si="886"/>
        <v>0</v>
      </c>
      <c r="Y3238" s="53">
        <f t="shared" si="887"/>
        <v>0</v>
      </c>
      <c r="Z3238" s="54">
        <f>IF(R3238=1,0,"")</f>
        <v>0</v>
      </c>
      <c r="AA3238" s="54">
        <f t="shared" si="888"/>
        <v>0</v>
      </c>
      <c r="AB3238" s="55">
        <f>IF(R3238=0,"",0)</f>
        <v>0</v>
      </c>
      <c r="AC3238" s="55">
        <f t="shared" si="889"/>
        <v>0</v>
      </c>
      <c r="AD3238" s="56">
        <f t="shared" si="890"/>
        <v>0</v>
      </c>
    </row>
    <row r="3239" spans="3:30">
      <c r="C3239" s="43" t="s">
        <v>6013</v>
      </c>
      <c r="D3239" s="44" t="s">
        <v>995</v>
      </c>
      <c r="E3239" s="44"/>
      <c r="F3239" s="45">
        <v>43316.239930555552</v>
      </c>
      <c r="G3239" s="46">
        <v>1</v>
      </c>
      <c r="H3239" s="47">
        <v>43431</v>
      </c>
      <c r="I3239" s="47">
        <v>43460</v>
      </c>
      <c r="J3239" s="46">
        <v>830763</v>
      </c>
      <c r="K3239" s="46">
        <v>0</v>
      </c>
      <c r="L3239" s="46">
        <v>0</v>
      </c>
      <c r="M3239" s="46">
        <f t="shared" si="879"/>
        <v>830763</v>
      </c>
      <c r="N3239" s="46">
        <v>1202256</v>
      </c>
      <c r="O3239" s="48">
        <f t="shared" si="880"/>
        <v>0.30899658641753502</v>
      </c>
      <c r="P3239" s="46">
        <v>0</v>
      </c>
      <c r="Q3239" s="46">
        <v>0</v>
      </c>
      <c r="R3239" s="49">
        <f t="shared" si="881"/>
        <v>0</v>
      </c>
      <c r="S3239" s="50">
        <f t="shared" si="882"/>
        <v>0</v>
      </c>
      <c r="T3239" s="49">
        <f t="shared" si="883"/>
        <v>0</v>
      </c>
      <c r="U3239" s="51">
        <f t="shared" si="884"/>
        <v>0</v>
      </c>
      <c r="V3239" s="52">
        <f>IF(0&lt;0.8,0,IF(0&lt;1,Sheet3!L561,1))*IF(G3239&lt;3,0.12 - O3239,0.01) *U3239</f>
        <v>0</v>
      </c>
      <c r="W3239" s="52">
        <f t="shared" si="885"/>
        <v>0</v>
      </c>
      <c r="X3239" s="53">
        <f t="shared" si="886"/>
        <v>0</v>
      </c>
      <c r="Y3239" s="53">
        <f t="shared" si="887"/>
        <v>0</v>
      </c>
      <c r="Z3239" s="54">
        <f t="shared" ref="Z3239:Z3267" si="897">IF(R3239=1,0,0)</f>
        <v>0</v>
      </c>
      <c r="AA3239" s="54">
        <f t="shared" si="888"/>
        <v>0</v>
      </c>
      <c r="AB3239" s="55">
        <f t="shared" ref="AB3239:AB3267" si="898">IF(R3239=0,0,0)</f>
        <v>0</v>
      </c>
      <c r="AC3239" s="55">
        <f t="shared" si="889"/>
        <v>0</v>
      </c>
      <c r="AD3239" s="56">
        <f t="shared" si="890"/>
        <v>0</v>
      </c>
    </row>
    <row r="3240" spans="3:30">
      <c r="C3240" s="43" t="s">
        <v>6014</v>
      </c>
      <c r="D3240" s="44" t="s">
        <v>6015</v>
      </c>
      <c r="E3240" s="44"/>
      <c r="F3240" s="45">
        <v>39960.625208333331</v>
      </c>
      <c r="G3240" s="46">
        <v>112</v>
      </c>
      <c r="H3240" s="47">
        <v>43372</v>
      </c>
      <c r="I3240" s="47">
        <v>43402</v>
      </c>
      <c r="J3240" s="46">
        <v>138295</v>
      </c>
      <c r="K3240" s="46">
        <v>0</v>
      </c>
      <c r="L3240" s="46">
        <v>0</v>
      </c>
      <c r="M3240" s="46">
        <f t="shared" si="879"/>
        <v>138295</v>
      </c>
      <c r="N3240" s="46">
        <v>134915</v>
      </c>
      <c r="O3240" s="48">
        <f t="shared" si="880"/>
        <v>0</v>
      </c>
      <c r="P3240" s="46">
        <v>0</v>
      </c>
      <c r="Q3240" s="46">
        <v>138295</v>
      </c>
      <c r="R3240" s="49">
        <f t="shared" si="881"/>
        <v>1</v>
      </c>
      <c r="S3240" s="50">
        <f t="shared" si="882"/>
        <v>0.01</v>
      </c>
      <c r="T3240" s="49">
        <f t="shared" si="883"/>
        <v>1382.95</v>
      </c>
      <c r="U3240" s="51">
        <f t="shared" si="884"/>
        <v>0</v>
      </c>
      <c r="V3240" s="52">
        <f>IF(0&lt;0.8,0,IF(0&lt;1,Sheet3!L561,1))*IF(G3240&lt;3,0.12 - O3240,0.01) *U3240</f>
        <v>0</v>
      </c>
      <c r="W3240" s="52">
        <f t="shared" si="885"/>
        <v>0</v>
      </c>
      <c r="X3240" s="53">
        <f t="shared" si="886"/>
        <v>0</v>
      </c>
      <c r="Y3240" s="53">
        <f t="shared" si="887"/>
        <v>0</v>
      </c>
      <c r="Z3240" s="54">
        <f t="shared" si="897"/>
        <v>0</v>
      </c>
      <c r="AA3240" s="54">
        <f t="shared" si="888"/>
        <v>0</v>
      </c>
      <c r="AB3240" s="55">
        <f t="shared" si="898"/>
        <v>0</v>
      </c>
      <c r="AC3240" s="55">
        <f t="shared" si="889"/>
        <v>0</v>
      </c>
      <c r="AD3240" s="56">
        <f t="shared" si="890"/>
        <v>1382.95</v>
      </c>
    </row>
    <row r="3241" spans="3:30">
      <c r="C3241" s="43" t="s">
        <v>6016</v>
      </c>
      <c r="D3241" s="44" t="s">
        <v>6017</v>
      </c>
      <c r="E3241" s="44"/>
      <c r="F3241" s="45">
        <v>41205.427951388891</v>
      </c>
      <c r="G3241" s="46">
        <v>71</v>
      </c>
      <c r="H3241" s="47" t="s">
        <v>24</v>
      </c>
      <c r="I3241" s="47" t="s">
        <v>24</v>
      </c>
      <c r="J3241" s="46">
        <v>2103546</v>
      </c>
      <c r="K3241" s="46">
        <v>0</v>
      </c>
      <c r="L3241" s="46">
        <v>0</v>
      </c>
      <c r="M3241" s="46">
        <f t="shared" si="879"/>
        <v>2103546</v>
      </c>
      <c r="N3241" s="46">
        <v>2612251</v>
      </c>
      <c r="O3241" s="48">
        <f t="shared" si="880"/>
        <v>0.19473817791628756</v>
      </c>
      <c r="P3241" s="46">
        <v>0</v>
      </c>
      <c r="Q3241" s="46">
        <v>2103546</v>
      </c>
      <c r="R3241" s="49">
        <f t="shared" si="881"/>
        <v>1</v>
      </c>
      <c r="S3241" s="50">
        <f t="shared" si="882"/>
        <v>0.01</v>
      </c>
      <c r="T3241" s="49">
        <f t="shared" si="883"/>
        <v>21035.46</v>
      </c>
      <c r="U3241" s="51">
        <f t="shared" si="884"/>
        <v>0</v>
      </c>
      <c r="V3241" s="52">
        <f>IF(0&lt;0.8,0,IF(0&lt;1,Sheet3!L561,1))*IF(G3241&lt;3,0.12 - O3241,0.01) *U3241</f>
        <v>0</v>
      </c>
      <c r="W3241" s="52">
        <f t="shared" si="885"/>
        <v>0</v>
      </c>
      <c r="X3241" s="53">
        <f t="shared" si="886"/>
        <v>0</v>
      </c>
      <c r="Y3241" s="53">
        <f t="shared" si="887"/>
        <v>0</v>
      </c>
      <c r="Z3241" s="54">
        <f t="shared" si="897"/>
        <v>0</v>
      </c>
      <c r="AA3241" s="54">
        <f t="shared" si="888"/>
        <v>0</v>
      </c>
      <c r="AB3241" s="55">
        <f t="shared" si="898"/>
        <v>0</v>
      </c>
      <c r="AC3241" s="55">
        <f t="shared" si="889"/>
        <v>0</v>
      </c>
      <c r="AD3241" s="56">
        <f t="shared" si="890"/>
        <v>21035.46</v>
      </c>
    </row>
    <row r="3242" spans="3:30">
      <c r="C3242" s="43" t="s">
        <v>6018</v>
      </c>
      <c r="D3242" s="44" t="s">
        <v>6019</v>
      </c>
      <c r="E3242" s="44"/>
      <c r="F3242" s="45">
        <v>41439.610671296294</v>
      </c>
      <c r="G3242" s="46">
        <v>63</v>
      </c>
      <c r="H3242" s="47" t="s">
        <v>24</v>
      </c>
      <c r="I3242" s="47" t="s">
        <v>24</v>
      </c>
      <c r="J3242" s="46">
        <v>2713200</v>
      </c>
      <c r="K3242" s="46">
        <v>0</v>
      </c>
      <c r="L3242" s="46">
        <v>0</v>
      </c>
      <c r="M3242" s="46">
        <f t="shared" si="879"/>
        <v>2713200</v>
      </c>
      <c r="N3242" s="46">
        <v>2780580</v>
      </c>
      <c r="O3242" s="48">
        <f t="shared" si="880"/>
        <v>2.423235440088034E-2</v>
      </c>
      <c r="P3242" s="46">
        <v>0</v>
      </c>
      <c r="Q3242" s="46">
        <v>2713200</v>
      </c>
      <c r="R3242" s="49">
        <f t="shared" si="881"/>
        <v>1</v>
      </c>
      <c r="S3242" s="50">
        <f t="shared" si="882"/>
        <v>0.01</v>
      </c>
      <c r="T3242" s="49">
        <f t="shared" si="883"/>
        <v>27132</v>
      </c>
      <c r="U3242" s="51">
        <f t="shared" si="884"/>
        <v>0</v>
      </c>
      <c r="V3242" s="52">
        <f>IF(0&lt;0.8,0,IF(0&lt;1,Sheet3!L561,1))*IF(G3242&lt;3,0.12 - O3242,0.01) *U3242</f>
        <v>0</v>
      </c>
      <c r="W3242" s="52">
        <f t="shared" si="885"/>
        <v>0</v>
      </c>
      <c r="X3242" s="53">
        <f t="shared" si="886"/>
        <v>0</v>
      </c>
      <c r="Y3242" s="53">
        <f t="shared" si="887"/>
        <v>0</v>
      </c>
      <c r="Z3242" s="54">
        <f t="shared" si="897"/>
        <v>0</v>
      </c>
      <c r="AA3242" s="54">
        <f t="shared" si="888"/>
        <v>0</v>
      </c>
      <c r="AB3242" s="55">
        <f t="shared" si="898"/>
        <v>0</v>
      </c>
      <c r="AC3242" s="55">
        <f t="shared" si="889"/>
        <v>0</v>
      </c>
      <c r="AD3242" s="56">
        <f t="shared" si="890"/>
        <v>27132</v>
      </c>
    </row>
    <row r="3243" spans="3:30">
      <c r="C3243" s="43" t="s">
        <v>6020</v>
      </c>
      <c r="D3243" s="44" t="s">
        <v>6021</v>
      </c>
      <c r="E3243" s="44"/>
      <c r="F3243" s="45">
        <v>41761.610752314817</v>
      </c>
      <c r="G3243" s="46">
        <v>52</v>
      </c>
      <c r="H3243" s="47" t="s">
        <v>24</v>
      </c>
      <c r="I3243" s="47" t="s">
        <v>24</v>
      </c>
      <c r="J3243" s="46">
        <v>2818213</v>
      </c>
      <c r="K3243" s="46">
        <v>0</v>
      </c>
      <c r="L3243" s="46">
        <v>0</v>
      </c>
      <c r="M3243" s="46">
        <f t="shared" si="879"/>
        <v>2818213</v>
      </c>
      <c r="N3243" s="46">
        <v>3560949</v>
      </c>
      <c r="O3243" s="48">
        <f t="shared" si="880"/>
        <v>0.20857810656653608</v>
      </c>
      <c r="P3243" s="46">
        <v>0</v>
      </c>
      <c r="Q3243" s="46">
        <v>2818213</v>
      </c>
      <c r="R3243" s="49">
        <f t="shared" si="881"/>
        <v>1</v>
      </c>
      <c r="S3243" s="50">
        <f t="shared" si="882"/>
        <v>0.01</v>
      </c>
      <c r="T3243" s="49">
        <f t="shared" si="883"/>
        <v>28182.13</v>
      </c>
      <c r="U3243" s="51">
        <f t="shared" si="884"/>
        <v>0</v>
      </c>
      <c r="V3243" s="52">
        <f>IF(0&lt;0.8,0,IF(0&lt;1,Sheet3!L561,1))*IF(G3243&lt;3,0.12 - O3243,0.01) *U3243</f>
        <v>0</v>
      </c>
      <c r="W3243" s="52">
        <f t="shared" si="885"/>
        <v>0</v>
      </c>
      <c r="X3243" s="53">
        <f t="shared" si="886"/>
        <v>0</v>
      </c>
      <c r="Y3243" s="53">
        <f t="shared" si="887"/>
        <v>0</v>
      </c>
      <c r="Z3243" s="54">
        <f t="shared" si="897"/>
        <v>0</v>
      </c>
      <c r="AA3243" s="54">
        <f t="shared" si="888"/>
        <v>0</v>
      </c>
      <c r="AB3243" s="55">
        <f t="shared" si="898"/>
        <v>0</v>
      </c>
      <c r="AC3243" s="55">
        <f t="shared" si="889"/>
        <v>0</v>
      </c>
      <c r="AD3243" s="56">
        <f t="shared" si="890"/>
        <v>28182.13</v>
      </c>
    </row>
    <row r="3244" spans="3:30">
      <c r="C3244" s="43" t="s">
        <v>6022</v>
      </c>
      <c r="D3244" s="44" t="s">
        <v>6023</v>
      </c>
      <c r="E3244" s="44"/>
      <c r="F3244" s="45">
        <v>41965.709780092591</v>
      </c>
      <c r="G3244" s="46">
        <v>46</v>
      </c>
      <c r="H3244" s="47">
        <v>43368</v>
      </c>
      <c r="I3244" s="47">
        <v>43399</v>
      </c>
      <c r="J3244" s="46">
        <v>248859</v>
      </c>
      <c r="K3244" s="46">
        <v>0</v>
      </c>
      <c r="L3244" s="46">
        <v>0</v>
      </c>
      <c r="M3244" s="46">
        <f t="shared" si="879"/>
        <v>248859</v>
      </c>
      <c r="N3244" s="46">
        <v>247929</v>
      </c>
      <c r="O3244" s="48">
        <f t="shared" si="880"/>
        <v>0</v>
      </c>
      <c r="P3244" s="46">
        <v>0</v>
      </c>
      <c r="Q3244" s="46">
        <v>248859</v>
      </c>
      <c r="R3244" s="49">
        <f t="shared" si="881"/>
        <v>1</v>
      </c>
      <c r="S3244" s="50">
        <f t="shared" si="882"/>
        <v>0.01</v>
      </c>
      <c r="T3244" s="49">
        <f t="shared" si="883"/>
        <v>2488.59</v>
      </c>
      <c r="U3244" s="51">
        <f t="shared" si="884"/>
        <v>0</v>
      </c>
      <c r="V3244" s="52">
        <f>IF(0&lt;0.8,0,IF(0&lt;1,Sheet3!L561,1))*IF(G3244&lt;3,0.12 - O3244,0.01) *U3244</f>
        <v>0</v>
      </c>
      <c r="W3244" s="52">
        <f t="shared" si="885"/>
        <v>0</v>
      </c>
      <c r="X3244" s="53">
        <f t="shared" si="886"/>
        <v>0</v>
      </c>
      <c r="Y3244" s="53">
        <f t="shared" si="887"/>
        <v>0</v>
      </c>
      <c r="Z3244" s="54">
        <f t="shared" si="897"/>
        <v>0</v>
      </c>
      <c r="AA3244" s="54">
        <f t="shared" si="888"/>
        <v>0</v>
      </c>
      <c r="AB3244" s="55">
        <f t="shared" si="898"/>
        <v>0</v>
      </c>
      <c r="AC3244" s="55">
        <f t="shared" si="889"/>
        <v>0</v>
      </c>
      <c r="AD3244" s="56">
        <f t="shared" si="890"/>
        <v>2488.59</v>
      </c>
    </row>
    <row r="3245" spans="3:30">
      <c r="C3245" s="43" t="s">
        <v>6024</v>
      </c>
      <c r="D3245" s="44" t="s">
        <v>2079</v>
      </c>
      <c r="E3245" s="44"/>
      <c r="F3245" s="45">
        <v>42194.378738425927</v>
      </c>
      <c r="G3245" s="46">
        <v>38</v>
      </c>
      <c r="H3245" s="47" t="s">
        <v>24</v>
      </c>
      <c r="I3245" s="47" t="s">
        <v>24</v>
      </c>
      <c r="J3245" s="46">
        <v>1566945</v>
      </c>
      <c r="K3245" s="46">
        <v>0</v>
      </c>
      <c r="L3245" s="46">
        <v>0</v>
      </c>
      <c r="M3245" s="46">
        <f t="shared" si="879"/>
        <v>1566945</v>
      </c>
      <c r="N3245" s="46">
        <v>1978938</v>
      </c>
      <c r="O3245" s="48">
        <f t="shared" si="880"/>
        <v>0.20818893770294977</v>
      </c>
      <c r="P3245" s="46">
        <v>0</v>
      </c>
      <c r="Q3245" s="46">
        <v>1566945</v>
      </c>
      <c r="R3245" s="49">
        <f t="shared" si="881"/>
        <v>1</v>
      </c>
      <c r="S3245" s="50">
        <f t="shared" si="882"/>
        <v>0.01</v>
      </c>
      <c r="T3245" s="49">
        <f t="shared" si="883"/>
        <v>15669.45</v>
      </c>
      <c r="U3245" s="51">
        <f t="shared" si="884"/>
        <v>0</v>
      </c>
      <c r="V3245" s="52">
        <f>IF(0&lt;0.8,0,IF(0&lt;1,Sheet3!L561,1))*IF(G3245&lt;3,0.12 - O3245,0.01) *U3245</f>
        <v>0</v>
      </c>
      <c r="W3245" s="52">
        <f t="shared" si="885"/>
        <v>0</v>
      </c>
      <c r="X3245" s="53">
        <f t="shared" si="886"/>
        <v>0</v>
      </c>
      <c r="Y3245" s="53">
        <f t="shared" si="887"/>
        <v>0</v>
      </c>
      <c r="Z3245" s="54">
        <f t="shared" si="897"/>
        <v>0</v>
      </c>
      <c r="AA3245" s="54">
        <f t="shared" si="888"/>
        <v>0</v>
      </c>
      <c r="AB3245" s="55">
        <f t="shared" si="898"/>
        <v>0</v>
      </c>
      <c r="AC3245" s="55">
        <f t="shared" si="889"/>
        <v>0</v>
      </c>
      <c r="AD3245" s="56">
        <f t="shared" si="890"/>
        <v>15669.45</v>
      </c>
    </row>
    <row r="3246" spans="3:30">
      <c r="C3246" s="43" t="s">
        <v>6025</v>
      </c>
      <c r="D3246" s="44" t="s">
        <v>6026</v>
      </c>
      <c r="E3246" s="44"/>
      <c r="F3246" s="45">
        <v>42283.65351851852</v>
      </c>
      <c r="G3246" s="46">
        <v>35</v>
      </c>
      <c r="H3246" s="47" t="s">
        <v>24</v>
      </c>
      <c r="I3246" s="47" t="s">
        <v>24</v>
      </c>
      <c r="J3246" s="46">
        <v>5556075</v>
      </c>
      <c r="K3246" s="46">
        <v>0</v>
      </c>
      <c r="L3246" s="46">
        <v>0</v>
      </c>
      <c r="M3246" s="46">
        <f t="shared" si="879"/>
        <v>5556075</v>
      </c>
      <c r="N3246" s="46">
        <v>5623596</v>
      </c>
      <c r="O3246" s="48">
        <f t="shared" si="880"/>
        <v>1.2006730213194539E-2</v>
      </c>
      <c r="P3246" s="46">
        <v>0</v>
      </c>
      <c r="Q3246" s="46">
        <v>5556075</v>
      </c>
      <c r="R3246" s="49">
        <f t="shared" si="881"/>
        <v>1</v>
      </c>
      <c r="S3246" s="50">
        <f t="shared" si="882"/>
        <v>0.01</v>
      </c>
      <c r="T3246" s="49">
        <f t="shared" si="883"/>
        <v>55560.75</v>
      </c>
      <c r="U3246" s="51">
        <f t="shared" si="884"/>
        <v>0</v>
      </c>
      <c r="V3246" s="52">
        <f>IF(0&lt;0.8,0,IF(0&lt;1,Sheet3!L561,1))*IF(G3246&lt;3,0.12 - O3246,0.01) *U3246</f>
        <v>0</v>
      </c>
      <c r="W3246" s="52">
        <f t="shared" si="885"/>
        <v>0</v>
      </c>
      <c r="X3246" s="53">
        <f t="shared" si="886"/>
        <v>0</v>
      </c>
      <c r="Y3246" s="53">
        <f t="shared" si="887"/>
        <v>0</v>
      </c>
      <c r="Z3246" s="54">
        <f t="shared" si="897"/>
        <v>0</v>
      </c>
      <c r="AA3246" s="54">
        <f t="shared" si="888"/>
        <v>0</v>
      </c>
      <c r="AB3246" s="55">
        <f t="shared" si="898"/>
        <v>0</v>
      </c>
      <c r="AC3246" s="55">
        <f t="shared" si="889"/>
        <v>0</v>
      </c>
      <c r="AD3246" s="56">
        <f t="shared" si="890"/>
        <v>55560.75</v>
      </c>
    </row>
    <row r="3247" spans="3:30">
      <c r="C3247" s="43" t="s">
        <v>6027</v>
      </c>
      <c r="D3247" s="44" t="s">
        <v>6028</v>
      </c>
      <c r="E3247" s="44"/>
      <c r="F3247" s="45">
        <v>42389.609421296293</v>
      </c>
      <c r="G3247" s="46">
        <v>32</v>
      </c>
      <c r="H3247" s="47" t="s">
        <v>24</v>
      </c>
      <c r="I3247" s="47" t="s">
        <v>24</v>
      </c>
      <c r="J3247" s="46">
        <v>541112</v>
      </c>
      <c r="K3247" s="46">
        <v>0</v>
      </c>
      <c r="L3247" s="46">
        <v>0</v>
      </c>
      <c r="M3247" s="46">
        <f t="shared" si="879"/>
        <v>541112</v>
      </c>
      <c r="N3247" s="46">
        <v>541112</v>
      </c>
      <c r="O3247" s="48">
        <f t="shared" si="880"/>
        <v>0</v>
      </c>
      <c r="P3247" s="46">
        <v>0</v>
      </c>
      <c r="Q3247" s="46">
        <v>541112</v>
      </c>
      <c r="R3247" s="49">
        <f t="shared" si="881"/>
        <v>1</v>
      </c>
      <c r="S3247" s="50">
        <f t="shared" si="882"/>
        <v>0.01</v>
      </c>
      <c r="T3247" s="49">
        <f t="shared" si="883"/>
        <v>5411.12</v>
      </c>
      <c r="U3247" s="51">
        <f t="shared" si="884"/>
        <v>0</v>
      </c>
      <c r="V3247" s="52">
        <f>IF(0&lt;0.8,0,IF(0&lt;1,Sheet3!L561,1))*IF(G3247&lt;3,0.12 - O3247,0.01) *U3247</f>
        <v>0</v>
      </c>
      <c r="W3247" s="52">
        <f t="shared" si="885"/>
        <v>0</v>
      </c>
      <c r="X3247" s="53">
        <f t="shared" si="886"/>
        <v>0</v>
      </c>
      <c r="Y3247" s="53">
        <f t="shared" si="887"/>
        <v>0</v>
      </c>
      <c r="Z3247" s="54">
        <f t="shared" si="897"/>
        <v>0</v>
      </c>
      <c r="AA3247" s="54">
        <f t="shared" si="888"/>
        <v>0</v>
      </c>
      <c r="AB3247" s="55">
        <f t="shared" si="898"/>
        <v>0</v>
      </c>
      <c r="AC3247" s="55">
        <f t="shared" si="889"/>
        <v>0</v>
      </c>
      <c r="AD3247" s="56">
        <f t="shared" si="890"/>
        <v>5411.12</v>
      </c>
    </row>
    <row r="3248" spans="3:30">
      <c r="C3248" s="43" t="s">
        <v>6029</v>
      </c>
      <c r="D3248" s="44" t="s">
        <v>6030</v>
      </c>
      <c r="E3248" s="44"/>
      <c r="F3248" s="45">
        <v>42395.571539351848</v>
      </c>
      <c r="G3248" s="46">
        <v>32</v>
      </c>
      <c r="H3248" s="47">
        <v>43404</v>
      </c>
      <c r="I3248" s="47">
        <v>43459</v>
      </c>
      <c r="J3248" s="46">
        <v>453998025</v>
      </c>
      <c r="K3248" s="46">
        <v>38863602</v>
      </c>
      <c r="L3248" s="46">
        <v>0</v>
      </c>
      <c r="M3248" s="46">
        <f t="shared" si="879"/>
        <v>415134423</v>
      </c>
      <c r="N3248" s="46">
        <v>578798636</v>
      </c>
      <c r="O3248" s="48">
        <f t="shared" si="880"/>
        <v>0.28276537438142824</v>
      </c>
      <c r="P3248" s="46">
        <v>0</v>
      </c>
      <c r="Q3248" s="46">
        <v>416192729</v>
      </c>
      <c r="R3248" s="49">
        <f t="shared" si="881"/>
        <v>1</v>
      </c>
      <c r="S3248" s="50">
        <f t="shared" si="882"/>
        <v>0.01</v>
      </c>
      <c r="T3248" s="49">
        <f t="shared" si="883"/>
        <v>4151344.23</v>
      </c>
      <c r="U3248" s="51">
        <f t="shared" si="884"/>
        <v>0</v>
      </c>
      <c r="V3248" s="52">
        <f>IF(0&lt;0.8,0,IF(0&lt;1,Sheet3!L561,1))*IF(G3248&lt;3,0.12 - O3248,0.01) *U3248</f>
        <v>0</v>
      </c>
      <c r="W3248" s="52">
        <f t="shared" si="885"/>
        <v>0</v>
      </c>
      <c r="X3248" s="53">
        <f t="shared" si="886"/>
        <v>0</v>
      </c>
      <c r="Y3248" s="53">
        <f t="shared" si="887"/>
        <v>0</v>
      </c>
      <c r="Z3248" s="54">
        <f t="shared" si="897"/>
        <v>0</v>
      </c>
      <c r="AA3248" s="54">
        <f t="shared" si="888"/>
        <v>0</v>
      </c>
      <c r="AB3248" s="55">
        <f t="shared" si="898"/>
        <v>0</v>
      </c>
      <c r="AC3248" s="55">
        <f t="shared" si="889"/>
        <v>0</v>
      </c>
      <c r="AD3248" s="56">
        <f t="shared" si="890"/>
        <v>4151344.23</v>
      </c>
    </row>
    <row r="3249" spans="3:30">
      <c r="C3249" s="43" t="s">
        <v>6031</v>
      </c>
      <c r="D3249" s="44" t="s">
        <v>6032</v>
      </c>
      <c r="E3249" s="44"/>
      <c r="F3249" s="45">
        <v>42438.427233796298</v>
      </c>
      <c r="G3249" s="46">
        <v>30</v>
      </c>
      <c r="H3249" s="47" t="s">
        <v>24</v>
      </c>
      <c r="I3249" s="47" t="s">
        <v>24</v>
      </c>
      <c r="J3249" s="46">
        <v>754665</v>
      </c>
      <c r="K3249" s="46">
        <v>0</v>
      </c>
      <c r="L3249" s="46">
        <v>0</v>
      </c>
      <c r="M3249" s="46">
        <f t="shared" si="879"/>
        <v>754665</v>
      </c>
      <c r="N3249" s="46">
        <v>750366</v>
      </c>
      <c r="O3249" s="48">
        <f t="shared" si="880"/>
        <v>0</v>
      </c>
      <c r="P3249" s="46">
        <v>0</v>
      </c>
      <c r="Q3249" s="46">
        <v>754665</v>
      </c>
      <c r="R3249" s="49">
        <f t="shared" si="881"/>
        <v>1</v>
      </c>
      <c r="S3249" s="50">
        <f t="shared" si="882"/>
        <v>0.01</v>
      </c>
      <c r="T3249" s="49">
        <f t="shared" si="883"/>
        <v>7546.6500000000005</v>
      </c>
      <c r="U3249" s="51">
        <f t="shared" si="884"/>
        <v>0</v>
      </c>
      <c r="V3249" s="52">
        <f>IF(0&lt;0.8,0,IF(0&lt;1,Sheet3!L561,1))*IF(G3249&lt;3,0.12 - O3249,0.01) *U3249</f>
        <v>0</v>
      </c>
      <c r="W3249" s="52">
        <f t="shared" si="885"/>
        <v>0</v>
      </c>
      <c r="X3249" s="53">
        <f t="shared" si="886"/>
        <v>0</v>
      </c>
      <c r="Y3249" s="53">
        <f t="shared" si="887"/>
        <v>0</v>
      </c>
      <c r="Z3249" s="54">
        <f t="shared" si="897"/>
        <v>0</v>
      </c>
      <c r="AA3249" s="54">
        <f t="shared" si="888"/>
        <v>0</v>
      </c>
      <c r="AB3249" s="55">
        <f t="shared" si="898"/>
        <v>0</v>
      </c>
      <c r="AC3249" s="55">
        <f t="shared" si="889"/>
        <v>0</v>
      </c>
      <c r="AD3249" s="56">
        <f t="shared" si="890"/>
        <v>7546.6500000000005</v>
      </c>
    </row>
    <row r="3250" spans="3:30">
      <c r="C3250" s="43" t="s">
        <v>6033</v>
      </c>
      <c r="D3250" s="44" t="s">
        <v>6034</v>
      </c>
      <c r="E3250" s="44"/>
      <c r="F3250" s="45">
        <v>42509.102858796294</v>
      </c>
      <c r="G3250" s="46">
        <v>28</v>
      </c>
      <c r="H3250" s="47" t="s">
        <v>24</v>
      </c>
      <c r="I3250" s="47" t="s">
        <v>24</v>
      </c>
      <c r="J3250" s="46">
        <v>1674028</v>
      </c>
      <c r="K3250" s="46">
        <v>0</v>
      </c>
      <c r="L3250" s="46">
        <v>0</v>
      </c>
      <c r="M3250" s="46">
        <f t="shared" si="879"/>
        <v>1674028</v>
      </c>
      <c r="N3250" s="46">
        <v>2140779</v>
      </c>
      <c r="O3250" s="48">
        <f t="shared" si="880"/>
        <v>0.21802857744774218</v>
      </c>
      <c r="P3250" s="46">
        <v>0</v>
      </c>
      <c r="Q3250" s="46">
        <v>1674028</v>
      </c>
      <c r="R3250" s="49">
        <f t="shared" si="881"/>
        <v>1</v>
      </c>
      <c r="S3250" s="50">
        <f t="shared" si="882"/>
        <v>0.01</v>
      </c>
      <c r="T3250" s="49">
        <f t="shared" si="883"/>
        <v>16740.28</v>
      </c>
      <c r="U3250" s="51">
        <f t="shared" si="884"/>
        <v>0</v>
      </c>
      <c r="V3250" s="52">
        <f>IF(0&lt;0.8,0,IF(0&lt;1,Sheet3!L561,1))*IF(G3250&lt;3,0.12 - O3250,0.01) *U3250</f>
        <v>0</v>
      </c>
      <c r="W3250" s="52">
        <f t="shared" si="885"/>
        <v>0</v>
      </c>
      <c r="X3250" s="53">
        <f t="shared" si="886"/>
        <v>0</v>
      </c>
      <c r="Y3250" s="53">
        <f t="shared" si="887"/>
        <v>0</v>
      </c>
      <c r="Z3250" s="54">
        <f t="shared" si="897"/>
        <v>0</v>
      </c>
      <c r="AA3250" s="54">
        <f t="shared" si="888"/>
        <v>0</v>
      </c>
      <c r="AB3250" s="55">
        <f t="shared" si="898"/>
        <v>0</v>
      </c>
      <c r="AC3250" s="55">
        <f t="shared" si="889"/>
        <v>0</v>
      </c>
      <c r="AD3250" s="56">
        <f t="shared" si="890"/>
        <v>16740.28</v>
      </c>
    </row>
    <row r="3251" spans="3:30">
      <c r="C3251" s="43" t="s">
        <v>6035</v>
      </c>
      <c r="D3251" s="44" t="s">
        <v>6034</v>
      </c>
      <c r="E3251" s="44"/>
      <c r="F3251" s="45">
        <v>42549.380127314813</v>
      </c>
      <c r="G3251" s="46">
        <v>27</v>
      </c>
      <c r="H3251" s="47" t="s">
        <v>24</v>
      </c>
      <c r="I3251" s="47" t="s">
        <v>24</v>
      </c>
      <c r="J3251" s="46">
        <v>1245571</v>
      </c>
      <c r="K3251" s="46">
        <v>0</v>
      </c>
      <c r="L3251" s="46">
        <v>0</v>
      </c>
      <c r="M3251" s="46">
        <f t="shared" ref="M3251:M3314" si="899">IFERROR(J3251-K3251-L3251,0)</f>
        <v>1245571</v>
      </c>
      <c r="N3251" s="46">
        <v>1584116</v>
      </c>
      <c r="O3251" s="48">
        <f t="shared" ref="O3251:O3314" si="900">IFERROR(IF(1 - M3251/N3251&lt;0,0,1-M3251/N3251),0)</f>
        <v>0.21371225339558464</v>
      </c>
      <c r="P3251" s="46">
        <v>0</v>
      </c>
      <c r="Q3251" s="46">
        <v>1245571</v>
      </c>
      <c r="R3251" s="49">
        <f t="shared" ref="R3251:R3314" si="901">IF(F3251&lt;DATEVALUE("2018-07-01"),1,0)</f>
        <v>1</v>
      </c>
      <c r="S3251" s="50">
        <f t="shared" ref="S3251:S3314" si="902">IF(R3251=1,1%,0)</f>
        <v>0.01</v>
      </c>
      <c r="T3251" s="49">
        <f t="shared" ref="T3251:T3314" si="903">IFERROR(S3251*M3251,0)</f>
        <v>12455.710000000001</v>
      </c>
      <c r="U3251" s="51">
        <f t="shared" ref="U3251:U3314" si="904">IF(O3251&lt;=0.12,1,0)*(1-R3251)*M3251</f>
        <v>0</v>
      </c>
      <c r="V3251" s="52">
        <f>IF(0&lt;0.8,0,IF(0&lt;1,Sheet3!L561,1))*IF(G3251&lt;3,0.12 - O3251,0.01) *U3251</f>
        <v>0</v>
      </c>
      <c r="W3251" s="52">
        <f t="shared" ref="W3251:W3314" si="905">IF(0&gt;1,IF(0&lt;=1.1,1,IF(0&lt;=1.2,2,IF(0&lt;=1.5,3,5))),0) * 1000000</f>
        <v>0</v>
      </c>
      <c r="X3251" s="53">
        <f t="shared" ref="X3251:X3314" si="906">IF(AND(P3251&gt;=150000000,P3251&lt;300000000),5000000,IF(AND(P3251&gt;=300000000,P3251&lt;500000000),10000000,IF(AND(P3251&gt;=300000000,P3251&lt;500000000),15000000,IF(AND(P3251&gt;=500000000,P3251&lt;3000000000),20000000,IF(P3251&gt;=30000000000,35000000,0))))) * (1-R3251)</f>
        <v>0</v>
      </c>
      <c r="Y3251" s="53">
        <f t="shared" ref="Y3251:Y3314" si="907">IFERROR(Q3251 * (1-R3251),0)</f>
        <v>0</v>
      </c>
      <c r="Z3251" s="54">
        <f t="shared" si="897"/>
        <v>0</v>
      </c>
      <c r="AA3251" s="54">
        <f t="shared" ref="AA3251:AA3314" si="908">IFERROR((1-R3251) * Z3251 * 2%,0)</f>
        <v>0</v>
      </c>
      <c r="AB3251" s="55">
        <f t="shared" si="898"/>
        <v>0</v>
      </c>
      <c r="AC3251" s="55">
        <f t="shared" ref="AC3251:AC3314" si="909">IFERROR(AB3251 * (1-R3251) * 2%,0)</f>
        <v>0</v>
      </c>
      <c r="AD3251" s="56">
        <f t="shared" ref="AD3251:AD3314" si="910">T3251+V3251+W3251+X3251+AA3251+AC3251</f>
        <v>12455.710000000001</v>
      </c>
    </row>
    <row r="3252" spans="3:30">
      <c r="C3252" s="43" t="s">
        <v>6036</v>
      </c>
      <c r="D3252" s="44" t="s">
        <v>6037</v>
      </c>
      <c r="E3252" s="44"/>
      <c r="F3252" s="45">
        <v>42580.323240740741</v>
      </c>
      <c r="G3252" s="46">
        <v>26</v>
      </c>
      <c r="H3252" s="47" t="s">
        <v>24</v>
      </c>
      <c r="I3252" s="47" t="s">
        <v>24</v>
      </c>
      <c r="J3252" s="46">
        <v>1312971</v>
      </c>
      <c r="K3252" s="46">
        <v>0</v>
      </c>
      <c r="L3252" s="46">
        <v>0</v>
      </c>
      <c r="M3252" s="46">
        <f t="shared" si="899"/>
        <v>1312971</v>
      </c>
      <c r="N3252" s="46">
        <v>1296757</v>
      </c>
      <c r="O3252" s="48">
        <f t="shared" si="900"/>
        <v>0</v>
      </c>
      <c r="P3252" s="46">
        <v>0</v>
      </c>
      <c r="Q3252" s="46">
        <v>1312971</v>
      </c>
      <c r="R3252" s="49">
        <f t="shared" si="901"/>
        <v>1</v>
      </c>
      <c r="S3252" s="50">
        <f t="shared" si="902"/>
        <v>0.01</v>
      </c>
      <c r="T3252" s="49">
        <f t="shared" si="903"/>
        <v>13129.710000000001</v>
      </c>
      <c r="U3252" s="51">
        <f t="shared" si="904"/>
        <v>0</v>
      </c>
      <c r="V3252" s="52">
        <f>IF(0&lt;0.8,0,IF(0&lt;1,Sheet3!L561,1))*IF(G3252&lt;3,0.12 - O3252,0.01) *U3252</f>
        <v>0</v>
      </c>
      <c r="W3252" s="52">
        <f t="shared" si="905"/>
        <v>0</v>
      </c>
      <c r="X3252" s="53">
        <f t="shared" si="906"/>
        <v>0</v>
      </c>
      <c r="Y3252" s="53">
        <f t="shared" si="907"/>
        <v>0</v>
      </c>
      <c r="Z3252" s="54">
        <f t="shared" si="897"/>
        <v>0</v>
      </c>
      <c r="AA3252" s="54">
        <f t="shared" si="908"/>
        <v>0</v>
      </c>
      <c r="AB3252" s="55">
        <f t="shared" si="898"/>
        <v>0</v>
      </c>
      <c r="AC3252" s="55">
        <f t="shared" si="909"/>
        <v>0</v>
      </c>
      <c r="AD3252" s="56">
        <f t="shared" si="910"/>
        <v>13129.710000000001</v>
      </c>
    </row>
    <row r="3253" spans="3:30">
      <c r="C3253" s="43" t="s">
        <v>6038</v>
      </c>
      <c r="D3253" s="44" t="s">
        <v>6039</v>
      </c>
      <c r="E3253" s="44"/>
      <c r="F3253" s="45">
        <v>42583.349062499998</v>
      </c>
      <c r="G3253" s="46">
        <v>25</v>
      </c>
      <c r="H3253" s="47" t="s">
        <v>24</v>
      </c>
      <c r="I3253" s="47" t="s">
        <v>24</v>
      </c>
      <c r="J3253" s="46">
        <v>1444705</v>
      </c>
      <c r="K3253" s="46">
        <v>0</v>
      </c>
      <c r="L3253" s="46">
        <v>0</v>
      </c>
      <c r="M3253" s="46">
        <f t="shared" si="899"/>
        <v>1444705</v>
      </c>
      <c r="N3253" s="46">
        <v>1747386</v>
      </c>
      <c r="O3253" s="48">
        <f t="shared" si="900"/>
        <v>0.17321931158885329</v>
      </c>
      <c r="P3253" s="46">
        <v>0</v>
      </c>
      <c r="Q3253" s="46">
        <v>1444705</v>
      </c>
      <c r="R3253" s="49">
        <f t="shared" si="901"/>
        <v>1</v>
      </c>
      <c r="S3253" s="50">
        <f t="shared" si="902"/>
        <v>0.01</v>
      </c>
      <c r="T3253" s="49">
        <f t="shared" si="903"/>
        <v>14447.050000000001</v>
      </c>
      <c r="U3253" s="51">
        <f t="shared" si="904"/>
        <v>0</v>
      </c>
      <c r="V3253" s="52">
        <f>IF(0&lt;0.8,0,IF(0&lt;1,Sheet3!L561,1))*IF(G3253&lt;3,0.12 - O3253,0.01) *U3253</f>
        <v>0</v>
      </c>
      <c r="W3253" s="52">
        <f t="shared" si="905"/>
        <v>0</v>
      </c>
      <c r="X3253" s="53">
        <f t="shared" si="906"/>
        <v>0</v>
      </c>
      <c r="Y3253" s="53">
        <f t="shared" si="907"/>
        <v>0</v>
      </c>
      <c r="Z3253" s="54">
        <f t="shared" si="897"/>
        <v>0</v>
      </c>
      <c r="AA3253" s="54">
        <f t="shared" si="908"/>
        <v>0</v>
      </c>
      <c r="AB3253" s="55">
        <f t="shared" si="898"/>
        <v>0</v>
      </c>
      <c r="AC3253" s="55">
        <f t="shared" si="909"/>
        <v>0</v>
      </c>
      <c r="AD3253" s="56">
        <f t="shared" si="910"/>
        <v>14447.050000000001</v>
      </c>
    </row>
    <row r="3254" spans="3:30">
      <c r="C3254" s="43" t="s">
        <v>6040</v>
      </c>
      <c r="D3254" s="44" t="s">
        <v>6041</v>
      </c>
      <c r="E3254" s="44"/>
      <c r="F3254" s="45">
        <v>42678.121840277774</v>
      </c>
      <c r="G3254" s="46">
        <v>22</v>
      </c>
      <c r="H3254" s="47" t="s">
        <v>24</v>
      </c>
      <c r="I3254" s="47" t="s">
        <v>24</v>
      </c>
      <c r="J3254" s="46">
        <v>3576815</v>
      </c>
      <c r="K3254" s="46">
        <v>2085500</v>
      </c>
      <c r="L3254" s="46">
        <v>0</v>
      </c>
      <c r="M3254" s="46">
        <f t="shared" si="899"/>
        <v>1491315</v>
      </c>
      <c r="N3254" s="46">
        <v>3908558</v>
      </c>
      <c r="O3254" s="48">
        <f t="shared" si="900"/>
        <v>0.61844879876414782</v>
      </c>
      <c r="P3254" s="46">
        <v>0</v>
      </c>
      <c r="Q3254" s="46">
        <v>1537220</v>
      </c>
      <c r="R3254" s="49">
        <f t="shared" si="901"/>
        <v>1</v>
      </c>
      <c r="S3254" s="50">
        <f t="shared" si="902"/>
        <v>0.01</v>
      </c>
      <c r="T3254" s="49">
        <f t="shared" si="903"/>
        <v>14913.15</v>
      </c>
      <c r="U3254" s="51">
        <f t="shared" si="904"/>
        <v>0</v>
      </c>
      <c r="V3254" s="52">
        <f>IF(0&lt;0.8,0,IF(0&lt;1,Sheet3!L561,1))*IF(G3254&lt;3,0.12 - O3254,0.01) *U3254</f>
        <v>0</v>
      </c>
      <c r="W3254" s="52">
        <f t="shared" si="905"/>
        <v>0</v>
      </c>
      <c r="X3254" s="53">
        <f t="shared" si="906"/>
        <v>0</v>
      </c>
      <c r="Y3254" s="53">
        <f t="shared" si="907"/>
        <v>0</v>
      </c>
      <c r="Z3254" s="54">
        <f t="shared" si="897"/>
        <v>0</v>
      </c>
      <c r="AA3254" s="54">
        <f t="shared" si="908"/>
        <v>0</v>
      </c>
      <c r="AB3254" s="55">
        <f t="shared" si="898"/>
        <v>0</v>
      </c>
      <c r="AC3254" s="55">
        <f t="shared" si="909"/>
        <v>0</v>
      </c>
      <c r="AD3254" s="56">
        <f t="shared" si="910"/>
        <v>14913.15</v>
      </c>
    </row>
    <row r="3255" spans="3:30">
      <c r="C3255" s="43" t="s">
        <v>6042</v>
      </c>
      <c r="D3255" s="44" t="s">
        <v>6041</v>
      </c>
      <c r="E3255" s="44"/>
      <c r="F3255" s="45">
        <v>42699.372870370367</v>
      </c>
      <c r="G3255" s="46">
        <v>22</v>
      </c>
      <c r="H3255" s="47" t="s">
        <v>24</v>
      </c>
      <c r="I3255" s="47" t="s">
        <v>24</v>
      </c>
      <c r="J3255" s="46">
        <v>1979664</v>
      </c>
      <c r="K3255" s="46">
        <v>0</v>
      </c>
      <c r="L3255" s="46">
        <v>0</v>
      </c>
      <c r="M3255" s="46">
        <f t="shared" si="899"/>
        <v>1979664</v>
      </c>
      <c r="N3255" s="46">
        <v>2528983</v>
      </c>
      <c r="O3255" s="48">
        <f t="shared" si="900"/>
        <v>0.21720944743400805</v>
      </c>
      <c r="P3255" s="46">
        <v>0</v>
      </c>
      <c r="Q3255" s="46">
        <v>1979664</v>
      </c>
      <c r="R3255" s="49">
        <f t="shared" si="901"/>
        <v>1</v>
      </c>
      <c r="S3255" s="50">
        <f t="shared" si="902"/>
        <v>0.01</v>
      </c>
      <c r="T3255" s="49">
        <f t="shared" si="903"/>
        <v>19796.64</v>
      </c>
      <c r="U3255" s="51">
        <f t="shared" si="904"/>
        <v>0</v>
      </c>
      <c r="V3255" s="52">
        <f>IF(0&lt;0.8,0,IF(0&lt;1,Sheet3!L561,1))*IF(G3255&lt;3,0.12 - O3255,0.01) *U3255</f>
        <v>0</v>
      </c>
      <c r="W3255" s="52">
        <f t="shared" si="905"/>
        <v>0</v>
      </c>
      <c r="X3255" s="53">
        <f t="shared" si="906"/>
        <v>0</v>
      </c>
      <c r="Y3255" s="53">
        <f t="shared" si="907"/>
        <v>0</v>
      </c>
      <c r="Z3255" s="54">
        <f t="shared" si="897"/>
        <v>0</v>
      </c>
      <c r="AA3255" s="54">
        <f t="shared" si="908"/>
        <v>0</v>
      </c>
      <c r="AB3255" s="55">
        <f t="shared" si="898"/>
        <v>0</v>
      </c>
      <c r="AC3255" s="55">
        <f t="shared" si="909"/>
        <v>0</v>
      </c>
      <c r="AD3255" s="56">
        <f t="shared" si="910"/>
        <v>19796.64</v>
      </c>
    </row>
    <row r="3256" spans="3:30">
      <c r="C3256" s="43" t="s">
        <v>6043</v>
      </c>
      <c r="D3256" s="44" t="s">
        <v>6041</v>
      </c>
      <c r="E3256" s="44"/>
      <c r="F3256" s="45">
        <v>42709.065405092588</v>
      </c>
      <c r="G3256" s="46">
        <v>21</v>
      </c>
      <c r="H3256" s="47" t="s">
        <v>24</v>
      </c>
      <c r="I3256" s="47" t="s">
        <v>24</v>
      </c>
      <c r="J3256" s="46">
        <v>2083080</v>
      </c>
      <c r="K3256" s="46">
        <v>0</v>
      </c>
      <c r="L3256" s="46">
        <v>0</v>
      </c>
      <c r="M3256" s="46">
        <f t="shared" si="899"/>
        <v>2083080</v>
      </c>
      <c r="N3256" s="46">
        <v>2646800</v>
      </c>
      <c r="O3256" s="48">
        <f t="shared" si="900"/>
        <v>0.21298171376756836</v>
      </c>
      <c r="P3256" s="46">
        <v>0</v>
      </c>
      <c r="Q3256" s="46">
        <v>2083080</v>
      </c>
      <c r="R3256" s="49">
        <f t="shared" si="901"/>
        <v>1</v>
      </c>
      <c r="S3256" s="50">
        <f t="shared" si="902"/>
        <v>0.01</v>
      </c>
      <c r="T3256" s="49">
        <f t="shared" si="903"/>
        <v>20830.8</v>
      </c>
      <c r="U3256" s="51">
        <f t="shared" si="904"/>
        <v>0</v>
      </c>
      <c r="V3256" s="52">
        <f>IF(0&lt;0.8,0,IF(0&lt;1,Sheet3!L561,1))*IF(G3256&lt;3,0.12 - O3256,0.01) *U3256</f>
        <v>0</v>
      </c>
      <c r="W3256" s="52">
        <f t="shared" si="905"/>
        <v>0</v>
      </c>
      <c r="X3256" s="53">
        <f t="shared" si="906"/>
        <v>0</v>
      </c>
      <c r="Y3256" s="53">
        <f t="shared" si="907"/>
        <v>0</v>
      </c>
      <c r="Z3256" s="54">
        <f t="shared" si="897"/>
        <v>0</v>
      </c>
      <c r="AA3256" s="54">
        <f t="shared" si="908"/>
        <v>0</v>
      </c>
      <c r="AB3256" s="55">
        <f t="shared" si="898"/>
        <v>0</v>
      </c>
      <c r="AC3256" s="55">
        <f t="shared" si="909"/>
        <v>0</v>
      </c>
      <c r="AD3256" s="56">
        <f t="shared" si="910"/>
        <v>20830.8</v>
      </c>
    </row>
    <row r="3257" spans="3:30">
      <c r="C3257" s="43" t="s">
        <v>6044</v>
      </c>
      <c r="D3257" s="44" t="s">
        <v>6045</v>
      </c>
      <c r="E3257" s="44"/>
      <c r="F3257" s="45">
        <v>42744.162673611107</v>
      </c>
      <c r="G3257" s="46">
        <v>20</v>
      </c>
      <c r="H3257" s="47">
        <v>43372</v>
      </c>
      <c r="I3257" s="47">
        <v>43397</v>
      </c>
      <c r="J3257" s="46">
        <v>2497953</v>
      </c>
      <c r="K3257" s="46">
        <v>0</v>
      </c>
      <c r="L3257" s="46">
        <v>0</v>
      </c>
      <c r="M3257" s="46">
        <f t="shared" si="899"/>
        <v>2497953</v>
      </c>
      <c r="N3257" s="46">
        <v>2561478</v>
      </c>
      <c r="O3257" s="48">
        <f t="shared" si="900"/>
        <v>2.4800134922103534E-2</v>
      </c>
      <c r="P3257" s="46">
        <v>0</v>
      </c>
      <c r="Q3257" s="46">
        <v>2497953</v>
      </c>
      <c r="R3257" s="49">
        <f t="shared" si="901"/>
        <v>1</v>
      </c>
      <c r="S3257" s="50">
        <f t="shared" si="902"/>
        <v>0.01</v>
      </c>
      <c r="T3257" s="49">
        <f t="shared" si="903"/>
        <v>24979.53</v>
      </c>
      <c r="U3257" s="51">
        <f t="shared" si="904"/>
        <v>0</v>
      </c>
      <c r="V3257" s="52">
        <f>IF(0&lt;0.8,0,IF(0&lt;1,Sheet3!L561,1))*IF(G3257&lt;3,0.12 - O3257,0.01) *U3257</f>
        <v>0</v>
      </c>
      <c r="W3257" s="52">
        <f t="shared" si="905"/>
        <v>0</v>
      </c>
      <c r="X3257" s="53">
        <f t="shared" si="906"/>
        <v>0</v>
      </c>
      <c r="Y3257" s="53">
        <f t="shared" si="907"/>
        <v>0</v>
      </c>
      <c r="Z3257" s="54">
        <f t="shared" si="897"/>
        <v>0</v>
      </c>
      <c r="AA3257" s="54">
        <f t="shared" si="908"/>
        <v>0</v>
      </c>
      <c r="AB3257" s="55">
        <f t="shared" si="898"/>
        <v>0</v>
      </c>
      <c r="AC3257" s="55">
        <f t="shared" si="909"/>
        <v>0</v>
      </c>
      <c r="AD3257" s="56">
        <f t="shared" si="910"/>
        <v>24979.53</v>
      </c>
    </row>
    <row r="3258" spans="3:30">
      <c r="C3258" s="43" t="s">
        <v>6046</v>
      </c>
      <c r="D3258" s="44" t="s">
        <v>6047</v>
      </c>
      <c r="E3258" s="44"/>
      <c r="F3258" s="45">
        <v>42789.171956018516</v>
      </c>
      <c r="G3258" s="46">
        <v>19</v>
      </c>
      <c r="H3258" s="47" t="s">
        <v>24</v>
      </c>
      <c r="I3258" s="47" t="s">
        <v>24</v>
      </c>
      <c r="J3258" s="46">
        <v>79860</v>
      </c>
      <c r="K3258" s="46">
        <v>0</v>
      </c>
      <c r="L3258" s="46">
        <v>0</v>
      </c>
      <c r="M3258" s="46">
        <f t="shared" si="899"/>
        <v>79860</v>
      </c>
      <c r="N3258" s="46">
        <v>79860</v>
      </c>
      <c r="O3258" s="48">
        <f t="shared" si="900"/>
        <v>0</v>
      </c>
      <c r="P3258" s="46">
        <v>0</v>
      </c>
      <c r="Q3258" s="46">
        <v>79860</v>
      </c>
      <c r="R3258" s="49">
        <f t="shared" si="901"/>
        <v>1</v>
      </c>
      <c r="S3258" s="50">
        <f t="shared" si="902"/>
        <v>0.01</v>
      </c>
      <c r="T3258" s="49">
        <f t="shared" si="903"/>
        <v>798.6</v>
      </c>
      <c r="U3258" s="51">
        <f t="shared" si="904"/>
        <v>0</v>
      </c>
      <c r="V3258" s="52">
        <f>IF(0&lt;0.8,0,IF(0&lt;1,Sheet3!L561,1))*IF(G3258&lt;3,0.12 - O3258,0.01) *U3258</f>
        <v>0</v>
      </c>
      <c r="W3258" s="52">
        <f t="shared" si="905"/>
        <v>0</v>
      </c>
      <c r="X3258" s="53">
        <f t="shared" si="906"/>
        <v>0</v>
      </c>
      <c r="Y3258" s="53">
        <f t="shared" si="907"/>
        <v>0</v>
      </c>
      <c r="Z3258" s="54">
        <f t="shared" si="897"/>
        <v>0</v>
      </c>
      <c r="AA3258" s="54">
        <f t="shared" si="908"/>
        <v>0</v>
      </c>
      <c r="AB3258" s="55">
        <f t="shared" si="898"/>
        <v>0</v>
      </c>
      <c r="AC3258" s="55">
        <f t="shared" si="909"/>
        <v>0</v>
      </c>
      <c r="AD3258" s="56">
        <f t="shared" si="910"/>
        <v>798.6</v>
      </c>
    </row>
    <row r="3259" spans="3:30">
      <c r="C3259" s="43" t="s">
        <v>6048</v>
      </c>
      <c r="D3259" s="44" t="s">
        <v>6049</v>
      </c>
      <c r="E3259" s="44"/>
      <c r="F3259" s="45">
        <v>42825.425023148149</v>
      </c>
      <c r="G3259" s="46">
        <v>18</v>
      </c>
      <c r="H3259" s="47" t="s">
        <v>24</v>
      </c>
      <c r="I3259" s="47" t="s">
        <v>24</v>
      </c>
      <c r="J3259" s="46">
        <v>2247630</v>
      </c>
      <c r="K3259" s="46">
        <v>0</v>
      </c>
      <c r="L3259" s="46">
        <v>0</v>
      </c>
      <c r="M3259" s="46">
        <f t="shared" si="899"/>
        <v>2247630</v>
      </c>
      <c r="N3259" s="46">
        <v>2275182</v>
      </c>
      <c r="O3259" s="48">
        <f t="shared" si="900"/>
        <v>1.2109800446733487E-2</v>
      </c>
      <c r="P3259" s="46">
        <v>0</v>
      </c>
      <c r="Q3259" s="46">
        <v>2247630</v>
      </c>
      <c r="R3259" s="49">
        <f t="shared" si="901"/>
        <v>1</v>
      </c>
      <c r="S3259" s="50">
        <f t="shared" si="902"/>
        <v>0.01</v>
      </c>
      <c r="T3259" s="49">
        <f t="shared" si="903"/>
        <v>22476.3</v>
      </c>
      <c r="U3259" s="51">
        <f t="shared" si="904"/>
        <v>0</v>
      </c>
      <c r="V3259" s="52">
        <f>IF(0&lt;0.8,0,IF(0&lt;1,Sheet3!L561,1))*IF(G3259&lt;3,0.12 - O3259,0.01) *U3259</f>
        <v>0</v>
      </c>
      <c r="W3259" s="52">
        <f t="shared" si="905"/>
        <v>0</v>
      </c>
      <c r="X3259" s="53">
        <f t="shared" si="906"/>
        <v>0</v>
      </c>
      <c r="Y3259" s="53">
        <f t="shared" si="907"/>
        <v>0</v>
      </c>
      <c r="Z3259" s="54">
        <f t="shared" si="897"/>
        <v>0</v>
      </c>
      <c r="AA3259" s="54">
        <f t="shared" si="908"/>
        <v>0</v>
      </c>
      <c r="AB3259" s="55">
        <f t="shared" si="898"/>
        <v>0</v>
      </c>
      <c r="AC3259" s="55">
        <f t="shared" si="909"/>
        <v>0</v>
      </c>
      <c r="AD3259" s="56">
        <f t="shared" si="910"/>
        <v>22476.3</v>
      </c>
    </row>
    <row r="3260" spans="3:30">
      <c r="C3260" s="43" t="s">
        <v>6050</v>
      </c>
      <c r="D3260" s="44" t="s">
        <v>6051</v>
      </c>
      <c r="E3260" s="44"/>
      <c r="F3260" s="45">
        <v>42907.072141203702</v>
      </c>
      <c r="G3260" s="46">
        <v>15</v>
      </c>
      <c r="H3260" s="47" t="s">
        <v>24</v>
      </c>
      <c r="I3260" s="47" t="s">
        <v>24</v>
      </c>
      <c r="J3260" s="46">
        <v>698049</v>
      </c>
      <c r="K3260" s="46">
        <v>0</v>
      </c>
      <c r="L3260" s="46">
        <v>0</v>
      </c>
      <c r="M3260" s="46">
        <f t="shared" si="899"/>
        <v>698049</v>
      </c>
      <c r="N3260" s="46">
        <v>509168</v>
      </c>
      <c r="O3260" s="48">
        <f t="shared" si="900"/>
        <v>0</v>
      </c>
      <c r="P3260" s="46">
        <v>0</v>
      </c>
      <c r="Q3260" s="46">
        <v>698049</v>
      </c>
      <c r="R3260" s="49">
        <f t="shared" si="901"/>
        <v>1</v>
      </c>
      <c r="S3260" s="50">
        <f t="shared" si="902"/>
        <v>0.01</v>
      </c>
      <c r="T3260" s="49">
        <f t="shared" si="903"/>
        <v>6980.49</v>
      </c>
      <c r="U3260" s="51">
        <f t="shared" si="904"/>
        <v>0</v>
      </c>
      <c r="V3260" s="52">
        <f>IF(0&lt;0.8,0,IF(0&lt;1,Sheet3!L561,1))*IF(G3260&lt;3,0.12 - O3260,0.01) *U3260</f>
        <v>0</v>
      </c>
      <c r="W3260" s="52">
        <f t="shared" si="905"/>
        <v>0</v>
      </c>
      <c r="X3260" s="53">
        <f t="shared" si="906"/>
        <v>0</v>
      </c>
      <c r="Y3260" s="53">
        <f t="shared" si="907"/>
        <v>0</v>
      </c>
      <c r="Z3260" s="54">
        <f t="shared" si="897"/>
        <v>0</v>
      </c>
      <c r="AA3260" s="54">
        <f t="shared" si="908"/>
        <v>0</v>
      </c>
      <c r="AB3260" s="55">
        <f t="shared" si="898"/>
        <v>0</v>
      </c>
      <c r="AC3260" s="55">
        <f t="shared" si="909"/>
        <v>0</v>
      </c>
      <c r="AD3260" s="56">
        <f t="shared" si="910"/>
        <v>6980.49</v>
      </c>
    </row>
    <row r="3261" spans="3:30">
      <c r="C3261" s="43" t="s">
        <v>6052</v>
      </c>
      <c r="D3261" s="44" t="s">
        <v>6053</v>
      </c>
      <c r="E3261" s="44"/>
      <c r="F3261" s="45">
        <v>42964.113715277774</v>
      </c>
      <c r="G3261" s="46">
        <v>13</v>
      </c>
      <c r="H3261" s="47" t="s">
        <v>24</v>
      </c>
      <c r="I3261" s="47" t="s">
        <v>24</v>
      </c>
      <c r="J3261" s="46">
        <v>1496949</v>
      </c>
      <c r="K3261" s="46">
        <v>0</v>
      </c>
      <c r="L3261" s="46">
        <v>0</v>
      </c>
      <c r="M3261" s="46">
        <f t="shared" si="899"/>
        <v>1496949</v>
      </c>
      <c r="N3261" s="46">
        <v>1855846</v>
      </c>
      <c r="O3261" s="48">
        <f t="shared" si="900"/>
        <v>0.19338727459067184</v>
      </c>
      <c r="P3261" s="46">
        <v>0</v>
      </c>
      <c r="Q3261" s="46">
        <v>1496949</v>
      </c>
      <c r="R3261" s="49">
        <f t="shared" si="901"/>
        <v>1</v>
      </c>
      <c r="S3261" s="50">
        <f t="shared" si="902"/>
        <v>0.01</v>
      </c>
      <c r="T3261" s="49">
        <f t="shared" si="903"/>
        <v>14969.49</v>
      </c>
      <c r="U3261" s="51">
        <f t="shared" si="904"/>
        <v>0</v>
      </c>
      <c r="V3261" s="52">
        <f>IF(0&lt;0.8,0,IF(0&lt;1,Sheet3!L561,1))*IF(G3261&lt;3,0.12 - O3261,0.01) *U3261</f>
        <v>0</v>
      </c>
      <c r="W3261" s="52">
        <f t="shared" si="905"/>
        <v>0</v>
      </c>
      <c r="X3261" s="53">
        <f t="shared" si="906"/>
        <v>0</v>
      </c>
      <c r="Y3261" s="53">
        <f t="shared" si="907"/>
        <v>0</v>
      </c>
      <c r="Z3261" s="54">
        <f t="shared" si="897"/>
        <v>0</v>
      </c>
      <c r="AA3261" s="54">
        <f t="shared" si="908"/>
        <v>0</v>
      </c>
      <c r="AB3261" s="55">
        <f t="shared" si="898"/>
        <v>0</v>
      </c>
      <c r="AC3261" s="55">
        <f t="shared" si="909"/>
        <v>0</v>
      </c>
      <c r="AD3261" s="56">
        <f t="shared" si="910"/>
        <v>14969.49</v>
      </c>
    </row>
    <row r="3262" spans="3:30">
      <c r="C3262" s="43" t="s">
        <v>6054</v>
      </c>
      <c r="D3262" s="44" t="s">
        <v>6055</v>
      </c>
      <c r="E3262" s="44"/>
      <c r="F3262" s="45">
        <v>42968.276331018518</v>
      </c>
      <c r="G3262" s="46">
        <v>13</v>
      </c>
      <c r="H3262" s="47">
        <v>43385</v>
      </c>
      <c r="I3262" s="47">
        <v>43403</v>
      </c>
      <c r="J3262" s="46">
        <v>1769100</v>
      </c>
      <c r="K3262" s="46">
        <v>0</v>
      </c>
      <c r="L3262" s="46">
        <v>0</v>
      </c>
      <c r="M3262" s="46">
        <f t="shared" si="899"/>
        <v>1769100</v>
      </c>
      <c r="N3262" s="46">
        <v>958683</v>
      </c>
      <c r="O3262" s="48">
        <f t="shared" si="900"/>
        <v>0</v>
      </c>
      <c r="P3262" s="46">
        <v>0</v>
      </c>
      <c r="Q3262" s="46">
        <v>1769100</v>
      </c>
      <c r="R3262" s="49">
        <f t="shared" si="901"/>
        <v>1</v>
      </c>
      <c r="S3262" s="50">
        <f t="shared" si="902"/>
        <v>0.01</v>
      </c>
      <c r="T3262" s="49">
        <f t="shared" si="903"/>
        <v>17691</v>
      </c>
      <c r="U3262" s="51">
        <f t="shared" si="904"/>
        <v>0</v>
      </c>
      <c r="V3262" s="52">
        <f>IF(0&lt;0.8,0,IF(0&lt;1,Sheet3!L561,1))*IF(G3262&lt;3,0.12 - O3262,0.01) *U3262</f>
        <v>0</v>
      </c>
      <c r="W3262" s="52">
        <f t="shared" si="905"/>
        <v>0</v>
      </c>
      <c r="X3262" s="53">
        <f t="shared" si="906"/>
        <v>0</v>
      </c>
      <c r="Y3262" s="53">
        <f t="shared" si="907"/>
        <v>0</v>
      </c>
      <c r="Z3262" s="54">
        <f t="shared" si="897"/>
        <v>0</v>
      </c>
      <c r="AA3262" s="54">
        <f t="shared" si="908"/>
        <v>0</v>
      </c>
      <c r="AB3262" s="55">
        <f t="shared" si="898"/>
        <v>0</v>
      </c>
      <c r="AC3262" s="55">
        <f t="shared" si="909"/>
        <v>0</v>
      </c>
      <c r="AD3262" s="56">
        <f t="shared" si="910"/>
        <v>17691</v>
      </c>
    </row>
    <row r="3263" spans="3:30">
      <c r="C3263" s="43" t="s">
        <v>6056</v>
      </c>
      <c r="D3263" s="44" t="s">
        <v>5407</v>
      </c>
      <c r="E3263" s="44"/>
      <c r="F3263" s="45">
        <v>42978.318749999999</v>
      </c>
      <c r="G3263" s="46">
        <v>13</v>
      </c>
      <c r="H3263" s="47" t="s">
        <v>24</v>
      </c>
      <c r="I3263" s="47" t="s">
        <v>24</v>
      </c>
      <c r="J3263" s="46">
        <v>986650</v>
      </c>
      <c r="K3263" s="46">
        <v>0</v>
      </c>
      <c r="L3263" s="46">
        <v>0</v>
      </c>
      <c r="M3263" s="46">
        <f t="shared" si="899"/>
        <v>986650</v>
      </c>
      <c r="N3263" s="46">
        <v>1198532</v>
      </c>
      <c r="O3263" s="48">
        <f t="shared" si="900"/>
        <v>0.1767845998271218</v>
      </c>
      <c r="P3263" s="46">
        <v>0</v>
      </c>
      <c r="Q3263" s="46">
        <v>986650</v>
      </c>
      <c r="R3263" s="49">
        <f t="shared" si="901"/>
        <v>1</v>
      </c>
      <c r="S3263" s="50">
        <f t="shared" si="902"/>
        <v>0.01</v>
      </c>
      <c r="T3263" s="49">
        <f t="shared" si="903"/>
        <v>9866.5</v>
      </c>
      <c r="U3263" s="51">
        <f t="shared" si="904"/>
        <v>0</v>
      </c>
      <c r="V3263" s="52">
        <f>IF(0&lt;0.8,0,IF(0&lt;1,Sheet3!L561,1))*IF(G3263&lt;3,0.12 - O3263,0.01) *U3263</f>
        <v>0</v>
      </c>
      <c r="W3263" s="52">
        <f t="shared" si="905"/>
        <v>0</v>
      </c>
      <c r="X3263" s="53">
        <f t="shared" si="906"/>
        <v>0</v>
      </c>
      <c r="Y3263" s="53">
        <f t="shared" si="907"/>
        <v>0</v>
      </c>
      <c r="Z3263" s="54">
        <f t="shared" si="897"/>
        <v>0</v>
      </c>
      <c r="AA3263" s="54">
        <f t="shared" si="908"/>
        <v>0</v>
      </c>
      <c r="AB3263" s="55">
        <f t="shared" si="898"/>
        <v>0</v>
      </c>
      <c r="AC3263" s="55">
        <f t="shared" si="909"/>
        <v>0</v>
      </c>
      <c r="AD3263" s="56">
        <f t="shared" si="910"/>
        <v>9866.5</v>
      </c>
    </row>
    <row r="3264" spans="3:30">
      <c r="C3264" s="43" t="s">
        <v>6057</v>
      </c>
      <c r="D3264" s="44" t="s">
        <v>6058</v>
      </c>
      <c r="E3264" s="44"/>
      <c r="F3264" s="45">
        <v>43006.330717592587</v>
      </c>
      <c r="G3264" s="46">
        <v>12</v>
      </c>
      <c r="H3264" s="47" t="s">
        <v>24</v>
      </c>
      <c r="I3264" s="47" t="s">
        <v>24</v>
      </c>
      <c r="J3264" s="46">
        <v>1191983</v>
      </c>
      <c r="K3264" s="46">
        <v>0</v>
      </c>
      <c r="L3264" s="46">
        <v>0</v>
      </c>
      <c r="M3264" s="46">
        <f t="shared" si="899"/>
        <v>1191983</v>
      </c>
      <c r="N3264" s="46">
        <v>1453489</v>
      </c>
      <c r="O3264" s="48">
        <f t="shared" si="900"/>
        <v>0.17991605027626623</v>
      </c>
      <c r="P3264" s="46">
        <v>0</v>
      </c>
      <c r="Q3264" s="46">
        <v>1191983</v>
      </c>
      <c r="R3264" s="49">
        <f t="shared" si="901"/>
        <v>1</v>
      </c>
      <c r="S3264" s="50">
        <f t="shared" si="902"/>
        <v>0.01</v>
      </c>
      <c r="T3264" s="49">
        <f t="shared" si="903"/>
        <v>11919.83</v>
      </c>
      <c r="U3264" s="51">
        <f t="shared" si="904"/>
        <v>0</v>
      </c>
      <c r="V3264" s="52">
        <f>IF(0&lt;0.8,0,IF(0&lt;1,Sheet3!L561,1))*IF(G3264&lt;3,0.12 - O3264,0.01) *U3264</f>
        <v>0</v>
      </c>
      <c r="W3264" s="52">
        <f t="shared" si="905"/>
        <v>0</v>
      </c>
      <c r="X3264" s="53">
        <f t="shared" si="906"/>
        <v>0</v>
      </c>
      <c r="Y3264" s="53">
        <f t="shared" si="907"/>
        <v>0</v>
      </c>
      <c r="Z3264" s="54">
        <f t="shared" si="897"/>
        <v>0</v>
      </c>
      <c r="AA3264" s="54">
        <f t="shared" si="908"/>
        <v>0</v>
      </c>
      <c r="AB3264" s="55">
        <f t="shared" si="898"/>
        <v>0</v>
      </c>
      <c r="AC3264" s="55">
        <f t="shared" si="909"/>
        <v>0</v>
      </c>
      <c r="AD3264" s="56">
        <f t="shared" si="910"/>
        <v>11919.83</v>
      </c>
    </row>
    <row r="3265" spans="3:30">
      <c r="C3265" s="43" t="s">
        <v>6059</v>
      </c>
      <c r="D3265" s="44" t="s">
        <v>6060</v>
      </c>
      <c r="E3265" s="44"/>
      <c r="F3265" s="45">
        <v>43159.339456018519</v>
      </c>
      <c r="G3265" s="46">
        <v>7</v>
      </c>
      <c r="H3265" s="47" t="s">
        <v>24</v>
      </c>
      <c r="I3265" s="47" t="s">
        <v>24</v>
      </c>
      <c r="J3265" s="46">
        <v>592645</v>
      </c>
      <c r="K3265" s="46">
        <v>0</v>
      </c>
      <c r="L3265" s="46">
        <v>0</v>
      </c>
      <c r="M3265" s="46">
        <f t="shared" si="899"/>
        <v>592645</v>
      </c>
      <c r="N3265" s="46">
        <v>726405</v>
      </c>
      <c r="O3265" s="48">
        <f t="shared" si="900"/>
        <v>0.18413970168156879</v>
      </c>
      <c r="P3265" s="46">
        <v>0</v>
      </c>
      <c r="Q3265" s="46">
        <v>592645</v>
      </c>
      <c r="R3265" s="49">
        <f t="shared" si="901"/>
        <v>1</v>
      </c>
      <c r="S3265" s="50">
        <f t="shared" si="902"/>
        <v>0.01</v>
      </c>
      <c r="T3265" s="49">
        <f t="shared" si="903"/>
        <v>5926.45</v>
      </c>
      <c r="U3265" s="51">
        <f t="shared" si="904"/>
        <v>0</v>
      </c>
      <c r="V3265" s="52">
        <f>IF(0&lt;0.8,0,IF(0&lt;1,Sheet3!L561,1))*IF(G3265&lt;3,0.12 - O3265,0.01) *U3265</f>
        <v>0</v>
      </c>
      <c r="W3265" s="52">
        <f t="shared" si="905"/>
        <v>0</v>
      </c>
      <c r="X3265" s="53">
        <f t="shared" si="906"/>
        <v>0</v>
      </c>
      <c r="Y3265" s="53">
        <f t="shared" si="907"/>
        <v>0</v>
      </c>
      <c r="Z3265" s="54">
        <f t="shared" si="897"/>
        <v>0</v>
      </c>
      <c r="AA3265" s="54">
        <f t="shared" si="908"/>
        <v>0</v>
      </c>
      <c r="AB3265" s="55">
        <f t="shared" si="898"/>
        <v>0</v>
      </c>
      <c r="AC3265" s="55">
        <f t="shared" si="909"/>
        <v>0</v>
      </c>
      <c r="AD3265" s="56">
        <f t="shared" si="910"/>
        <v>5926.45</v>
      </c>
    </row>
    <row r="3266" spans="3:30">
      <c r="C3266" s="43" t="s">
        <v>6061</v>
      </c>
      <c r="D3266" s="44" t="s">
        <v>6062</v>
      </c>
      <c r="E3266" s="44"/>
      <c r="F3266" s="45">
        <v>43278.297592592593</v>
      </c>
      <c r="G3266" s="46">
        <v>3</v>
      </c>
      <c r="H3266" s="47" t="s">
        <v>24</v>
      </c>
      <c r="I3266" s="47" t="s">
        <v>24</v>
      </c>
      <c r="J3266" s="46">
        <v>467590</v>
      </c>
      <c r="K3266" s="46">
        <v>0</v>
      </c>
      <c r="L3266" s="46">
        <v>0</v>
      </c>
      <c r="M3266" s="46">
        <f t="shared" si="899"/>
        <v>467590</v>
      </c>
      <c r="N3266" s="46">
        <v>518278</v>
      </c>
      <c r="O3266" s="48">
        <f t="shared" si="900"/>
        <v>9.7800794168380722E-2</v>
      </c>
      <c r="P3266" s="46">
        <v>0</v>
      </c>
      <c r="Q3266" s="46">
        <v>0</v>
      </c>
      <c r="R3266" s="49">
        <f t="shared" si="901"/>
        <v>1</v>
      </c>
      <c r="S3266" s="50">
        <f t="shared" si="902"/>
        <v>0.01</v>
      </c>
      <c r="T3266" s="49">
        <f t="shared" si="903"/>
        <v>4675.9000000000005</v>
      </c>
      <c r="U3266" s="51">
        <f t="shared" si="904"/>
        <v>0</v>
      </c>
      <c r="V3266" s="52">
        <f>IF(0&lt;0.8,0,IF(0&lt;1,Sheet3!L561,1))*IF(G3266&lt;3,0.12 - O3266,0.01) *U3266</f>
        <v>0</v>
      </c>
      <c r="W3266" s="52">
        <f t="shared" si="905"/>
        <v>0</v>
      </c>
      <c r="X3266" s="53">
        <f t="shared" si="906"/>
        <v>0</v>
      </c>
      <c r="Y3266" s="53">
        <f t="shared" si="907"/>
        <v>0</v>
      </c>
      <c r="Z3266" s="54">
        <f t="shared" si="897"/>
        <v>0</v>
      </c>
      <c r="AA3266" s="54">
        <f t="shared" si="908"/>
        <v>0</v>
      </c>
      <c r="AB3266" s="55">
        <f t="shared" si="898"/>
        <v>0</v>
      </c>
      <c r="AC3266" s="55">
        <f t="shared" si="909"/>
        <v>0</v>
      </c>
      <c r="AD3266" s="56">
        <f t="shared" si="910"/>
        <v>4675.9000000000005</v>
      </c>
    </row>
    <row r="3267" spans="3:30">
      <c r="C3267" s="43" t="s">
        <v>6063</v>
      </c>
      <c r="D3267" s="44" t="s">
        <v>6064</v>
      </c>
      <c r="E3267" s="44"/>
      <c r="F3267" s="45">
        <v>43326.141018518516</v>
      </c>
      <c r="G3267" s="46">
        <v>1</v>
      </c>
      <c r="H3267" s="47" t="s">
        <v>24</v>
      </c>
      <c r="I3267" s="47" t="s">
        <v>24</v>
      </c>
      <c r="J3267" s="46">
        <v>1687588</v>
      </c>
      <c r="K3267" s="46">
        <v>0</v>
      </c>
      <c r="L3267" s="46">
        <v>0</v>
      </c>
      <c r="M3267" s="46">
        <f t="shared" si="899"/>
        <v>1687588</v>
      </c>
      <c r="N3267" s="46">
        <v>2264862</v>
      </c>
      <c r="O3267" s="48">
        <f t="shared" si="900"/>
        <v>0.254882637441045</v>
      </c>
      <c r="P3267" s="46">
        <v>0</v>
      </c>
      <c r="Q3267" s="46">
        <v>0</v>
      </c>
      <c r="R3267" s="49">
        <f t="shared" si="901"/>
        <v>0</v>
      </c>
      <c r="S3267" s="50">
        <f t="shared" si="902"/>
        <v>0</v>
      </c>
      <c r="T3267" s="49">
        <f t="shared" si="903"/>
        <v>0</v>
      </c>
      <c r="U3267" s="51">
        <f t="shared" si="904"/>
        <v>0</v>
      </c>
      <c r="V3267" s="52">
        <f>IF(0&lt;0.8,0,IF(0&lt;1,Sheet3!L561,1))*IF(G3267&lt;3,0.12 - O3267,0.01) *U3267</f>
        <v>0</v>
      </c>
      <c r="W3267" s="52">
        <f t="shared" si="905"/>
        <v>0</v>
      </c>
      <c r="X3267" s="53">
        <f t="shared" si="906"/>
        <v>0</v>
      </c>
      <c r="Y3267" s="53">
        <f t="shared" si="907"/>
        <v>0</v>
      </c>
      <c r="Z3267" s="54">
        <f t="shared" si="897"/>
        <v>0</v>
      </c>
      <c r="AA3267" s="54">
        <f t="shared" si="908"/>
        <v>0</v>
      </c>
      <c r="AB3267" s="55">
        <f t="shared" si="898"/>
        <v>0</v>
      </c>
      <c r="AC3267" s="55">
        <f t="shared" si="909"/>
        <v>0</v>
      </c>
      <c r="AD3267" s="56">
        <f t="shared" si="910"/>
        <v>0</v>
      </c>
    </row>
    <row r="3268" spans="3:30">
      <c r="C3268" s="43" t="s">
        <v>6065</v>
      </c>
      <c r="D3268" s="44" t="s">
        <v>6066</v>
      </c>
      <c r="E3268" s="44"/>
      <c r="F3268" s="45">
        <v>42521.376828703702</v>
      </c>
      <c r="G3268" s="46">
        <v>28</v>
      </c>
      <c r="H3268" s="47" t="s">
        <v>24</v>
      </c>
      <c r="I3268" s="47" t="s">
        <v>24</v>
      </c>
      <c r="J3268" s="46">
        <v>0</v>
      </c>
      <c r="K3268" s="46">
        <v>0</v>
      </c>
      <c r="L3268" s="46">
        <v>0</v>
      </c>
      <c r="M3268" s="46">
        <f t="shared" si="899"/>
        <v>0</v>
      </c>
      <c r="N3268" s="46">
        <v>2691161</v>
      </c>
      <c r="O3268" s="48">
        <f t="shared" si="900"/>
        <v>1</v>
      </c>
      <c r="P3268" s="46">
        <v>0</v>
      </c>
      <c r="Q3268" s="46">
        <v>0</v>
      </c>
      <c r="R3268" s="49">
        <f t="shared" si="901"/>
        <v>1</v>
      </c>
      <c r="S3268" s="50">
        <f t="shared" si="902"/>
        <v>0.01</v>
      </c>
      <c r="T3268" s="49">
        <f t="shared" si="903"/>
        <v>0</v>
      </c>
      <c r="U3268" s="51">
        <f t="shared" si="904"/>
        <v>0</v>
      </c>
      <c r="V3268" s="52">
        <f>IF(0&lt;0.8,0,IF(0&lt;1,Sheet3!L561,1))*IF(G3268&lt;3,0.12 - O3268,0.01) *U3268</f>
        <v>0</v>
      </c>
      <c r="W3268" s="52">
        <f t="shared" si="905"/>
        <v>0</v>
      </c>
      <c r="X3268" s="53">
        <f t="shared" si="906"/>
        <v>0</v>
      </c>
      <c r="Y3268" s="53">
        <f t="shared" si="907"/>
        <v>0</v>
      </c>
      <c r="Z3268" s="54">
        <f>IF(R3268=1,0,"")</f>
        <v>0</v>
      </c>
      <c r="AA3268" s="54">
        <f t="shared" si="908"/>
        <v>0</v>
      </c>
      <c r="AB3268" s="55">
        <f>IF(R3268=0,"",0)</f>
        <v>0</v>
      </c>
      <c r="AC3268" s="55">
        <f t="shared" si="909"/>
        <v>0</v>
      </c>
      <c r="AD3268" s="56">
        <f t="shared" si="910"/>
        <v>0</v>
      </c>
    </row>
    <row r="3269" spans="3:30">
      <c r="C3269" s="43" t="s">
        <v>6067</v>
      </c>
      <c r="D3269" s="44" t="s">
        <v>995</v>
      </c>
      <c r="E3269" s="44"/>
      <c r="F3269" s="45">
        <v>43316.694780092592</v>
      </c>
      <c r="G3269" s="46">
        <v>1</v>
      </c>
      <c r="H3269" s="47">
        <v>43459</v>
      </c>
      <c r="I3269" s="47">
        <v>43487</v>
      </c>
      <c r="J3269" s="46">
        <v>892838</v>
      </c>
      <c r="K3269" s="46">
        <v>0</v>
      </c>
      <c r="L3269" s="46">
        <v>0</v>
      </c>
      <c r="M3269" s="46">
        <f t="shared" si="899"/>
        <v>892838</v>
      </c>
      <c r="N3269" s="46">
        <v>975502</v>
      </c>
      <c r="O3269" s="48">
        <f t="shared" si="900"/>
        <v>8.4739959528529973E-2</v>
      </c>
      <c r="P3269" s="46">
        <v>0</v>
      </c>
      <c r="Q3269" s="46">
        <v>0</v>
      </c>
      <c r="R3269" s="49">
        <f t="shared" si="901"/>
        <v>0</v>
      </c>
      <c r="S3269" s="50">
        <f t="shared" si="902"/>
        <v>0</v>
      </c>
      <c r="T3269" s="49">
        <f t="shared" si="903"/>
        <v>0</v>
      </c>
      <c r="U3269" s="51">
        <f t="shared" si="904"/>
        <v>892838</v>
      </c>
      <c r="V3269" s="52">
        <f>IF(0&lt;0.8,0,IF(0&lt;1,Sheet3!L561,1))*IF(G3269&lt;3,0.12 - O3269,0.01) *U3269</f>
        <v>0</v>
      </c>
      <c r="W3269" s="52">
        <f t="shared" si="905"/>
        <v>0</v>
      </c>
      <c r="X3269" s="53">
        <f t="shared" si="906"/>
        <v>0</v>
      </c>
      <c r="Y3269" s="53">
        <f t="shared" si="907"/>
        <v>0</v>
      </c>
      <c r="Z3269" s="54">
        <f>IF(R3269=1,0,0)</f>
        <v>0</v>
      </c>
      <c r="AA3269" s="54">
        <f t="shared" si="908"/>
        <v>0</v>
      </c>
      <c r="AB3269" s="55">
        <f>IF(R3269=0,0,0)</f>
        <v>0</v>
      </c>
      <c r="AC3269" s="55">
        <f t="shared" si="909"/>
        <v>0</v>
      </c>
      <c r="AD3269" s="56">
        <f t="shared" si="910"/>
        <v>0</v>
      </c>
    </row>
    <row r="3270" spans="3:30">
      <c r="C3270" s="43" t="s">
        <v>6068</v>
      </c>
      <c r="D3270" s="44" t="s">
        <v>995</v>
      </c>
      <c r="E3270" s="44"/>
      <c r="F3270" s="45">
        <v>43316.696712962963</v>
      </c>
      <c r="G3270" s="46">
        <v>1</v>
      </c>
      <c r="H3270" s="47">
        <v>43459</v>
      </c>
      <c r="I3270" s="47">
        <v>43487</v>
      </c>
      <c r="J3270" s="46">
        <v>1033288</v>
      </c>
      <c r="K3270" s="46">
        <v>0</v>
      </c>
      <c r="L3270" s="46">
        <v>0</v>
      </c>
      <c r="M3270" s="46">
        <f t="shared" si="899"/>
        <v>1033288</v>
      </c>
      <c r="N3270" s="46">
        <v>1241097</v>
      </c>
      <c r="O3270" s="48">
        <f t="shared" si="900"/>
        <v>0.16743977303949653</v>
      </c>
      <c r="P3270" s="46">
        <v>0</v>
      </c>
      <c r="Q3270" s="46">
        <v>0</v>
      </c>
      <c r="R3270" s="49">
        <f t="shared" si="901"/>
        <v>0</v>
      </c>
      <c r="S3270" s="50">
        <f t="shared" si="902"/>
        <v>0</v>
      </c>
      <c r="T3270" s="49">
        <f t="shared" si="903"/>
        <v>0</v>
      </c>
      <c r="U3270" s="51">
        <f t="shared" si="904"/>
        <v>0</v>
      </c>
      <c r="V3270" s="52">
        <f>IF(0&lt;0.8,0,IF(0&lt;1,Sheet3!L561,1))*IF(G3270&lt;3,0.12 - O3270,0.01) *U3270</f>
        <v>0</v>
      </c>
      <c r="W3270" s="52">
        <f t="shared" si="905"/>
        <v>0</v>
      </c>
      <c r="X3270" s="53">
        <f t="shared" si="906"/>
        <v>0</v>
      </c>
      <c r="Y3270" s="53">
        <f t="shared" si="907"/>
        <v>0</v>
      </c>
      <c r="Z3270" s="54">
        <f>IF(R3270=1,0,0)</f>
        <v>0</v>
      </c>
      <c r="AA3270" s="54">
        <f t="shared" si="908"/>
        <v>0</v>
      </c>
      <c r="AB3270" s="55">
        <f>IF(R3270=0,0,0)</f>
        <v>0</v>
      </c>
      <c r="AC3270" s="55">
        <f t="shared" si="909"/>
        <v>0</v>
      </c>
      <c r="AD3270" s="56">
        <f t="shared" si="910"/>
        <v>0</v>
      </c>
    </row>
    <row r="3271" spans="3:30">
      <c r="C3271" s="43" t="s">
        <v>6069</v>
      </c>
      <c r="D3271" s="44" t="s">
        <v>6070</v>
      </c>
      <c r="E3271" s="44"/>
      <c r="F3271" s="45">
        <v>41522.603298611109</v>
      </c>
      <c r="G3271" s="46">
        <v>60</v>
      </c>
      <c r="H3271" s="47">
        <v>43398</v>
      </c>
      <c r="I3271" s="47">
        <v>43417</v>
      </c>
      <c r="J3271" s="46">
        <v>413050</v>
      </c>
      <c r="K3271" s="46">
        <v>0</v>
      </c>
      <c r="L3271" s="46">
        <v>0</v>
      </c>
      <c r="M3271" s="46">
        <f t="shared" si="899"/>
        <v>413050</v>
      </c>
      <c r="N3271" s="46">
        <v>564236</v>
      </c>
      <c r="O3271" s="48">
        <f t="shared" si="900"/>
        <v>0.26794816353440754</v>
      </c>
      <c r="P3271" s="46">
        <v>0</v>
      </c>
      <c r="Q3271" s="46">
        <v>413050</v>
      </c>
      <c r="R3271" s="49">
        <f t="shared" si="901"/>
        <v>1</v>
      </c>
      <c r="S3271" s="50">
        <f t="shared" si="902"/>
        <v>0.01</v>
      </c>
      <c r="T3271" s="49">
        <f t="shared" si="903"/>
        <v>4130.5</v>
      </c>
      <c r="U3271" s="51">
        <f t="shared" si="904"/>
        <v>0</v>
      </c>
      <c r="V3271" s="52">
        <f>IF(0&lt;0.8,0,IF(0&lt;1,Sheet3!L561,1))*IF(G3271&lt;3,0.12 - O3271,0.01) *U3271</f>
        <v>0</v>
      </c>
      <c r="W3271" s="52">
        <f t="shared" si="905"/>
        <v>0</v>
      </c>
      <c r="X3271" s="53">
        <f t="shared" si="906"/>
        <v>0</v>
      </c>
      <c r="Y3271" s="53">
        <f t="shared" si="907"/>
        <v>0</v>
      </c>
      <c r="Z3271" s="54">
        <f>IF(R3271=1,0,0)</f>
        <v>0</v>
      </c>
      <c r="AA3271" s="54">
        <f t="shared" si="908"/>
        <v>0</v>
      </c>
      <c r="AB3271" s="55">
        <f>IF(R3271=0,0,0)</f>
        <v>0</v>
      </c>
      <c r="AC3271" s="55">
        <f t="shared" si="909"/>
        <v>0</v>
      </c>
      <c r="AD3271" s="56">
        <f t="shared" si="910"/>
        <v>4130.5</v>
      </c>
    </row>
    <row r="3272" spans="3:30">
      <c r="C3272" s="43" t="s">
        <v>6071</v>
      </c>
      <c r="D3272" s="44" t="s">
        <v>6072</v>
      </c>
      <c r="E3272" s="44"/>
      <c r="F3272" s="45">
        <v>42691.07744212963</v>
      </c>
      <c r="G3272" s="46">
        <v>22</v>
      </c>
      <c r="H3272" s="47">
        <v>43398</v>
      </c>
      <c r="I3272" s="47">
        <v>43417</v>
      </c>
      <c r="J3272" s="46">
        <v>101640</v>
      </c>
      <c r="K3272" s="46">
        <v>0</v>
      </c>
      <c r="L3272" s="46">
        <v>0</v>
      </c>
      <c r="M3272" s="46">
        <f t="shared" si="899"/>
        <v>101640</v>
      </c>
      <c r="N3272" s="46">
        <v>155577</v>
      </c>
      <c r="O3272" s="48">
        <f t="shared" si="900"/>
        <v>0.34669006344125419</v>
      </c>
      <c r="P3272" s="46">
        <v>0</v>
      </c>
      <c r="Q3272" s="46">
        <v>101640</v>
      </c>
      <c r="R3272" s="49">
        <f t="shared" si="901"/>
        <v>1</v>
      </c>
      <c r="S3272" s="50">
        <f t="shared" si="902"/>
        <v>0.01</v>
      </c>
      <c r="T3272" s="49">
        <f t="shared" si="903"/>
        <v>1016.4</v>
      </c>
      <c r="U3272" s="51">
        <f t="shared" si="904"/>
        <v>0</v>
      </c>
      <c r="V3272" s="52">
        <f>IF(0&lt;0.8,0,IF(0&lt;1,Sheet3!L561,1))*IF(G3272&lt;3,0.12 - O3272,0.01) *U3272</f>
        <v>0</v>
      </c>
      <c r="W3272" s="52">
        <f t="shared" si="905"/>
        <v>0</v>
      </c>
      <c r="X3272" s="53">
        <f t="shared" si="906"/>
        <v>0</v>
      </c>
      <c r="Y3272" s="53">
        <f t="shared" si="907"/>
        <v>0</v>
      </c>
      <c r="Z3272" s="54">
        <f>IF(R3272=1,0,0)</f>
        <v>0</v>
      </c>
      <c r="AA3272" s="54">
        <f t="shared" si="908"/>
        <v>0</v>
      </c>
      <c r="AB3272" s="55">
        <f>IF(R3272=0,0,0)</f>
        <v>0</v>
      </c>
      <c r="AC3272" s="55">
        <f t="shared" si="909"/>
        <v>0</v>
      </c>
      <c r="AD3272" s="56">
        <f t="shared" si="910"/>
        <v>1016.4</v>
      </c>
    </row>
    <row r="3273" spans="3:30">
      <c r="C3273" s="43" t="s">
        <v>6073</v>
      </c>
      <c r="D3273" s="44" t="s">
        <v>6074</v>
      </c>
      <c r="E3273" s="44"/>
      <c r="F3273" s="45">
        <v>42725.094004629631</v>
      </c>
      <c r="G3273" s="46">
        <v>21</v>
      </c>
      <c r="H3273" s="47">
        <v>43398</v>
      </c>
      <c r="I3273" s="47">
        <v>43417</v>
      </c>
      <c r="J3273" s="46">
        <v>671296</v>
      </c>
      <c r="K3273" s="46">
        <v>0</v>
      </c>
      <c r="L3273" s="46">
        <v>0</v>
      </c>
      <c r="M3273" s="46">
        <f t="shared" si="899"/>
        <v>671296</v>
      </c>
      <c r="N3273" s="46">
        <v>738804</v>
      </c>
      <c r="O3273" s="48">
        <f t="shared" si="900"/>
        <v>9.1374708312353503E-2</v>
      </c>
      <c r="P3273" s="46">
        <v>0</v>
      </c>
      <c r="Q3273" s="46">
        <v>671296</v>
      </c>
      <c r="R3273" s="49">
        <f t="shared" si="901"/>
        <v>1</v>
      </c>
      <c r="S3273" s="50">
        <f t="shared" si="902"/>
        <v>0.01</v>
      </c>
      <c r="T3273" s="49">
        <f t="shared" si="903"/>
        <v>6712.96</v>
      </c>
      <c r="U3273" s="51">
        <f t="shared" si="904"/>
        <v>0</v>
      </c>
      <c r="V3273" s="52">
        <f>IF(0&lt;0.8,0,IF(0&lt;1,Sheet3!L561,1))*IF(G3273&lt;3,0.12 - O3273,0.01) *U3273</f>
        <v>0</v>
      </c>
      <c r="W3273" s="52">
        <f t="shared" si="905"/>
        <v>0</v>
      </c>
      <c r="X3273" s="53">
        <f t="shared" si="906"/>
        <v>0</v>
      </c>
      <c r="Y3273" s="53">
        <f t="shared" si="907"/>
        <v>0</v>
      </c>
      <c r="Z3273" s="54">
        <f>IF(R3273=1,0,0)</f>
        <v>0</v>
      </c>
      <c r="AA3273" s="54">
        <f t="shared" si="908"/>
        <v>0</v>
      </c>
      <c r="AB3273" s="55">
        <f>IF(R3273=0,0,0)</f>
        <v>0</v>
      </c>
      <c r="AC3273" s="55">
        <f t="shared" si="909"/>
        <v>0</v>
      </c>
      <c r="AD3273" s="56">
        <f t="shared" si="910"/>
        <v>6712.96</v>
      </c>
    </row>
    <row r="3274" spans="3:30">
      <c r="C3274" s="43" t="s">
        <v>6075</v>
      </c>
      <c r="D3274" s="44" t="s">
        <v>6076</v>
      </c>
      <c r="E3274" s="44"/>
      <c r="F3274" s="45">
        <v>42521.276990740742</v>
      </c>
      <c r="G3274" s="46">
        <v>28</v>
      </c>
      <c r="H3274" s="47" t="s">
        <v>24</v>
      </c>
      <c r="I3274" s="47" t="s">
        <v>24</v>
      </c>
      <c r="J3274" s="46">
        <v>0</v>
      </c>
      <c r="K3274" s="46">
        <v>0</v>
      </c>
      <c r="L3274" s="46">
        <v>0</v>
      </c>
      <c r="M3274" s="46">
        <f t="shared" si="899"/>
        <v>0</v>
      </c>
      <c r="N3274" s="46">
        <v>715964</v>
      </c>
      <c r="O3274" s="48">
        <f t="shared" si="900"/>
        <v>1</v>
      </c>
      <c r="P3274" s="46">
        <v>0</v>
      </c>
      <c r="Q3274" s="46">
        <v>0</v>
      </c>
      <c r="R3274" s="49">
        <f t="shared" si="901"/>
        <v>1</v>
      </c>
      <c r="S3274" s="50">
        <f t="shared" si="902"/>
        <v>0.01</v>
      </c>
      <c r="T3274" s="49">
        <f t="shared" si="903"/>
        <v>0</v>
      </c>
      <c r="U3274" s="51">
        <f t="shared" si="904"/>
        <v>0</v>
      </c>
      <c r="V3274" s="52">
        <f>IF(0&lt;0.8,0,IF(0&lt;1,Sheet3!L561,1))*IF(G3274&lt;3,0.12 - O3274,0.01) *U3274</f>
        <v>0</v>
      </c>
      <c r="W3274" s="52">
        <f t="shared" si="905"/>
        <v>0</v>
      </c>
      <c r="X3274" s="53">
        <f t="shared" si="906"/>
        <v>0</v>
      </c>
      <c r="Y3274" s="53">
        <f t="shared" si="907"/>
        <v>0</v>
      </c>
      <c r="Z3274" s="54">
        <f>IF(R3274=1,0,"")</f>
        <v>0</v>
      </c>
      <c r="AA3274" s="54">
        <f t="shared" si="908"/>
        <v>0</v>
      </c>
      <c r="AB3274" s="55">
        <f>IF(R3274=0,"",0)</f>
        <v>0</v>
      </c>
      <c r="AC3274" s="55">
        <f t="shared" si="909"/>
        <v>0</v>
      </c>
      <c r="AD3274" s="56">
        <f t="shared" si="910"/>
        <v>0</v>
      </c>
    </row>
    <row r="3275" spans="3:30">
      <c r="C3275" s="43" t="s">
        <v>6077</v>
      </c>
      <c r="D3275" s="44" t="s">
        <v>995</v>
      </c>
      <c r="E3275" s="44"/>
      <c r="F3275" s="45">
        <v>43316.219942129625</v>
      </c>
      <c r="G3275" s="46">
        <v>1</v>
      </c>
      <c r="H3275" s="47">
        <v>43404</v>
      </c>
      <c r="I3275" s="47">
        <v>43430</v>
      </c>
      <c r="J3275" s="46">
        <v>1928990</v>
      </c>
      <c r="K3275" s="46">
        <v>0</v>
      </c>
      <c r="L3275" s="46">
        <v>0</v>
      </c>
      <c r="M3275" s="46">
        <f t="shared" si="899"/>
        <v>1928990</v>
      </c>
      <c r="N3275" s="46">
        <v>1907290</v>
      </c>
      <c r="O3275" s="48">
        <f t="shared" si="900"/>
        <v>0</v>
      </c>
      <c r="P3275" s="46">
        <v>0</v>
      </c>
      <c r="Q3275" s="46">
        <v>0</v>
      </c>
      <c r="R3275" s="49">
        <f t="shared" si="901"/>
        <v>0</v>
      </c>
      <c r="S3275" s="50">
        <f t="shared" si="902"/>
        <v>0</v>
      </c>
      <c r="T3275" s="49">
        <f t="shared" si="903"/>
        <v>0</v>
      </c>
      <c r="U3275" s="51">
        <f t="shared" si="904"/>
        <v>1928990</v>
      </c>
      <c r="V3275" s="52">
        <f>IF(0&lt;0.8,0,IF(0&lt;1,Sheet3!L561,1))*IF(G3275&lt;3,0.12 - O3275,0.01) *U3275</f>
        <v>0</v>
      </c>
      <c r="W3275" s="52">
        <f t="shared" si="905"/>
        <v>0</v>
      </c>
      <c r="X3275" s="53">
        <f t="shared" si="906"/>
        <v>0</v>
      </c>
      <c r="Y3275" s="53">
        <f t="shared" si="907"/>
        <v>0</v>
      </c>
      <c r="Z3275" s="54">
        <f t="shared" ref="Z3275:Z3281" si="911">IF(R3275=1,0,0)</f>
        <v>0</v>
      </c>
      <c r="AA3275" s="54">
        <f t="shared" si="908"/>
        <v>0</v>
      </c>
      <c r="AB3275" s="55">
        <f t="shared" ref="AB3275:AB3281" si="912">IF(R3275=0,0,0)</f>
        <v>0</v>
      </c>
      <c r="AC3275" s="55">
        <f t="shared" si="909"/>
        <v>0</v>
      </c>
      <c r="AD3275" s="56">
        <f t="shared" si="910"/>
        <v>0</v>
      </c>
    </row>
    <row r="3276" spans="3:30">
      <c r="C3276" s="43" t="s">
        <v>6078</v>
      </c>
      <c r="D3276" s="44" t="s">
        <v>995</v>
      </c>
      <c r="E3276" s="44"/>
      <c r="F3276" s="45">
        <v>43316.220486111109</v>
      </c>
      <c r="G3276" s="46">
        <v>1</v>
      </c>
      <c r="H3276" s="47">
        <v>43404</v>
      </c>
      <c r="I3276" s="47">
        <v>43430</v>
      </c>
      <c r="J3276" s="46">
        <v>1067872</v>
      </c>
      <c r="K3276" s="46">
        <v>0</v>
      </c>
      <c r="L3276" s="46">
        <v>0</v>
      </c>
      <c r="M3276" s="46">
        <f t="shared" si="899"/>
        <v>1067872</v>
      </c>
      <c r="N3276" s="46">
        <v>1047581</v>
      </c>
      <c r="O3276" s="48">
        <f t="shared" si="900"/>
        <v>0</v>
      </c>
      <c r="P3276" s="46">
        <v>0</v>
      </c>
      <c r="Q3276" s="46">
        <v>0</v>
      </c>
      <c r="R3276" s="49">
        <f t="shared" si="901"/>
        <v>0</v>
      </c>
      <c r="S3276" s="50">
        <f t="shared" si="902"/>
        <v>0</v>
      </c>
      <c r="T3276" s="49">
        <f t="shared" si="903"/>
        <v>0</v>
      </c>
      <c r="U3276" s="51">
        <f t="shared" si="904"/>
        <v>1067872</v>
      </c>
      <c r="V3276" s="52">
        <f>IF(0&lt;0.8,0,IF(0&lt;1,Sheet3!L561,1))*IF(G3276&lt;3,0.12 - O3276,0.01) *U3276</f>
        <v>0</v>
      </c>
      <c r="W3276" s="52">
        <f t="shared" si="905"/>
        <v>0</v>
      </c>
      <c r="X3276" s="53">
        <f t="shared" si="906"/>
        <v>0</v>
      </c>
      <c r="Y3276" s="53">
        <f t="shared" si="907"/>
        <v>0</v>
      </c>
      <c r="Z3276" s="54">
        <f t="shared" si="911"/>
        <v>0</v>
      </c>
      <c r="AA3276" s="54">
        <f t="shared" si="908"/>
        <v>0</v>
      </c>
      <c r="AB3276" s="55">
        <f t="shared" si="912"/>
        <v>0</v>
      </c>
      <c r="AC3276" s="55">
        <f t="shared" si="909"/>
        <v>0</v>
      </c>
      <c r="AD3276" s="56">
        <f t="shared" si="910"/>
        <v>0</v>
      </c>
    </row>
    <row r="3277" spans="3:30">
      <c r="C3277" s="43" t="s">
        <v>6079</v>
      </c>
      <c r="D3277" s="44" t="s">
        <v>6080</v>
      </c>
      <c r="E3277" s="44"/>
      <c r="F3277" s="45">
        <v>41550.461388888885</v>
      </c>
      <c r="G3277" s="46">
        <v>59</v>
      </c>
      <c r="H3277" s="47">
        <v>43398</v>
      </c>
      <c r="I3277" s="47">
        <v>43403</v>
      </c>
      <c r="J3277" s="46">
        <v>1587416</v>
      </c>
      <c r="K3277" s="46">
        <v>368321</v>
      </c>
      <c r="L3277" s="46">
        <v>0</v>
      </c>
      <c r="M3277" s="46">
        <f t="shared" si="899"/>
        <v>1219095</v>
      </c>
      <c r="N3277" s="46">
        <v>1884721</v>
      </c>
      <c r="O3277" s="48">
        <f t="shared" si="900"/>
        <v>0.35316951421457077</v>
      </c>
      <c r="P3277" s="46">
        <v>0</v>
      </c>
      <c r="Q3277" s="46">
        <v>1278371</v>
      </c>
      <c r="R3277" s="49">
        <f t="shared" si="901"/>
        <v>1</v>
      </c>
      <c r="S3277" s="50">
        <f t="shared" si="902"/>
        <v>0.01</v>
      </c>
      <c r="T3277" s="49">
        <f t="shared" si="903"/>
        <v>12190.95</v>
      </c>
      <c r="U3277" s="51">
        <f t="shared" si="904"/>
        <v>0</v>
      </c>
      <c r="V3277" s="52">
        <f>IF(0&lt;0.8,0,IF(0&lt;1,Sheet3!L561,1))*IF(G3277&lt;3,0.12 - O3277,0.01) *U3277</f>
        <v>0</v>
      </c>
      <c r="W3277" s="52">
        <f t="shared" si="905"/>
        <v>0</v>
      </c>
      <c r="X3277" s="53">
        <f t="shared" si="906"/>
        <v>0</v>
      </c>
      <c r="Y3277" s="53">
        <f t="shared" si="907"/>
        <v>0</v>
      </c>
      <c r="Z3277" s="54">
        <f t="shared" si="911"/>
        <v>0</v>
      </c>
      <c r="AA3277" s="54">
        <f t="shared" si="908"/>
        <v>0</v>
      </c>
      <c r="AB3277" s="55">
        <f t="shared" si="912"/>
        <v>0</v>
      </c>
      <c r="AC3277" s="55">
        <f t="shared" si="909"/>
        <v>0</v>
      </c>
      <c r="AD3277" s="56">
        <f t="shared" si="910"/>
        <v>12190.95</v>
      </c>
    </row>
    <row r="3278" spans="3:30">
      <c r="C3278" s="43" t="s">
        <v>6081</v>
      </c>
      <c r="D3278" s="44" t="s">
        <v>6082</v>
      </c>
      <c r="E3278" s="44"/>
      <c r="F3278" s="45">
        <v>42667.154814814814</v>
      </c>
      <c r="G3278" s="46">
        <v>23</v>
      </c>
      <c r="H3278" s="47">
        <v>43398</v>
      </c>
      <c r="I3278" s="47">
        <v>43403</v>
      </c>
      <c r="J3278" s="46">
        <v>902660</v>
      </c>
      <c r="K3278" s="46">
        <v>0</v>
      </c>
      <c r="L3278" s="46">
        <v>0</v>
      </c>
      <c r="M3278" s="46">
        <f t="shared" si="899"/>
        <v>902660</v>
      </c>
      <c r="N3278" s="46">
        <v>1097952</v>
      </c>
      <c r="O3278" s="48">
        <f t="shared" si="900"/>
        <v>0.17786934219346562</v>
      </c>
      <c r="P3278" s="46">
        <v>0</v>
      </c>
      <c r="Q3278" s="46">
        <v>902660</v>
      </c>
      <c r="R3278" s="49">
        <f t="shared" si="901"/>
        <v>1</v>
      </c>
      <c r="S3278" s="50">
        <f t="shared" si="902"/>
        <v>0.01</v>
      </c>
      <c r="T3278" s="49">
        <f t="shared" si="903"/>
        <v>9026.6</v>
      </c>
      <c r="U3278" s="51">
        <f t="shared" si="904"/>
        <v>0</v>
      </c>
      <c r="V3278" s="52">
        <f>IF(0&lt;0.8,0,IF(0&lt;1,Sheet3!L561,1))*IF(G3278&lt;3,0.12 - O3278,0.01) *U3278</f>
        <v>0</v>
      </c>
      <c r="W3278" s="52">
        <f t="shared" si="905"/>
        <v>0</v>
      </c>
      <c r="X3278" s="53">
        <f t="shared" si="906"/>
        <v>0</v>
      </c>
      <c r="Y3278" s="53">
        <f t="shared" si="907"/>
        <v>0</v>
      </c>
      <c r="Z3278" s="54">
        <f t="shared" si="911"/>
        <v>0</v>
      </c>
      <c r="AA3278" s="54">
        <f t="shared" si="908"/>
        <v>0</v>
      </c>
      <c r="AB3278" s="55">
        <f t="shared" si="912"/>
        <v>0</v>
      </c>
      <c r="AC3278" s="55">
        <f t="shared" si="909"/>
        <v>0</v>
      </c>
      <c r="AD3278" s="56">
        <f t="shared" si="910"/>
        <v>9026.6</v>
      </c>
    </row>
    <row r="3279" spans="3:30">
      <c r="C3279" s="43" t="s">
        <v>6083</v>
      </c>
      <c r="D3279" s="44" t="s">
        <v>6084</v>
      </c>
      <c r="E3279" s="44"/>
      <c r="F3279" s="45">
        <v>42821.092048611106</v>
      </c>
      <c r="G3279" s="46">
        <v>18</v>
      </c>
      <c r="H3279" s="47">
        <v>43372</v>
      </c>
      <c r="I3279" s="47">
        <v>43410</v>
      </c>
      <c r="J3279" s="46">
        <v>6095897</v>
      </c>
      <c r="K3279" s="46">
        <v>0</v>
      </c>
      <c r="L3279" s="46">
        <v>0</v>
      </c>
      <c r="M3279" s="46">
        <f t="shared" si="899"/>
        <v>6095897</v>
      </c>
      <c r="N3279" s="46">
        <v>7018827</v>
      </c>
      <c r="O3279" s="48">
        <f t="shared" si="900"/>
        <v>0.1314934817455965</v>
      </c>
      <c r="P3279" s="46">
        <v>0</v>
      </c>
      <c r="Q3279" s="46">
        <v>6095897</v>
      </c>
      <c r="R3279" s="49">
        <f t="shared" si="901"/>
        <v>1</v>
      </c>
      <c r="S3279" s="50">
        <f t="shared" si="902"/>
        <v>0.01</v>
      </c>
      <c r="T3279" s="49">
        <f t="shared" si="903"/>
        <v>60958.97</v>
      </c>
      <c r="U3279" s="51">
        <f t="shared" si="904"/>
        <v>0</v>
      </c>
      <c r="V3279" s="52">
        <f>IF(0&lt;0.8,0,IF(0&lt;1,Sheet3!L561,1))*IF(G3279&lt;3,0.12 - O3279,0.01) *U3279</f>
        <v>0</v>
      </c>
      <c r="W3279" s="52">
        <f t="shared" si="905"/>
        <v>0</v>
      </c>
      <c r="X3279" s="53">
        <f t="shared" si="906"/>
        <v>0</v>
      </c>
      <c r="Y3279" s="53">
        <f t="shared" si="907"/>
        <v>0</v>
      </c>
      <c r="Z3279" s="54">
        <f t="shared" si="911"/>
        <v>0</v>
      </c>
      <c r="AA3279" s="54">
        <f t="shared" si="908"/>
        <v>0</v>
      </c>
      <c r="AB3279" s="55">
        <f t="shared" si="912"/>
        <v>0</v>
      </c>
      <c r="AC3279" s="55">
        <f t="shared" si="909"/>
        <v>0</v>
      </c>
      <c r="AD3279" s="56">
        <f t="shared" si="910"/>
        <v>60958.97</v>
      </c>
    </row>
    <row r="3280" spans="3:30">
      <c r="C3280" s="43" t="s">
        <v>6085</v>
      </c>
      <c r="D3280" s="44" t="s">
        <v>6086</v>
      </c>
      <c r="E3280" s="44"/>
      <c r="F3280" s="45">
        <v>43038.17769675926</v>
      </c>
      <c r="G3280" s="46">
        <v>11</v>
      </c>
      <c r="H3280" s="47">
        <v>43398</v>
      </c>
      <c r="I3280" s="47">
        <v>43403</v>
      </c>
      <c r="J3280" s="46">
        <v>876250</v>
      </c>
      <c r="K3280" s="46">
        <v>616000</v>
      </c>
      <c r="L3280" s="46">
        <v>0</v>
      </c>
      <c r="M3280" s="46">
        <f t="shared" si="899"/>
        <v>260250</v>
      </c>
      <c r="N3280" s="46">
        <v>932622</v>
      </c>
      <c r="O3280" s="48">
        <f t="shared" si="900"/>
        <v>0.72094803682520892</v>
      </c>
      <c r="P3280" s="46">
        <v>0</v>
      </c>
      <c r="Q3280" s="46">
        <v>876250</v>
      </c>
      <c r="R3280" s="49">
        <f t="shared" si="901"/>
        <v>1</v>
      </c>
      <c r="S3280" s="50">
        <f t="shared" si="902"/>
        <v>0.01</v>
      </c>
      <c r="T3280" s="49">
        <f t="shared" si="903"/>
        <v>2602.5</v>
      </c>
      <c r="U3280" s="51">
        <f t="shared" si="904"/>
        <v>0</v>
      </c>
      <c r="V3280" s="52">
        <f>IF(0&lt;0.8,0,IF(0&lt;1,Sheet3!L561,1))*IF(G3280&lt;3,0.12 - O3280,0.01) *U3280</f>
        <v>0</v>
      </c>
      <c r="W3280" s="52">
        <f t="shared" si="905"/>
        <v>0</v>
      </c>
      <c r="X3280" s="53">
        <f t="shared" si="906"/>
        <v>0</v>
      </c>
      <c r="Y3280" s="53">
        <f t="shared" si="907"/>
        <v>0</v>
      </c>
      <c r="Z3280" s="54">
        <f t="shared" si="911"/>
        <v>0</v>
      </c>
      <c r="AA3280" s="54">
        <f t="shared" si="908"/>
        <v>0</v>
      </c>
      <c r="AB3280" s="55">
        <f t="shared" si="912"/>
        <v>0</v>
      </c>
      <c r="AC3280" s="55">
        <f t="shared" si="909"/>
        <v>0</v>
      </c>
      <c r="AD3280" s="56">
        <f t="shared" si="910"/>
        <v>2602.5</v>
      </c>
    </row>
    <row r="3281" spans="3:30">
      <c r="C3281" s="43" t="s">
        <v>6087</v>
      </c>
      <c r="D3281" s="44" t="s">
        <v>5407</v>
      </c>
      <c r="E3281" s="44"/>
      <c r="F3281" s="45">
        <v>43186.106041666666</v>
      </c>
      <c r="G3281" s="46">
        <v>6</v>
      </c>
      <c r="H3281" s="47">
        <v>43398</v>
      </c>
      <c r="I3281" s="47">
        <v>43403</v>
      </c>
      <c r="J3281" s="46">
        <v>542575</v>
      </c>
      <c r="K3281" s="46">
        <v>0</v>
      </c>
      <c r="L3281" s="46">
        <v>0</v>
      </c>
      <c r="M3281" s="46">
        <f t="shared" si="899"/>
        <v>542575</v>
      </c>
      <c r="N3281" s="46">
        <v>738821</v>
      </c>
      <c r="O3281" s="48">
        <f t="shared" si="900"/>
        <v>0.26562049535679144</v>
      </c>
      <c r="P3281" s="46">
        <v>0</v>
      </c>
      <c r="Q3281" s="46">
        <v>542575</v>
      </c>
      <c r="R3281" s="49">
        <f t="shared" si="901"/>
        <v>1</v>
      </c>
      <c r="S3281" s="50">
        <f t="shared" si="902"/>
        <v>0.01</v>
      </c>
      <c r="T3281" s="49">
        <f t="shared" si="903"/>
        <v>5425.75</v>
      </c>
      <c r="U3281" s="51">
        <f t="shared" si="904"/>
        <v>0</v>
      </c>
      <c r="V3281" s="52">
        <f>IF(0&lt;0.8,0,IF(0&lt;1,Sheet3!L561,1))*IF(G3281&lt;3,0.12 - O3281,0.01) *U3281</f>
        <v>0</v>
      </c>
      <c r="W3281" s="52">
        <f t="shared" si="905"/>
        <v>0</v>
      </c>
      <c r="X3281" s="53">
        <f t="shared" si="906"/>
        <v>0</v>
      </c>
      <c r="Y3281" s="53">
        <f t="shared" si="907"/>
        <v>0</v>
      </c>
      <c r="Z3281" s="54">
        <f t="shared" si="911"/>
        <v>0</v>
      </c>
      <c r="AA3281" s="54">
        <f t="shared" si="908"/>
        <v>0</v>
      </c>
      <c r="AB3281" s="55">
        <f t="shared" si="912"/>
        <v>0</v>
      </c>
      <c r="AC3281" s="55">
        <f t="shared" si="909"/>
        <v>0</v>
      </c>
      <c r="AD3281" s="56">
        <f t="shared" si="910"/>
        <v>5425.75</v>
      </c>
    </row>
    <row r="3282" spans="3:30">
      <c r="C3282" s="43" t="s">
        <v>6088</v>
      </c>
      <c r="D3282" s="44" t="s">
        <v>6089</v>
      </c>
      <c r="E3282" s="44"/>
      <c r="F3282" s="45">
        <v>42521.276354166665</v>
      </c>
      <c r="G3282" s="46">
        <v>28</v>
      </c>
      <c r="H3282" s="47" t="s">
        <v>24</v>
      </c>
      <c r="I3282" s="47" t="s">
        <v>24</v>
      </c>
      <c r="J3282" s="46">
        <v>0</v>
      </c>
      <c r="K3282" s="46">
        <v>0</v>
      </c>
      <c r="L3282" s="46">
        <v>0</v>
      </c>
      <c r="M3282" s="46">
        <f t="shared" si="899"/>
        <v>0</v>
      </c>
      <c r="N3282" s="46">
        <v>473948</v>
      </c>
      <c r="O3282" s="48">
        <f t="shared" si="900"/>
        <v>1</v>
      </c>
      <c r="P3282" s="46">
        <v>0</v>
      </c>
      <c r="Q3282" s="46">
        <v>0</v>
      </c>
      <c r="R3282" s="49">
        <f t="shared" si="901"/>
        <v>1</v>
      </c>
      <c r="S3282" s="50">
        <f t="shared" si="902"/>
        <v>0.01</v>
      </c>
      <c r="T3282" s="49">
        <f t="shared" si="903"/>
        <v>0</v>
      </c>
      <c r="U3282" s="51">
        <f t="shared" si="904"/>
        <v>0</v>
      </c>
      <c r="V3282" s="52">
        <f>IF(0&lt;0.8,0,IF(0&lt;1,Sheet3!L561,1))*IF(G3282&lt;3,0.12 - O3282,0.01) *U3282</f>
        <v>0</v>
      </c>
      <c r="W3282" s="52">
        <f t="shared" si="905"/>
        <v>0</v>
      </c>
      <c r="X3282" s="53">
        <f t="shared" si="906"/>
        <v>0</v>
      </c>
      <c r="Y3282" s="53">
        <f t="shared" si="907"/>
        <v>0</v>
      </c>
      <c r="Z3282" s="54">
        <f>IF(R3282=1,0,"")</f>
        <v>0</v>
      </c>
      <c r="AA3282" s="54">
        <f t="shared" si="908"/>
        <v>0</v>
      </c>
      <c r="AB3282" s="55">
        <f>IF(R3282=0,"",0)</f>
        <v>0</v>
      </c>
      <c r="AC3282" s="55">
        <f t="shared" si="909"/>
        <v>0</v>
      </c>
      <c r="AD3282" s="56">
        <f t="shared" si="910"/>
        <v>0</v>
      </c>
    </row>
    <row r="3283" spans="3:30">
      <c r="C3283" s="43" t="s">
        <v>6090</v>
      </c>
      <c r="D3283" s="44" t="s">
        <v>995</v>
      </c>
      <c r="E3283" s="44"/>
      <c r="F3283" s="45">
        <v>43316.222650462958</v>
      </c>
      <c r="G3283" s="46">
        <v>1</v>
      </c>
      <c r="H3283" s="47">
        <v>43404</v>
      </c>
      <c r="I3283" s="47">
        <v>43430</v>
      </c>
      <c r="J3283" s="46">
        <v>701354</v>
      </c>
      <c r="K3283" s="46">
        <v>0</v>
      </c>
      <c r="L3283" s="46">
        <v>0</v>
      </c>
      <c r="M3283" s="46">
        <f t="shared" si="899"/>
        <v>701354</v>
      </c>
      <c r="N3283" s="46">
        <v>888551</v>
      </c>
      <c r="O3283" s="48">
        <f t="shared" si="900"/>
        <v>0.21067670848381237</v>
      </c>
      <c r="P3283" s="46">
        <v>0</v>
      </c>
      <c r="Q3283" s="46">
        <v>0</v>
      </c>
      <c r="R3283" s="49">
        <f t="shared" si="901"/>
        <v>0</v>
      </c>
      <c r="S3283" s="50">
        <f t="shared" si="902"/>
        <v>0</v>
      </c>
      <c r="T3283" s="49">
        <f t="shared" si="903"/>
        <v>0</v>
      </c>
      <c r="U3283" s="51">
        <f t="shared" si="904"/>
        <v>0</v>
      </c>
      <c r="V3283" s="52">
        <f>IF(0&lt;0.8,0,IF(0&lt;1,Sheet3!L561,1))*IF(G3283&lt;3,0.12 - O3283,0.01) *U3283</f>
        <v>0</v>
      </c>
      <c r="W3283" s="52">
        <f t="shared" si="905"/>
        <v>0</v>
      </c>
      <c r="X3283" s="53">
        <f t="shared" si="906"/>
        <v>0</v>
      </c>
      <c r="Y3283" s="53">
        <f t="shared" si="907"/>
        <v>0</v>
      </c>
      <c r="Z3283" s="54">
        <f t="shared" ref="Z3283:Z3335" si="913">IF(R3283=1,0,0)</f>
        <v>0</v>
      </c>
      <c r="AA3283" s="54">
        <f t="shared" si="908"/>
        <v>0</v>
      </c>
      <c r="AB3283" s="55">
        <f t="shared" ref="AB3283:AB3289" si="914">IF(R3283=0,0,0)</f>
        <v>0</v>
      </c>
      <c r="AC3283" s="55">
        <f t="shared" si="909"/>
        <v>0</v>
      </c>
      <c r="AD3283" s="56">
        <f t="shared" si="910"/>
        <v>0</v>
      </c>
    </row>
    <row r="3284" spans="3:30">
      <c r="C3284" s="43" t="s">
        <v>6091</v>
      </c>
      <c r="D3284" s="44" t="s">
        <v>995</v>
      </c>
      <c r="E3284" s="44"/>
      <c r="F3284" s="45">
        <v>43316.223680555551</v>
      </c>
      <c r="G3284" s="46">
        <v>1</v>
      </c>
      <c r="H3284" s="47">
        <v>43404</v>
      </c>
      <c r="I3284" s="47">
        <v>43430</v>
      </c>
      <c r="J3284" s="46">
        <v>891575</v>
      </c>
      <c r="K3284" s="46">
        <v>0</v>
      </c>
      <c r="L3284" s="46">
        <v>0</v>
      </c>
      <c r="M3284" s="46">
        <f t="shared" si="899"/>
        <v>891575</v>
      </c>
      <c r="N3284" s="46">
        <v>890799</v>
      </c>
      <c r="O3284" s="48">
        <f t="shared" si="900"/>
        <v>0</v>
      </c>
      <c r="P3284" s="46">
        <v>0</v>
      </c>
      <c r="Q3284" s="46">
        <v>0</v>
      </c>
      <c r="R3284" s="49">
        <f t="shared" si="901"/>
        <v>0</v>
      </c>
      <c r="S3284" s="50">
        <f t="shared" si="902"/>
        <v>0</v>
      </c>
      <c r="T3284" s="49">
        <f t="shared" si="903"/>
        <v>0</v>
      </c>
      <c r="U3284" s="51">
        <f t="shared" si="904"/>
        <v>891575</v>
      </c>
      <c r="V3284" s="52">
        <f>IF(0&lt;0.8,0,IF(0&lt;1,Sheet3!L561,1))*IF(G3284&lt;3,0.12 - O3284,0.01) *U3284</f>
        <v>0</v>
      </c>
      <c r="W3284" s="52">
        <f t="shared" si="905"/>
        <v>0</v>
      </c>
      <c r="X3284" s="53">
        <f t="shared" si="906"/>
        <v>0</v>
      </c>
      <c r="Y3284" s="53">
        <f t="shared" si="907"/>
        <v>0</v>
      </c>
      <c r="Z3284" s="54">
        <f t="shared" si="913"/>
        <v>0</v>
      </c>
      <c r="AA3284" s="54">
        <f t="shared" si="908"/>
        <v>0</v>
      </c>
      <c r="AB3284" s="55">
        <f t="shared" si="914"/>
        <v>0</v>
      </c>
      <c r="AC3284" s="55">
        <f t="shared" si="909"/>
        <v>0</v>
      </c>
      <c r="AD3284" s="56">
        <f t="shared" si="910"/>
        <v>0</v>
      </c>
    </row>
    <row r="3285" spans="3:30">
      <c r="C3285" s="43" t="s">
        <v>6092</v>
      </c>
      <c r="D3285" s="44" t="s">
        <v>995</v>
      </c>
      <c r="E3285" s="44"/>
      <c r="F3285" s="45">
        <v>43316.231319444443</v>
      </c>
      <c r="G3285" s="46">
        <v>1</v>
      </c>
      <c r="H3285" s="47">
        <v>43404</v>
      </c>
      <c r="I3285" s="47">
        <v>43430</v>
      </c>
      <c r="J3285" s="46">
        <v>1178556</v>
      </c>
      <c r="K3285" s="46">
        <v>0</v>
      </c>
      <c r="L3285" s="46">
        <v>0</v>
      </c>
      <c r="M3285" s="46">
        <f t="shared" si="899"/>
        <v>1178556</v>
      </c>
      <c r="N3285" s="46">
        <v>1384616</v>
      </c>
      <c r="O3285" s="48">
        <f t="shared" si="900"/>
        <v>0.14882104496842441</v>
      </c>
      <c r="P3285" s="46">
        <v>0</v>
      </c>
      <c r="Q3285" s="46">
        <v>0</v>
      </c>
      <c r="R3285" s="49">
        <f t="shared" si="901"/>
        <v>0</v>
      </c>
      <c r="S3285" s="50">
        <f t="shared" si="902"/>
        <v>0</v>
      </c>
      <c r="T3285" s="49">
        <f t="shared" si="903"/>
        <v>0</v>
      </c>
      <c r="U3285" s="51">
        <f t="shared" si="904"/>
        <v>0</v>
      </c>
      <c r="V3285" s="52">
        <f>IF(0&lt;0.8,0,IF(0&lt;1,Sheet3!L561,1))*IF(G3285&lt;3,0.12 - O3285,0.01) *U3285</f>
        <v>0</v>
      </c>
      <c r="W3285" s="52">
        <f t="shared" si="905"/>
        <v>0</v>
      </c>
      <c r="X3285" s="53">
        <f t="shared" si="906"/>
        <v>0</v>
      </c>
      <c r="Y3285" s="53">
        <f t="shared" si="907"/>
        <v>0</v>
      </c>
      <c r="Z3285" s="54">
        <f t="shared" si="913"/>
        <v>0</v>
      </c>
      <c r="AA3285" s="54">
        <f t="shared" si="908"/>
        <v>0</v>
      </c>
      <c r="AB3285" s="55">
        <f t="shared" si="914"/>
        <v>0</v>
      </c>
      <c r="AC3285" s="55">
        <f t="shared" si="909"/>
        <v>0</v>
      </c>
      <c r="AD3285" s="56">
        <f t="shared" si="910"/>
        <v>0</v>
      </c>
    </row>
    <row r="3286" spans="3:30">
      <c r="C3286" s="43" t="s">
        <v>6093</v>
      </c>
      <c r="D3286" s="44" t="s">
        <v>6094</v>
      </c>
      <c r="E3286" s="44"/>
      <c r="F3286" s="45">
        <v>38960.363506944443</v>
      </c>
      <c r="G3286" s="46">
        <v>145</v>
      </c>
      <c r="H3286" s="47">
        <v>43372</v>
      </c>
      <c r="I3286" s="47">
        <v>43406</v>
      </c>
      <c r="J3286" s="46">
        <v>1203633</v>
      </c>
      <c r="K3286" s="46">
        <v>0</v>
      </c>
      <c r="L3286" s="46">
        <v>0</v>
      </c>
      <c r="M3286" s="46">
        <f t="shared" si="899"/>
        <v>1203633</v>
      </c>
      <c r="N3286" s="46">
        <v>1217990</v>
      </c>
      <c r="O3286" s="48">
        <f t="shared" si="900"/>
        <v>1.1787453098958123E-2</v>
      </c>
      <c r="P3286" s="46">
        <v>0</v>
      </c>
      <c r="Q3286" s="46">
        <v>1203633</v>
      </c>
      <c r="R3286" s="49">
        <f t="shared" si="901"/>
        <v>1</v>
      </c>
      <c r="S3286" s="50">
        <f t="shared" si="902"/>
        <v>0.01</v>
      </c>
      <c r="T3286" s="49">
        <f t="shared" si="903"/>
        <v>12036.33</v>
      </c>
      <c r="U3286" s="51">
        <f t="shared" si="904"/>
        <v>0</v>
      </c>
      <c r="V3286" s="52">
        <f>IF(0&lt;0.8,0,IF(0&lt;1,Sheet3!L561,1))*IF(G3286&lt;3,0.12 - O3286,0.01) *U3286</f>
        <v>0</v>
      </c>
      <c r="W3286" s="52">
        <f t="shared" si="905"/>
        <v>0</v>
      </c>
      <c r="X3286" s="53">
        <f t="shared" si="906"/>
        <v>0</v>
      </c>
      <c r="Y3286" s="53">
        <f t="shared" si="907"/>
        <v>0</v>
      </c>
      <c r="Z3286" s="54">
        <f t="shared" si="913"/>
        <v>0</v>
      </c>
      <c r="AA3286" s="54">
        <f t="shared" si="908"/>
        <v>0</v>
      </c>
      <c r="AB3286" s="55">
        <f t="shared" si="914"/>
        <v>0</v>
      </c>
      <c r="AC3286" s="55">
        <f t="shared" si="909"/>
        <v>0</v>
      </c>
      <c r="AD3286" s="56">
        <f t="shared" si="910"/>
        <v>12036.33</v>
      </c>
    </row>
    <row r="3287" spans="3:30">
      <c r="C3287" s="43" t="s">
        <v>6095</v>
      </c>
      <c r="D3287" s="44" t="s">
        <v>6096</v>
      </c>
      <c r="E3287" s="44"/>
      <c r="F3287" s="45">
        <v>39011.592881944445</v>
      </c>
      <c r="G3287" s="46">
        <v>143</v>
      </c>
      <c r="H3287" s="47">
        <v>43372</v>
      </c>
      <c r="I3287" s="47">
        <v>41460</v>
      </c>
      <c r="J3287" s="46">
        <v>496000</v>
      </c>
      <c r="K3287" s="46">
        <v>0</v>
      </c>
      <c r="L3287" s="46">
        <v>0</v>
      </c>
      <c r="M3287" s="46">
        <f t="shared" si="899"/>
        <v>496000</v>
      </c>
      <c r="N3287" s="46">
        <v>495030</v>
      </c>
      <c r="O3287" s="48">
        <f t="shared" si="900"/>
        <v>0</v>
      </c>
      <c r="P3287" s="46">
        <v>0</v>
      </c>
      <c r="Q3287" s="46">
        <v>496000</v>
      </c>
      <c r="R3287" s="49">
        <f t="shared" si="901"/>
        <v>1</v>
      </c>
      <c r="S3287" s="50">
        <f t="shared" si="902"/>
        <v>0.01</v>
      </c>
      <c r="T3287" s="49">
        <f t="shared" si="903"/>
        <v>4960</v>
      </c>
      <c r="U3287" s="51">
        <f t="shared" si="904"/>
        <v>0</v>
      </c>
      <c r="V3287" s="52">
        <f>IF(0&lt;0.8,0,IF(0&lt;1,Sheet3!L561,1))*IF(G3287&lt;3,0.12 - O3287,0.01) *U3287</f>
        <v>0</v>
      </c>
      <c r="W3287" s="52">
        <f t="shared" si="905"/>
        <v>0</v>
      </c>
      <c r="X3287" s="53">
        <f t="shared" si="906"/>
        <v>0</v>
      </c>
      <c r="Y3287" s="53">
        <f t="shared" si="907"/>
        <v>0</v>
      </c>
      <c r="Z3287" s="54">
        <f t="shared" si="913"/>
        <v>0</v>
      </c>
      <c r="AA3287" s="54">
        <f t="shared" si="908"/>
        <v>0</v>
      </c>
      <c r="AB3287" s="55">
        <f t="shared" si="914"/>
        <v>0</v>
      </c>
      <c r="AC3287" s="55">
        <f t="shared" si="909"/>
        <v>0</v>
      </c>
      <c r="AD3287" s="56">
        <f t="shared" si="910"/>
        <v>4960</v>
      </c>
    </row>
    <row r="3288" spans="3:30">
      <c r="C3288" s="43" t="s">
        <v>6097</v>
      </c>
      <c r="D3288" s="44" t="s">
        <v>6098</v>
      </c>
      <c r="E3288" s="44"/>
      <c r="F3288" s="45">
        <v>39597.600416666668</v>
      </c>
      <c r="G3288" s="46">
        <v>124</v>
      </c>
      <c r="H3288" s="47">
        <v>43372</v>
      </c>
      <c r="I3288" s="47">
        <v>43410</v>
      </c>
      <c r="J3288" s="46">
        <v>402693</v>
      </c>
      <c r="K3288" s="46">
        <v>0</v>
      </c>
      <c r="L3288" s="46">
        <v>0</v>
      </c>
      <c r="M3288" s="46">
        <f t="shared" si="899"/>
        <v>402693</v>
      </c>
      <c r="N3288" s="46">
        <v>402693</v>
      </c>
      <c r="O3288" s="48">
        <f t="shared" si="900"/>
        <v>0</v>
      </c>
      <c r="P3288" s="46">
        <v>0</v>
      </c>
      <c r="Q3288" s="46">
        <v>402693</v>
      </c>
      <c r="R3288" s="49">
        <f t="shared" si="901"/>
        <v>1</v>
      </c>
      <c r="S3288" s="50">
        <f t="shared" si="902"/>
        <v>0.01</v>
      </c>
      <c r="T3288" s="49">
        <f t="shared" si="903"/>
        <v>4026.9300000000003</v>
      </c>
      <c r="U3288" s="51">
        <f t="shared" si="904"/>
        <v>0</v>
      </c>
      <c r="V3288" s="52">
        <f>IF(0&lt;0.8,0,IF(0&lt;1,Sheet3!L561,1))*IF(G3288&lt;3,0.12 - O3288,0.01) *U3288</f>
        <v>0</v>
      </c>
      <c r="W3288" s="52">
        <f t="shared" si="905"/>
        <v>0</v>
      </c>
      <c r="X3288" s="53">
        <f t="shared" si="906"/>
        <v>0</v>
      </c>
      <c r="Y3288" s="53">
        <f t="shared" si="907"/>
        <v>0</v>
      </c>
      <c r="Z3288" s="54">
        <f t="shared" si="913"/>
        <v>0</v>
      </c>
      <c r="AA3288" s="54">
        <f t="shared" si="908"/>
        <v>0</v>
      </c>
      <c r="AB3288" s="55">
        <f t="shared" si="914"/>
        <v>0</v>
      </c>
      <c r="AC3288" s="55">
        <f t="shared" si="909"/>
        <v>0</v>
      </c>
      <c r="AD3288" s="56">
        <f t="shared" si="910"/>
        <v>4026.9300000000003</v>
      </c>
    </row>
    <row r="3289" spans="3:30">
      <c r="C3289" s="43" t="s">
        <v>6099</v>
      </c>
      <c r="D3289" s="44" t="s">
        <v>6100</v>
      </c>
      <c r="E3289" s="44"/>
      <c r="F3289" s="45">
        <v>40150.568032407406</v>
      </c>
      <c r="G3289" s="46">
        <v>105</v>
      </c>
      <c r="H3289" s="47">
        <v>43372</v>
      </c>
      <c r="I3289" s="47">
        <v>43382</v>
      </c>
      <c r="J3289" s="46">
        <v>142000</v>
      </c>
      <c r="K3289" s="46">
        <v>0</v>
      </c>
      <c r="L3289" s="46">
        <v>0</v>
      </c>
      <c r="M3289" s="46">
        <f t="shared" si="899"/>
        <v>142000</v>
      </c>
      <c r="N3289" s="46">
        <v>136746</v>
      </c>
      <c r="O3289" s="48">
        <f t="shared" si="900"/>
        <v>0</v>
      </c>
      <c r="P3289" s="46">
        <v>0</v>
      </c>
      <c r="Q3289" s="46">
        <v>142000</v>
      </c>
      <c r="R3289" s="49">
        <f t="shared" si="901"/>
        <v>1</v>
      </c>
      <c r="S3289" s="50">
        <f t="shared" si="902"/>
        <v>0.01</v>
      </c>
      <c r="T3289" s="49">
        <f t="shared" si="903"/>
        <v>1420</v>
      </c>
      <c r="U3289" s="51">
        <f t="shared" si="904"/>
        <v>0</v>
      </c>
      <c r="V3289" s="52">
        <f>IF(0&lt;0.8,0,IF(0&lt;1,Sheet3!L561,1))*IF(G3289&lt;3,0.12 - O3289,0.01) *U3289</f>
        <v>0</v>
      </c>
      <c r="W3289" s="52">
        <f t="shared" si="905"/>
        <v>0</v>
      </c>
      <c r="X3289" s="53">
        <f t="shared" si="906"/>
        <v>0</v>
      </c>
      <c r="Y3289" s="53">
        <f t="shared" si="907"/>
        <v>0</v>
      </c>
      <c r="Z3289" s="54">
        <f t="shared" si="913"/>
        <v>0</v>
      </c>
      <c r="AA3289" s="54">
        <f t="shared" si="908"/>
        <v>0</v>
      </c>
      <c r="AB3289" s="55">
        <f t="shared" si="914"/>
        <v>0</v>
      </c>
      <c r="AC3289" s="55">
        <f t="shared" si="909"/>
        <v>0</v>
      </c>
      <c r="AD3289" s="56">
        <f t="shared" si="910"/>
        <v>1420</v>
      </c>
    </row>
    <row r="3290" spans="3:30">
      <c r="C3290" s="43" t="s">
        <v>6101</v>
      </c>
      <c r="D3290" s="44" t="s">
        <v>6102</v>
      </c>
      <c r="E3290" s="44"/>
      <c r="F3290" s="45">
        <v>40492.647974537038</v>
      </c>
      <c r="G3290" s="46">
        <v>94</v>
      </c>
      <c r="H3290" s="47">
        <v>43372</v>
      </c>
      <c r="I3290" s="47">
        <v>43398</v>
      </c>
      <c r="J3290" s="46">
        <v>833941</v>
      </c>
      <c r="K3290" s="46">
        <v>0</v>
      </c>
      <c r="L3290" s="46">
        <v>0</v>
      </c>
      <c r="M3290" s="46">
        <f t="shared" si="899"/>
        <v>833941</v>
      </c>
      <c r="N3290" s="46">
        <v>352660</v>
      </c>
      <c r="O3290" s="48">
        <f t="shared" si="900"/>
        <v>0</v>
      </c>
      <c r="P3290" s="46">
        <v>0</v>
      </c>
      <c r="Q3290" s="46">
        <v>833941</v>
      </c>
      <c r="R3290" s="49">
        <f t="shared" si="901"/>
        <v>1</v>
      </c>
      <c r="S3290" s="50">
        <f t="shared" si="902"/>
        <v>0.01</v>
      </c>
      <c r="T3290" s="49">
        <f t="shared" si="903"/>
        <v>8339.41</v>
      </c>
      <c r="U3290" s="51">
        <f t="shared" si="904"/>
        <v>0</v>
      </c>
      <c r="V3290" s="52">
        <f>IF(0&lt;0.8,0,IF(0&lt;1,Sheet3!L561,1))*IF(G3290&lt;3,0.12 - O3290,0.01) *U3290</f>
        <v>0</v>
      </c>
      <c r="W3290" s="52">
        <f t="shared" si="905"/>
        <v>0</v>
      </c>
      <c r="X3290" s="53">
        <f t="shared" si="906"/>
        <v>0</v>
      </c>
      <c r="Y3290" s="53">
        <f t="shared" si="907"/>
        <v>0</v>
      </c>
      <c r="Z3290" s="54">
        <f t="shared" si="913"/>
        <v>0</v>
      </c>
      <c r="AA3290" s="54">
        <f t="shared" si="908"/>
        <v>0</v>
      </c>
      <c r="AB3290" s="55">
        <f>IF(R3290=0,473600,0)</f>
        <v>0</v>
      </c>
      <c r="AC3290" s="55">
        <f t="shared" si="909"/>
        <v>0</v>
      </c>
      <c r="AD3290" s="56">
        <f t="shared" si="910"/>
        <v>8339.41</v>
      </c>
    </row>
    <row r="3291" spans="3:30">
      <c r="C3291" s="43" t="s">
        <v>6103</v>
      </c>
      <c r="D3291" s="44" t="s">
        <v>6104</v>
      </c>
      <c r="E3291" s="44"/>
      <c r="F3291" s="45">
        <v>40595.610023148147</v>
      </c>
      <c r="G3291" s="46">
        <v>91</v>
      </c>
      <c r="H3291" s="47">
        <v>43372</v>
      </c>
      <c r="I3291" s="47">
        <v>43386</v>
      </c>
      <c r="J3291" s="46">
        <v>373814</v>
      </c>
      <c r="K3291" s="46">
        <v>0</v>
      </c>
      <c r="L3291" s="46">
        <v>0</v>
      </c>
      <c r="M3291" s="46">
        <f t="shared" si="899"/>
        <v>373814</v>
      </c>
      <c r="N3291" s="46">
        <v>373814</v>
      </c>
      <c r="O3291" s="48">
        <f t="shared" si="900"/>
        <v>0</v>
      </c>
      <c r="P3291" s="46">
        <v>0</v>
      </c>
      <c r="Q3291" s="46">
        <v>373814</v>
      </c>
      <c r="R3291" s="49">
        <f t="shared" si="901"/>
        <v>1</v>
      </c>
      <c r="S3291" s="50">
        <f t="shared" si="902"/>
        <v>0.01</v>
      </c>
      <c r="T3291" s="49">
        <f t="shared" si="903"/>
        <v>3738.14</v>
      </c>
      <c r="U3291" s="51">
        <f t="shared" si="904"/>
        <v>0</v>
      </c>
      <c r="V3291" s="52">
        <f>IF(0&lt;0.8,0,IF(0&lt;1,Sheet3!L561,1))*IF(G3291&lt;3,0.12 - O3291,0.01) *U3291</f>
        <v>0</v>
      </c>
      <c r="W3291" s="52">
        <f t="shared" si="905"/>
        <v>0</v>
      </c>
      <c r="X3291" s="53">
        <f t="shared" si="906"/>
        <v>0</v>
      </c>
      <c r="Y3291" s="53">
        <f t="shared" si="907"/>
        <v>0</v>
      </c>
      <c r="Z3291" s="54">
        <f t="shared" si="913"/>
        <v>0</v>
      </c>
      <c r="AA3291" s="54">
        <f t="shared" si="908"/>
        <v>0</v>
      </c>
      <c r="AB3291" s="55">
        <f t="shared" ref="AB3291:AB3328" si="915">IF(R3291=0,0,0)</f>
        <v>0</v>
      </c>
      <c r="AC3291" s="55">
        <f t="shared" si="909"/>
        <v>0</v>
      </c>
      <c r="AD3291" s="56">
        <f t="shared" si="910"/>
        <v>3738.14</v>
      </c>
    </row>
    <row r="3292" spans="3:30">
      <c r="C3292" s="43" t="s">
        <v>6105</v>
      </c>
      <c r="D3292" s="44" t="s">
        <v>6106</v>
      </c>
      <c r="E3292" s="44"/>
      <c r="F3292" s="45">
        <v>40644.495011574072</v>
      </c>
      <c r="G3292" s="46">
        <v>89</v>
      </c>
      <c r="H3292" s="47">
        <v>43372</v>
      </c>
      <c r="I3292" s="47">
        <v>43390</v>
      </c>
      <c r="J3292" s="46">
        <v>687301</v>
      </c>
      <c r="K3292" s="46">
        <v>0</v>
      </c>
      <c r="L3292" s="46">
        <v>0</v>
      </c>
      <c r="M3292" s="46">
        <f t="shared" si="899"/>
        <v>687301</v>
      </c>
      <c r="N3292" s="46">
        <v>684971</v>
      </c>
      <c r="O3292" s="48">
        <f t="shared" si="900"/>
        <v>0</v>
      </c>
      <c r="P3292" s="46">
        <v>0</v>
      </c>
      <c r="Q3292" s="46">
        <v>687301</v>
      </c>
      <c r="R3292" s="49">
        <f t="shared" si="901"/>
        <v>1</v>
      </c>
      <c r="S3292" s="50">
        <f t="shared" si="902"/>
        <v>0.01</v>
      </c>
      <c r="T3292" s="49">
        <f t="shared" si="903"/>
        <v>6873.01</v>
      </c>
      <c r="U3292" s="51">
        <f t="shared" si="904"/>
        <v>0</v>
      </c>
      <c r="V3292" s="52">
        <f>IF(0&lt;0.8,0,IF(0&lt;1,Sheet3!L561,1))*IF(G3292&lt;3,0.12 - O3292,0.01) *U3292</f>
        <v>0</v>
      </c>
      <c r="W3292" s="52">
        <f t="shared" si="905"/>
        <v>0</v>
      </c>
      <c r="X3292" s="53">
        <f t="shared" si="906"/>
        <v>0</v>
      </c>
      <c r="Y3292" s="53">
        <f t="shared" si="907"/>
        <v>0</v>
      </c>
      <c r="Z3292" s="54">
        <f t="shared" si="913"/>
        <v>0</v>
      </c>
      <c r="AA3292" s="54">
        <f t="shared" si="908"/>
        <v>0</v>
      </c>
      <c r="AB3292" s="55">
        <f t="shared" si="915"/>
        <v>0</v>
      </c>
      <c r="AC3292" s="55">
        <f t="shared" si="909"/>
        <v>0</v>
      </c>
      <c r="AD3292" s="56">
        <f t="shared" si="910"/>
        <v>6873.01</v>
      </c>
    </row>
    <row r="3293" spans="3:30">
      <c r="C3293" s="43" t="s">
        <v>6107</v>
      </c>
      <c r="D3293" s="44" t="s">
        <v>6108</v>
      </c>
      <c r="E3293" s="44"/>
      <c r="F3293" s="45">
        <v>40901.426840277774</v>
      </c>
      <c r="G3293" s="46">
        <v>81</v>
      </c>
      <c r="H3293" s="47">
        <v>43372</v>
      </c>
      <c r="I3293" s="47">
        <v>43403</v>
      </c>
      <c r="J3293" s="46">
        <v>506198</v>
      </c>
      <c r="K3293" s="46">
        <v>0</v>
      </c>
      <c r="L3293" s="46">
        <v>0</v>
      </c>
      <c r="M3293" s="46">
        <f t="shared" si="899"/>
        <v>506198</v>
      </c>
      <c r="N3293" s="46">
        <v>506198</v>
      </c>
      <c r="O3293" s="48">
        <f t="shared" si="900"/>
        <v>0</v>
      </c>
      <c r="P3293" s="46">
        <v>0</v>
      </c>
      <c r="Q3293" s="46">
        <v>506198</v>
      </c>
      <c r="R3293" s="49">
        <f t="shared" si="901"/>
        <v>1</v>
      </c>
      <c r="S3293" s="50">
        <f t="shared" si="902"/>
        <v>0.01</v>
      </c>
      <c r="T3293" s="49">
        <f t="shared" si="903"/>
        <v>5061.9800000000005</v>
      </c>
      <c r="U3293" s="51">
        <f t="shared" si="904"/>
        <v>0</v>
      </c>
      <c r="V3293" s="52">
        <f>IF(0&lt;0.8,0,IF(0&lt;1,Sheet3!L561,1))*IF(G3293&lt;3,0.12 - O3293,0.01) *U3293</f>
        <v>0</v>
      </c>
      <c r="W3293" s="52">
        <f t="shared" si="905"/>
        <v>0</v>
      </c>
      <c r="X3293" s="53">
        <f t="shared" si="906"/>
        <v>0</v>
      </c>
      <c r="Y3293" s="53">
        <f t="shared" si="907"/>
        <v>0</v>
      </c>
      <c r="Z3293" s="54">
        <f t="shared" si="913"/>
        <v>0</v>
      </c>
      <c r="AA3293" s="54">
        <f t="shared" si="908"/>
        <v>0</v>
      </c>
      <c r="AB3293" s="55">
        <f t="shared" si="915"/>
        <v>0</v>
      </c>
      <c r="AC3293" s="55">
        <f t="shared" si="909"/>
        <v>0</v>
      </c>
      <c r="AD3293" s="56">
        <f t="shared" si="910"/>
        <v>5061.9800000000005</v>
      </c>
    </row>
    <row r="3294" spans="3:30">
      <c r="C3294" s="43" t="s">
        <v>6109</v>
      </c>
      <c r="D3294" s="44" t="s">
        <v>6110</v>
      </c>
      <c r="E3294" s="44"/>
      <c r="F3294" s="45">
        <v>41082.501944444441</v>
      </c>
      <c r="G3294" s="46">
        <v>75</v>
      </c>
      <c r="H3294" s="47">
        <v>43398</v>
      </c>
      <c r="I3294" s="47">
        <v>43416</v>
      </c>
      <c r="J3294" s="46">
        <v>3677447</v>
      </c>
      <c r="K3294" s="46">
        <v>57483</v>
      </c>
      <c r="L3294" s="46">
        <v>0</v>
      </c>
      <c r="M3294" s="46">
        <f t="shared" si="899"/>
        <v>3619964</v>
      </c>
      <c r="N3294" s="46">
        <v>4280142</v>
      </c>
      <c r="O3294" s="48">
        <f t="shared" si="900"/>
        <v>0.15424207888429875</v>
      </c>
      <c r="P3294" s="46">
        <v>0</v>
      </c>
      <c r="Q3294" s="46">
        <v>3677447</v>
      </c>
      <c r="R3294" s="49">
        <f t="shared" si="901"/>
        <v>1</v>
      </c>
      <c r="S3294" s="50">
        <f t="shared" si="902"/>
        <v>0.01</v>
      </c>
      <c r="T3294" s="49">
        <f t="shared" si="903"/>
        <v>36199.64</v>
      </c>
      <c r="U3294" s="51">
        <f t="shared" si="904"/>
        <v>0</v>
      </c>
      <c r="V3294" s="52">
        <f>IF(0&lt;0.8,0,IF(0&lt;1,Sheet3!L561,1))*IF(G3294&lt;3,0.12 - O3294,0.01) *U3294</f>
        <v>0</v>
      </c>
      <c r="W3294" s="52">
        <f t="shared" si="905"/>
        <v>0</v>
      </c>
      <c r="X3294" s="53">
        <f t="shared" si="906"/>
        <v>0</v>
      </c>
      <c r="Y3294" s="53">
        <f t="shared" si="907"/>
        <v>0</v>
      </c>
      <c r="Z3294" s="54">
        <f t="shared" si="913"/>
        <v>0</v>
      </c>
      <c r="AA3294" s="54">
        <f t="shared" si="908"/>
        <v>0</v>
      </c>
      <c r="AB3294" s="55">
        <f t="shared" si="915"/>
        <v>0</v>
      </c>
      <c r="AC3294" s="55">
        <f t="shared" si="909"/>
        <v>0</v>
      </c>
      <c r="AD3294" s="56">
        <f t="shared" si="910"/>
        <v>36199.64</v>
      </c>
    </row>
    <row r="3295" spans="3:30">
      <c r="C3295" s="43" t="s">
        <v>6111</v>
      </c>
      <c r="D3295" s="44" t="s">
        <v>6112</v>
      </c>
      <c r="E3295" s="44"/>
      <c r="F3295" s="45">
        <v>41219.414768518516</v>
      </c>
      <c r="G3295" s="46">
        <v>70</v>
      </c>
      <c r="H3295" s="47">
        <v>43372</v>
      </c>
      <c r="I3295" s="47">
        <v>43399</v>
      </c>
      <c r="J3295" s="46">
        <v>3335621</v>
      </c>
      <c r="K3295" s="46">
        <v>0</v>
      </c>
      <c r="L3295" s="46">
        <v>0</v>
      </c>
      <c r="M3295" s="46">
        <f t="shared" si="899"/>
        <v>3335621</v>
      </c>
      <c r="N3295" s="46">
        <v>3298840</v>
      </c>
      <c r="O3295" s="48">
        <f t="shared" si="900"/>
        <v>0</v>
      </c>
      <c r="P3295" s="46">
        <v>0</v>
      </c>
      <c r="Q3295" s="46">
        <v>3335621</v>
      </c>
      <c r="R3295" s="49">
        <f t="shared" si="901"/>
        <v>1</v>
      </c>
      <c r="S3295" s="50">
        <f t="shared" si="902"/>
        <v>0.01</v>
      </c>
      <c r="T3295" s="49">
        <f t="shared" si="903"/>
        <v>33356.21</v>
      </c>
      <c r="U3295" s="51">
        <f t="shared" si="904"/>
        <v>0</v>
      </c>
      <c r="V3295" s="52">
        <f>IF(0&lt;0.8,0,IF(0&lt;1,Sheet3!L561,1))*IF(G3295&lt;3,0.12 - O3295,0.01) *U3295</f>
        <v>0</v>
      </c>
      <c r="W3295" s="52">
        <f t="shared" si="905"/>
        <v>0</v>
      </c>
      <c r="X3295" s="53">
        <f t="shared" si="906"/>
        <v>0</v>
      </c>
      <c r="Y3295" s="53">
        <f t="shared" si="907"/>
        <v>0</v>
      </c>
      <c r="Z3295" s="54">
        <f t="shared" si="913"/>
        <v>0</v>
      </c>
      <c r="AA3295" s="54">
        <f t="shared" si="908"/>
        <v>0</v>
      </c>
      <c r="AB3295" s="55">
        <f t="shared" si="915"/>
        <v>0</v>
      </c>
      <c r="AC3295" s="55">
        <f t="shared" si="909"/>
        <v>0</v>
      </c>
      <c r="AD3295" s="56">
        <f t="shared" si="910"/>
        <v>33356.21</v>
      </c>
    </row>
    <row r="3296" spans="3:30">
      <c r="C3296" s="43" t="s">
        <v>6113</v>
      </c>
      <c r="D3296" s="44" t="s">
        <v>6114</v>
      </c>
      <c r="E3296" s="44"/>
      <c r="F3296" s="45">
        <v>41286.634976851848</v>
      </c>
      <c r="G3296" s="46">
        <v>68</v>
      </c>
      <c r="H3296" s="47">
        <v>43372</v>
      </c>
      <c r="I3296" s="47">
        <v>43388</v>
      </c>
      <c r="J3296" s="46">
        <v>55002</v>
      </c>
      <c r="K3296" s="46">
        <v>0</v>
      </c>
      <c r="L3296" s="46">
        <v>0</v>
      </c>
      <c r="M3296" s="46">
        <f t="shared" si="899"/>
        <v>55002</v>
      </c>
      <c r="N3296" s="46">
        <v>55002</v>
      </c>
      <c r="O3296" s="48">
        <f t="shared" si="900"/>
        <v>0</v>
      </c>
      <c r="P3296" s="46">
        <v>0</v>
      </c>
      <c r="Q3296" s="46">
        <v>55002</v>
      </c>
      <c r="R3296" s="49">
        <f t="shared" si="901"/>
        <v>1</v>
      </c>
      <c r="S3296" s="50">
        <f t="shared" si="902"/>
        <v>0.01</v>
      </c>
      <c r="T3296" s="49">
        <f t="shared" si="903"/>
        <v>550.02</v>
      </c>
      <c r="U3296" s="51">
        <f t="shared" si="904"/>
        <v>0</v>
      </c>
      <c r="V3296" s="52">
        <f>IF(0&lt;0.8,0,IF(0&lt;1,Sheet3!L561,1))*IF(G3296&lt;3,0.12 - O3296,0.01) *U3296</f>
        <v>0</v>
      </c>
      <c r="W3296" s="52">
        <f t="shared" si="905"/>
        <v>0</v>
      </c>
      <c r="X3296" s="53">
        <f t="shared" si="906"/>
        <v>0</v>
      </c>
      <c r="Y3296" s="53">
        <f t="shared" si="907"/>
        <v>0</v>
      </c>
      <c r="Z3296" s="54">
        <f t="shared" si="913"/>
        <v>0</v>
      </c>
      <c r="AA3296" s="54">
        <f t="shared" si="908"/>
        <v>0</v>
      </c>
      <c r="AB3296" s="55">
        <f t="shared" si="915"/>
        <v>0</v>
      </c>
      <c r="AC3296" s="55">
        <f t="shared" si="909"/>
        <v>0</v>
      </c>
      <c r="AD3296" s="56">
        <f t="shared" si="910"/>
        <v>550.02</v>
      </c>
    </row>
    <row r="3297" spans="3:30">
      <c r="C3297" s="43" t="s">
        <v>6115</v>
      </c>
      <c r="D3297" s="44" t="s">
        <v>6116</v>
      </c>
      <c r="E3297" s="44"/>
      <c r="F3297" s="45">
        <v>41379.333634259259</v>
      </c>
      <c r="G3297" s="46">
        <v>65</v>
      </c>
      <c r="H3297" s="47">
        <v>43372</v>
      </c>
      <c r="I3297" s="47">
        <v>43462</v>
      </c>
      <c r="J3297" s="46">
        <v>907109</v>
      </c>
      <c r="K3297" s="46">
        <v>0</v>
      </c>
      <c r="L3297" s="46">
        <v>0</v>
      </c>
      <c r="M3297" s="46">
        <f t="shared" si="899"/>
        <v>907109</v>
      </c>
      <c r="N3297" s="46">
        <v>907109</v>
      </c>
      <c r="O3297" s="48">
        <f t="shared" si="900"/>
        <v>0</v>
      </c>
      <c r="P3297" s="46">
        <v>0</v>
      </c>
      <c r="Q3297" s="46">
        <v>907109</v>
      </c>
      <c r="R3297" s="49">
        <f t="shared" si="901"/>
        <v>1</v>
      </c>
      <c r="S3297" s="50">
        <f t="shared" si="902"/>
        <v>0.01</v>
      </c>
      <c r="T3297" s="49">
        <f t="shared" si="903"/>
        <v>9071.09</v>
      </c>
      <c r="U3297" s="51">
        <f t="shared" si="904"/>
        <v>0</v>
      </c>
      <c r="V3297" s="52">
        <f>IF(0&lt;0.8,0,IF(0&lt;1,Sheet3!L561,1))*IF(G3297&lt;3,0.12 - O3297,0.01) *U3297</f>
        <v>0</v>
      </c>
      <c r="W3297" s="52">
        <f t="shared" si="905"/>
        <v>0</v>
      </c>
      <c r="X3297" s="53">
        <f t="shared" si="906"/>
        <v>0</v>
      </c>
      <c r="Y3297" s="53">
        <f t="shared" si="907"/>
        <v>0</v>
      </c>
      <c r="Z3297" s="54">
        <f t="shared" si="913"/>
        <v>0</v>
      </c>
      <c r="AA3297" s="54">
        <f t="shared" si="908"/>
        <v>0</v>
      </c>
      <c r="AB3297" s="55">
        <f t="shared" si="915"/>
        <v>0</v>
      </c>
      <c r="AC3297" s="55">
        <f t="shared" si="909"/>
        <v>0</v>
      </c>
      <c r="AD3297" s="56">
        <f t="shared" si="910"/>
        <v>9071.09</v>
      </c>
    </row>
    <row r="3298" spans="3:30">
      <c r="C3298" s="43" t="s">
        <v>6117</v>
      </c>
      <c r="D3298" s="44" t="s">
        <v>6118</v>
      </c>
      <c r="E3298" s="44"/>
      <c r="F3298" s="45">
        <v>41416.518252314811</v>
      </c>
      <c r="G3298" s="46">
        <v>64</v>
      </c>
      <c r="H3298" s="47">
        <v>43372</v>
      </c>
      <c r="I3298" s="47">
        <v>43383</v>
      </c>
      <c r="J3298" s="46">
        <v>412000</v>
      </c>
      <c r="K3298" s="46">
        <v>0</v>
      </c>
      <c r="L3298" s="46">
        <v>0</v>
      </c>
      <c r="M3298" s="46">
        <f t="shared" si="899"/>
        <v>412000</v>
      </c>
      <c r="N3298" s="46">
        <v>353078</v>
      </c>
      <c r="O3298" s="48">
        <f t="shared" si="900"/>
        <v>0</v>
      </c>
      <c r="P3298" s="46">
        <v>0</v>
      </c>
      <c r="Q3298" s="46">
        <v>412000</v>
      </c>
      <c r="R3298" s="49">
        <f t="shared" si="901"/>
        <v>1</v>
      </c>
      <c r="S3298" s="50">
        <f t="shared" si="902"/>
        <v>0.01</v>
      </c>
      <c r="T3298" s="49">
        <f t="shared" si="903"/>
        <v>4120</v>
      </c>
      <c r="U3298" s="51">
        <f t="shared" si="904"/>
        <v>0</v>
      </c>
      <c r="V3298" s="52">
        <f>IF(0&lt;0.8,0,IF(0&lt;1,Sheet3!L561,1))*IF(G3298&lt;3,0.12 - O3298,0.01) *U3298</f>
        <v>0</v>
      </c>
      <c r="W3298" s="52">
        <f t="shared" si="905"/>
        <v>0</v>
      </c>
      <c r="X3298" s="53">
        <f t="shared" si="906"/>
        <v>0</v>
      </c>
      <c r="Y3298" s="53">
        <f t="shared" si="907"/>
        <v>0</v>
      </c>
      <c r="Z3298" s="54">
        <f t="shared" si="913"/>
        <v>0</v>
      </c>
      <c r="AA3298" s="54">
        <f t="shared" si="908"/>
        <v>0</v>
      </c>
      <c r="AB3298" s="55">
        <f t="shared" si="915"/>
        <v>0</v>
      </c>
      <c r="AC3298" s="55">
        <f t="shared" si="909"/>
        <v>0</v>
      </c>
      <c r="AD3298" s="56">
        <f t="shared" si="910"/>
        <v>4120</v>
      </c>
    </row>
    <row r="3299" spans="3:30">
      <c r="C3299" s="43" t="s">
        <v>6119</v>
      </c>
      <c r="D3299" s="44" t="s">
        <v>6120</v>
      </c>
      <c r="E3299" s="44"/>
      <c r="F3299" s="45">
        <v>41489.337604166663</v>
      </c>
      <c r="G3299" s="46">
        <v>61</v>
      </c>
      <c r="H3299" s="47">
        <v>43371</v>
      </c>
      <c r="I3299" s="47">
        <v>43376</v>
      </c>
      <c r="J3299" s="46">
        <v>313697</v>
      </c>
      <c r="K3299" s="46">
        <v>0</v>
      </c>
      <c r="L3299" s="46">
        <v>0</v>
      </c>
      <c r="M3299" s="46">
        <f t="shared" si="899"/>
        <v>313697</v>
      </c>
      <c r="N3299" s="46">
        <v>313697</v>
      </c>
      <c r="O3299" s="48">
        <f t="shared" si="900"/>
        <v>0</v>
      </c>
      <c r="P3299" s="46">
        <v>0</v>
      </c>
      <c r="Q3299" s="46">
        <v>313697</v>
      </c>
      <c r="R3299" s="49">
        <f t="shared" si="901"/>
        <v>1</v>
      </c>
      <c r="S3299" s="50">
        <f t="shared" si="902"/>
        <v>0.01</v>
      </c>
      <c r="T3299" s="49">
        <f t="shared" si="903"/>
        <v>3136.9700000000003</v>
      </c>
      <c r="U3299" s="51">
        <f t="shared" si="904"/>
        <v>0</v>
      </c>
      <c r="V3299" s="52">
        <f>IF(0&lt;0.8,0,IF(0&lt;1,Sheet3!L561,1))*IF(G3299&lt;3,0.12 - O3299,0.01) *U3299</f>
        <v>0</v>
      </c>
      <c r="W3299" s="52">
        <f t="shared" si="905"/>
        <v>0</v>
      </c>
      <c r="X3299" s="53">
        <f t="shared" si="906"/>
        <v>0</v>
      </c>
      <c r="Y3299" s="53">
        <f t="shared" si="907"/>
        <v>0</v>
      </c>
      <c r="Z3299" s="54">
        <f t="shared" si="913"/>
        <v>0</v>
      </c>
      <c r="AA3299" s="54">
        <f t="shared" si="908"/>
        <v>0</v>
      </c>
      <c r="AB3299" s="55">
        <f t="shared" si="915"/>
        <v>0</v>
      </c>
      <c r="AC3299" s="55">
        <f t="shared" si="909"/>
        <v>0</v>
      </c>
      <c r="AD3299" s="56">
        <f t="shared" si="910"/>
        <v>3136.9700000000003</v>
      </c>
    </row>
    <row r="3300" spans="3:30">
      <c r="C3300" s="43" t="s">
        <v>6121</v>
      </c>
      <c r="D3300" s="44" t="s">
        <v>6122</v>
      </c>
      <c r="E3300" s="44"/>
      <c r="F3300" s="45">
        <v>41529.395729166667</v>
      </c>
      <c r="G3300" s="46">
        <v>60</v>
      </c>
      <c r="H3300" s="47">
        <v>43372</v>
      </c>
      <c r="I3300" s="47">
        <v>43383</v>
      </c>
      <c r="J3300" s="46">
        <v>392628</v>
      </c>
      <c r="K3300" s="46">
        <v>0</v>
      </c>
      <c r="L3300" s="46">
        <v>0</v>
      </c>
      <c r="M3300" s="46">
        <f t="shared" si="899"/>
        <v>392628</v>
      </c>
      <c r="N3300" s="46">
        <v>392628</v>
      </c>
      <c r="O3300" s="48">
        <f t="shared" si="900"/>
        <v>0</v>
      </c>
      <c r="P3300" s="46">
        <v>0</v>
      </c>
      <c r="Q3300" s="46">
        <v>392628</v>
      </c>
      <c r="R3300" s="49">
        <f t="shared" si="901"/>
        <v>1</v>
      </c>
      <c r="S3300" s="50">
        <f t="shared" si="902"/>
        <v>0.01</v>
      </c>
      <c r="T3300" s="49">
        <f t="shared" si="903"/>
        <v>3926.28</v>
      </c>
      <c r="U3300" s="51">
        <f t="shared" si="904"/>
        <v>0</v>
      </c>
      <c r="V3300" s="52">
        <f>IF(0&lt;0.8,0,IF(0&lt;1,Sheet3!L561,1))*IF(G3300&lt;3,0.12 - O3300,0.01) *U3300</f>
        <v>0</v>
      </c>
      <c r="W3300" s="52">
        <f t="shared" si="905"/>
        <v>0</v>
      </c>
      <c r="X3300" s="53">
        <f t="shared" si="906"/>
        <v>0</v>
      </c>
      <c r="Y3300" s="53">
        <f t="shared" si="907"/>
        <v>0</v>
      </c>
      <c r="Z3300" s="54">
        <f t="shared" si="913"/>
        <v>0</v>
      </c>
      <c r="AA3300" s="54">
        <f t="shared" si="908"/>
        <v>0</v>
      </c>
      <c r="AB3300" s="55">
        <f t="shared" si="915"/>
        <v>0</v>
      </c>
      <c r="AC3300" s="55">
        <f t="shared" si="909"/>
        <v>0</v>
      </c>
      <c r="AD3300" s="56">
        <f t="shared" si="910"/>
        <v>3926.28</v>
      </c>
    </row>
    <row r="3301" spans="3:30">
      <c r="C3301" s="43" t="s">
        <v>6123</v>
      </c>
      <c r="D3301" s="44" t="s">
        <v>6124</v>
      </c>
      <c r="E3301" s="44"/>
      <c r="F3301" s="45">
        <v>41548.676400462959</v>
      </c>
      <c r="G3301" s="46">
        <v>59</v>
      </c>
      <c r="H3301" s="47">
        <v>43372</v>
      </c>
      <c r="I3301" s="47">
        <v>43411</v>
      </c>
      <c r="J3301" s="46">
        <v>496210</v>
      </c>
      <c r="K3301" s="46">
        <v>0</v>
      </c>
      <c r="L3301" s="46">
        <v>0</v>
      </c>
      <c r="M3301" s="46">
        <f t="shared" si="899"/>
        <v>496210</v>
      </c>
      <c r="N3301" s="46">
        <v>496210</v>
      </c>
      <c r="O3301" s="48">
        <f t="shared" si="900"/>
        <v>0</v>
      </c>
      <c r="P3301" s="46">
        <v>0</v>
      </c>
      <c r="Q3301" s="46">
        <v>496210</v>
      </c>
      <c r="R3301" s="49">
        <f t="shared" si="901"/>
        <v>1</v>
      </c>
      <c r="S3301" s="50">
        <f t="shared" si="902"/>
        <v>0.01</v>
      </c>
      <c r="T3301" s="49">
        <f t="shared" si="903"/>
        <v>4962.1000000000004</v>
      </c>
      <c r="U3301" s="51">
        <f t="shared" si="904"/>
        <v>0</v>
      </c>
      <c r="V3301" s="52">
        <f>IF(0&lt;0.8,0,IF(0&lt;1,Sheet3!L561,1))*IF(G3301&lt;3,0.12 - O3301,0.01) *U3301</f>
        <v>0</v>
      </c>
      <c r="W3301" s="52">
        <f t="shared" si="905"/>
        <v>0</v>
      </c>
      <c r="X3301" s="53">
        <f t="shared" si="906"/>
        <v>0</v>
      </c>
      <c r="Y3301" s="53">
        <f t="shared" si="907"/>
        <v>0</v>
      </c>
      <c r="Z3301" s="54">
        <f t="shared" si="913"/>
        <v>0</v>
      </c>
      <c r="AA3301" s="54">
        <f t="shared" si="908"/>
        <v>0</v>
      </c>
      <c r="AB3301" s="55">
        <f t="shared" si="915"/>
        <v>0</v>
      </c>
      <c r="AC3301" s="55">
        <f t="shared" si="909"/>
        <v>0</v>
      </c>
      <c r="AD3301" s="56">
        <f t="shared" si="910"/>
        <v>4962.1000000000004</v>
      </c>
    </row>
    <row r="3302" spans="3:30">
      <c r="C3302" s="43" t="s">
        <v>6125</v>
      </c>
      <c r="D3302" s="44" t="s">
        <v>6126</v>
      </c>
      <c r="E3302" s="44"/>
      <c r="F3302" s="45">
        <v>41565.459409722222</v>
      </c>
      <c r="G3302" s="46">
        <v>59</v>
      </c>
      <c r="H3302" s="47">
        <v>43372</v>
      </c>
      <c r="I3302" s="47">
        <v>43406</v>
      </c>
      <c r="J3302" s="46">
        <v>853860</v>
      </c>
      <c r="K3302" s="46">
        <v>0</v>
      </c>
      <c r="L3302" s="46">
        <v>0</v>
      </c>
      <c r="M3302" s="46">
        <f t="shared" si="899"/>
        <v>853860</v>
      </c>
      <c r="N3302" s="46">
        <v>853860</v>
      </c>
      <c r="O3302" s="48">
        <f t="shared" si="900"/>
        <v>0</v>
      </c>
      <c r="P3302" s="46">
        <v>0</v>
      </c>
      <c r="Q3302" s="46">
        <v>853860</v>
      </c>
      <c r="R3302" s="49">
        <f t="shared" si="901"/>
        <v>1</v>
      </c>
      <c r="S3302" s="50">
        <f t="shared" si="902"/>
        <v>0.01</v>
      </c>
      <c r="T3302" s="49">
        <f t="shared" si="903"/>
        <v>8538.6</v>
      </c>
      <c r="U3302" s="51">
        <f t="shared" si="904"/>
        <v>0</v>
      </c>
      <c r="V3302" s="52">
        <f>IF(0&lt;0.8,0,IF(0&lt;1,Sheet3!L561,1))*IF(G3302&lt;3,0.12 - O3302,0.01) *U3302</f>
        <v>0</v>
      </c>
      <c r="W3302" s="52">
        <f t="shared" si="905"/>
        <v>0</v>
      </c>
      <c r="X3302" s="53">
        <f t="shared" si="906"/>
        <v>0</v>
      </c>
      <c r="Y3302" s="53">
        <f t="shared" si="907"/>
        <v>0</v>
      </c>
      <c r="Z3302" s="54">
        <f t="shared" si="913"/>
        <v>0</v>
      </c>
      <c r="AA3302" s="54">
        <f t="shared" si="908"/>
        <v>0</v>
      </c>
      <c r="AB3302" s="55">
        <f t="shared" si="915"/>
        <v>0</v>
      </c>
      <c r="AC3302" s="55">
        <f t="shared" si="909"/>
        <v>0</v>
      </c>
      <c r="AD3302" s="56">
        <f t="shared" si="910"/>
        <v>8538.6</v>
      </c>
    </row>
    <row r="3303" spans="3:30">
      <c r="C3303" s="43" t="s">
        <v>6127</v>
      </c>
      <c r="D3303" s="44" t="s">
        <v>6128</v>
      </c>
      <c r="E3303" s="44"/>
      <c r="F3303" s="45">
        <v>41727.31863425926</v>
      </c>
      <c r="G3303" s="46">
        <v>54</v>
      </c>
      <c r="H3303" s="47">
        <v>43372</v>
      </c>
      <c r="I3303" s="47">
        <v>43396</v>
      </c>
      <c r="J3303" s="46">
        <v>1646759</v>
      </c>
      <c r="K3303" s="46">
        <v>0</v>
      </c>
      <c r="L3303" s="46">
        <v>0</v>
      </c>
      <c r="M3303" s="46">
        <f t="shared" si="899"/>
        <v>1646759</v>
      </c>
      <c r="N3303" s="46">
        <v>1512044</v>
      </c>
      <c r="O3303" s="48">
        <f t="shared" si="900"/>
        <v>0</v>
      </c>
      <c r="P3303" s="46">
        <v>0</v>
      </c>
      <c r="Q3303" s="46">
        <v>1646759</v>
      </c>
      <c r="R3303" s="49">
        <f t="shared" si="901"/>
        <v>1</v>
      </c>
      <c r="S3303" s="50">
        <f t="shared" si="902"/>
        <v>0.01</v>
      </c>
      <c r="T3303" s="49">
        <f t="shared" si="903"/>
        <v>16467.59</v>
      </c>
      <c r="U3303" s="51">
        <f t="shared" si="904"/>
        <v>0</v>
      </c>
      <c r="V3303" s="52">
        <f>IF(0&lt;0.8,0,IF(0&lt;1,Sheet3!L561,1))*IF(G3303&lt;3,0.12 - O3303,0.01) *U3303</f>
        <v>0</v>
      </c>
      <c r="W3303" s="52">
        <f t="shared" si="905"/>
        <v>0</v>
      </c>
      <c r="X3303" s="53">
        <f t="shared" si="906"/>
        <v>0</v>
      </c>
      <c r="Y3303" s="53">
        <f t="shared" si="907"/>
        <v>0</v>
      </c>
      <c r="Z3303" s="54">
        <f t="shared" si="913"/>
        <v>0</v>
      </c>
      <c r="AA3303" s="54">
        <f t="shared" si="908"/>
        <v>0</v>
      </c>
      <c r="AB3303" s="55">
        <f t="shared" si="915"/>
        <v>0</v>
      </c>
      <c r="AC3303" s="55">
        <f t="shared" si="909"/>
        <v>0</v>
      </c>
      <c r="AD3303" s="56">
        <f t="shared" si="910"/>
        <v>16467.59</v>
      </c>
    </row>
    <row r="3304" spans="3:30">
      <c r="C3304" s="43" t="s">
        <v>6129</v>
      </c>
      <c r="D3304" s="44" t="s">
        <v>6130</v>
      </c>
      <c r="E3304" s="44"/>
      <c r="F3304" s="45">
        <v>41711.381307870368</v>
      </c>
      <c r="G3304" s="46">
        <v>54</v>
      </c>
      <c r="H3304" s="47">
        <v>43392</v>
      </c>
      <c r="I3304" s="47">
        <v>43412</v>
      </c>
      <c r="J3304" s="46">
        <v>276379</v>
      </c>
      <c r="K3304" s="46">
        <v>0</v>
      </c>
      <c r="L3304" s="46">
        <v>0</v>
      </c>
      <c r="M3304" s="46">
        <f t="shared" si="899"/>
        <v>276379</v>
      </c>
      <c r="N3304" s="46">
        <v>276379</v>
      </c>
      <c r="O3304" s="48">
        <f t="shared" si="900"/>
        <v>0</v>
      </c>
      <c r="P3304" s="46">
        <v>0</v>
      </c>
      <c r="Q3304" s="46">
        <v>276379</v>
      </c>
      <c r="R3304" s="49">
        <f t="shared" si="901"/>
        <v>1</v>
      </c>
      <c r="S3304" s="50">
        <f t="shared" si="902"/>
        <v>0.01</v>
      </c>
      <c r="T3304" s="49">
        <f t="shared" si="903"/>
        <v>2763.79</v>
      </c>
      <c r="U3304" s="51">
        <f t="shared" si="904"/>
        <v>0</v>
      </c>
      <c r="V3304" s="52">
        <f>IF(0&lt;0.8,0,IF(0&lt;1,Sheet3!L561,1))*IF(G3304&lt;3,0.12 - O3304,0.01) *U3304</f>
        <v>0</v>
      </c>
      <c r="W3304" s="52">
        <f t="shared" si="905"/>
        <v>0</v>
      </c>
      <c r="X3304" s="53">
        <f t="shared" si="906"/>
        <v>0</v>
      </c>
      <c r="Y3304" s="53">
        <f t="shared" si="907"/>
        <v>0</v>
      </c>
      <c r="Z3304" s="54">
        <f t="shared" si="913"/>
        <v>0</v>
      </c>
      <c r="AA3304" s="54">
        <f t="shared" si="908"/>
        <v>0</v>
      </c>
      <c r="AB3304" s="55">
        <f t="shared" si="915"/>
        <v>0</v>
      </c>
      <c r="AC3304" s="55">
        <f t="shared" si="909"/>
        <v>0</v>
      </c>
      <c r="AD3304" s="56">
        <f t="shared" si="910"/>
        <v>2763.79</v>
      </c>
    </row>
    <row r="3305" spans="3:30">
      <c r="C3305" s="43" t="s">
        <v>6131</v>
      </c>
      <c r="D3305" s="44" t="s">
        <v>6132</v>
      </c>
      <c r="E3305" s="44"/>
      <c r="F3305" s="45">
        <v>41778.455312499995</v>
      </c>
      <c r="G3305" s="46">
        <v>52</v>
      </c>
      <c r="H3305" s="47">
        <v>43398</v>
      </c>
      <c r="I3305" s="47">
        <v>43416</v>
      </c>
      <c r="J3305" s="46">
        <v>3512273</v>
      </c>
      <c r="K3305" s="46">
        <v>44000</v>
      </c>
      <c r="L3305" s="46">
        <v>0</v>
      </c>
      <c r="M3305" s="46">
        <f t="shared" si="899"/>
        <v>3468273</v>
      </c>
      <c r="N3305" s="46">
        <v>3905392</v>
      </c>
      <c r="O3305" s="48">
        <f t="shared" si="900"/>
        <v>0.11192704855236046</v>
      </c>
      <c r="P3305" s="46">
        <v>0</v>
      </c>
      <c r="Q3305" s="46">
        <v>3512273</v>
      </c>
      <c r="R3305" s="49">
        <f t="shared" si="901"/>
        <v>1</v>
      </c>
      <c r="S3305" s="50">
        <f t="shared" si="902"/>
        <v>0.01</v>
      </c>
      <c r="T3305" s="49">
        <f t="shared" si="903"/>
        <v>34682.730000000003</v>
      </c>
      <c r="U3305" s="51">
        <f t="shared" si="904"/>
        <v>0</v>
      </c>
      <c r="V3305" s="52">
        <f>IF(0&lt;0.8,0,IF(0&lt;1,Sheet3!L561,1))*IF(G3305&lt;3,0.12 - O3305,0.01) *U3305</f>
        <v>0</v>
      </c>
      <c r="W3305" s="52">
        <f t="shared" si="905"/>
        <v>0</v>
      </c>
      <c r="X3305" s="53">
        <f t="shared" si="906"/>
        <v>0</v>
      </c>
      <c r="Y3305" s="53">
        <f t="shared" si="907"/>
        <v>0</v>
      </c>
      <c r="Z3305" s="54">
        <f t="shared" si="913"/>
        <v>0</v>
      </c>
      <c r="AA3305" s="54">
        <f t="shared" si="908"/>
        <v>0</v>
      </c>
      <c r="AB3305" s="55">
        <f t="shared" si="915"/>
        <v>0</v>
      </c>
      <c r="AC3305" s="55">
        <f t="shared" si="909"/>
        <v>0</v>
      </c>
      <c r="AD3305" s="56">
        <f t="shared" si="910"/>
        <v>34682.730000000003</v>
      </c>
    </row>
    <row r="3306" spans="3:30">
      <c r="C3306" s="43" t="s">
        <v>6133</v>
      </c>
      <c r="D3306" s="44" t="s">
        <v>6134</v>
      </c>
      <c r="E3306" s="44"/>
      <c r="F3306" s="45">
        <v>42089.473634259259</v>
      </c>
      <c r="G3306" s="46">
        <v>42</v>
      </c>
      <c r="H3306" s="47">
        <v>43372</v>
      </c>
      <c r="I3306" s="47">
        <v>43383</v>
      </c>
      <c r="J3306" s="46">
        <v>299124</v>
      </c>
      <c r="K3306" s="46">
        <v>0</v>
      </c>
      <c r="L3306" s="46">
        <v>0</v>
      </c>
      <c r="M3306" s="46">
        <f t="shared" si="899"/>
        <v>299124</v>
      </c>
      <c r="N3306" s="46">
        <v>299124</v>
      </c>
      <c r="O3306" s="48">
        <f t="shared" si="900"/>
        <v>0</v>
      </c>
      <c r="P3306" s="46">
        <v>0</v>
      </c>
      <c r="Q3306" s="46">
        <v>299124</v>
      </c>
      <c r="R3306" s="49">
        <f t="shared" si="901"/>
        <v>1</v>
      </c>
      <c r="S3306" s="50">
        <f t="shared" si="902"/>
        <v>0.01</v>
      </c>
      <c r="T3306" s="49">
        <f t="shared" si="903"/>
        <v>2991.2400000000002</v>
      </c>
      <c r="U3306" s="51">
        <f t="shared" si="904"/>
        <v>0</v>
      </c>
      <c r="V3306" s="52">
        <f>IF(0&lt;0.8,0,IF(0&lt;1,Sheet3!L561,1))*IF(G3306&lt;3,0.12 - O3306,0.01) *U3306</f>
        <v>0</v>
      </c>
      <c r="W3306" s="52">
        <f t="shared" si="905"/>
        <v>0</v>
      </c>
      <c r="X3306" s="53">
        <f t="shared" si="906"/>
        <v>0</v>
      </c>
      <c r="Y3306" s="53">
        <f t="shared" si="907"/>
        <v>0</v>
      </c>
      <c r="Z3306" s="54">
        <f t="shared" si="913"/>
        <v>0</v>
      </c>
      <c r="AA3306" s="54">
        <f t="shared" si="908"/>
        <v>0</v>
      </c>
      <c r="AB3306" s="55">
        <f t="shared" si="915"/>
        <v>0</v>
      </c>
      <c r="AC3306" s="55">
        <f t="shared" si="909"/>
        <v>0</v>
      </c>
      <c r="AD3306" s="56">
        <f t="shared" si="910"/>
        <v>2991.2400000000002</v>
      </c>
    </row>
    <row r="3307" spans="3:30">
      <c r="C3307" s="43" t="s">
        <v>6135</v>
      </c>
      <c r="D3307" s="44" t="s">
        <v>6136</v>
      </c>
      <c r="E3307" s="44"/>
      <c r="F3307" s="45">
        <v>42153.614525462959</v>
      </c>
      <c r="G3307" s="46">
        <v>40</v>
      </c>
      <c r="H3307" s="47">
        <v>43372</v>
      </c>
      <c r="I3307" s="47">
        <v>43382</v>
      </c>
      <c r="J3307" s="46">
        <v>127239</v>
      </c>
      <c r="K3307" s="46">
        <v>0</v>
      </c>
      <c r="L3307" s="46">
        <v>0</v>
      </c>
      <c r="M3307" s="46">
        <f t="shared" si="899"/>
        <v>127239</v>
      </c>
      <c r="N3307" s="46">
        <v>127239</v>
      </c>
      <c r="O3307" s="48">
        <f t="shared" si="900"/>
        <v>0</v>
      </c>
      <c r="P3307" s="46">
        <v>0</v>
      </c>
      <c r="Q3307" s="46">
        <v>127239</v>
      </c>
      <c r="R3307" s="49">
        <f t="shared" si="901"/>
        <v>1</v>
      </c>
      <c r="S3307" s="50">
        <f t="shared" si="902"/>
        <v>0.01</v>
      </c>
      <c r="T3307" s="49">
        <f t="shared" si="903"/>
        <v>1272.3900000000001</v>
      </c>
      <c r="U3307" s="51">
        <f t="shared" si="904"/>
        <v>0</v>
      </c>
      <c r="V3307" s="52">
        <f>IF(0&lt;0.8,0,IF(0&lt;1,Sheet3!L561,1))*IF(G3307&lt;3,0.12 - O3307,0.01) *U3307</f>
        <v>0</v>
      </c>
      <c r="W3307" s="52">
        <f t="shared" si="905"/>
        <v>0</v>
      </c>
      <c r="X3307" s="53">
        <f t="shared" si="906"/>
        <v>0</v>
      </c>
      <c r="Y3307" s="53">
        <f t="shared" si="907"/>
        <v>0</v>
      </c>
      <c r="Z3307" s="54">
        <f t="shared" si="913"/>
        <v>0</v>
      </c>
      <c r="AA3307" s="54">
        <f t="shared" si="908"/>
        <v>0</v>
      </c>
      <c r="AB3307" s="55">
        <f t="shared" si="915"/>
        <v>0</v>
      </c>
      <c r="AC3307" s="55">
        <f t="shared" si="909"/>
        <v>0</v>
      </c>
      <c r="AD3307" s="56">
        <f t="shared" si="910"/>
        <v>1272.3900000000001</v>
      </c>
    </row>
    <row r="3308" spans="3:30">
      <c r="C3308" s="43" t="s">
        <v>6137</v>
      </c>
      <c r="D3308" s="44" t="s">
        <v>6138</v>
      </c>
      <c r="E3308" s="44"/>
      <c r="F3308" s="45">
        <v>42174.611296296294</v>
      </c>
      <c r="G3308" s="46">
        <v>39</v>
      </c>
      <c r="H3308" s="47">
        <v>43398</v>
      </c>
      <c r="I3308" s="47">
        <v>43416</v>
      </c>
      <c r="J3308" s="46">
        <v>1080640</v>
      </c>
      <c r="K3308" s="46">
        <v>44000</v>
      </c>
      <c r="L3308" s="46">
        <v>0</v>
      </c>
      <c r="M3308" s="46">
        <f t="shared" si="899"/>
        <v>1036640</v>
      </c>
      <c r="N3308" s="46">
        <v>1149091</v>
      </c>
      <c r="O3308" s="48">
        <f t="shared" si="900"/>
        <v>9.7860830865440618E-2</v>
      </c>
      <c r="P3308" s="46">
        <v>0</v>
      </c>
      <c r="Q3308" s="46">
        <v>1080640</v>
      </c>
      <c r="R3308" s="49">
        <f t="shared" si="901"/>
        <v>1</v>
      </c>
      <c r="S3308" s="50">
        <f t="shared" si="902"/>
        <v>0.01</v>
      </c>
      <c r="T3308" s="49">
        <f t="shared" si="903"/>
        <v>10366.4</v>
      </c>
      <c r="U3308" s="51">
        <f t="shared" si="904"/>
        <v>0</v>
      </c>
      <c r="V3308" s="52">
        <f>IF(0&lt;0.8,0,IF(0&lt;1,Sheet3!L561,1))*IF(G3308&lt;3,0.12 - O3308,0.01) *U3308</f>
        <v>0</v>
      </c>
      <c r="W3308" s="52">
        <f t="shared" si="905"/>
        <v>0</v>
      </c>
      <c r="X3308" s="53">
        <f t="shared" si="906"/>
        <v>0</v>
      </c>
      <c r="Y3308" s="53">
        <f t="shared" si="907"/>
        <v>0</v>
      </c>
      <c r="Z3308" s="54">
        <f t="shared" si="913"/>
        <v>0</v>
      </c>
      <c r="AA3308" s="54">
        <f t="shared" si="908"/>
        <v>0</v>
      </c>
      <c r="AB3308" s="55">
        <f t="shared" si="915"/>
        <v>0</v>
      </c>
      <c r="AC3308" s="55">
        <f t="shared" si="909"/>
        <v>0</v>
      </c>
      <c r="AD3308" s="56">
        <f t="shared" si="910"/>
        <v>10366.4</v>
      </c>
    </row>
    <row r="3309" spans="3:30">
      <c r="C3309" s="43" t="s">
        <v>6139</v>
      </c>
      <c r="D3309" s="44" t="s">
        <v>6140</v>
      </c>
      <c r="E3309" s="44"/>
      <c r="F3309" s="45">
        <v>42264.668553240735</v>
      </c>
      <c r="G3309" s="46">
        <v>36</v>
      </c>
      <c r="H3309" s="47">
        <v>43372</v>
      </c>
      <c r="I3309" s="47">
        <v>43349</v>
      </c>
      <c r="J3309" s="46">
        <v>529011</v>
      </c>
      <c r="K3309" s="46">
        <v>0</v>
      </c>
      <c r="L3309" s="46">
        <v>0</v>
      </c>
      <c r="M3309" s="46">
        <f t="shared" si="899"/>
        <v>529011</v>
      </c>
      <c r="N3309" s="46">
        <v>529011</v>
      </c>
      <c r="O3309" s="48">
        <f t="shared" si="900"/>
        <v>0</v>
      </c>
      <c r="P3309" s="46">
        <v>0</v>
      </c>
      <c r="Q3309" s="46">
        <v>529011</v>
      </c>
      <c r="R3309" s="49">
        <f t="shared" si="901"/>
        <v>1</v>
      </c>
      <c r="S3309" s="50">
        <f t="shared" si="902"/>
        <v>0.01</v>
      </c>
      <c r="T3309" s="49">
        <f t="shared" si="903"/>
        <v>5290.11</v>
      </c>
      <c r="U3309" s="51">
        <f t="shared" si="904"/>
        <v>0</v>
      </c>
      <c r="V3309" s="52">
        <f>IF(0&lt;0.8,0,IF(0&lt;1,Sheet3!L561,1))*IF(G3309&lt;3,0.12 - O3309,0.01) *U3309</f>
        <v>0</v>
      </c>
      <c r="W3309" s="52">
        <f t="shared" si="905"/>
        <v>0</v>
      </c>
      <c r="X3309" s="53">
        <f t="shared" si="906"/>
        <v>0</v>
      </c>
      <c r="Y3309" s="53">
        <f t="shared" si="907"/>
        <v>0</v>
      </c>
      <c r="Z3309" s="54">
        <f t="shared" si="913"/>
        <v>0</v>
      </c>
      <c r="AA3309" s="54">
        <f t="shared" si="908"/>
        <v>0</v>
      </c>
      <c r="AB3309" s="55">
        <f t="shared" si="915"/>
        <v>0</v>
      </c>
      <c r="AC3309" s="55">
        <f t="shared" si="909"/>
        <v>0</v>
      </c>
      <c r="AD3309" s="56">
        <f t="shared" si="910"/>
        <v>5290.11</v>
      </c>
    </row>
    <row r="3310" spans="3:30">
      <c r="C3310" s="43" t="s">
        <v>6141</v>
      </c>
      <c r="D3310" s="44" t="s">
        <v>6142</v>
      </c>
      <c r="E3310" s="44"/>
      <c r="F3310" s="45">
        <v>42276.641365740739</v>
      </c>
      <c r="G3310" s="46">
        <v>36</v>
      </c>
      <c r="H3310" s="47">
        <v>43372</v>
      </c>
      <c r="I3310" s="47">
        <v>43413</v>
      </c>
      <c r="J3310" s="46">
        <v>3476880</v>
      </c>
      <c r="K3310" s="46">
        <v>0</v>
      </c>
      <c r="L3310" s="46">
        <v>0</v>
      </c>
      <c r="M3310" s="46">
        <f t="shared" si="899"/>
        <v>3476880</v>
      </c>
      <c r="N3310" s="46">
        <v>8204364</v>
      </c>
      <c r="O3310" s="48">
        <f t="shared" si="900"/>
        <v>0.57621577979719085</v>
      </c>
      <c r="P3310" s="46">
        <v>0</v>
      </c>
      <c r="Q3310" s="46">
        <v>3476880</v>
      </c>
      <c r="R3310" s="49">
        <f t="shared" si="901"/>
        <v>1</v>
      </c>
      <c r="S3310" s="50">
        <f t="shared" si="902"/>
        <v>0.01</v>
      </c>
      <c r="T3310" s="49">
        <f t="shared" si="903"/>
        <v>34768.800000000003</v>
      </c>
      <c r="U3310" s="51">
        <f t="shared" si="904"/>
        <v>0</v>
      </c>
      <c r="V3310" s="52">
        <f>IF(0&lt;0.8,0,IF(0&lt;1,Sheet3!L561,1))*IF(G3310&lt;3,0.12 - O3310,0.01) *U3310</f>
        <v>0</v>
      </c>
      <c r="W3310" s="52">
        <f t="shared" si="905"/>
        <v>0</v>
      </c>
      <c r="X3310" s="53">
        <f t="shared" si="906"/>
        <v>0</v>
      </c>
      <c r="Y3310" s="53">
        <f t="shared" si="907"/>
        <v>0</v>
      </c>
      <c r="Z3310" s="54">
        <f t="shared" si="913"/>
        <v>0</v>
      </c>
      <c r="AA3310" s="54">
        <f t="shared" si="908"/>
        <v>0</v>
      </c>
      <c r="AB3310" s="55">
        <f t="shared" si="915"/>
        <v>0</v>
      </c>
      <c r="AC3310" s="55">
        <f t="shared" si="909"/>
        <v>0</v>
      </c>
      <c r="AD3310" s="56">
        <f t="shared" si="910"/>
        <v>34768.800000000003</v>
      </c>
    </row>
    <row r="3311" spans="3:30">
      <c r="C3311" s="43" t="s">
        <v>6143</v>
      </c>
      <c r="D3311" s="44" t="s">
        <v>6144</v>
      </c>
      <c r="E3311" s="44"/>
      <c r="F3311" s="45">
        <v>42292.43886574074</v>
      </c>
      <c r="G3311" s="46">
        <v>35</v>
      </c>
      <c r="H3311" s="47">
        <v>43372</v>
      </c>
      <c r="I3311" s="47">
        <v>43396</v>
      </c>
      <c r="J3311" s="46">
        <v>3425526</v>
      </c>
      <c r="K3311" s="46">
        <v>0</v>
      </c>
      <c r="L3311" s="46">
        <v>0</v>
      </c>
      <c r="M3311" s="46">
        <f t="shared" si="899"/>
        <v>3425526</v>
      </c>
      <c r="N3311" s="46">
        <v>3293372</v>
      </c>
      <c r="O3311" s="48">
        <f t="shared" si="900"/>
        <v>0</v>
      </c>
      <c r="P3311" s="46">
        <v>0</v>
      </c>
      <c r="Q3311" s="46">
        <v>3425526</v>
      </c>
      <c r="R3311" s="49">
        <f t="shared" si="901"/>
        <v>1</v>
      </c>
      <c r="S3311" s="50">
        <f t="shared" si="902"/>
        <v>0.01</v>
      </c>
      <c r="T3311" s="49">
        <f t="shared" si="903"/>
        <v>34255.26</v>
      </c>
      <c r="U3311" s="51">
        <f t="shared" si="904"/>
        <v>0</v>
      </c>
      <c r="V3311" s="52">
        <f>IF(0&lt;0.8,0,IF(0&lt;1,Sheet3!L561,1))*IF(G3311&lt;3,0.12 - O3311,0.01) *U3311</f>
        <v>0</v>
      </c>
      <c r="W3311" s="52">
        <f t="shared" si="905"/>
        <v>0</v>
      </c>
      <c r="X3311" s="53">
        <f t="shared" si="906"/>
        <v>0</v>
      </c>
      <c r="Y3311" s="53">
        <f t="shared" si="907"/>
        <v>0</v>
      </c>
      <c r="Z3311" s="54">
        <f t="shared" si="913"/>
        <v>0</v>
      </c>
      <c r="AA3311" s="54">
        <f t="shared" si="908"/>
        <v>0</v>
      </c>
      <c r="AB3311" s="55">
        <f t="shared" si="915"/>
        <v>0</v>
      </c>
      <c r="AC3311" s="55">
        <f t="shared" si="909"/>
        <v>0</v>
      </c>
      <c r="AD3311" s="56">
        <f t="shared" si="910"/>
        <v>34255.26</v>
      </c>
    </row>
    <row r="3312" spans="3:30">
      <c r="C3312" s="43" t="s">
        <v>6145</v>
      </c>
      <c r="D3312" s="44" t="s">
        <v>6146</v>
      </c>
      <c r="E3312" s="44"/>
      <c r="F3312" s="45">
        <v>42396.650937499995</v>
      </c>
      <c r="G3312" s="46">
        <v>32</v>
      </c>
      <c r="H3312" s="47">
        <v>43372</v>
      </c>
      <c r="I3312" s="47">
        <v>43384</v>
      </c>
      <c r="J3312" s="46">
        <v>478560</v>
      </c>
      <c r="K3312" s="46">
        <v>0</v>
      </c>
      <c r="L3312" s="46">
        <v>0</v>
      </c>
      <c r="M3312" s="46">
        <f t="shared" si="899"/>
        <v>478560</v>
      </c>
      <c r="N3312" s="46">
        <v>435717</v>
      </c>
      <c r="O3312" s="48">
        <f t="shared" si="900"/>
        <v>0</v>
      </c>
      <c r="P3312" s="46">
        <v>0</v>
      </c>
      <c r="Q3312" s="46">
        <v>478560</v>
      </c>
      <c r="R3312" s="49">
        <f t="shared" si="901"/>
        <v>1</v>
      </c>
      <c r="S3312" s="50">
        <f t="shared" si="902"/>
        <v>0.01</v>
      </c>
      <c r="T3312" s="49">
        <f t="shared" si="903"/>
        <v>4785.6000000000004</v>
      </c>
      <c r="U3312" s="51">
        <f t="shared" si="904"/>
        <v>0</v>
      </c>
      <c r="V3312" s="52">
        <f>IF(0&lt;0.8,0,IF(0&lt;1,Sheet3!L561,1))*IF(G3312&lt;3,0.12 - O3312,0.01) *U3312</f>
        <v>0</v>
      </c>
      <c r="W3312" s="52">
        <f t="shared" si="905"/>
        <v>0</v>
      </c>
      <c r="X3312" s="53">
        <f t="shared" si="906"/>
        <v>0</v>
      </c>
      <c r="Y3312" s="53">
        <f t="shared" si="907"/>
        <v>0</v>
      </c>
      <c r="Z3312" s="54">
        <f t="shared" si="913"/>
        <v>0</v>
      </c>
      <c r="AA3312" s="54">
        <f t="shared" si="908"/>
        <v>0</v>
      </c>
      <c r="AB3312" s="55">
        <f t="shared" si="915"/>
        <v>0</v>
      </c>
      <c r="AC3312" s="55">
        <f t="shared" si="909"/>
        <v>0</v>
      </c>
      <c r="AD3312" s="56">
        <f t="shared" si="910"/>
        <v>4785.6000000000004</v>
      </c>
    </row>
    <row r="3313" spans="3:30">
      <c r="C3313" s="43" t="s">
        <v>6147</v>
      </c>
      <c r="D3313" s="44" t="s">
        <v>6148</v>
      </c>
      <c r="E3313" s="44"/>
      <c r="F3313" s="45">
        <v>42510.204537037032</v>
      </c>
      <c r="G3313" s="46">
        <v>28</v>
      </c>
      <c r="H3313" s="47">
        <v>43372</v>
      </c>
      <c r="I3313" s="47">
        <v>43420</v>
      </c>
      <c r="J3313" s="46">
        <v>232196</v>
      </c>
      <c r="K3313" s="46">
        <v>0</v>
      </c>
      <c r="L3313" s="46">
        <v>0</v>
      </c>
      <c r="M3313" s="46">
        <f t="shared" si="899"/>
        <v>232196</v>
      </c>
      <c r="N3313" s="46">
        <v>232196</v>
      </c>
      <c r="O3313" s="48">
        <f t="shared" si="900"/>
        <v>0</v>
      </c>
      <c r="P3313" s="46">
        <v>0</v>
      </c>
      <c r="Q3313" s="46">
        <v>232196</v>
      </c>
      <c r="R3313" s="49">
        <f t="shared" si="901"/>
        <v>1</v>
      </c>
      <c r="S3313" s="50">
        <f t="shared" si="902"/>
        <v>0.01</v>
      </c>
      <c r="T3313" s="49">
        <f t="shared" si="903"/>
        <v>2321.96</v>
      </c>
      <c r="U3313" s="51">
        <f t="shared" si="904"/>
        <v>0</v>
      </c>
      <c r="V3313" s="52">
        <f>IF(0&lt;0.8,0,IF(0&lt;1,Sheet3!L561,1))*IF(G3313&lt;3,0.12 - O3313,0.01) *U3313</f>
        <v>0</v>
      </c>
      <c r="W3313" s="52">
        <f t="shared" si="905"/>
        <v>0</v>
      </c>
      <c r="X3313" s="53">
        <f t="shared" si="906"/>
        <v>0</v>
      </c>
      <c r="Y3313" s="53">
        <f t="shared" si="907"/>
        <v>0</v>
      </c>
      <c r="Z3313" s="54">
        <f t="shared" si="913"/>
        <v>0</v>
      </c>
      <c r="AA3313" s="54">
        <f t="shared" si="908"/>
        <v>0</v>
      </c>
      <c r="AB3313" s="55">
        <f t="shared" si="915"/>
        <v>0</v>
      </c>
      <c r="AC3313" s="55">
        <f t="shared" si="909"/>
        <v>0</v>
      </c>
      <c r="AD3313" s="56">
        <f t="shared" si="910"/>
        <v>2321.96</v>
      </c>
    </row>
    <row r="3314" spans="3:30">
      <c r="C3314" s="43" t="s">
        <v>6149</v>
      </c>
      <c r="D3314" s="44" t="s">
        <v>6150</v>
      </c>
      <c r="E3314" s="44"/>
      <c r="F3314" s="45">
        <v>42510.206550925926</v>
      </c>
      <c r="G3314" s="46">
        <v>28</v>
      </c>
      <c r="H3314" s="47">
        <v>43372</v>
      </c>
      <c r="I3314" s="47">
        <v>43403</v>
      </c>
      <c r="J3314" s="46">
        <v>968146</v>
      </c>
      <c r="K3314" s="46">
        <v>0</v>
      </c>
      <c r="L3314" s="46">
        <v>0</v>
      </c>
      <c r="M3314" s="46">
        <f t="shared" si="899"/>
        <v>968146</v>
      </c>
      <c r="N3314" s="46">
        <v>968426</v>
      </c>
      <c r="O3314" s="48">
        <f t="shared" si="900"/>
        <v>2.8912895771071589E-4</v>
      </c>
      <c r="P3314" s="46">
        <v>0</v>
      </c>
      <c r="Q3314" s="46">
        <v>968146</v>
      </c>
      <c r="R3314" s="49">
        <f t="shared" si="901"/>
        <v>1</v>
      </c>
      <c r="S3314" s="50">
        <f t="shared" si="902"/>
        <v>0.01</v>
      </c>
      <c r="T3314" s="49">
        <f t="shared" si="903"/>
        <v>9681.4600000000009</v>
      </c>
      <c r="U3314" s="51">
        <f t="shared" si="904"/>
        <v>0</v>
      </c>
      <c r="V3314" s="52">
        <f>IF(0&lt;0.8,0,IF(0&lt;1,Sheet3!L561,1))*IF(G3314&lt;3,0.12 - O3314,0.01) *U3314</f>
        <v>0</v>
      </c>
      <c r="W3314" s="52">
        <f t="shared" si="905"/>
        <v>0</v>
      </c>
      <c r="X3314" s="53">
        <f t="shared" si="906"/>
        <v>0</v>
      </c>
      <c r="Y3314" s="53">
        <f t="shared" si="907"/>
        <v>0</v>
      </c>
      <c r="Z3314" s="54">
        <f t="shared" si="913"/>
        <v>0</v>
      </c>
      <c r="AA3314" s="54">
        <f t="shared" si="908"/>
        <v>0</v>
      </c>
      <c r="AB3314" s="55">
        <f t="shared" si="915"/>
        <v>0</v>
      </c>
      <c r="AC3314" s="55">
        <f t="shared" si="909"/>
        <v>0</v>
      </c>
      <c r="AD3314" s="56">
        <f t="shared" si="910"/>
        <v>9681.4600000000009</v>
      </c>
    </row>
    <row r="3315" spans="3:30">
      <c r="C3315" s="43" t="s">
        <v>6151</v>
      </c>
      <c r="D3315" s="44" t="s">
        <v>6152</v>
      </c>
      <c r="E3315" s="44"/>
      <c r="F3315" s="45">
        <v>42654.372731481482</v>
      </c>
      <c r="G3315" s="46">
        <v>23</v>
      </c>
      <c r="H3315" s="47">
        <v>43398</v>
      </c>
      <c r="I3315" s="47">
        <v>43416</v>
      </c>
      <c r="J3315" s="46">
        <v>1227743</v>
      </c>
      <c r="K3315" s="46">
        <v>0</v>
      </c>
      <c r="L3315" s="46">
        <v>0</v>
      </c>
      <c r="M3315" s="46">
        <f t="shared" ref="M3315:M3378" si="916">IFERROR(J3315-K3315-L3315,0)</f>
        <v>1227743</v>
      </c>
      <c r="N3315" s="46">
        <v>1455118</v>
      </c>
      <c r="O3315" s="48">
        <f t="shared" ref="O3315:O3378" si="917">IFERROR(IF(1 - M3315/N3315&lt;0,0,1-M3315/N3315),0)</f>
        <v>0.15625880512783152</v>
      </c>
      <c r="P3315" s="46">
        <v>0</v>
      </c>
      <c r="Q3315" s="46">
        <v>1227743</v>
      </c>
      <c r="R3315" s="49">
        <f t="shared" ref="R3315:R3378" si="918">IF(F3315&lt;DATEVALUE("2018-07-01"),1,0)</f>
        <v>1</v>
      </c>
      <c r="S3315" s="50">
        <f t="shared" ref="S3315:S3378" si="919">IF(R3315=1,1%,0)</f>
        <v>0.01</v>
      </c>
      <c r="T3315" s="49">
        <f t="shared" ref="T3315:T3378" si="920">IFERROR(S3315*M3315,0)</f>
        <v>12277.43</v>
      </c>
      <c r="U3315" s="51">
        <f t="shared" ref="U3315:U3378" si="921">IF(O3315&lt;=0.12,1,0)*(1-R3315)*M3315</f>
        <v>0</v>
      </c>
      <c r="V3315" s="52">
        <f>IF(0&lt;0.8,0,IF(0&lt;1,Sheet3!L561,1))*IF(G3315&lt;3,0.12 - O3315,0.01) *U3315</f>
        <v>0</v>
      </c>
      <c r="W3315" s="52">
        <f t="shared" ref="W3315:W3378" si="922">IF(0&gt;1,IF(0&lt;=1.1,1,IF(0&lt;=1.2,2,IF(0&lt;=1.5,3,5))),0) * 1000000</f>
        <v>0</v>
      </c>
      <c r="X3315" s="53">
        <f t="shared" ref="X3315:X3378" si="923">IF(AND(P3315&gt;=150000000,P3315&lt;300000000),5000000,IF(AND(P3315&gt;=300000000,P3315&lt;500000000),10000000,IF(AND(P3315&gt;=300000000,P3315&lt;500000000),15000000,IF(AND(P3315&gt;=500000000,P3315&lt;3000000000),20000000,IF(P3315&gt;=30000000000,35000000,0))))) * (1-R3315)</f>
        <v>0</v>
      </c>
      <c r="Y3315" s="53">
        <f t="shared" ref="Y3315:Y3378" si="924">IFERROR(Q3315 * (1-R3315),0)</f>
        <v>0</v>
      </c>
      <c r="Z3315" s="54">
        <f t="shared" si="913"/>
        <v>0</v>
      </c>
      <c r="AA3315" s="54">
        <f t="shared" ref="AA3315:AA3378" si="925">IFERROR((1-R3315) * Z3315 * 2%,0)</f>
        <v>0</v>
      </c>
      <c r="AB3315" s="55">
        <f t="shared" si="915"/>
        <v>0</v>
      </c>
      <c r="AC3315" s="55">
        <f t="shared" ref="AC3315:AC3378" si="926">IFERROR(AB3315 * (1-R3315) * 2%,0)</f>
        <v>0</v>
      </c>
      <c r="AD3315" s="56">
        <f t="shared" ref="AD3315:AD3378" si="927">T3315+V3315+W3315+X3315+AA3315+AC3315</f>
        <v>12277.43</v>
      </c>
    </row>
    <row r="3316" spans="3:30">
      <c r="C3316" s="43" t="s">
        <v>6153</v>
      </c>
      <c r="D3316" s="44" t="s">
        <v>6154</v>
      </c>
      <c r="E3316" s="44"/>
      <c r="F3316" s="45">
        <v>42684.407523148147</v>
      </c>
      <c r="G3316" s="46">
        <v>22</v>
      </c>
      <c r="H3316" s="47">
        <v>43372</v>
      </c>
      <c r="I3316" s="47">
        <v>43399</v>
      </c>
      <c r="J3316" s="46">
        <v>296731</v>
      </c>
      <c r="K3316" s="46">
        <v>0</v>
      </c>
      <c r="L3316" s="46">
        <v>0</v>
      </c>
      <c r="M3316" s="46">
        <f t="shared" si="916"/>
        <v>296731</v>
      </c>
      <c r="N3316" s="46">
        <v>296731</v>
      </c>
      <c r="O3316" s="48">
        <f t="shared" si="917"/>
        <v>0</v>
      </c>
      <c r="P3316" s="46">
        <v>0</v>
      </c>
      <c r="Q3316" s="46">
        <v>296731</v>
      </c>
      <c r="R3316" s="49">
        <f t="shared" si="918"/>
        <v>1</v>
      </c>
      <c r="S3316" s="50">
        <f t="shared" si="919"/>
        <v>0.01</v>
      </c>
      <c r="T3316" s="49">
        <f t="shared" si="920"/>
        <v>2967.31</v>
      </c>
      <c r="U3316" s="51">
        <f t="shared" si="921"/>
        <v>0</v>
      </c>
      <c r="V3316" s="52">
        <f>IF(0&lt;0.8,0,IF(0&lt;1,Sheet3!L561,1))*IF(G3316&lt;3,0.12 - O3316,0.01) *U3316</f>
        <v>0</v>
      </c>
      <c r="W3316" s="52">
        <f t="shared" si="922"/>
        <v>0</v>
      </c>
      <c r="X3316" s="53">
        <f t="shared" si="923"/>
        <v>0</v>
      </c>
      <c r="Y3316" s="53">
        <f t="shared" si="924"/>
        <v>0</v>
      </c>
      <c r="Z3316" s="54">
        <f t="shared" si="913"/>
        <v>0</v>
      </c>
      <c r="AA3316" s="54">
        <f t="shared" si="925"/>
        <v>0</v>
      </c>
      <c r="AB3316" s="55">
        <f t="shared" si="915"/>
        <v>0</v>
      </c>
      <c r="AC3316" s="55">
        <f t="shared" si="926"/>
        <v>0</v>
      </c>
      <c r="AD3316" s="56">
        <f t="shared" si="927"/>
        <v>2967.31</v>
      </c>
    </row>
    <row r="3317" spans="3:30">
      <c r="C3317" s="43" t="s">
        <v>6155</v>
      </c>
      <c r="D3317" s="44" t="s">
        <v>6156</v>
      </c>
      <c r="E3317" s="44"/>
      <c r="F3317" s="45">
        <v>42769.298263888886</v>
      </c>
      <c r="G3317" s="46">
        <v>19</v>
      </c>
      <c r="H3317" s="47">
        <v>43398</v>
      </c>
      <c r="I3317" s="47">
        <v>43416</v>
      </c>
      <c r="J3317" s="46">
        <v>1050885</v>
      </c>
      <c r="K3317" s="46">
        <v>0</v>
      </c>
      <c r="L3317" s="46">
        <v>0</v>
      </c>
      <c r="M3317" s="46">
        <f t="shared" si="916"/>
        <v>1050885</v>
      </c>
      <c r="N3317" s="46">
        <v>1263059</v>
      </c>
      <c r="O3317" s="48">
        <f t="shared" si="917"/>
        <v>0.16798423509907301</v>
      </c>
      <c r="P3317" s="46">
        <v>0</v>
      </c>
      <c r="Q3317" s="46">
        <v>1050885</v>
      </c>
      <c r="R3317" s="49">
        <f t="shared" si="918"/>
        <v>1</v>
      </c>
      <c r="S3317" s="50">
        <f t="shared" si="919"/>
        <v>0.01</v>
      </c>
      <c r="T3317" s="49">
        <f t="shared" si="920"/>
        <v>10508.85</v>
      </c>
      <c r="U3317" s="51">
        <f t="shared" si="921"/>
        <v>0</v>
      </c>
      <c r="V3317" s="52">
        <f>IF(0&lt;0.8,0,IF(0&lt;1,Sheet3!L561,1))*IF(G3317&lt;3,0.12 - O3317,0.01) *U3317</f>
        <v>0</v>
      </c>
      <c r="W3317" s="52">
        <f t="shared" si="922"/>
        <v>0</v>
      </c>
      <c r="X3317" s="53">
        <f t="shared" si="923"/>
        <v>0</v>
      </c>
      <c r="Y3317" s="53">
        <f t="shared" si="924"/>
        <v>0</v>
      </c>
      <c r="Z3317" s="54">
        <f t="shared" si="913"/>
        <v>0</v>
      </c>
      <c r="AA3317" s="54">
        <f t="shared" si="925"/>
        <v>0</v>
      </c>
      <c r="AB3317" s="55">
        <f t="shared" si="915"/>
        <v>0</v>
      </c>
      <c r="AC3317" s="55">
        <f t="shared" si="926"/>
        <v>0</v>
      </c>
      <c r="AD3317" s="56">
        <f t="shared" si="927"/>
        <v>10508.85</v>
      </c>
    </row>
    <row r="3318" spans="3:30">
      <c r="C3318" s="43" t="s">
        <v>6157</v>
      </c>
      <c r="D3318" s="44" t="s">
        <v>6158</v>
      </c>
      <c r="E3318" s="44"/>
      <c r="F3318" s="45">
        <v>42826.293067129627</v>
      </c>
      <c r="G3318" s="46">
        <v>17</v>
      </c>
      <c r="H3318" s="47">
        <v>43372</v>
      </c>
      <c r="I3318" s="47">
        <v>43396</v>
      </c>
      <c r="J3318" s="46">
        <v>7913714</v>
      </c>
      <c r="K3318" s="46">
        <v>0</v>
      </c>
      <c r="L3318" s="46">
        <v>0</v>
      </c>
      <c r="M3318" s="46">
        <f t="shared" si="916"/>
        <v>7913714</v>
      </c>
      <c r="N3318" s="46">
        <v>7624274</v>
      </c>
      <c r="O3318" s="48">
        <f t="shared" si="917"/>
        <v>0</v>
      </c>
      <c r="P3318" s="46">
        <v>0</v>
      </c>
      <c r="Q3318" s="46">
        <v>7913714</v>
      </c>
      <c r="R3318" s="49">
        <f t="shared" si="918"/>
        <v>1</v>
      </c>
      <c r="S3318" s="50">
        <f t="shared" si="919"/>
        <v>0.01</v>
      </c>
      <c r="T3318" s="49">
        <f t="shared" si="920"/>
        <v>79137.14</v>
      </c>
      <c r="U3318" s="51">
        <f t="shared" si="921"/>
        <v>0</v>
      </c>
      <c r="V3318" s="52">
        <f>IF(0&lt;0.8,0,IF(0&lt;1,Sheet3!L561,1))*IF(G3318&lt;3,0.12 - O3318,0.01) *U3318</f>
        <v>0</v>
      </c>
      <c r="W3318" s="52">
        <f t="shared" si="922"/>
        <v>0</v>
      </c>
      <c r="X3318" s="53">
        <f t="shared" si="923"/>
        <v>0</v>
      </c>
      <c r="Y3318" s="53">
        <f t="shared" si="924"/>
        <v>0</v>
      </c>
      <c r="Z3318" s="54">
        <f t="shared" si="913"/>
        <v>0</v>
      </c>
      <c r="AA3318" s="54">
        <f t="shared" si="925"/>
        <v>0</v>
      </c>
      <c r="AB3318" s="55">
        <f t="shared" si="915"/>
        <v>0</v>
      </c>
      <c r="AC3318" s="55">
        <f t="shared" si="926"/>
        <v>0</v>
      </c>
      <c r="AD3318" s="56">
        <f t="shared" si="927"/>
        <v>79137.14</v>
      </c>
    </row>
    <row r="3319" spans="3:30">
      <c r="C3319" s="43" t="s">
        <v>6159</v>
      </c>
      <c r="D3319" s="44" t="s">
        <v>6160</v>
      </c>
      <c r="E3319" s="44"/>
      <c r="F3319" s="45">
        <v>42845.2962037037</v>
      </c>
      <c r="G3319" s="46">
        <v>17</v>
      </c>
      <c r="H3319" s="47">
        <v>43372</v>
      </c>
      <c r="I3319" s="47">
        <v>43438</v>
      </c>
      <c r="J3319" s="46">
        <v>40336</v>
      </c>
      <c r="K3319" s="46">
        <v>0</v>
      </c>
      <c r="L3319" s="46">
        <v>0</v>
      </c>
      <c r="M3319" s="46">
        <f t="shared" si="916"/>
        <v>40336</v>
      </c>
      <c r="N3319" s="46">
        <v>40336</v>
      </c>
      <c r="O3319" s="48">
        <f t="shared" si="917"/>
        <v>0</v>
      </c>
      <c r="P3319" s="46">
        <v>0</v>
      </c>
      <c r="Q3319" s="46">
        <v>40336</v>
      </c>
      <c r="R3319" s="49">
        <f t="shared" si="918"/>
        <v>1</v>
      </c>
      <c r="S3319" s="50">
        <f t="shared" si="919"/>
        <v>0.01</v>
      </c>
      <c r="T3319" s="49">
        <f t="shared" si="920"/>
        <v>403.36</v>
      </c>
      <c r="U3319" s="51">
        <f t="shared" si="921"/>
        <v>0</v>
      </c>
      <c r="V3319" s="52">
        <f>IF(0&lt;0.8,0,IF(0&lt;1,Sheet3!L561,1))*IF(G3319&lt;3,0.12 - O3319,0.01) *U3319</f>
        <v>0</v>
      </c>
      <c r="W3319" s="52">
        <f t="shared" si="922"/>
        <v>0</v>
      </c>
      <c r="X3319" s="53">
        <f t="shared" si="923"/>
        <v>0</v>
      </c>
      <c r="Y3319" s="53">
        <f t="shared" si="924"/>
        <v>0</v>
      </c>
      <c r="Z3319" s="54">
        <f t="shared" si="913"/>
        <v>0</v>
      </c>
      <c r="AA3319" s="54">
        <f t="shared" si="925"/>
        <v>0</v>
      </c>
      <c r="AB3319" s="55">
        <f t="shared" si="915"/>
        <v>0</v>
      </c>
      <c r="AC3319" s="55">
        <f t="shared" si="926"/>
        <v>0</v>
      </c>
      <c r="AD3319" s="56">
        <f t="shared" si="927"/>
        <v>403.36</v>
      </c>
    </row>
    <row r="3320" spans="3:30">
      <c r="C3320" s="43" t="s">
        <v>6161</v>
      </c>
      <c r="D3320" s="44" t="s">
        <v>6162</v>
      </c>
      <c r="E3320" s="44"/>
      <c r="F3320" s="45">
        <v>42849.305960648147</v>
      </c>
      <c r="G3320" s="46">
        <v>17</v>
      </c>
      <c r="H3320" s="47">
        <v>43372</v>
      </c>
      <c r="I3320" s="47">
        <v>43381</v>
      </c>
      <c r="J3320" s="46">
        <v>147694</v>
      </c>
      <c r="K3320" s="46">
        <v>0</v>
      </c>
      <c r="L3320" s="46">
        <v>0</v>
      </c>
      <c r="M3320" s="46">
        <f t="shared" si="916"/>
        <v>147694</v>
      </c>
      <c r="N3320" s="46">
        <v>147694</v>
      </c>
      <c r="O3320" s="48">
        <f t="shared" si="917"/>
        <v>0</v>
      </c>
      <c r="P3320" s="46">
        <v>0</v>
      </c>
      <c r="Q3320" s="46">
        <v>147694</v>
      </c>
      <c r="R3320" s="49">
        <f t="shared" si="918"/>
        <v>1</v>
      </c>
      <c r="S3320" s="50">
        <f t="shared" si="919"/>
        <v>0.01</v>
      </c>
      <c r="T3320" s="49">
        <f t="shared" si="920"/>
        <v>1476.94</v>
      </c>
      <c r="U3320" s="51">
        <f t="shared" si="921"/>
        <v>0</v>
      </c>
      <c r="V3320" s="52">
        <f>IF(0&lt;0.8,0,IF(0&lt;1,Sheet3!L561,1))*IF(G3320&lt;3,0.12 - O3320,0.01) *U3320</f>
        <v>0</v>
      </c>
      <c r="W3320" s="52">
        <f t="shared" si="922"/>
        <v>0</v>
      </c>
      <c r="X3320" s="53">
        <f t="shared" si="923"/>
        <v>0</v>
      </c>
      <c r="Y3320" s="53">
        <f t="shared" si="924"/>
        <v>0</v>
      </c>
      <c r="Z3320" s="54">
        <f t="shared" si="913"/>
        <v>0</v>
      </c>
      <c r="AA3320" s="54">
        <f t="shared" si="925"/>
        <v>0</v>
      </c>
      <c r="AB3320" s="55">
        <f t="shared" si="915"/>
        <v>0</v>
      </c>
      <c r="AC3320" s="55">
        <f t="shared" si="926"/>
        <v>0</v>
      </c>
      <c r="AD3320" s="56">
        <f t="shared" si="927"/>
        <v>1476.94</v>
      </c>
    </row>
    <row r="3321" spans="3:30">
      <c r="C3321" s="43" t="s">
        <v>6163</v>
      </c>
      <c r="D3321" s="44" t="s">
        <v>6164</v>
      </c>
      <c r="E3321" s="44"/>
      <c r="F3321" s="45">
        <v>42970.198009259257</v>
      </c>
      <c r="G3321" s="46">
        <v>13</v>
      </c>
      <c r="H3321" s="47">
        <v>43372</v>
      </c>
      <c r="I3321" s="47">
        <v>43431</v>
      </c>
      <c r="J3321" s="46">
        <v>620315</v>
      </c>
      <c r="K3321" s="46">
        <v>0</v>
      </c>
      <c r="L3321" s="46">
        <v>0</v>
      </c>
      <c r="M3321" s="46">
        <f t="shared" si="916"/>
        <v>620315</v>
      </c>
      <c r="N3321" s="46">
        <v>620315</v>
      </c>
      <c r="O3321" s="48">
        <f t="shared" si="917"/>
        <v>0</v>
      </c>
      <c r="P3321" s="46">
        <v>0</v>
      </c>
      <c r="Q3321" s="46">
        <v>620315</v>
      </c>
      <c r="R3321" s="49">
        <f t="shared" si="918"/>
        <v>1</v>
      </c>
      <c r="S3321" s="50">
        <f t="shared" si="919"/>
        <v>0.01</v>
      </c>
      <c r="T3321" s="49">
        <f t="shared" si="920"/>
        <v>6203.1500000000005</v>
      </c>
      <c r="U3321" s="51">
        <f t="shared" si="921"/>
        <v>0</v>
      </c>
      <c r="V3321" s="52">
        <f>IF(0&lt;0.8,0,IF(0&lt;1,Sheet3!L561,1))*IF(G3321&lt;3,0.12 - O3321,0.01) *U3321</f>
        <v>0</v>
      </c>
      <c r="W3321" s="52">
        <f t="shared" si="922"/>
        <v>0</v>
      </c>
      <c r="X3321" s="53">
        <f t="shared" si="923"/>
        <v>0</v>
      </c>
      <c r="Y3321" s="53">
        <f t="shared" si="924"/>
        <v>0</v>
      </c>
      <c r="Z3321" s="54">
        <f t="shared" si="913"/>
        <v>0</v>
      </c>
      <c r="AA3321" s="54">
        <f t="shared" si="925"/>
        <v>0</v>
      </c>
      <c r="AB3321" s="55">
        <f t="shared" si="915"/>
        <v>0</v>
      </c>
      <c r="AC3321" s="55">
        <f t="shared" si="926"/>
        <v>0</v>
      </c>
      <c r="AD3321" s="56">
        <f t="shared" si="927"/>
        <v>6203.1500000000005</v>
      </c>
    </row>
    <row r="3322" spans="3:30">
      <c r="C3322" s="43" t="s">
        <v>6165</v>
      </c>
      <c r="D3322" s="44" t="s">
        <v>6166</v>
      </c>
      <c r="E3322" s="44"/>
      <c r="F3322" s="45">
        <v>42987.265671296293</v>
      </c>
      <c r="G3322" s="46">
        <v>12</v>
      </c>
      <c r="H3322" s="47">
        <v>43372</v>
      </c>
      <c r="I3322" s="47">
        <v>43396</v>
      </c>
      <c r="J3322" s="46">
        <v>2715529</v>
      </c>
      <c r="K3322" s="46">
        <v>0</v>
      </c>
      <c r="L3322" s="46">
        <v>0</v>
      </c>
      <c r="M3322" s="46">
        <f t="shared" si="916"/>
        <v>2715529</v>
      </c>
      <c r="N3322" s="46">
        <v>2715529</v>
      </c>
      <c r="O3322" s="48">
        <f t="shared" si="917"/>
        <v>0</v>
      </c>
      <c r="P3322" s="46">
        <v>0</v>
      </c>
      <c r="Q3322" s="46">
        <v>2715529</v>
      </c>
      <c r="R3322" s="49">
        <f t="shared" si="918"/>
        <v>1</v>
      </c>
      <c r="S3322" s="50">
        <f t="shared" si="919"/>
        <v>0.01</v>
      </c>
      <c r="T3322" s="49">
        <f t="shared" si="920"/>
        <v>27155.29</v>
      </c>
      <c r="U3322" s="51">
        <f t="shared" si="921"/>
        <v>0</v>
      </c>
      <c r="V3322" s="52">
        <f>IF(0&lt;0.8,0,IF(0&lt;1,Sheet3!L561,1))*IF(G3322&lt;3,0.12 - O3322,0.01) *U3322</f>
        <v>0</v>
      </c>
      <c r="W3322" s="52">
        <f t="shared" si="922"/>
        <v>0</v>
      </c>
      <c r="X3322" s="53">
        <f t="shared" si="923"/>
        <v>0</v>
      </c>
      <c r="Y3322" s="53">
        <f t="shared" si="924"/>
        <v>0</v>
      </c>
      <c r="Z3322" s="54">
        <f t="shared" si="913"/>
        <v>0</v>
      </c>
      <c r="AA3322" s="54">
        <f t="shared" si="925"/>
        <v>0</v>
      </c>
      <c r="AB3322" s="55">
        <f t="shared" si="915"/>
        <v>0</v>
      </c>
      <c r="AC3322" s="55">
        <f t="shared" si="926"/>
        <v>0</v>
      </c>
      <c r="AD3322" s="56">
        <f t="shared" si="927"/>
        <v>27155.29</v>
      </c>
    </row>
    <row r="3323" spans="3:30">
      <c r="C3323" s="43" t="s">
        <v>6167</v>
      </c>
      <c r="D3323" s="44" t="s">
        <v>6168</v>
      </c>
      <c r="E3323" s="44"/>
      <c r="F3323" s="45">
        <v>42987.268564814811</v>
      </c>
      <c r="G3323" s="46">
        <v>12</v>
      </c>
      <c r="H3323" s="47">
        <v>43372</v>
      </c>
      <c r="I3323" s="47">
        <v>43428</v>
      </c>
      <c r="J3323" s="46">
        <v>3034464</v>
      </c>
      <c r="K3323" s="46">
        <v>0</v>
      </c>
      <c r="L3323" s="46">
        <v>0</v>
      </c>
      <c r="M3323" s="46">
        <f t="shared" si="916"/>
        <v>3034464</v>
      </c>
      <c r="N3323" s="46">
        <v>3034464</v>
      </c>
      <c r="O3323" s="48">
        <f t="shared" si="917"/>
        <v>0</v>
      </c>
      <c r="P3323" s="46">
        <v>0</v>
      </c>
      <c r="Q3323" s="46">
        <v>3034464</v>
      </c>
      <c r="R3323" s="49">
        <f t="shared" si="918"/>
        <v>1</v>
      </c>
      <c r="S3323" s="50">
        <f t="shared" si="919"/>
        <v>0.01</v>
      </c>
      <c r="T3323" s="49">
        <f t="shared" si="920"/>
        <v>30344.639999999999</v>
      </c>
      <c r="U3323" s="51">
        <f t="shared" si="921"/>
        <v>0</v>
      </c>
      <c r="V3323" s="52">
        <f>IF(0&lt;0.8,0,IF(0&lt;1,Sheet3!L561,1))*IF(G3323&lt;3,0.12 - O3323,0.01) *U3323</f>
        <v>0</v>
      </c>
      <c r="W3323" s="52">
        <f t="shared" si="922"/>
        <v>0</v>
      </c>
      <c r="X3323" s="53">
        <f t="shared" si="923"/>
        <v>0</v>
      </c>
      <c r="Y3323" s="53">
        <f t="shared" si="924"/>
        <v>0</v>
      </c>
      <c r="Z3323" s="54">
        <f t="shared" si="913"/>
        <v>0</v>
      </c>
      <c r="AA3323" s="54">
        <f t="shared" si="925"/>
        <v>0</v>
      </c>
      <c r="AB3323" s="55">
        <f t="shared" si="915"/>
        <v>0</v>
      </c>
      <c r="AC3323" s="55">
        <f t="shared" si="926"/>
        <v>0</v>
      </c>
      <c r="AD3323" s="56">
        <f t="shared" si="927"/>
        <v>30344.639999999999</v>
      </c>
    </row>
    <row r="3324" spans="3:30">
      <c r="C3324" s="43" t="s">
        <v>6169</v>
      </c>
      <c r="D3324" s="44" t="s">
        <v>6170</v>
      </c>
      <c r="E3324" s="44"/>
      <c r="F3324" s="45">
        <v>43187.290671296294</v>
      </c>
      <c r="G3324" s="46">
        <v>6</v>
      </c>
      <c r="H3324" s="47">
        <v>43372</v>
      </c>
      <c r="I3324" s="47">
        <v>43497</v>
      </c>
      <c r="J3324" s="46">
        <v>3295824</v>
      </c>
      <c r="K3324" s="46">
        <v>0</v>
      </c>
      <c r="L3324" s="46">
        <v>0</v>
      </c>
      <c r="M3324" s="46">
        <f t="shared" si="916"/>
        <v>3295824</v>
      </c>
      <c r="N3324" s="46">
        <v>3290880</v>
      </c>
      <c r="O3324" s="48">
        <f t="shared" si="917"/>
        <v>0</v>
      </c>
      <c r="P3324" s="46">
        <v>0</v>
      </c>
      <c r="Q3324" s="46">
        <v>3295824</v>
      </c>
      <c r="R3324" s="49">
        <f t="shared" si="918"/>
        <v>1</v>
      </c>
      <c r="S3324" s="50">
        <f t="shared" si="919"/>
        <v>0.01</v>
      </c>
      <c r="T3324" s="49">
        <f t="shared" si="920"/>
        <v>32958.239999999998</v>
      </c>
      <c r="U3324" s="51">
        <f t="shared" si="921"/>
        <v>0</v>
      </c>
      <c r="V3324" s="52">
        <f>IF(0&lt;0.8,0,IF(0&lt;1,Sheet3!L561,1))*IF(G3324&lt;3,0.12 - O3324,0.01) *U3324</f>
        <v>0</v>
      </c>
      <c r="W3324" s="52">
        <f t="shared" si="922"/>
        <v>0</v>
      </c>
      <c r="X3324" s="53">
        <f t="shared" si="923"/>
        <v>0</v>
      </c>
      <c r="Y3324" s="53">
        <f t="shared" si="924"/>
        <v>0</v>
      </c>
      <c r="Z3324" s="54">
        <f t="shared" si="913"/>
        <v>0</v>
      </c>
      <c r="AA3324" s="54">
        <f t="shared" si="925"/>
        <v>0</v>
      </c>
      <c r="AB3324" s="55">
        <f t="shared" si="915"/>
        <v>0</v>
      </c>
      <c r="AC3324" s="55">
        <f t="shared" si="926"/>
        <v>0</v>
      </c>
      <c r="AD3324" s="56">
        <f t="shared" si="927"/>
        <v>32958.239999999998</v>
      </c>
    </row>
    <row r="3325" spans="3:30">
      <c r="C3325" s="43" t="s">
        <v>6171</v>
      </c>
      <c r="D3325" s="44" t="s">
        <v>6172</v>
      </c>
      <c r="E3325" s="44"/>
      <c r="F3325" s="45">
        <v>43187.311053240737</v>
      </c>
      <c r="G3325" s="46">
        <v>6</v>
      </c>
      <c r="H3325" s="47">
        <v>43372</v>
      </c>
      <c r="I3325" s="47">
        <v>43392</v>
      </c>
      <c r="J3325" s="46">
        <v>1449924</v>
      </c>
      <c r="K3325" s="46">
        <v>0</v>
      </c>
      <c r="L3325" s="46">
        <v>0</v>
      </c>
      <c r="M3325" s="46">
        <f t="shared" si="916"/>
        <v>1449924</v>
      </c>
      <c r="N3325" s="46">
        <v>1449924</v>
      </c>
      <c r="O3325" s="48">
        <f t="shared" si="917"/>
        <v>0</v>
      </c>
      <c r="P3325" s="46">
        <v>0</v>
      </c>
      <c r="Q3325" s="46">
        <v>2899848</v>
      </c>
      <c r="R3325" s="49">
        <f t="shared" si="918"/>
        <v>1</v>
      </c>
      <c r="S3325" s="50">
        <f t="shared" si="919"/>
        <v>0.01</v>
      </c>
      <c r="T3325" s="49">
        <f t="shared" si="920"/>
        <v>14499.24</v>
      </c>
      <c r="U3325" s="51">
        <f t="shared" si="921"/>
        <v>0</v>
      </c>
      <c r="V3325" s="52">
        <f>IF(0&lt;0.8,0,IF(0&lt;1,Sheet3!L561,1))*IF(G3325&lt;3,0.12 - O3325,0.01) *U3325</f>
        <v>0</v>
      </c>
      <c r="W3325" s="52">
        <f t="shared" si="922"/>
        <v>0</v>
      </c>
      <c r="X3325" s="53">
        <f t="shared" si="923"/>
        <v>0</v>
      </c>
      <c r="Y3325" s="53">
        <f t="shared" si="924"/>
        <v>0</v>
      </c>
      <c r="Z3325" s="54">
        <f t="shared" si="913"/>
        <v>0</v>
      </c>
      <c r="AA3325" s="54">
        <f t="shared" si="925"/>
        <v>0</v>
      </c>
      <c r="AB3325" s="55">
        <f t="shared" si="915"/>
        <v>0</v>
      </c>
      <c r="AC3325" s="55">
        <f t="shared" si="926"/>
        <v>0</v>
      </c>
      <c r="AD3325" s="56">
        <f t="shared" si="927"/>
        <v>14499.24</v>
      </c>
    </row>
    <row r="3326" spans="3:30">
      <c r="C3326" s="43" t="s">
        <v>6173</v>
      </c>
      <c r="D3326" s="44" t="s">
        <v>6174</v>
      </c>
      <c r="E3326" s="44"/>
      <c r="F3326" s="45">
        <v>43224.444421296292</v>
      </c>
      <c r="G3326" s="46">
        <v>4</v>
      </c>
      <c r="H3326" s="47">
        <v>43372</v>
      </c>
      <c r="I3326" s="47">
        <v>43410</v>
      </c>
      <c r="J3326" s="46">
        <v>380689</v>
      </c>
      <c r="K3326" s="46">
        <v>0</v>
      </c>
      <c r="L3326" s="46">
        <v>0</v>
      </c>
      <c r="M3326" s="46">
        <f t="shared" si="916"/>
        <v>380689</v>
      </c>
      <c r="N3326" s="46">
        <v>380689</v>
      </c>
      <c r="O3326" s="48">
        <f t="shared" si="917"/>
        <v>0</v>
      </c>
      <c r="P3326" s="46">
        <v>0</v>
      </c>
      <c r="Q3326" s="46">
        <v>380689</v>
      </c>
      <c r="R3326" s="49">
        <f t="shared" si="918"/>
        <v>1</v>
      </c>
      <c r="S3326" s="50">
        <f t="shared" si="919"/>
        <v>0.01</v>
      </c>
      <c r="T3326" s="49">
        <f t="shared" si="920"/>
        <v>3806.89</v>
      </c>
      <c r="U3326" s="51">
        <f t="shared" si="921"/>
        <v>0</v>
      </c>
      <c r="V3326" s="52">
        <f>IF(0&lt;0.8,0,IF(0&lt;1,Sheet3!L561,1))*IF(G3326&lt;3,0.12 - O3326,0.01) *U3326</f>
        <v>0</v>
      </c>
      <c r="W3326" s="52">
        <f t="shared" si="922"/>
        <v>0</v>
      </c>
      <c r="X3326" s="53">
        <f t="shared" si="923"/>
        <v>0</v>
      </c>
      <c r="Y3326" s="53">
        <f t="shared" si="924"/>
        <v>0</v>
      </c>
      <c r="Z3326" s="54">
        <f t="shared" si="913"/>
        <v>0</v>
      </c>
      <c r="AA3326" s="54">
        <f t="shared" si="925"/>
        <v>0</v>
      </c>
      <c r="AB3326" s="55">
        <f t="shared" si="915"/>
        <v>0</v>
      </c>
      <c r="AC3326" s="55">
        <f t="shared" si="926"/>
        <v>0</v>
      </c>
      <c r="AD3326" s="56">
        <f t="shared" si="927"/>
        <v>3806.89</v>
      </c>
    </row>
    <row r="3327" spans="3:30">
      <c r="C3327" s="43" t="s">
        <v>6175</v>
      </c>
      <c r="D3327" s="44" t="s">
        <v>6176</v>
      </c>
      <c r="E3327" s="44"/>
      <c r="F3327" s="45">
        <v>43232.110578703701</v>
      </c>
      <c r="G3327" s="46">
        <v>4</v>
      </c>
      <c r="H3327" s="47">
        <v>43372</v>
      </c>
      <c r="I3327" s="47">
        <v>43381</v>
      </c>
      <c r="J3327" s="46">
        <v>3779185</v>
      </c>
      <c r="K3327" s="46">
        <v>0</v>
      </c>
      <c r="L3327" s="46">
        <v>0</v>
      </c>
      <c r="M3327" s="46">
        <f t="shared" si="916"/>
        <v>3779185</v>
      </c>
      <c r="N3327" s="46">
        <v>5467811</v>
      </c>
      <c r="O3327" s="48">
        <f t="shared" si="917"/>
        <v>0.30883035276822846</v>
      </c>
      <c r="P3327" s="46">
        <v>0</v>
      </c>
      <c r="Q3327" s="46">
        <v>3779185</v>
      </c>
      <c r="R3327" s="49">
        <f t="shared" si="918"/>
        <v>1</v>
      </c>
      <c r="S3327" s="50">
        <f t="shared" si="919"/>
        <v>0.01</v>
      </c>
      <c r="T3327" s="49">
        <f t="shared" si="920"/>
        <v>37791.85</v>
      </c>
      <c r="U3327" s="51">
        <f t="shared" si="921"/>
        <v>0</v>
      </c>
      <c r="V3327" s="52">
        <f>IF(0&lt;0.8,0,IF(0&lt;1,Sheet3!L561,1))*IF(G3327&lt;3,0.12 - O3327,0.01) *U3327</f>
        <v>0</v>
      </c>
      <c r="W3327" s="52">
        <f t="shared" si="922"/>
        <v>0</v>
      </c>
      <c r="X3327" s="53">
        <f t="shared" si="923"/>
        <v>0</v>
      </c>
      <c r="Y3327" s="53">
        <f t="shared" si="924"/>
        <v>0</v>
      </c>
      <c r="Z3327" s="54">
        <f t="shared" si="913"/>
        <v>0</v>
      </c>
      <c r="AA3327" s="54">
        <f t="shared" si="925"/>
        <v>0</v>
      </c>
      <c r="AB3327" s="55">
        <f t="shared" si="915"/>
        <v>0</v>
      </c>
      <c r="AC3327" s="55">
        <f t="shared" si="926"/>
        <v>0</v>
      </c>
      <c r="AD3327" s="56">
        <f t="shared" si="927"/>
        <v>37791.85</v>
      </c>
    </row>
    <row r="3328" spans="3:30">
      <c r="C3328" s="43" t="s">
        <v>6177</v>
      </c>
      <c r="D3328" s="44" t="s">
        <v>6178</v>
      </c>
      <c r="E3328" s="44"/>
      <c r="F3328" s="45">
        <v>43252.43105324074</v>
      </c>
      <c r="G3328" s="46">
        <v>3</v>
      </c>
      <c r="H3328" s="47">
        <v>43372</v>
      </c>
      <c r="I3328" s="47">
        <v>43412</v>
      </c>
      <c r="J3328" s="46">
        <v>348013</v>
      </c>
      <c r="K3328" s="46">
        <v>0</v>
      </c>
      <c r="L3328" s="46">
        <v>0</v>
      </c>
      <c r="M3328" s="46">
        <f t="shared" si="916"/>
        <v>348013</v>
      </c>
      <c r="N3328" s="46">
        <v>347093</v>
      </c>
      <c r="O3328" s="48">
        <f t="shared" si="917"/>
        <v>0</v>
      </c>
      <c r="P3328" s="46">
        <v>0</v>
      </c>
      <c r="Q3328" s="46">
        <v>0</v>
      </c>
      <c r="R3328" s="49">
        <f t="shared" si="918"/>
        <v>1</v>
      </c>
      <c r="S3328" s="50">
        <f t="shared" si="919"/>
        <v>0.01</v>
      </c>
      <c r="T3328" s="49">
        <f t="shared" si="920"/>
        <v>3480.13</v>
      </c>
      <c r="U3328" s="51">
        <f t="shared" si="921"/>
        <v>0</v>
      </c>
      <c r="V3328" s="52">
        <f>IF(0&lt;0.8,0,IF(0&lt;1,Sheet3!L561,1))*IF(G3328&lt;3,0.12 - O3328,0.01) *U3328</f>
        <v>0</v>
      </c>
      <c r="W3328" s="52">
        <f t="shared" si="922"/>
        <v>0</v>
      </c>
      <c r="X3328" s="53">
        <f t="shared" si="923"/>
        <v>0</v>
      </c>
      <c r="Y3328" s="53">
        <f t="shared" si="924"/>
        <v>0</v>
      </c>
      <c r="Z3328" s="54">
        <f t="shared" si="913"/>
        <v>0</v>
      </c>
      <c r="AA3328" s="54">
        <f t="shared" si="925"/>
        <v>0</v>
      </c>
      <c r="AB3328" s="55">
        <f t="shared" si="915"/>
        <v>0</v>
      </c>
      <c r="AC3328" s="55">
        <f t="shared" si="926"/>
        <v>0</v>
      </c>
      <c r="AD3328" s="56">
        <f t="shared" si="927"/>
        <v>3480.13</v>
      </c>
    </row>
    <row r="3329" spans="3:30">
      <c r="C3329" s="43" t="s">
        <v>6179</v>
      </c>
      <c r="D3329" s="44" t="s">
        <v>6180</v>
      </c>
      <c r="E3329" s="44"/>
      <c r="F3329" s="45">
        <v>43276.15788194444</v>
      </c>
      <c r="G3329" s="46">
        <v>3</v>
      </c>
      <c r="H3329" s="47">
        <v>43372</v>
      </c>
      <c r="I3329" s="47">
        <v>43381</v>
      </c>
      <c r="J3329" s="46">
        <v>803222</v>
      </c>
      <c r="K3329" s="46">
        <v>0</v>
      </c>
      <c r="L3329" s="46">
        <v>0</v>
      </c>
      <c r="M3329" s="46">
        <f t="shared" si="916"/>
        <v>803222</v>
      </c>
      <c r="N3329" s="46">
        <v>10083</v>
      </c>
      <c r="O3329" s="48">
        <f t="shared" si="917"/>
        <v>0</v>
      </c>
      <c r="P3329" s="46">
        <v>0</v>
      </c>
      <c r="Q3329" s="46">
        <v>0</v>
      </c>
      <c r="R3329" s="49">
        <f t="shared" si="918"/>
        <v>1</v>
      </c>
      <c r="S3329" s="50">
        <f t="shared" si="919"/>
        <v>0.01</v>
      </c>
      <c r="T3329" s="49">
        <f t="shared" si="920"/>
        <v>8032.22</v>
      </c>
      <c r="U3329" s="51">
        <f t="shared" si="921"/>
        <v>0</v>
      </c>
      <c r="V3329" s="52">
        <f>IF(0&lt;0.8,0,IF(0&lt;1,Sheet3!L561,1))*IF(G3329&lt;3,0.12 - O3329,0.01) *U3329</f>
        <v>0</v>
      </c>
      <c r="W3329" s="52">
        <f t="shared" si="922"/>
        <v>0</v>
      </c>
      <c r="X3329" s="53">
        <f t="shared" si="923"/>
        <v>0</v>
      </c>
      <c r="Y3329" s="53">
        <f t="shared" si="924"/>
        <v>0</v>
      </c>
      <c r="Z3329" s="54">
        <f t="shared" si="913"/>
        <v>0</v>
      </c>
      <c r="AA3329" s="54">
        <f t="shared" si="925"/>
        <v>0</v>
      </c>
      <c r="AB3329" s="55">
        <f>IF(R3329=0,793138,0)</f>
        <v>0</v>
      </c>
      <c r="AC3329" s="55">
        <f t="shared" si="926"/>
        <v>0</v>
      </c>
      <c r="AD3329" s="56">
        <f t="shared" si="927"/>
        <v>8032.22</v>
      </c>
    </row>
    <row r="3330" spans="3:30">
      <c r="C3330" s="43" t="s">
        <v>6181</v>
      </c>
      <c r="D3330" s="44" t="s">
        <v>6182</v>
      </c>
      <c r="E3330" s="44"/>
      <c r="F3330" s="45">
        <v>43312.290601851848</v>
      </c>
      <c r="G3330" s="46">
        <v>2</v>
      </c>
      <c r="H3330" s="47">
        <v>43372</v>
      </c>
      <c r="I3330" s="47">
        <v>43390</v>
      </c>
      <c r="J3330" s="46">
        <v>1490654</v>
      </c>
      <c r="K3330" s="46">
        <v>0</v>
      </c>
      <c r="L3330" s="46">
        <v>0</v>
      </c>
      <c r="M3330" s="46">
        <f t="shared" si="916"/>
        <v>1490654</v>
      </c>
      <c r="N3330" s="46">
        <v>530653</v>
      </c>
      <c r="O3330" s="48">
        <f t="shared" si="917"/>
        <v>0</v>
      </c>
      <c r="P3330" s="46">
        <v>1490654</v>
      </c>
      <c r="Q3330" s="46">
        <v>0</v>
      </c>
      <c r="R3330" s="49">
        <f t="shared" si="918"/>
        <v>0</v>
      </c>
      <c r="S3330" s="50">
        <f t="shared" si="919"/>
        <v>0</v>
      </c>
      <c r="T3330" s="49">
        <f t="shared" si="920"/>
        <v>0</v>
      </c>
      <c r="U3330" s="51">
        <f t="shared" si="921"/>
        <v>1490654</v>
      </c>
      <c r="V3330" s="52">
        <f>IF(0&lt;0.8,0,IF(0&lt;1,Sheet3!L561,1))*IF(G3330&lt;3,0.12 - O3330,0.01) *U3330</f>
        <v>0</v>
      </c>
      <c r="W3330" s="52">
        <f t="shared" si="922"/>
        <v>0</v>
      </c>
      <c r="X3330" s="53">
        <f t="shared" si="923"/>
        <v>0</v>
      </c>
      <c r="Y3330" s="53">
        <f t="shared" si="924"/>
        <v>0</v>
      </c>
      <c r="Z3330" s="54">
        <f t="shared" si="913"/>
        <v>0</v>
      </c>
      <c r="AA3330" s="54">
        <f t="shared" si="925"/>
        <v>0</v>
      </c>
      <c r="AB3330" s="55">
        <f>IF(R3330=0,960000,0)</f>
        <v>960000</v>
      </c>
      <c r="AC3330" s="55">
        <f t="shared" si="926"/>
        <v>19200</v>
      </c>
      <c r="AD3330" s="56">
        <f t="shared" si="927"/>
        <v>19200</v>
      </c>
    </row>
    <row r="3331" spans="3:30">
      <c r="C3331" s="43" t="s">
        <v>6183</v>
      </c>
      <c r="D3331" s="44" t="s">
        <v>6184</v>
      </c>
      <c r="E3331" s="44"/>
      <c r="F3331" s="45">
        <v>43312.295115740737</v>
      </c>
      <c r="G3331" s="46">
        <v>2</v>
      </c>
      <c r="H3331" s="47">
        <v>43372</v>
      </c>
      <c r="I3331" s="47">
        <v>43405</v>
      </c>
      <c r="J3331" s="46">
        <v>17509556</v>
      </c>
      <c r="K3331" s="46">
        <v>0</v>
      </c>
      <c r="L3331" s="46">
        <v>0</v>
      </c>
      <c r="M3331" s="46">
        <f t="shared" si="916"/>
        <v>17509556</v>
      </c>
      <c r="N3331" s="46">
        <v>19204754</v>
      </c>
      <c r="O3331" s="48">
        <f t="shared" si="917"/>
        <v>8.8269706552867033E-2</v>
      </c>
      <c r="P3331" s="46">
        <v>17509556</v>
      </c>
      <c r="Q3331" s="46">
        <v>0</v>
      </c>
      <c r="R3331" s="49">
        <f t="shared" si="918"/>
        <v>0</v>
      </c>
      <c r="S3331" s="50">
        <f t="shared" si="919"/>
        <v>0</v>
      </c>
      <c r="T3331" s="49">
        <f t="shared" si="920"/>
        <v>0</v>
      </c>
      <c r="U3331" s="51">
        <f t="shared" si="921"/>
        <v>17509556</v>
      </c>
      <c r="V3331" s="52">
        <f>IF(0&lt;0.8,0,IF(0&lt;1,Sheet3!L561,1))*IF(G3331&lt;3,0.12 - O3331,0.01) *U3331</f>
        <v>0</v>
      </c>
      <c r="W3331" s="52">
        <f t="shared" si="922"/>
        <v>0</v>
      </c>
      <c r="X3331" s="53">
        <f t="shared" si="923"/>
        <v>0</v>
      </c>
      <c r="Y3331" s="53">
        <f t="shared" si="924"/>
        <v>0</v>
      </c>
      <c r="Z3331" s="54">
        <f t="shared" si="913"/>
        <v>0</v>
      </c>
      <c r="AA3331" s="54">
        <f t="shared" si="925"/>
        <v>0</v>
      </c>
      <c r="AB3331" s="55">
        <f>IF(R3331=0,0,0)</f>
        <v>0</v>
      </c>
      <c r="AC3331" s="55">
        <f t="shared" si="926"/>
        <v>0</v>
      </c>
      <c r="AD3331" s="56">
        <f t="shared" si="927"/>
        <v>0</v>
      </c>
    </row>
    <row r="3332" spans="3:30">
      <c r="C3332" s="43" t="s">
        <v>6185</v>
      </c>
      <c r="D3332" s="44" t="s">
        <v>6186</v>
      </c>
      <c r="E3332" s="44"/>
      <c r="F3332" s="45">
        <v>43329.101527777777</v>
      </c>
      <c r="G3332" s="46">
        <v>1</v>
      </c>
      <c r="H3332" s="47">
        <v>43395</v>
      </c>
      <c r="I3332" s="47">
        <v>43405</v>
      </c>
      <c r="J3332" s="46">
        <v>21063135</v>
      </c>
      <c r="K3332" s="46">
        <v>0</v>
      </c>
      <c r="L3332" s="46">
        <v>0</v>
      </c>
      <c r="M3332" s="46">
        <f t="shared" si="916"/>
        <v>21063135</v>
      </c>
      <c r="N3332" s="46">
        <v>21063135</v>
      </c>
      <c r="O3332" s="48">
        <f t="shared" si="917"/>
        <v>0</v>
      </c>
      <c r="P3332" s="46">
        <v>0</v>
      </c>
      <c r="Q3332" s="46">
        <v>0</v>
      </c>
      <c r="R3332" s="49">
        <f t="shared" si="918"/>
        <v>0</v>
      </c>
      <c r="S3332" s="50">
        <f t="shared" si="919"/>
        <v>0</v>
      </c>
      <c r="T3332" s="49">
        <f t="shared" si="920"/>
        <v>0</v>
      </c>
      <c r="U3332" s="51">
        <f t="shared" si="921"/>
        <v>21063135</v>
      </c>
      <c r="V3332" s="52">
        <f>IF(0&lt;0.8,0,IF(0&lt;1,Sheet3!L561,1))*IF(G3332&lt;3,0.12 - O3332,0.01) *U3332</f>
        <v>0</v>
      </c>
      <c r="W3332" s="52">
        <f t="shared" si="922"/>
        <v>0</v>
      </c>
      <c r="X3332" s="53">
        <f t="shared" si="923"/>
        <v>0</v>
      </c>
      <c r="Y3332" s="53">
        <f t="shared" si="924"/>
        <v>0</v>
      </c>
      <c r="Z3332" s="54">
        <f t="shared" si="913"/>
        <v>0</v>
      </c>
      <c r="AA3332" s="54">
        <f t="shared" si="925"/>
        <v>0</v>
      </c>
      <c r="AB3332" s="55">
        <f>IF(R3332=0,0,0)</f>
        <v>0</v>
      </c>
      <c r="AC3332" s="55">
        <f t="shared" si="926"/>
        <v>0</v>
      </c>
      <c r="AD3332" s="56">
        <f t="shared" si="927"/>
        <v>0</v>
      </c>
    </row>
    <row r="3333" spans="3:30">
      <c r="C3333" s="43" t="s">
        <v>6187</v>
      </c>
      <c r="D3333" s="44" t="s">
        <v>6188</v>
      </c>
      <c r="E3333" s="44"/>
      <c r="F3333" s="45">
        <v>43357.069074074076</v>
      </c>
      <c r="G3333" s="46">
        <v>0</v>
      </c>
      <c r="H3333" s="47">
        <v>43404</v>
      </c>
      <c r="I3333" s="47">
        <v>43377</v>
      </c>
      <c r="J3333" s="46">
        <v>1493579</v>
      </c>
      <c r="K3333" s="46">
        <v>0</v>
      </c>
      <c r="L3333" s="46">
        <v>0</v>
      </c>
      <c r="M3333" s="46">
        <f t="shared" si="916"/>
        <v>1493579</v>
      </c>
      <c r="N3333" s="46">
        <v>1539831</v>
      </c>
      <c r="O3333" s="48">
        <f t="shared" si="917"/>
        <v>3.0037062508807777E-2</v>
      </c>
      <c r="P3333" s="46">
        <v>0</v>
      </c>
      <c r="Q3333" s="46">
        <v>0</v>
      </c>
      <c r="R3333" s="49">
        <f t="shared" si="918"/>
        <v>0</v>
      </c>
      <c r="S3333" s="50">
        <f t="shared" si="919"/>
        <v>0</v>
      </c>
      <c r="T3333" s="49">
        <f t="shared" si="920"/>
        <v>0</v>
      </c>
      <c r="U3333" s="51">
        <f t="shared" si="921"/>
        <v>1493579</v>
      </c>
      <c r="V3333" s="52">
        <f>IF(0&lt;0.8,0,IF(0&lt;1,Sheet3!L561,1))*IF(G3333&lt;3,0.12 - O3333,0.01) *U3333</f>
        <v>0</v>
      </c>
      <c r="W3333" s="52">
        <f t="shared" si="922"/>
        <v>0</v>
      </c>
      <c r="X3333" s="53">
        <f t="shared" si="923"/>
        <v>0</v>
      </c>
      <c r="Y3333" s="53">
        <f t="shared" si="924"/>
        <v>0</v>
      </c>
      <c r="Z3333" s="54">
        <f t="shared" si="913"/>
        <v>0</v>
      </c>
      <c r="AA3333" s="54">
        <f t="shared" si="925"/>
        <v>0</v>
      </c>
      <c r="AB3333" s="55">
        <f>IF(R3333=0,0,0)</f>
        <v>0</v>
      </c>
      <c r="AC3333" s="55">
        <f t="shared" si="926"/>
        <v>0</v>
      </c>
      <c r="AD3333" s="56">
        <f t="shared" si="927"/>
        <v>0</v>
      </c>
    </row>
    <row r="3334" spans="3:30">
      <c r="C3334" s="43" t="s">
        <v>6189</v>
      </c>
      <c r="D3334" s="44" t="s">
        <v>6190</v>
      </c>
      <c r="E3334" s="44"/>
      <c r="F3334" s="45">
        <v>43363.14775462963</v>
      </c>
      <c r="G3334" s="46">
        <v>0</v>
      </c>
      <c r="H3334" s="47">
        <v>43372</v>
      </c>
      <c r="I3334" s="47">
        <v>43413</v>
      </c>
      <c r="J3334" s="46">
        <v>326102</v>
      </c>
      <c r="K3334" s="46">
        <v>0</v>
      </c>
      <c r="L3334" s="46">
        <v>0</v>
      </c>
      <c r="M3334" s="46">
        <f t="shared" si="916"/>
        <v>326102</v>
      </c>
      <c r="N3334" s="46">
        <v>326337</v>
      </c>
      <c r="O3334" s="48">
        <f t="shared" si="917"/>
        <v>7.2011448288122892E-4</v>
      </c>
      <c r="P3334" s="46">
        <v>0</v>
      </c>
      <c r="Q3334" s="46">
        <v>0</v>
      </c>
      <c r="R3334" s="49">
        <f t="shared" si="918"/>
        <v>0</v>
      </c>
      <c r="S3334" s="50">
        <f t="shared" si="919"/>
        <v>0</v>
      </c>
      <c r="T3334" s="49">
        <f t="shared" si="920"/>
        <v>0</v>
      </c>
      <c r="U3334" s="51">
        <f t="shared" si="921"/>
        <v>326102</v>
      </c>
      <c r="V3334" s="52">
        <f>IF(0&lt;0.8,0,IF(0&lt;1,Sheet3!L561,1))*IF(G3334&lt;3,0.12 - O3334,0.01) *U3334</f>
        <v>0</v>
      </c>
      <c r="W3334" s="52">
        <f t="shared" si="922"/>
        <v>0</v>
      </c>
      <c r="X3334" s="53">
        <f t="shared" si="923"/>
        <v>0</v>
      </c>
      <c r="Y3334" s="53">
        <f t="shared" si="924"/>
        <v>0</v>
      </c>
      <c r="Z3334" s="54">
        <f t="shared" si="913"/>
        <v>0</v>
      </c>
      <c r="AA3334" s="54">
        <f t="shared" si="925"/>
        <v>0</v>
      </c>
      <c r="AB3334" s="55">
        <f>IF(R3334=0,0,0)</f>
        <v>0</v>
      </c>
      <c r="AC3334" s="55">
        <f t="shared" si="926"/>
        <v>0</v>
      </c>
      <c r="AD3334" s="56">
        <f t="shared" si="927"/>
        <v>0</v>
      </c>
    </row>
    <row r="3335" spans="3:30">
      <c r="C3335" s="43" t="s">
        <v>6191</v>
      </c>
      <c r="D3335" s="44" t="s">
        <v>6192</v>
      </c>
      <c r="E3335" s="44"/>
      <c r="F3335" s="45">
        <v>43368.316111111111</v>
      </c>
      <c r="G3335" s="46">
        <v>0</v>
      </c>
      <c r="H3335" s="47">
        <v>43372</v>
      </c>
      <c r="I3335" s="47">
        <v>43391</v>
      </c>
      <c r="J3335" s="46">
        <v>745731</v>
      </c>
      <c r="K3335" s="46">
        <v>0</v>
      </c>
      <c r="L3335" s="46">
        <v>0</v>
      </c>
      <c r="M3335" s="46">
        <f t="shared" si="916"/>
        <v>745731</v>
      </c>
      <c r="N3335" s="46">
        <v>769648</v>
      </c>
      <c r="O3335" s="48">
        <f t="shared" si="917"/>
        <v>3.1075244787227452E-2</v>
      </c>
      <c r="P3335" s="46">
        <v>0</v>
      </c>
      <c r="Q3335" s="46">
        <v>0</v>
      </c>
      <c r="R3335" s="49">
        <f t="shared" si="918"/>
        <v>0</v>
      </c>
      <c r="S3335" s="50">
        <f t="shared" si="919"/>
        <v>0</v>
      </c>
      <c r="T3335" s="49">
        <f t="shared" si="920"/>
        <v>0</v>
      </c>
      <c r="U3335" s="51">
        <f t="shared" si="921"/>
        <v>745731</v>
      </c>
      <c r="V3335" s="52">
        <f>IF(0&lt;0.8,0,IF(0&lt;1,Sheet3!L561,1))*IF(G3335&lt;3,0.12 - O3335,0.01) *U3335</f>
        <v>0</v>
      </c>
      <c r="W3335" s="52">
        <f t="shared" si="922"/>
        <v>0</v>
      </c>
      <c r="X3335" s="53">
        <f t="shared" si="923"/>
        <v>0</v>
      </c>
      <c r="Y3335" s="53">
        <f t="shared" si="924"/>
        <v>0</v>
      </c>
      <c r="Z3335" s="54">
        <f t="shared" si="913"/>
        <v>0</v>
      </c>
      <c r="AA3335" s="54">
        <f t="shared" si="925"/>
        <v>0</v>
      </c>
      <c r="AB3335" s="55">
        <f>IF(R3335=0,0,0)</f>
        <v>0</v>
      </c>
      <c r="AC3335" s="55">
        <f t="shared" si="926"/>
        <v>0</v>
      </c>
      <c r="AD3335" s="56">
        <f t="shared" si="927"/>
        <v>0</v>
      </c>
    </row>
    <row r="3336" spans="3:30">
      <c r="C3336" s="43" t="s">
        <v>6193</v>
      </c>
      <c r="D3336" s="44" t="s">
        <v>6194</v>
      </c>
      <c r="E3336" s="44"/>
      <c r="F3336" s="45">
        <v>42521.27579861111</v>
      </c>
      <c r="G3336" s="46">
        <v>28</v>
      </c>
      <c r="H3336" s="47" t="s">
        <v>24</v>
      </c>
      <c r="I3336" s="47" t="s">
        <v>24</v>
      </c>
      <c r="J3336" s="46">
        <v>0</v>
      </c>
      <c r="K3336" s="46">
        <v>0</v>
      </c>
      <c r="L3336" s="46">
        <v>0</v>
      </c>
      <c r="M3336" s="46">
        <f t="shared" si="916"/>
        <v>0</v>
      </c>
      <c r="N3336" s="46">
        <v>2124348</v>
      </c>
      <c r="O3336" s="48">
        <f t="shared" si="917"/>
        <v>1</v>
      </c>
      <c r="P3336" s="46">
        <v>0</v>
      </c>
      <c r="Q3336" s="46">
        <v>0</v>
      </c>
      <c r="R3336" s="49">
        <f t="shared" si="918"/>
        <v>1</v>
      </c>
      <c r="S3336" s="50">
        <f t="shared" si="919"/>
        <v>0.01</v>
      </c>
      <c r="T3336" s="49">
        <f t="shared" si="920"/>
        <v>0</v>
      </c>
      <c r="U3336" s="51">
        <f t="shared" si="921"/>
        <v>0</v>
      </c>
      <c r="V3336" s="52">
        <f>IF(0&lt;0.8,0,IF(0&lt;1,Sheet3!L561,1))*IF(G3336&lt;3,0.12 - O3336,0.01) *U3336</f>
        <v>0</v>
      </c>
      <c r="W3336" s="52">
        <f t="shared" si="922"/>
        <v>0</v>
      </c>
      <c r="X3336" s="53">
        <f t="shared" si="923"/>
        <v>0</v>
      </c>
      <c r="Y3336" s="53">
        <f t="shared" si="924"/>
        <v>0</v>
      </c>
      <c r="Z3336" s="54">
        <f>IF(R3336=1,0,"")</f>
        <v>0</v>
      </c>
      <c r="AA3336" s="54">
        <f t="shared" si="925"/>
        <v>0</v>
      </c>
      <c r="AB3336" s="55">
        <f>IF(R3336=0,"",0)</f>
        <v>0</v>
      </c>
      <c r="AC3336" s="55">
        <f t="shared" si="926"/>
        <v>0</v>
      </c>
      <c r="AD3336" s="56">
        <f t="shared" si="927"/>
        <v>0</v>
      </c>
    </row>
    <row r="3337" spans="3:30">
      <c r="C3337" s="43" t="s">
        <v>6195</v>
      </c>
      <c r="D3337" s="44" t="s">
        <v>995</v>
      </c>
      <c r="E3337" s="44"/>
      <c r="F3337" s="45">
        <v>43315.280671296292</v>
      </c>
      <c r="G3337" s="46">
        <v>1</v>
      </c>
      <c r="H3337" s="47">
        <v>43441</v>
      </c>
      <c r="I3337" s="47">
        <v>43532</v>
      </c>
      <c r="J3337" s="46">
        <v>124000</v>
      </c>
      <c r="K3337" s="46">
        <v>0</v>
      </c>
      <c r="L3337" s="46">
        <v>0</v>
      </c>
      <c r="M3337" s="46">
        <f t="shared" si="916"/>
        <v>124000</v>
      </c>
      <c r="N3337" s="46">
        <v>123200</v>
      </c>
      <c r="O3337" s="48">
        <f t="shared" si="917"/>
        <v>0</v>
      </c>
      <c r="P3337" s="46">
        <v>0</v>
      </c>
      <c r="Q3337" s="46">
        <v>0</v>
      </c>
      <c r="R3337" s="49">
        <f t="shared" si="918"/>
        <v>0</v>
      </c>
      <c r="S3337" s="50">
        <f t="shared" si="919"/>
        <v>0</v>
      </c>
      <c r="T3337" s="49">
        <f t="shared" si="920"/>
        <v>0</v>
      </c>
      <c r="U3337" s="51">
        <f t="shared" si="921"/>
        <v>124000</v>
      </c>
      <c r="V3337" s="52">
        <f>IF(0&lt;0.8,0,IF(0&lt;1,Sheet3!L561,1))*IF(G3337&lt;3,0.12 - O3337,0.01) *U3337</f>
        <v>0</v>
      </c>
      <c r="W3337" s="52">
        <f t="shared" si="922"/>
        <v>0</v>
      </c>
      <c r="X3337" s="53">
        <f t="shared" si="923"/>
        <v>0</v>
      </c>
      <c r="Y3337" s="53">
        <f t="shared" si="924"/>
        <v>0</v>
      </c>
      <c r="Z3337" s="54">
        <f t="shared" ref="Z3337:Z3346" si="928">IF(R3337=1,0,0)</f>
        <v>0</v>
      </c>
      <c r="AA3337" s="54">
        <f t="shared" si="925"/>
        <v>0</v>
      </c>
      <c r="AB3337" s="55">
        <f t="shared" ref="AB3337:AB3361" si="929">IF(R3337=0,0,0)</f>
        <v>0</v>
      </c>
      <c r="AC3337" s="55">
        <f t="shared" si="926"/>
        <v>0</v>
      </c>
      <c r="AD3337" s="56">
        <f t="shared" si="927"/>
        <v>0</v>
      </c>
    </row>
    <row r="3338" spans="3:30">
      <c r="C3338" s="43" t="s">
        <v>6196</v>
      </c>
      <c r="D3338" s="44" t="s">
        <v>995</v>
      </c>
      <c r="E3338" s="44"/>
      <c r="F3338" s="45">
        <v>43316.224270833329</v>
      </c>
      <c r="G3338" s="46">
        <v>1</v>
      </c>
      <c r="H3338" s="47">
        <v>43404</v>
      </c>
      <c r="I3338" s="47">
        <v>43430</v>
      </c>
      <c r="J3338" s="46">
        <v>642541</v>
      </c>
      <c r="K3338" s="46">
        <v>0</v>
      </c>
      <c r="L3338" s="46">
        <v>0</v>
      </c>
      <c r="M3338" s="46">
        <f t="shared" si="916"/>
        <v>642541</v>
      </c>
      <c r="N3338" s="46">
        <v>679571</v>
      </c>
      <c r="O3338" s="48">
        <f t="shared" si="917"/>
        <v>5.4490259295938204E-2</v>
      </c>
      <c r="P3338" s="46">
        <v>0</v>
      </c>
      <c r="Q3338" s="46">
        <v>0</v>
      </c>
      <c r="R3338" s="49">
        <f t="shared" si="918"/>
        <v>0</v>
      </c>
      <c r="S3338" s="50">
        <f t="shared" si="919"/>
        <v>0</v>
      </c>
      <c r="T3338" s="49">
        <f t="shared" si="920"/>
        <v>0</v>
      </c>
      <c r="U3338" s="51">
        <f t="shared" si="921"/>
        <v>642541</v>
      </c>
      <c r="V3338" s="52">
        <f>IF(0&lt;0.8,0,IF(0&lt;1,Sheet3!L561,1))*IF(G3338&lt;3,0.12 - O3338,0.01) *U3338</f>
        <v>0</v>
      </c>
      <c r="W3338" s="52">
        <f t="shared" si="922"/>
        <v>0</v>
      </c>
      <c r="X3338" s="53">
        <f t="shared" si="923"/>
        <v>0</v>
      </c>
      <c r="Y3338" s="53">
        <f t="shared" si="924"/>
        <v>0</v>
      </c>
      <c r="Z3338" s="54">
        <f t="shared" si="928"/>
        <v>0</v>
      </c>
      <c r="AA3338" s="54">
        <f t="shared" si="925"/>
        <v>0</v>
      </c>
      <c r="AB3338" s="55">
        <f t="shared" si="929"/>
        <v>0</v>
      </c>
      <c r="AC3338" s="55">
        <f t="shared" si="926"/>
        <v>0</v>
      </c>
      <c r="AD3338" s="56">
        <f t="shared" si="927"/>
        <v>0</v>
      </c>
    </row>
    <row r="3339" spans="3:30">
      <c r="C3339" s="43" t="s">
        <v>6197</v>
      </c>
      <c r="D3339" s="44" t="s">
        <v>995</v>
      </c>
      <c r="E3339" s="44"/>
      <c r="F3339" s="45">
        <v>43316.224895833329</v>
      </c>
      <c r="G3339" s="46">
        <v>1</v>
      </c>
      <c r="H3339" s="47">
        <v>43404</v>
      </c>
      <c r="I3339" s="47">
        <v>43430</v>
      </c>
      <c r="J3339" s="46">
        <v>867427</v>
      </c>
      <c r="K3339" s="46">
        <v>0</v>
      </c>
      <c r="L3339" s="46">
        <v>0</v>
      </c>
      <c r="M3339" s="46">
        <f t="shared" si="916"/>
        <v>867427</v>
      </c>
      <c r="N3339" s="46">
        <v>888354</v>
      </c>
      <c r="O3339" s="48">
        <f t="shared" si="917"/>
        <v>2.3557050455111361E-2</v>
      </c>
      <c r="P3339" s="46">
        <v>0</v>
      </c>
      <c r="Q3339" s="46">
        <v>0</v>
      </c>
      <c r="R3339" s="49">
        <f t="shared" si="918"/>
        <v>0</v>
      </c>
      <c r="S3339" s="50">
        <f t="shared" si="919"/>
        <v>0</v>
      </c>
      <c r="T3339" s="49">
        <f t="shared" si="920"/>
        <v>0</v>
      </c>
      <c r="U3339" s="51">
        <f t="shared" si="921"/>
        <v>867427</v>
      </c>
      <c r="V3339" s="52">
        <f>IF(0&lt;0.8,0,IF(0&lt;1,Sheet3!L561,1))*IF(G3339&lt;3,0.12 - O3339,0.01) *U3339</f>
        <v>0</v>
      </c>
      <c r="W3339" s="52">
        <f t="shared" si="922"/>
        <v>0</v>
      </c>
      <c r="X3339" s="53">
        <f t="shared" si="923"/>
        <v>0</v>
      </c>
      <c r="Y3339" s="53">
        <f t="shared" si="924"/>
        <v>0</v>
      </c>
      <c r="Z3339" s="54">
        <f t="shared" si="928"/>
        <v>0</v>
      </c>
      <c r="AA3339" s="54">
        <f t="shared" si="925"/>
        <v>0</v>
      </c>
      <c r="AB3339" s="55">
        <f t="shared" si="929"/>
        <v>0</v>
      </c>
      <c r="AC3339" s="55">
        <f t="shared" si="926"/>
        <v>0</v>
      </c>
      <c r="AD3339" s="56">
        <f t="shared" si="927"/>
        <v>0</v>
      </c>
    </row>
    <row r="3340" spans="3:30">
      <c r="C3340" s="43" t="s">
        <v>6198</v>
      </c>
      <c r="D3340" s="44" t="s">
        <v>995</v>
      </c>
      <c r="E3340" s="44"/>
      <c r="F3340" s="45">
        <v>43316.225613425922</v>
      </c>
      <c r="G3340" s="46">
        <v>1</v>
      </c>
      <c r="H3340" s="47">
        <v>43404</v>
      </c>
      <c r="I3340" s="47">
        <v>43430</v>
      </c>
      <c r="J3340" s="46">
        <v>1824827</v>
      </c>
      <c r="K3340" s="46">
        <v>0</v>
      </c>
      <c r="L3340" s="46">
        <v>0</v>
      </c>
      <c r="M3340" s="46">
        <f t="shared" si="916"/>
        <v>1824827</v>
      </c>
      <c r="N3340" s="46">
        <v>1914490</v>
      </c>
      <c r="O3340" s="48">
        <f t="shared" si="917"/>
        <v>4.6833882652821401E-2</v>
      </c>
      <c r="P3340" s="46">
        <v>0</v>
      </c>
      <c r="Q3340" s="46">
        <v>0</v>
      </c>
      <c r="R3340" s="49">
        <f t="shared" si="918"/>
        <v>0</v>
      </c>
      <c r="S3340" s="50">
        <f t="shared" si="919"/>
        <v>0</v>
      </c>
      <c r="T3340" s="49">
        <f t="shared" si="920"/>
        <v>0</v>
      </c>
      <c r="U3340" s="51">
        <f t="shared" si="921"/>
        <v>1824827</v>
      </c>
      <c r="V3340" s="52">
        <f>IF(0&lt;0.8,0,IF(0&lt;1,Sheet3!L561,1))*IF(G3340&lt;3,0.12 - O3340,0.01) *U3340</f>
        <v>0</v>
      </c>
      <c r="W3340" s="52">
        <f t="shared" si="922"/>
        <v>0</v>
      </c>
      <c r="X3340" s="53">
        <f t="shared" si="923"/>
        <v>0</v>
      </c>
      <c r="Y3340" s="53">
        <f t="shared" si="924"/>
        <v>0</v>
      </c>
      <c r="Z3340" s="54">
        <f t="shared" si="928"/>
        <v>0</v>
      </c>
      <c r="AA3340" s="54">
        <f t="shared" si="925"/>
        <v>0</v>
      </c>
      <c r="AB3340" s="55">
        <f t="shared" si="929"/>
        <v>0</v>
      </c>
      <c r="AC3340" s="55">
        <f t="shared" si="926"/>
        <v>0</v>
      </c>
      <c r="AD3340" s="56">
        <f t="shared" si="927"/>
        <v>0</v>
      </c>
    </row>
    <row r="3341" spans="3:30">
      <c r="C3341" s="43" t="s">
        <v>6199</v>
      </c>
      <c r="D3341" s="44" t="s">
        <v>6200</v>
      </c>
      <c r="E3341" s="44"/>
      <c r="F3341" s="45">
        <v>40787.422962962963</v>
      </c>
      <c r="G3341" s="46">
        <v>84</v>
      </c>
      <c r="H3341" s="47">
        <v>43384</v>
      </c>
      <c r="I3341" s="47">
        <v>43434</v>
      </c>
      <c r="J3341" s="46">
        <v>259797</v>
      </c>
      <c r="K3341" s="46">
        <v>0</v>
      </c>
      <c r="L3341" s="46">
        <v>0</v>
      </c>
      <c r="M3341" s="46">
        <f t="shared" si="916"/>
        <v>259797</v>
      </c>
      <c r="N3341" s="46">
        <v>259797</v>
      </c>
      <c r="O3341" s="48">
        <f t="shared" si="917"/>
        <v>0</v>
      </c>
      <c r="P3341" s="46">
        <v>0</v>
      </c>
      <c r="Q3341" s="46">
        <v>259797</v>
      </c>
      <c r="R3341" s="49">
        <f t="shared" si="918"/>
        <v>1</v>
      </c>
      <c r="S3341" s="50">
        <f t="shared" si="919"/>
        <v>0.01</v>
      </c>
      <c r="T3341" s="49">
        <f t="shared" si="920"/>
        <v>2597.9700000000003</v>
      </c>
      <c r="U3341" s="51">
        <f t="shared" si="921"/>
        <v>0</v>
      </c>
      <c r="V3341" s="52">
        <f>IF(0&lt;0.8,0,IF(0&lt;1,Sheet3!L561,1))*IF(G3341&lt;3,0.12 - O3341,0.01) *U3341</f>
        <v>0</v>
      </c>
      <c r="W3341" s="52">
        <f t="shared" si="922"/>
        <v>0</v>
      </c>
      <c r="X3341" s="53">
        <f t="shared" si="923"/>
        <v>0</v>
      </c>
      <c r="Y3341" s="53">
        <f t="shared" si="924"/>
        <v>0</v>
      </c>
      <c r="Z3341" s="54">
        <f t="shared" si="928"/>
        <v>0</v>
      </c>
      <c r="AA3341" s="54">
        <f t="shared" si="925"/>
        <v>0</v>
      </c>
      <c r="AB3341" s="55">
        <f t="shared" si="929"/>
        <v>0</v>
      </c>
      <c r="AC3341" s="55">
        <f t="shared" si="926"/>
        <v>0</v>
      </c>
      <c r="AD3341" s="56">
        <f t="shared" si="927"/>
        <v>2597.9700000000003</v>
      </c>
    </row>
    <row r="3342" spans="3:30">
      <c r="C3342" s="43" t="s">
        <v>6201</v>
      </c>
      <c r="D3342" s="44" t="s">
        <v>6202</v>
      </c>
      <c r="E3342" s="44"/>
      <c r="F3342" s="45">
        <v>40856.428842592592</v>
      </c>
      <c r="G3342" s="46">
        <v>82</v>
      </c>
      <c r="H3342" s="47">
        <v>43402</v>
      </c>
      <c r="I3342" s="47">
        <v>43434</v>
      </c>
      <c r="J3342" s="46">
        <v>369143</v>
      </c>
      <c r="K3342" s="46">
        <v>0</v>
      </c>
      <c r="L3342" s="46">
        <v>0</v>
      </c>
      <c r="M3342" s="46">
        <f t="shared" si="916"/>
        <v>369143</v>
      </c>
      <c r="N3342" s="46">
        <v>369143</v>
      </c>
      <c r="O3342" s="48">
        <f t="shared" si="917"/>
        <v>0</v>
      </c>
      <c r="P3342" s="46">
        <v>0</v>
      </c>
      <c r="Q3342" s="46">
        <v>369143</v>
      </c>
      <c r="R3342" s="49">
        <f t="shared" si="918"/>
        <v>1</v>
      </c>
      <c r="S3342" s="50">
        <f t="shared" si="919"/>
        <v>0.01</v>
      </c>
      <c r="T3342" s="49">
        <f t="shared" si="920"/>
        <v>3691.4300000000003</v>
      </c>
      <c r="U3342" s="51">
        <f t="shared" si="921"/>
        <v>0</v>
      </c>
      <c r="V3342" s="52">
        <f>IF(0&lt;0.8,0,IF(0&lt;1,Sheet3!L561,1))*IF(G3342&lt;3,0.12 - O3342,0.01) *U3342</f>
        <v>0</v>
      </c>
      <c r="W3342" s="52">
        <f t="shared" si="922"/>
        <v>0</v>
      </c>
      <c r="X3342" s="53">
        <f t="shared" si="923"/>
        <v>0</v>
      </c>
      <c r="Y3342" s="53">
        <f t="shared" si="924"/>
        <v>0</v>
      </c>
      <c r="Z3342" s="54">
        <f t="shared" si="928"/>
        <v>0</v>
      </c>
      <c r="AA3342" s="54">
        <f t="shared" si="925"/>
        <v>0</v>
      </c>
      <c r="AB3342" s="55">
        <f t="shared" si="929"/>
        <v>0</v>
      </c>
      <c r="AC3342" s="55">
        <f t="shared" si="926"/>
        <v>0</v>
      </c>
      <c r="AD3342" s="56">
        <f t="shared" si="927"/>
        <v>3691.4300000000003</v>
      </c>
    </row>
    <row r="3343" spans="3:30">
      <c r="C3343" s="43" t="s">
        <v>6203</v>
      </c>
      <c r="D3343" s="44" t="s">
        <v>6204</v>
      </c>
      <c r="E3343" s="44"/>
      <c r="F3343" s="45">
        <v>41547.56355324074</v>
      </c>
      <c r="G3343" s="46">
        <v>60</v>
      </c>
      <c r="H3343" s="47">
        <v>43400</v>
      </c>
      <c r="I3343" s="47">
        <v>43437</v>
      </c>
      <c r="J3343" s="46">
        <v>3451526</v>
      </c>
      <c r="K3343" s="46">
        <v>0</v>
      </c>
      <c r="L3343" s="46">
        <v>0</v>
      </c>
      <c r="M3343" s="46">
        <f t="shared" si="916"/>
        <v>3451526</v>
      </c>
      <c r="N3343" s="46">
        <v>4510149</v>
      </c>
      <c r="O3343" s="48">
        <f t="shared" si="917"/>
        <v>0.23472018330214806</v>
      </c>
      <c r="P3343" s="46">
        <v>0</v>
      </c>
      <c r="Q3343" s="46">
        <v>3451526</v>
      </c>
      <c r="R3343" s="49">
        <f t="shared" si="918"/>
        <v>1</v>
      </c>
      <c r="S3343" s="50">
        <f t="shared" si="919"/>
        <v>0.01</v>
      </c>
      <c r="T3343" s="49">
        <f t="shared" si="920"/>
        <v>34515.26</v>
      </c>
      <c r="U3343" s="51">
        <f t="shared" si="921"/>
        <v>0</v>
      </c>
      <c r="V3343" s="52">
        <f>IF(0&lt;0.8,0,IF(0&lt;1,Sheet3!L561,1))*IF(G3343&lt;3,0.12 - O3343,0.01) *U3343</f>
        <v>0</v>
      </c>
      <c r="W3343" s="52">
        <f t="shared" si="922"/>
        <v>0</v>
      </c>
      <c r="X3343" s="53">
        <f t="shared" si="923"/>
        <v>0</v>
      </c>
      <c r="Y3343" s="53">
        <f t="shared" si="924"/>
        <v>0</v>
      </c>
      <c r="Z3343" s="54">
        <f t="shared" si="928"/>
        <v>0</v>
      </c>
      <c r="AA3343" s="54">
        <f t="shared" si="925"/>
        <v>0</v>
      </c>
      <c r="AB3343" s="55">
        <f t="shared" si="929"/>
        <v>0</v>
      </c>
      <c r="AC3343" s="55">
        <f t="shared" si="926"/>
        <v>0</v>
      </c>
      <c r="AD3343" s="56">
        <f t="shared" si="927"/>
        <v>34515.26</v>
      </c>
    </row>
    <row r="3344" spans="3:30">
      <c r="C3344" s="43" t="s">
        <v>6205</v>
      </c>
      <c r="D3344" s="44" t="s">
        <v>6204</v>
      </c>
      <c r="E3344" s="44"/>
      <c r="F3344" s="45">
        <v>42026.58384259259</v>
      </c>
      <c r="G3344" s="46">
        <v>44</v>
      </c>
      <c r="H3344" s="47">
        <v>43400</v>
      </c>
      <c r="I3344" s="47">
        <v>43437</v>
      </c>
      <c r="J3344" s="46">
        <v>2233958</v>
      </c>
      <c r="K3344" s="46">
        <v>0</v>
      </c>
      <c r="L3344" s="46">
        <v>0</v>
      </c>
      <c r="M3344" s="46">
        <f t="shared" si="916"/>
        <v>2233958</v>
      </c>
      <c r="N3344" s="46">
        <v>2912105</v>
      </c>
      <c r="O3344" s="48">
        <f t="shared" si="917"/>
        <v>0.23287175428083806</v>
      </c>
      <c r="P3344" s="46">
        <v>0</v>
      </c>
      <c r="Q3344" s="46">
        <v>2233958</v>
      </c>
      <c r="R3344" s="49">
        <f t="shared" si="918"/>
        <v>1</v>
      </c>
      <c r="S3344" s="50">
        <f t="shared" si="919"/>
        <v>0.01</v>
      </c>
      <c r="T3344" s="49">
        <f t="shared" si="920"/>
        <v>22339.58</v>
      </c>
      <c r="U3344" s="51">
        <f t="shared" si="921"/>
        <v>0</v>
      </c>
      <c r="V3344" s="52">
        <f>IF(0&lt;0.8,0,IF(0&lt;1,Sheet3!L561,1))*IF(G3344&lt;3,0.12 - O3344,0.01) *U3344</f>
        <v>0</v>
      </c>
      <c r="W3344" s="52">
        <f t="shared" si="922"/>
        <v>0</v>
      </c>
      <c r="X3344" s="53">
        <f t="shared" si="923"/>
        <v>0</v>
      </c>
      <c r="Y3344" s="53">
        <f t="shared" si="924"/>
        <v>0</v>
      </c>
      <c r="Z3344" s="54">
        <f t="shared" si="928"/>
        <v>0</v>
      </c>
      <c r="AA3344" s="54">
        <f t="shared" si="925"/>
        <v>0</v>
      </c>
      <c r="AB3344" s="55">
        <f t="shared" si="929"/>
        <v>0</v>
      </c>
      <c r="AC3344" s="55">
        <f t="shared" si="926"/>
        <v>0</v>
      </c>
      <c r="AD3344" s="56">
        <f t="shared" si="927"/>
        <v>22339.58</v>
      </c>
    </row>
    <row r="3345" spans="3:30">
      <c r="C3345" s="43" t="s">
        <v>6206</v>
      </c>
      <c r="D3345" s="44" t="s">
        <v>6207</v>
      </c>
      <c r="E3345" s="44"/>
      <c r="F3345" s="45">
        <v>42341.579988425925</v>
      </c>
      <c r="G3345" s="46">
        <v>33</v>
      </c>
      <c r="H3345" s="47">
        <v>43431</v>
      </c>
      <c r="I3345" s="47">
        <v>43434</v>
      </c>
      <c r="J3345" s="46">
        <v>1642579</v>
      </c>
      <c r="K3345" s="46">
        <v>0</v>
      </c>
      <c r="L3345" s="46">
        <v>0</v>
      </c>
      <c r="M3345" s="46">
        <f t="shared" si="916"/>
        <v>1642579</v>
      </c>
      <c r="N3345" s="46">
        <v>3044862</v>
      </c>
      <c r="O3345" s="48">
        <f t="shared" si="917"/>
        <v>0.46054074043421345</v>
      </c>
      <c r="P3345" s="46">
        <v>0</v>
      </c>
      <c r="Q3345" s="46">
        <v>1642579</v>
      </c>
      <c r="R3345" s="49">
        <f t="shared" si="918"/>
        <v>1</v>
      </c>
      <c r="S3345" s="50">
        <f t="shared" si="919"/>
        <v>0.01</v>
      </c>
      <c r="T3345" s="49">
        <f t="shared" si="920"/>
        <v>16425.79</v>
      </c>
      <c r="U3345" s="51">
        <f t="shared" si="921"/>
        <v>0</v>
      </c>
      <c r="V3345" s="52">
        <f>IF(0&lt;0.8,0,IF(0&lt;1,Sheet3!L561,1))*IF(G3345&lt;3,0.12 - O3345,0.01) *U3345</f>
        <v>0</v>
      </c>
      <c r="W3345" s="52">
        <f t="shared" si="922"/>
        <v>0</v>
      </c>
      <c r="X3345" s="53">
        <f t="shared" si="923"/>
        <v>0</v>
      </c>
      <c r="Y3345" s="53">
        <f t="shared" si="924"/>
        <v>0</v>
      </c>
      <c r="Z3345" s="54">
        <f t="shared" si="928"/>
        <v>0</v>
      </c>
      <c r="AA3345" s="54">
        <f t="shared" si="925"/>
        <v>0</v>
      </c>
      <c r="AB3345" s="55">
        <f t="shared" si="929"/>
        <v>0</v>
      </c>
      <c r="AC3345" s="55">
        <f t="shared" si="926"/>
        <v>0</v>
      </c>
      <c r="AD3345" s="56">
        <f t="shared" si="927"/>
        <v>16425.79</v>
      </c>
    </row>
    <row r="3346" spans="3:30">
      <c r="C3346" s="43" t="s">
        <v>6208</v>
      </c>
      <c r="D3346" s="44" t="s">
        <v>6209</v>
      </c>
      <c r="E3346" s="44"/>
      <c r="F3346" s="45">
        <v>42427.686481481476</v>
      </c>
      <c r="G3346" s="46">
        <v>31</v>
      </c>
      <c r="H3346" s="47">
        <v>43431</v>
      </c>
      <c r="I3346" s="47">
        <v>43404</v>
      </c>
      <c r="J3346" s="46">
        <v>2366950</v>
      </c>
      <c r="K3346" s="46">
        <v>0</v>
      </c>
      <c r="L3346" s="46">
        <v>0</v>
      </c>
      <c r="M3346" s="46">
        <f t="shared" si="916"/>
        <v>2366950</v>
      </c>
      <c r="N3346" s="46">
        <v>3313926</v>
      </c>
      <c r="O3346" s="48">
        <f t="shared" si="917"/>
        <v>0.28575653167873993</v>
      </c>
      <c r="P3346" s="46">
        <v>0</v>
      </c>
      <c r="Q3346" s="46">
        <v>2366950</v>
      </c>
      <c r="R3346" s="49">
        <f t="shared" si="918"/>
        <v>1</v>
      </c>
      <c r="S3346" s="50">
        <f t="shared" si="919"/>
        <v>0.01</v>
      </c>
      <c r="T3346" s="49">
        <f t="shared" si="920"/>
        <v>23669.5</v>
      </c>
      <c r="U3346" s="51">
        <f t="shared" si="921"/>
        <v>0</v>
      </c>
      <c r="V3346" s="52">
        <f>IF(0&lt;0.8,0,IF(0&lt;1,Sheet3!L561,1))*IF(G3346&lt;3,0.12 - O3346,0.01) *U3346</f>
        <v>0</v>
      </c>
      <c r="W3346" s="52">
        <f t="shared" si="922"/>
        <v>0</v>
      </c>
      <c r="X3346" s="53">
        <f t="shared" si="923"/>
        <v>0</v>
      </c>
      <c r="Y3346" s="53">
        <f t="shared" si="924"/>
        <v>0</v>
      </c>
      <c r="Z3346" s="54">
        <f t="shared" si="928"/>
        <v>0</v>
      </c>
      <c r="AA3346" s="54">
        <f t="shared" si="925"/>
        <v>0</v>
      </c>
      <c r="AB3346" s="55">
        <f t="shared" si="929"/>
        <v>0</v>
      </c>
      <c r="AC3346" s="55">
        <f t="shared" si="926"/>
        <v>0</v>
      </c>
      <c r="AD3346" s="56">
        <f t="shared" si="927"/>
        <v>23669.5</v>
      </c>
    </row>
    <row r="3347" spans="3:30">
      <c r="C3347" s="43" t="s">
        <v>6210</v>
      </c>
      <c r="D3347" s="44" t="s">
        <v>6211</v>
      </c>
      <c r="E3347" s="44"/>
      <c r="F3347" s="45">
        <v>42475.386898148143</v>
      </c>
      <c r="G3347" s="46">
        <v>29</v>
      </c>
      <c r="H3347" s="47">
        <v>43372</v>
      </c>
      <c r="I3347" s="47">
        <v>43398</v>
      </c>
      <c r="J3347" s="46">
        <v>31168839</v>
      </c>
      <c r="K3347" s="46">
        <v>0</v>
      </c>
      <c r="L3347" s="46">
        <v>0</v>
      </c>
      <c r="M3347" s="46">
        <f t="shared" si="916"/>
        <v>31168839</v>
      </c>
      <c r="N3347" s="46">
        <v>169726501</v>
      </c>
      <c r="O3347" s="48">
        <f t="shared" si="917"/>
        <v>0.81635844245678524</v>
      </c>
      <c r="P3347" s="46">
        <v>0</v>
      </c>
      <c r="Q3347" s="46">
        <v>31168839</v>
      </c>
      <c r="R3347" s="49">
        <f t="shared" si="918"/>
        <v>1</v>
      </c>
      <c r="S3347" s="50">
        <f t="shared" si="919"/>
        <v>0.01</v>
      </c>
      <c r="T3347" s="49">
        <f t="shared" si="920"/>
        <v>311688.39</v>
      </c>
      <c r="U3347" s="51">
        <f t="shared" si="921"/>
        <v>0</v>
      </c>
      <c r="V3347" s="52">
        <f>IF(0&lt;0.8,0,IF(0&lt;1,Sheet3!L561,1))*IF(G3347&lt;3,0.12 - O3347,0.01) *U3347</f>
        <v>0</v>
      </c>
      <c r="W3347" s="52">
        <f t="shared" si="922"/>
        <v>0</v>
      </c>
      <c r="X3347" s="53">
        <f t="shared" si="923"/>
        <v>0</v>
      </c>
      <c r="Y3347" s="53">
        <f t="shared" si="924"/>
        <v>0</v>
      </c>
      <c r="Z3347" s="54">
        <f>IF(R3347=1,0,17600000)</f>
        <v>0</v>
      </c>
      <c r="AA3347" s="54">
        <f t="shared" si="925"/>
        <v>0</v>
      </c>
      <c r="AB3347" s="55">
        <f t="shared" si="929"/>
        <v>0</v>
      </c>
      <c r="AC3347" s="55">
        <f t="shared" si="926"/>
        <v>0</v>
      </c>
      <c r="AD3347" s="56">
        <f t="shared" si="927"/>
        <v>311688.39</v>
      </c>
    </row>
    <row r="3348" spans="3:30">
      <c r="C3348" s="43" t="s">
        <v>6212</v>
      </c>
      <c r="D3348" s="44" t="s">
        <v>6204</v>
      </c>
      <c r="E3348" s="44"/>
      <c r="F3348" s="45">
        <v>42692.121990740736</v>
      </c>
      <c r="G3348" s="46">
        <v>22</v>
      </c>
      <c r="H3348" s="47">
        <v>43400</v>
      </c>
      <c r="I3348" s="47">
        <v>43437</v>
      </c>
      <c r="J3348" s="46">
        <v>1136933</v>
      </c>
      <c r="K3348" s="46">
        <v>0</v>
      </c>
      <c r="L3348" s="46">
        <v>0</v>
      </c>
      <c r="M3348" s="46">
        <f t="shared" si="916"/>
        <v>1136933</v>
      </c>
      <c r="N3348" s="46">
        <v>1561763</v>
      </c>
      <c r="O3348" s="48">
        <f t="shared" si="917"/>
        <v>0.27201950616066584</v>
      </c>
      <c r="P3348" s="46">
        <v>0</v>
      </c>
      <c r="Q3348" s="46">
        <v>1136933</v>
      </c>
      <c r="R3348" s="49">
        <f t="shared" si="918"/>
        <v>1</v>
      </c>
      <c r="S3348" s="50">
        <f t="shared" si="919"/>
        <v>0.01</v>
      </c>
      <c r="T3348" s="49">
        <f t="shared" si="920"/>
        <v>11369.33</v>
      </c>
      <c r="U3348" s="51">
        <f t="shared" si="921"/>
        <v>0</v>
      </c>
      <c r="V3348" s="52">
        <f>IF(0&lt;0.8,0,IF(0&lt;1,Sheet3!L561,1))*IF(G3348&lt;3,0.12 - O3348,0.01) *U3348</f>
        <v>0</v>
      </c>
      <c r="W3348" s="52">
        <f t="shared" si="922"/>
        <v>0</v>
      </c>
      <c r="X3348" s="53">
        <f t="shared" si="923"/>
        <v>0</v>
      </c>
      <c r="Y3348" s="53">
        <f t="shared" si="924"/>
        <v>0</v>
      </c>
      <c r="Z3348" s="54">
        <f t="shared" ref="Z3348:Z3361" si="930">IF(R3348=1,0,0)</f>
        <v>0</v>
      </c>
      <c r="AA3348" s="54">
        <f t="shared" si="925"/>
        <v>0</v>
      </c>
      <c r="AB3348" s="55">
        <f t="shared" si="929"/>
        <v>0</v>
      </c>
      <c r="AC3348" s="55">
        <f t="shared" si="926"/>
        <v>0</v>
      </c>
      <c r="AD3348" s="56">
        <f t="shared" si="927"/>
        <v>11369.33</v>
      </c>
    </row>
    <row r="3349" spans="3:30">
      <c r="C3349" s="43" t="s">
        <v>6213</v>
      </c>
      <c r="D3349" s="44" t="s">
        <v>6214</v>
      </c>
      <c r="E3349" s="44"/>
      <c r="F3349" s="45">
        <v>42969.075428240736</v>
      </c>
      <c r="G3349" s="46">
        <v>13</v>
      </c>
      <c r="H3349" s="47">
        <v>43428</v>
      </c>
      <c r="I3349" s="47">
        <v>43404</v>
      </c>
      <c r="J3349" s="46">
        <v>569483</v>
      </c>
      <c r="K3349" s="46">
        <v>0</v>
      </c>
      <c r="L3349" s="46">
        <v>0</v>
      </c>
      <c r="M3349" s="46">
        <f t="shared" si="916"/>
        <v>569483</v>
      </c>
      <c r="N3349" s="46">
        <v>595687</v>
      </c>
      <c r="O3349" s="48">
        <f t="shared" si="917"/>
        <v>4.398954484485984E-2</v>
      </c>
      <c r="P3349" s="46">
        <v>0</v>
      </c>
      <c r="Q3349" s="46">
        <v>569483</v>
      </c>
      <c r="R3349" s="49">
        <f t="shared" si="918"/>
        <v>1</v>
      </c>
      <c r="S3349" s="50">
        <f t="shared" si="919"/>
        <v>0.01</v>
      </c>
      <c r="T3349" s="49">
        <f t="shared" si="920"/>
        <v>5694.83</v>
      </c>
      <c r="U3349" s="51">
        <f t="shared" si="921"/>
        <v>0</v>
      </c>
      <c r="V3349" s="52">
        <f>IF(0&lt;0.8,0,IF(0&lt;1,Sheet3!L561,1))*IF(G3349&lt;3,0.12 - O3349,0.01) *U3349</f>
        <v>0</v>
      </c>
      <c r="W3349" s="52">
        <f t="shared" si="922"/>
        <v>0</v>
      </c>
      <c r="X3349" s="53">
        <f t="shared" si="923"/>
        <v>0</v>
      </c>
      <c r="Y3349" s="53">
        <f t="shared" si="924"/>
        <v>0</v>
      </c>
      <c r="Z3349" s="54">
        <f t="shared" si="930"/>
        <v>0</v>
      </c>
      <c r="AA3349" s="54">
        <f t="shared" si="925"/>
        <v>0</v>
      </c>
      <c r="AB3349" s="55">
        <f t="shared" si="929"/>
        <v>0</v>
      </c>
      <c r="AC3349" s="55">
        <f t="shared" si="926"/>
        <v>0</v>
      </c>
      <c r="AD3349" s="56">
        <f t="shared" si="927"/>
        <v>5694.83</v>
      </c>
    </row>
    <row r="3350" spans="3:30">
      <c r="C3350" s="43" t="s">
        <v>6215</v>
      </c>
      <c r="D3350" s="44" t="s">
        <v>6216</v>
      </c>
      <c r="E3350" s="44"/>
      <c r="F3350" s="45">
        <v>42976.070358796293</v>
      </c>
      <c r="G3350" s="46">
        <v>13</v>
      </c>
      <c r="H3350" s="47">
        <v>43418</v>
      </c>
      <c r="I3350" s="47">
        <v>43434</v>
      </c>
      <c r="J3350" s="46">
        <v>4092477</v>
      </c>
      <c r="K3350" s="46">
        <v>0</v>
      </c>
      <c r="L3350" s="46">
        <v>0</v>
      </c>
      <c r="M3350" s="46">
        <f t="shared" si="916"/>
        <v>4092477</v>
      </c>
      <c r="N3350" s="46">
        <v>4268254</v>
      </c>
      <c r="O3350" s="48">
        <f t="shared" si="917"/>
        <v>4.1182413230327897E-2</v>
      </c>
      <c r="P3350" s="46">
        <v>0</v>
      </c>
      <c r="Q3350" s="46">
        <v>4092477</v>
      </c>
      <c r="R3350" s="49">
        <f t="shared" si="918"/>
        <v>1</v>
      </c>
      <c r="S3350" s="50">
        <f t="shared" si="919"/>
        <v>0.01</v>
      </c>
      <c r="T3350" s="49">
        <f t="shared" si="920"/>
        <v>40924.770000000004</v>
      </c>
      <c r="U3350" s="51">
        <f t="shared" si="921"/>
        <v>0</v>
      </c>
      <c r="V3350" s="52">
        <f>IF(0&lt;0.8,0,IF(0&lt;1,Sheet3!L561,1))*IF(G3350&lt;3,0.12 - O3350,0.01) *U3350</f>
        <v>0</v>
      </c>
      <c r="W3350" s="52">
        <f t="shared" si="922"/>
        <v>0</v>
      </c>
      <c r="X3350" s="53">
        <f t="shared" si="923"/>
        <v>0</v>
      </c>
      <c r="Y3350" s="53">
        <f t="shared" si="924"/>
        <v>0</v>
      </c>
      <c r="Z3350" s="54">
        <f t="shared" si="930"/>
        <v>0</v>
      </c>
      <c r="AA3350" s="54">
        <f t="shared" si="925"/>
        <v>0</v>
      </c>
      <c r="AB3350" s="55">
        <f t="shared" si="929"/>
        <v>0</v>
      </c>
      <c r="AC3350" s="55">
        <f t="shared" si="926"/>
        <v>0</v>
      </c>
      <c r="AD3350" s="56">
        <f t="shared" si="927"/>
        <v>40924.770000000004</v>
      </c>
    </row>
    <row r="3351" spans="3:30">
      <c r="C3351" s="43" t="s">
        <v>6217</v>
      </c>
      <c r="D3351" s="44" t="s">
        <v>6218</v>
      </c>
      <c r="E3351" s="44"/>
      <c r="F3351" s="45">
        <v>43001.152013888888</v>
      </c>
      <c r="G3351" s="46">
        <v>12</v>
      </c>
      <c r="H3351" s="47">
        <v>43420</v>
      </c>
      <c r="I3351" s="47">
        <v>43430</v>
      </c>
      <c r="J3351" s="46">
        <v>226094</v>
      </c>
      <c r="K3351" s="46">
        <v>0</v>
      </c>
      <c r="L3351" s="46">
        <v>0</v>
      </c>
      <c r="M3351" s="46">
        <f t="shared" si="916"/>
        <v>226094</v>
      </c>
      <c r="N3351" s="46">
        <v>356068</v>
      </c>
      <c r="O3351" s="48">
        <f t="shared" si="917"/>
        <v>0.36502578159228016</v>
      </c>
      <c r="P3351" s="46">
        <v>0</v>
      </c>
      <c r="Q3351" s="46">
        <v>226094</v>
      </c>
      <c r="R3351" s="49">
        <f t="shared" si="918"/>
        <v>1</v>
      </c>
      <c r="S3351" s="50">
        <f t="shared" si="919"/>
        <v>0.01</v>
      </c>
      <c r="T3351" s="49">
        <f t="shared" si="920"/>
        <v>2260.94</v>
      </c>
      <c r="U3351" s="51">
        <f t="shared" si="921"/>
        <v>0</v>
      </c>
      <c r="V3351" s="52">
        <f>IF(0&lt;0.8,0,IF(0&lt;1,Sheet3!L561,1))*IF(G3351&lt;3,0.12 - O3351,0.01) *U3351</f>
        <v>0</v>
      </c>
      <c r="W3351" s="52">
        <f t="shared" si="922"/>
        <v>0</v>
      </c>
      <c r="X3351" s="53">
        <f t="shared" si="923"/>
        <v>0</v>
      </c>
      <c r="Y3351" s="53">
        <f t="shared" si="924"/>
        <v>0</v>
      </c>
      <c r="Z3351" s="54">
        <f t="shared" si="930"/>
        <v>0</v>
      </c>
      <c r="AA3351" s="54">
        <f t="shared" si="925"/>
        <v>0</v>
      </c>
      <c r="AB3351" s="55">
        <f t="shared" si="929"/>
        <v>0</v>
      </c>
      <c r="AC3351" s="55">
        <f t="shared" si="926"/>
        <v>0</v>
      </c>
      <c r="AD3351" s="56">
        <f t="shared" si="927"/>
        <v>2260.94</v>
      </c>
    </row>
    <row r="3352" spans="3:30">
      <c r="C3352" s="43" t="s">
        <v>6219</v>
      </c>
      <c r="D3352" s="44" t="s">
        <v>6220</v>
      </c>
      <c r="E3352" s="44"/>
      <c r="F3352" s="45">
        <v>43008.282986111109</v>
      </c>
      <c r="G3352" s="46">
        <v>12</v>
      </c>
      <c r="H3352" s="47">
        <v>43400</v>
      </c>
      <c r="I3352" s="47">
        <v>43437</v>
      </c>
      <c r="J3352" s="46">
        <v>1022511</v>
      </c>
      <c r="K3352" s="46">
        <v>0</v>
      </c>
      <c r="L3352" s="46">
        <v>0</v>
      </c>
      <c r="M3352" s="46">
        <f t="shared" si="916"/>
        <v>1022511</v>
      </c>
      <c r="N3352" s="46">
        <v>1525025</v>
      </c>
      <c r="O3352" s="48">
        <f t="shared" si="917"/>
        <v>0.32951197521352105</v>
      </c>
      <c r="P3352" s="46">
        <v>0</v>
      </c>
      <c r="Q3352" s="46">
        <v>1022511</v>
      </c>
      <c r="R3352" s="49">
        <f t="shared" si="918"/>
        <v>1</v>
      </c>
      <c r="S3352" s="50">
        <f t="shared" si="919"/>
        <v>0.01</v>
      </c>
      <c r="T3352" s="49">
        <f t="shared" si="920"/>
        <v>10225.11</v>
      </c>
      <c r="U3352" s="51">
        <f t="shared" si="921"/>
        <v>0</v>
      </c>
      <c r="V3352" s="52">
        <f>IF(0&lt;0.8,0,IF(0&lt;1,Sheet3!L561,1))*IF(G3352&lt;3,0.12 - O3352,0.01) *U3352</f>
        <v>0</v>
      </c>
      <c r="W3352" s="52">
        <f t="shared" si="922"/>
        <v>0</v>
      </c>
      <c r="X3352" s="53">
        <f t="shared" si="923"/>
        <v>0</v>
      </c>
      <c r="Y3352" s="53">
        <f t="shared" si="924"/>
        <v>0</v>
      </c>
      <c r="Z3352" s="54">
        <f t="shared" si="930"/>
        <v>0</v>
      </c>
      <c r="AA3352" s="54">
        <f t="shared" si="925"/>
        <v>0</v>
      </c>
      <c r="AB3352" s="55">
        <f t="shared" si="929"/>
        <v>0</v>
      </c>
      <c r="AC3352" s="55">
        <f t="shared" si="926"/>
        <v>0</v>
      </c>
      <c r="AD3352" s="56">
        <f t="shared" si="927"/>
        <v>10225.11</v>
      </c>
    </row>
    <row r="3353" spans="3:30">
      <c r="C3353" s="43" t="s">
        <v>6221</v>
      </c>
      <c r="D3353" s="44" t="s">
        <v>6220</v>
      </c>
      <c r="E3353" s="44"/>
      <c r="F3353" s="45">
        <v>43035.322187500002</v>
      </c>
      <c r="G3353" s="46">
        <v>11</v>
      </c>
      <c r="H3353" s="47">
        <v>43460</v>
      </c>
      <c r="I3353" s="47">
        <v>43459</v>
      </c>
      <c r="J3353" s="46">
        <v>936265</v>
      </c>
      <c r="K3353" s="46">
        <v>0</v>
      </c>
      <c r="L3353" s="46">
        <v>0</v>
      </c>
      <c r="M3353" s="46">
        <f t="shared" si="916"/>
        <v>936265</v>
      </c>
      <c r="N3353" s="46">
        <v>1231296</v>
      </c>
      <c r="O3353" s="48">
        <f t="shared" si="917"/>
        <v>0.2396101343624929</v>
      </c>
      <c r="P3353" s="46">
        <v>0</v>
      </c>
      <c r="Q3353" s="46">
        <v>986535</v>
      </c>
      <c r="R3353" s="49">
        <f t="shared" si="918"/>
        <v>1</v>
      </c>
      <c r="S3353" s="50">
        <f t="shared" si="919"/>
        <v>0.01</v>
      </c>
      <c r="T3353" s="49">
        <f t="shared" si="920"/>
        <v>9362.65</v>
      </c>
      <c r="U3353" s="51">
        <f t="shared" si="921"/>
        <v>0</v>
      </c>
      <c r="V3353" s="52">
        <f>IF(0&lt;0.8,0,IF(0&lt;1,Sheet3!L561,1))*IF(G3353&lt;3,0.12 - O3353,0.01) *U3353</f>
        <v>0</v>
      </c>
      <c r="W3353" s="52">
        <f t="shared" si="922"/>
        <v>0</v>
      </c>
      <c r="X3353" s="53">
        <f t="shared" si="923"/>
        <v>0</v>
      </c>
      <c r="Y3353" s="53">
        <f t="shared" si="924"/>
        <v>0</v>
      </c>
      <c r="Z3353" s="54">
        <f t="shared" si="930"/>
        <v>0</v>
      </c>
      <c r="AA3353" s="54">
        <f t="shared" si="925"/>
        <v>0</v>
      </c>
      <c r="AB3353" s="55">
        <f t="shared" si="929"/>
        <v>0</v>
      </c>
      <c r="AC3353" s="55">
        <f t="shared" si="926"/>
        <v>0</v>
      </c>
      <c r="AD3353" s="56">
        <f t="shared" si="927"/>
        <v>9362.65</v>
      </c>
    </row>
    <row r="3354" spans="3:30">
      <c r="C3354" s="43" t="s">
        <v>6222</v>
      </c>
      <c r="D3354" s="44" t="s">
        <v>6223</v>
      </c>
      <c r="E3354" s="44"/>
      <c r="F3354" s="45">
        <v>43131.468645833331</v>
      </c>
      <c r="G3354" s="46">
        <v>8</v>
      </c>
      <c r="H3354" s="47">
        <v>43416</v>
      </c>
      <c r="I3354" s="47">
        <v>43434</v>
      </c>
      <c r="J3354" s="46">
        <v>33917</v>
      </c>
      <c r="K3354" s="46">
        <v>0</v>
      </c>
      <c r="L3354" s="46">
        <v>0</v>
      </c>
      <c r="M3354" s="46">
        <f t="shared" si="916"/>
        <v>33917</v>
      </c>
      <c r="N3354" s="46">
        <v>33917</v>
      </c>
      <c r="O3354" s="48">
        <f t="shared" si="917"/>
        <v>0</v>
      </c>
      <c r="P3354" s="46">
        <v>0</v>
      </c>
      <c r="Q3354" s="46">
        <v>33917</v>
      </c>
      <c r="R3354" s="49">
        <f t="shared" si="918"/>
        <v>1</v>
      </c>
      <c r="S3354" s="50">
        <f t="shared" si="919"/>
        <v>0.01</v>
      </c>
      <c r="T3354" s="49">
        <f t="shared" si="920"/>
        <v>339.17</v>
      </c>
      <c r="U3354" s="51">
        <f t="shared" si="921"/>
        <v>0</v>
      </c>
      <c r="V3354" s="52">
        <f>IF(0&lt;0.8,0,IF(0&lt;1,Sheet3!L561,1))*IF(G3354&lt;3,0.12 - O3354,0.01) *U3354</f>
        <v>0</v>
      </c>
      <c r="W3354" s="52">
        <f t="shared" si="922"/>
        <v>0</v>
      </c>
      <c r="X3354" s="53">
        <f t="shared" si="923"/>
        <v>0</v>
      </c>
      <c r="Y3354" s="53">
        <f t="shared" si="924"/>
        <v>0</v>
      </c>
      <c r="Z3354" s="54">
        <f t="shared" si="930"/>
        <v>0</v>
      </c>
      <c r="AA3354" s="54">
        <f t="shared" si="925"/>
        <v>0</v>
      </c>
      <c r="AB3354" s="55">
        <f t="shared" si="929"/>
        <v>0</v>
      </c>
      <c r="AC3354" s="55">
        <f t="shared" si="926"/>
        <v>0</v>
      </c>
      <c r="AD3354" s="56">
        <f t="shared" si="927"/>
        <v>339.17</v>
      </c>
    </row>
    <row r="3355" spans="3:30">
      <c r="C3355" s="43" t="s">
        <v>6224</v>
      </c>
      <c r="D3355" s="44" t="s">
        <v>6225</v>
      </c>
      <c r="E3355" s="44"/>
      <c r="F3355" s="45">
        <v>43139.357083333329</v>
      </c>
      <c r="G3355" s="46">
        <v>7</v>
      </c>
      <c r="H3355" s="47">
        <v>43416</v>
      </c>
      <c r="I3355" s="47">
        <v>43434</v>
      </c>
      <c r="J3355" s="46">
        <v>46567</v>
      </c>
      <c r="K3355" s="46">
        <v>0</v>
      </c>
      <c r="L3355" s="46">
        <v>0</v>
      </c>
      <c r="M3355" s="46">
        <f t="shared" si="916"/>
        <v>46567</v>
      </c>
      <c r="N3355" s="46">
        <v>46567</v>
      </c>
      <c r="O3355" s="48">
        <f t="shared" si="917"/>
        <v>0</v>
      </c>
      <c r="P3355" s="46">
        <v>0</v>
      </c>
      <c r="Q3355" s="46">
        <v>46567</v>
      </c>
      <c r="R3355" s="49">
        <f t="shared" si="918"/>
        <v>1</v>
      </c>
      <c r="S3355" s="50">
        <f t="shared" si="919"/>
        <v>0.01</v>
      </c>
      <c r="T3355" s="49">
        <f t="shared" si="920"/>
        <v>465.67</v>
      </c>
      <c r="U3355" s="51">
        <f t="shared" si="921"/>
        <v>0</v>
      </c>
      <c r="V3355" s="52">
        <f>IF(0&lt;0.8,0,IF(0&lt;1,Sheet3!L561,1))*IF(G3355&lt;3,0.12 - O3355,0.01) *U3355</f>
        <v>0</v>
      </c>
      <c r="W3355" s="52">
        <f t="shared" si="922"/>
        <v>0</v>
      </c>
      <c r="X3355" s="53">
        <f t="shared" si="923"/>
        <v>0</v>
      </c>
      <c r="Y3355" s="53">
        <f t="shared" si="924"/>
        <v>0</v>
      </c>
      <c r="Z3355" s="54">
        <f t="shared" si="930"/>
        <v>0</v>
      </c>
      <c r="AA3355" s="54">
        <f t="shared" si="925"/>
        <v>0</v>
      </c>
      <c r="AB3355" s="55">
        <f t="shared" si="929"/>
        <v>0</v>
      </c>
      <c r="AC3355" s="55">
        <f t="shared" si="926"/>
        <v>0</v>
      </c>
      <c r="AD3355" s="56">
        <f t="shared" si="927"/>
        <v>465.67</v>
      </c>
    </row>
    <row r="3356" spans="3:30">
      <c r="C3356" s="43" t="s">
        <v>6226</v>
      </c>
      <c r="D3356" s="44" t="s">
        <v>6227</v>
      </c>
      <c r="E3356" s="44"/>
      <c r="F3356" s="45">
        <v>43182.091631944444</v>
      </c>
      <c r="G3356" s="46">
        <v>6</v>
      </c>
      <c r="H3356" s="47">
        <v>43384</v>
      </c>
      <c r="I3356" s="47">
        <v>43434</v>
      </c>
      <c r="J3356" s="46">
        <v>183517</v>
      </c>
      <c r="K3356" s="46">
        <v>0</v>
      </c>
      <c r="L3356" s="46">
        <v>0</v>
      </c>
      <c r="M3356" s="46">
        <f t="shared" si="916"/>
        <v>183517</v>
      </c>
      <c r="N3356" s="46">
        <v>183517</v>
      </c>
      <c r="O3356" s="48">
        <f t="shared" si="917"/>
        <v>0</v>
      </c>
      <c r="P3356" s="46">
        <v>0</v>
      </c>
      <c r="Q3356" s="46">
        <v>183517</v>
      </c>
      <c r="R3356" s="49">
        <f t="shared" si="918"/>
        <v>1</v>
      </c>
      <c r="S3356" s="50">
        <f t="shared" si="919"/>
        <v>0.01</v>
      </c>
      <c r="T3356" s="49">
        <f t="shared" si="920"/>
        <v>1835.17</v>
      </c>
      <c r="U3356" s="51">
        <f t="shared" si="921"/>
        <v>0</v>
      </c>
      <c r="V3356" s="52">
        <f>IF(0&lt;0.8,0,IF(0&lt;1,Sheet3!L561,1))*IF(G3356&lt;3,0.12 - O3356,0.01) *U3356</f>
        <v>0</v>
      </c>
      <c r="W3356" s="52">
        <f t="shared" si="922"/>
        <v>0</v>
      </c>
      <c r="X3356" s="53">
        <f t="shared" si="923"/>
        <v>0</v>
      </c>
      <c r="Y3356" s="53">
        <f t="shared" si="924"/>
        <v>0</v>
      </c>
      <c r="Z3356" s="54">
        <f t="shared" si="930"/>
        <v>0</v>
      </c>
      <c r="AA3356" s="54">
        <f t="shared" si="925"/>
        <v>0</v>
      </c>
      <c r="AB3356" s="55">
        <f t="shared" si="929"/>
        <v>0</v>
      </c>
      <c r="AC3356" s="55">
        <f t="shared" si="926"/>
        <v>0</v>
      </c>
      <c r="AD3356" s="56">
        <f t="shared" si="927"/>
        <v>1835.17</v>
      </c>
    </row>
    <row r="3357" spans="3:30">
      <c r="C3357" s="43" t="s">
        <v>6228</v>
      </c>
      <c r="D3357" s="44" t="s">
        <v>6229</v>
      </c>
      <c r="E3357" s="44"/>
      <c r="F3357" s="45">
        <v>43222.346446759257</v>
      </c>
      <c r="G3357" s="46">
        <v>4</v>
      </c>
      <c r="H3357" s="47">
        <v>43431</v>
      </c>
      <c r="I3357" s="47">
        <v>43459</v>
      </c>
      <c r="J3357" s="46">
        <v>1155369</v>
      </c>
      <c r="K3357" s="46">
        <v>0</v>
      </c>
      <c r="L3357" s="46">
        <v>0</v>
      </c>
      <c r="M3357" s="46">
        <f t="shared" si="916"/>
        <v>1155369</v>
      </c>
      <c r="N3357" s="46">
        <v>1155369</v>
      </c>
      <c r="O3357" s="48">
        <f t="shared" si="917"/>
        <v>0</v>
      </c>
      <c r="P3357" s="46">
        <v>0</v>
      </c>
      <c r="Q3357" s="46">
        <v>1155369</v>
      </c>
      <c r="R3357" s="49">
        <f t="shared" si="918"/>
        <v>1</v>
      </c>
      <c r="S3357" s="50">
        <f t="shared" si="919"/>
        <v>0.01</v>
      </c>
      <c r="T3357" s="49">
        <f t="shared" si="920"/>
        <v>11553.69</v>
      </c>
      <c r="U3357" s="51">
        <f t="shared" si="921"/>
        <v>0</v>
      </c>
      <c r="V3357" s="52">
        <f>IF(0&lt;0.8,0,IF(0&lt;1,Sheet3!L561,1))*IF(G3357&lt;3,0.12 - O3357,0.01) *U3357</f>
        <v>0</v>
      </c>
      <c r="W3357" s="52">
        <f t="shared" si="922"/>
        <v>0</v>
      </c>
      <c r="X3357" s="53">
        <f t="shared" si="923"/>
        <v>0</v>
      </c>
      <c r="Y3357" s="53">
        <f t="shared" si="924"/>
        <v>0</v>
      </c>
      <c r="Z3357" s="54">
        <f t="shared" si="930"/>
        <v>0</v>
      </c>
      <c r="AA3357" s="54">
        <f t="shared" si="925"/>
        <v>0</v>
      </c>
      <c r="AB3357" s="55">
        <f t="shared" si="929"/>
        <v>0</v>
      </c>
      <c r="AC3357" s="55">
        <f t="shared" si="926"/>
        <v>0</v>
      </c>
      <c r="AD3357" s="56">
        <f t="shared" si="927"/>
        <v>11553.69</v>
      </c>
    </row>
    <row r="3358" spans="3:30">
      <c r="C3358" s="43" t="s">
        <v>6230</v>
      </c>
      <c r="D3358" s="44" t="s">
        <v>6231</v>
      </c>
      <c r="E3358" s="44"/>
      <c r="F3358" s="45">
        <v>43231.408263888887</v>
      </c>
      <c r="G3358" s="46">
        <v>4</v>
      </c>
      <c r="H3358" s="47">
        <v>43465</v>
      </c>
      <c r="I3358" s="47">
        <v>43463</v>
      </c>
      <c r="J3358" s="46">
        <v>1567722</v>
      </c>
      <c r="K3358" s="46">
        <v>0</v>
      </c>
      <c r="L3358" s="46">
        <v>0</v>
      </c>
      <c r="M3358" s="46">
        <f t="shared" si="916"/>
        <v>1567722</v>
      </c>
      <c r="N3358" s="46">
        <v>1419334</v>
      </c>
      <c r="O3358" s="48">
        <f t="shared" si="917"/>
        <v>0</v>
      </c>
      <c r="P3358" s="46">
        <v>0</v>
      </c>
      <c r="Q3358" s="46">
        <v>1632526</v>
      </c>
      <c r="R3358" s="49">
        <f t="shared" si="918"/>
        <v>1</v>
      </c>
      <c r="S3358" s="50">
        <f t="shared" si="919"/>
        <v>0.01</v>
      </c>
      <c r="T3358" s="49">
        <f t="shared" si="920"/>
        <v>15677.220000000001</v>
      </c>
      <c r="U3358" s="51">
        <f t="shared" si="921"/>
        <v>0</v>
      </c>
      <c r="V3358" s="52">
        <f>IF(0&lt;0.8,0,IF(0&lt;1,Sheet3!L561,1))*IF(G3358&lt;3,0.12 - O3358,0.01) *U3358</f>
        <v>0</v>
      </c>
      <c r="W3358" s="52">
        <f t="shared" si="922"/>
        <v>0</v>
      </c>
      <c r="X3358" s="53">
        <f t="shared" si="923"/>
        <v>0</v>
      </c>
      <c r="Y3358" s="53">
        <f t="shared" si="924"/>
        <v>0</v>
      </c>
      <c r="Z3358" s="54">
        <f t="shared" si="930"/>
        <v>0</v>
      </c>
      <c r="AA3358" s="54">
        <f t="shared" si="925"/>
        <v>0</v>
      </c>
      <c r="AB3358" s="55">
        <f t="shared" si="929"/>
        <v>0</v>
      </c>
      <c r="AC3358" s="55">
        <f t="shared" si="926"/>
        <v>0</v>
      </c>
      <c r="AD3358" s="56">
        <f t="shared" si="927"/>
        <v>15677.220000000001</v>
      </c>
    </row>
    <row r="3359" spans="3:30">
      <c r="C3359" s="43" t="s">
        <v>6232</v>
      </c>
      <c r="D3359" s="44" t="s">
        <v>6233</v>
      </c>
      <c r="E3359" s="44"/>
      <c r="F3359" s="45">
        <v>43250.055659722224</v>
      </c>
      <c r="G3359" s="46">
        <v>4</v>
      </c>
      <c r="H3359" s="47" t="s">
        <v>24</v>
      </c>
      <c r="I3359" s="47" t="s">
        <v>24</v>
      </c>
      <c r="J3359" s="46">
        <v>341666</v>
      </c>
      <c r="K3359" s="46">
        <v>0</v>
      </c>
      <c r="L3359" s="46">
        <v>0</v>
      </c>
      <c r="M3359" s="46">
        <f t="shared" si="916"/>
        <v>341666</v>
      </c>
      <c r="N3359" s="46">
        <v>341378</v>
      </c>
      <c r="O3359" s="48">
        <f t="shared" si="917"/>
        <v>0</v>
      </c>
      <c r="P3359" s="46">
        <v>0</v>
      </c>
      <c r="Q3359" s="46">
        <v>341666</v>
      </c>
      <c r="R3359" s="49">
        <f t="shared" si="918"/>
        <v>1</v>
      </c>
      <c r="S3359" s="50">
        <f t="shared" si="919"/>
        <v>0.01</v>
      </c>
      <c r="T3359" s="49">
        <f t="shared" si="920"/>
        <v>3416.66</v>
      </c>
      <c r="U3359" s="51">
        <f t="shared" si="921"/>
        <v>0</v>
      </c>
      <c r="V3359" s="52">
        <f>IF(0&lt;0.8,0,IF(0&lt;1,Sheet3!L561,1))*IF(G3359&lt;3,0.12 - O3359,0.01) *U3359</f>
        <v>0</v>
      </c>
      <c r="W3359" s="52">
        <f t="shared" si="922"/>
        <v>0</v>
      </c>
      <c r="X3359" s="53">
        <f t="shared" si="923"/>
        <v>0</v>
      </c>
      <c r="Y3359" s="53">
        <f t="shared" si="924"/>
        <v>0</v>
      </c>
      <c r="Z3359" s="54">
        <f t="shared" si="930"/>
        <v>0</v>
      </c>
      <c r="AA3359" s="54">
        <f t="shared" si="925"/>
        <v>0</v>
      </c>
      <c r="AB3359" s="55">
        <f t="shared" si="929"/>
        <v>0</v>
      </c>
      <c r="AC3359" s="55">
        <f t="shared" si="926"/>
        <v>0</v>
      </c>
      <c r="AD3359" s="56">
        <f t="shared" si="927"/>
        <v>3416.66</v>
      </c>
    </row>
    <row r="3360" spans="3:30">
      <c r="C3360" s="43" t="s">
        <v>6234</v>
      </c>
      <c r="D3360" s="44" t="s">
        <v>6235</v>
      </c>
      <c r="E3360" s="44"/>
      <c r="F3360" s="45">
        <v>43337.226284722223</v>
      </c>
      <c r="G3360" s="46">
        <v>1</v>
      </c>
      <c r="H3360" s="47">
        <v>43416</v>
      </c>
      <c r="I3360" s="47">
        <v>43434</v>
      </c>
      <c r="J3360" s="46">
        <v>41888</v>
      </c>
      <c r="K3360" s="46">
        <v>0</v>
      </c>
      <c r="L3360" s="46">
        <v>0</v>
      </c>
      <c r="M3360" s="46">
        <f t="shared" si="916"/>
        <v>41888</v>
      </c>
      <c r="N3360" s="46">
        <v>35180</v>
      </c>
      <c r="O3360" s="48">
        <f t="shared" si="917"/>
        <v>0</v>
      </c>
      <c r="P3360" s="46">
        <v>0</v>
      </c>
      <c r="Q3360" s="46">
        <v>0</v>
      </c>
      <c r="R3360" s="49">
        <f t="shared" si="918"/>
        <v>0</v>
      </c>
      <c r="S3360" s="50">
        <f t="shared" si="919"/>
        <v>0</v>
      </c>
      <c r="T3360" s="49">
        <f t="shared" si="920"/>
        <v>0</v>
      </c>
      <c r="U3360" s="51">
        <f t="shared" si="921"/>
        <v>41888</v>
      </c>
      <c r="V3360" s="52">
        <f>IF(0&lt;0.8,0,IF(0&lt;1,Sheet3!L561,1))*IF(G3360&lt;3,0.12 - O3360,0.01) *U3360</f>
        <v>0</v>
      </c>
      <c r="W3360" s="52">
        <f t="shared" si="922"/>
        <v>0</v>
      </c>
      <c r="X3360" s="53">
        <f t="shared" si="923"/>
        <v>0</v>
      </c>
      <c r="Y3360" s="53">
        <f t="shared" si="924"/>
        <v>0</v>
      </c>
      <c r="Z3360" s="54">
        <f t="shared" si="930"/>
        <v>0</v>
      </c>
      <c r="AA3360" s="54">
        <f t="shared" si="925"/>
        <v>0</v>
      </c>
      <c r="AB3360" s="55">
        <f t="shared" si="929"/>
        <v>0</v>
      </c>
      <c r="AC3360" s="55">
        <f t="shared" si="926"/>
        <v>0</v>
      </c>
      <c r="AD3360" s="56">
        <f t="shared" si="927"/>
        <v>0</v>
      </c>
    </row>
    <row r="3361" spans="3:30">
      <c r="C3361" s="43" t="s">
        <v>6236</v>
      </c>
      <c r="D3361" s="44" t="s">
        <v>6237</v>
      </c>
      <c r="E3361" s="44"/>
      <c r="F3361" s="45">
        <v>43363.14980324074</v>
      </c>
      <c r="G3361" s="46">
        <v>0</v>
      </c>
      <c r="H3361" s="47">
        <v>43384</v>
      </c>
      <c r="I3361" s="47">
        <v>43434</v>
      </c>
      <c r="J3361" s="46">
        <v>135032</v>
      </c>
      <c r="K3361" s="46">
        <v>0</v>
      </c>
      <c r="L3361" s="46">
        <v>0</v>
      </c>
      <c r="M3361" s="46">
        <f t="shared" si="916"/>
        <v>135032</v>
      </c>
      <c r="N3361" s="46">
        <v>135032</v>
      </c>
      <c r="O3361" s="48">
        <f t="shared" si="917"/>
        <v>0</v>
      </c>
      <c r="P3361" s="46">
        <v>0</v>
      </c>
      <c r="Q3361" s="46">
        <v>0</v>
      </c>
      <c r="R3361" s="49">
        <f t="shared" si="918"/>
        <v>0</v>
      </c>
      <c r="S3361" s="50">
        <f t="shared" si="919"/>
        <v>0</v>
      </c>
      <c r="T3361" s="49">
        <f t="shared" si="920"/>
        <v>0</v>
      </c>
      <c r="U3361" s="51">
        <f t="shared" si="921"/>
        <v>135032</v>
      </c>
      <c r="V3361" s="52">
        <f>IF(0&lt;0.8,0,IF(0&lt;1,Sheet3!L561,1))*IF(G3361&lt;3,0.12 - O3361,0.01) *U3361</f>
        <v>0</v>
      </c>
      <c r="W3361" s="52">
        <f t="shared" si="922"/>
        <v>0</v>
      </c>
      <c r="X3361" s="53">
        <f t="shared" si="923"/>
        <v>0</v>
      </c>
      <c r="Y3361" s="53">
        <f t="shared" si="924"/>
        <v>0</v>
      </c>
      <c r="Z3361" s="54">
        <f t="shared" si="930"/>
        <v>0</v>
      </c>
      <c r="AA3361" s="54">
        <f t="shared" si="925"/>
        <v>0</v>
      </c>
      <c r="AB3361" s="55">
        <f t="shared" si="929"/>
        <v>0</v>
      </c>
      <c r="AC3361" s="55">
        <f t="shared" si="926"/>
        <v>0</v>
      </c>
      <c r="AD3361" s="56">
        <f t="shared" si="927"/>
        <v>0</v>
      </c>
    </row>
    <row r="3362" spans="3:30">
      <c r="C3362" s="43" t="s">
        <v>6238</v>
      </c>
      <c r="D3362" s="44" t="s">
        <v>6239</v>
      </c>
      <c r="E3362" s="44"/>
      <c r="F3362" s="45">
        <v>42521.387303240735</v>
      </c>
      <c r="G3362" s="46">
        <v>28</v>
      </c>
      <c r="H3362" s="47" t="s">
        <v>24</v>
      </c>
      <c r="I3362" s="47" t="s">
        <v>24</v>
      </c>
      <c r="J3362" s="46">
        <v>0</v>
      </c>
      <c r="K3362" s="46">
        <v>0</v>
      </c>
      <c r="L3362" s="46">
        <v>0</v>
      </c>
      <c r="M3362" s="46">
        <f t="shared" si="916"/>
        <v>0</v>
      </c>
      <c r="N3362" s="46">
        <v>1631718</v>
      </c>
      <c r="O3362" s="48">
        <f t="shared" si="917"/>
        <v>1</v>
      </c>
      <c r="P3362" s="46">
        <v>0</v>
      </c>
      <c r="Q3362" s="46">
        <v>0</v>
      </c>
      <c r="R3362" s="49">
        <f t="shared" si="918"/>
        <v>1</v>
      </c>
      <c r="S3362" s="50">
        <f t="shared" si="919"/>
        <v>0.01</v>
      </c>
      <c r="T3362" s="49">
        <f t="shared" si="920"/>
        <v>0</v>
      </c>
      <c r="U3362" s="51">
        <f t="shared" si="921"/>
        <v>0</v>
      </c>
      <c r="V3362" s="52">
        <f>IF(0&lt;0.8,0,IF(0&lt;1,Sheet3!L561,1))*IF(G3362&lt;3,0.12 - O3362,0.01) *U3362</f>
        <v>0</v>
      </c>
      <c r="W3362" s="52">
        <f t="shared" si="922"/>
        <v>0</v>
      </c>
      <c r="X3362" s="53">
        <f t="shared" si="923"/>
        <v>0</v>
      </c>
      <c r="Y3362" s="53">
        <f t="shared" si="924"/>
        <v>0</v>
      </c>
      <c r="Z3362" s="54">
        <f>IF(R3362=1,0,"")</f>
        <v>0</v>
      </c>
      <c r="AA3362" s="54">
        <f t="shared" si="925"/>
        <v>0</v>
      </c>
      <c r="AB3362" s="55">
        <f>IF(R3362=0,"",0)</f>
        <v>0</v>
      </c>
      <c r="AC3362" s="55">
        <f t="shared" si="926"/>
        <v>0</v>
      </c>
      <c r="AD3362" s="56">
        <f t="shared" si="927"/>
        <v>0</v>
      </c>
    </row>
    <row r="3363" spans="3:30">
      <c r="C3363" s="43" t="s">
        <v>6240</v>
      </c>
      <c r="D3363" s="44" t="s">
        <v>995</v>
      </c>
      <c r="E3363" s="44"/>
      <c r="F3363" s="45">
        <v>43316.221550925926</v>
      </c>
      <c r="G3363" s="46">
        <v>1</v>
      </c>
      <c r="H3363" s="47">
        <v>43431</v>
      </c>
      <c r="I3363" s="47">
        <v>43462</v>
      </c>
      <c r="J3363" s="46">
        <v>1789667</v>
      </c>
      <c r="K3363" s="46">
        <v>0</v>
      </c>
      <c r="L3363" s="46">
        <v>0</v>
      </c>
      <c r="M3363" s="46">
        <f t="shared" si="916"/>
        <v>1789667</v>
      </c>
      <c r="N3363" s="46">
        <v>1746530</v>
      </c>
      <c r="O3363" s="48">
        <f t="shared" si="917"/>
        <v>0</v>
      </c>
      <c r="P3363" s="46">
        <v>0</v>
      </c>
      <c r="Q3363" s="46">
        <v>0</v>
      </c>
      <c r="R3363" s="49">
        <f t="shared" si="918"/>
        <v>0</v>
      </c>
      <c r="S3363" s="50">
        <f t="shared" si="919"/>
        <v>0</v>
      </c>
      <c r="T3363" s="49">
        <f t="shared" si="920"/>
        <v>0</v>
      </c>
      <c r="U3363" s="51">
        <f t="shared" si="921"/>
        <v>1789667</v>
      </c>
      <c r="V3363" s="52">
        <f>IF(0&lt;0.8,0,IF(0&lt;1,Sheet3!L561,1))*IF(G3363&lt;3,0.12 - O3363,0.01) *U3363</f>
        <v>0</v>
      </c>
      <c r="W3363" s="52">
        <f t="shared" si="922"/>
        <v>0</v>
      </c>
      <c r="X3363" s="53">
        <f t="shared" si="923"/>
        <v>0</v>
      </c>
      <c r="Y3363" s="53">
        <f t="shared" si="924"/>
        <v>0</v>
      </c>
      <c r="Z3363" s="54">
        <f t="shared" ref="Z3363:Z3377" si="931">IF(R3363=1,0,0)</f>
        <v>0</v>
      </c>
      <c r="AA3363" s="54">
        <f t="shared" si="925"/>
        <v>0</v>
      </c>
      <c r="AB3363" s="55">
        <f t="shared" ref="AB3363:AB3377" si="932">IF(R3363=0,0,0)</f>
        <v>0</v>
      </c>
      <c r="AC3363" s="55">
        <f t="shared" si="926"/>
        <v>0</v>
      </c>
      <c r="AD3363" s="56">
        <f t="shared" si="927"/>
        <v>0</v>
      </c>
    </row>
    <row r="3364" spans="3:30">
      <c r="C3364" s="43" t="s">
        <v>6241</v>
      </c>
      <c r="D3364" s="44" t="s">
        <v>995</v>
      </c>
      <c r="E3364" s="44"/>
      <c r="F3364" s="45">
        <v>43316.222118055557</v>
      </c>
      <c r="G3364" s="46">
        <v>1</v>
      </c>
      <c r="H3364" s="47">
        <v>43431</v>
      </c>
      <c r="I3364" s="47">
        <v>43462</v>
      </c>
      <c r="J3364" s="46">
        <v>1521654</v>
      </c>
      <c r="K3364" s="46">
        <v>0</v>
      </c>
      <c r="L3364" s="46">
        <v>0</v>
      </c>
      <c r="M3364" s="46">
        <f t="shared" si="916"/>
        <v>1521654</v>
      </c>
      <c r="N3364" s="46">
        <v>1588906</v>
      </c>
      <c r="O3364" s="48">
        <f t="shared" si="917"/>
        <v>4.2325977748211674E-2</v>
      </c>
      <c r="P3364" s="46">
        <v>0</v>
      </c>
      <c r="Q3364" s="46">
        <v>0</v>
      </c>
      <c r="R3364" s="49">
        <f t="shared" si="918"/>
        <v>0</v>
      </c>
      <c r="S3364" s="50">
        <f t="shared" si="919"/>
        <v>0</v>
      </c>
      <c r="T3364" s="49">
        <f t="shared" si="920"/>
        <v>0</v>
      </c>
      <c r="U3364" s="51">
        <f t="shared" si="921"/>
        <v>1521654</v>
      </c>
      <c r="V3364" s="52">
        <f>IF(0&lt;0.8,0,IF(0&lt;1,Sheet3!L561,1))*IF(G3364&lt;3,0.12 - O3364,0.01) *U3364</f>
        <v>0</v>
      </c>
      <c r="W3364" s="52">
        <f t="shared" si="922"/>
        <v>0</v>
      </c>
      <c r="X3364" s="53">
        <f t="shared" si="923"/>
        <v>0</v>
      </c>
      <c r="Y3364" s="53">
        <f t="shared" si="924"/>
        <v>0</v>
      </c>
      <c r="Z3364" s="54">
        <f t="shared" si="931"/>
        <v>0</v>
      </c>
      <c r="AA3364" s="54">
        <f t="shared" si="925"/>
        <v>0</v>
      </c>
      <c r="AB3364" s="55">
        <f t="shared" si="932"/>
        <v>0</v>
      </c>
      <c r="AC3364" s="55">
        <f t="shared" si="926"/>
        <v>0</v>
      </c>
      <c r="AD3364" s="56">
        <f t="shared" si="927"/>
        <v>0</v>
      </c>
    </row>
    <row r="3365" spans="3:30">
      <c r="C3365" s="43" t="s">
        <v>6242</v>
      </c>
      <c r="D3365" s="44" t="s">
        <v>6243</v>
      </c>
      <c r="E3365" s="44"/>
      <c r="F3365" s="45">
        <v>40682.393333333333</v>
      </c>
      <c r="G3365" s="46">
        <v>88</v>
      </c>
      <c r="H3365" s="47">
        <v>43382</v>
      </c>
      <c r="I3365" s="47">
        <v>43404</v>
      </c>
      <c r="J3365" s="46">
        <v>335000</v>
      </c>
      <c r="K3365" s="46">
        <v>0</v>
      </c>
      <c r="L3365" s="46">
        <v>0</v>
      </c>
      <c r="M3365" s="46">
        <f t="shared" si="916"/>
        <v>335000</v>
      </c>
      <c r="N3365" s="46">
        <v>324549</v>
      </c>
      <c r="O3365" s="48">
        <f t="shared" si="917"/>
        <v>0</v>
      </c>
      <c r="P3365" s="46">
        <v>0</v>
      </c>
      <c r="Q3365" s="46">
        <v>335000</v>
      </c>
      <c r="R3365" s="49">
        <f t="shared" si="918"/>
        <v>1</v>
      </c>
      <c r="S3365" s="50">
        <f t="shared" si="919"/>
        <v>0.01</v>
      </c>
      <c r="T3365" s="49">
        <f t="shared" si="920"/>
        <v>3350</v>
      </c>
      <c r="U3365" s="51">
        <f t="shared" si="921"/>
        <v>0</v>
      </c>
      <c r="V3365" s="52">
        <f>IF(0&lt;0.8,0,IF(0&lt;1,Sheet3!L561,1))*IF(G3365&lt;3,0.12 - O3365,0.01) *U3365</f>
        <v>0</v>
      </c>
      <c r="W3365" s="52">
        <f t="shared" si="922"/>
        <v>0</v>
      </c>
      <c r="X3365" s="53">
        <f t="shared" si="923"/>
        <v>0</v>
      </c>
      <c r="Y3365" s="53">
        <f t="shared" si="924"/>
        <v>0</v>
      </c>
      <c r="Z3365" s="54">
        <f t="shared" si="931"/>
        <v>0</v>
      </c>
      <c r="AA3365" s="54">
        <f t="shared" si="925"/>
        <v>0</v>
      </c>
      <c r="AB3365" s="55">
        <f t="shared" si="932"/>
        <v>0</v>
      </c>
      <c r="AC3365" s="55">
        <f t="shared" si="926"/>
        <v>0</v>
      </c>
      <c r="AD3365" s="56">
        <f t="shared" si="927"/>
        <v>3350</v>
      </c>
    </row>
    <row r="3366" spans="3:30">
      <c r="C3366" s="43" t="s">
        <v>6244</v>
      </c>
      <c r="D3366" s="44" t="s">
        <v>6245</v>
      </c>
      <c r="E3366" s="44"/>
      <c r="F3366" s="45">
        <v>41290.695659722223</v>
      </c>
      <c r="G3366" s="46">
        <v>68</v>
      </c>
      <c r="H3366" s="47" t="s">
        <v>24</v>
      </c>
      <c r="I3366" s="47" t="s">
        <v>24</v>
      </c>
      <c r="J3366" s="46">
        <v>1734455</v>
      </c>
      <c r="K3366" s="46">
        <v>0</v>
      </c>
      <c r="L3366" s="46">
        <v>0</v>
      </c>
      <c r="M3366" s="46">
        <f t="shared" si="916"/>
        <v>1734455</v>
      </c>
      <c r="N3366" s="46">
        <v>2221955</v>
      </c>
      <c r="O3366" s="48">
        <f t="shared" si="917"/>
        <v>0.21940138301630774</v>
      </c>
      <c r="P3366" s="46">
        <v>0</v>
      </c>
      <c r="Q3366" s="46">
        <v>1734455</v>
      </c>
      <c r="R3366" s="49">
        <f t="shared" si="918"/>
        <v>1</v>
      </c>
      <c r="S3366" s="50">
        <f t="shared" si="919"/>
        <v>0.01</v>
      </c>
      <c r="T3366" s="49">
        <f t="shared" si="920"/>
        <v>17344.55</v>
      </c>
      <c r="U3366" s="51">
        <f t="shared" si="921"/>
        <v>0</v>
      </c>
      <c r="V3366" s="52">
        <f>IF(0&lt;0.8,0,IF(0&lt;1,Sheet3!L561,1))*IF(G3366&lt;3,0.12 - O3366,0.01) *U3366</f>
        <v>0</v>
      </c>
      <c r="W3366" s="52">
        <f t="shared" si="922"/>
        <v>0</v>
      </c>
      <c r="X3366" s="53">
        <f t="shared" si="923"/>
        <v>0</v>
      </c>
      <c r="Y3366" s="53">
        <f t="shared" si="924"/>
        <v>0</v>
      </c>
      <c r="Z3366" s="54">
        <f t="shared" si="931"/>
        <v>0</v>
      </c>
      <c r="AA3366" s="54">
        <f t="shared" si="925"/>
        <v>0</v>
      </c>
      <c r="AB3366" s="55">
        <f t="shared" si="932"/>
        <v>0</v>
      </c>
      <c r="AC3366" s="55">
        <f t="shared" si="926"/>
        <v>0</v>
      </c>
      <c r="AD3366" s="56">
        <f t="shared" si="927"/>
        <v>17344.55</v>
      </c>
    </row>
    <row r="3367" spans="3:30">
      <c r="C3367" s="43" t="s">
        <v>6246</v>
      </c>
      <c r="D3367" s="44" t="s">
        <v>6247</v>
      </c>
      <c r="E3367" s="44"/>
      <c r="F3367" s="45">
        <v>41779.694965277777</v>
      </c>
      <c r="G3367" s="46">
        <v>52</v>
      </c>
      <c r="H3367" s="47" t="s">
        <v>24</v>
      </c>
      <c r="I3367" s="47" t="s">
        <v>24</v>
      </c>
      <c r="J3367" s="46">
        <v>4270842</v>
      </c>
      <c r="K3367" s="46">
        <v>0</v>
      </c>
      <c r="L3367" s="46">
        <v>0</v>
      </c>
      <c r="M3367" s="46">
        <f t="shared" si="916"/>
        <v>4270842</v>
      </c>
      <c r="N3367" s="46">
        <v>5491163</v>
      </c>
      <c r="O3367" s="48">
        <f t="shared" si="917"/>
        <v>0.22223361426349941</v>
      </c>
      <c r="P3367" s="46">
        <v>0</v>
      </c>
      <c r="Q3367" s="46">
        <v>4270842</v>
      </c>
      <c r="R3367" s="49">
        <f t="shared" si="918"/>
        <v>1</v>
      </c>
      <c r="S3367" s="50">
        <f t="shared" si="919"/>
        <v>0.01</v>
      </c>
      <c r="T3367" s="49">
        <f t="shared" si="920"/>
        <v>42708.42</v>
      </c>
      <c r="U3367" s="51">
        <f t="shared" si="921"/>
        <v>0</v>
      </c>
      <c r="V3367" s="52">
        <f>IF(0&lt;0.8,0,IF(0&lt;1,Sheet3!L561,1))*IF(G3367&lt;3,0.12 - O3367,0.01) *U3367</f>
        <v>0</v>
      </c>
      <c r="W3367" s="52">
        <f t="shared" si="922"/>
        <v>0</v>
      </c>
      <c r="X3367" s="53">
        <f t="shared" si="923"/>
        <v>0</v>
      </c>
      <c r="Y3367" s="53">
        <f t="shared" si="924"/>
        <v>0</v>
      </c>
      <c r="Z3367" s="54">
        <f t="shared" si="931"/>
        <v>0</v>
      </c>
      <c r="AA3367" s="54">
        <f t="shared" si="925"/>
        <v>0</v>
      </c>
      <c r="AB3367" s="55">
        <f t="shared" si="932"/>
        <v>0</v>
      </c>
      <c r="AC3367" s="55">
        <f t="shared" si="926"/>
        <v>0</v>
      </c>
      <c r="AD3367" s="56">
        <f t="shared" si="927"/>
        <v>42708.42</v>
      </c>
    </row>
    <row r="3368" spans="3:30">
      <c r="C3368" s="43" t="s">
        <v>6248</v>
      </c>
      <c r="D3368" s="44" t="s">
        <v>6249</v>
      </c>
      <c r="E3368" s="44"/>
      <c r="F3368" s="45">
        <v>41845.608738425923</v>
      </c>
      <c r="G3368" s="46">
        <v>50</v>
      </c>
      <c r="H3368" s="47">
        <v>43382</v>
      </c>
      <c r="I3368" s="47">
        <v>43404</v>
      </c>
      <c r="J3368" s="46">
        <v>403000</v>
      </c>
      <c r="K3368" s="46">
        <v>0</v>
      </c>
      <c r="L3368" s="46">
        <v>0</v>
      </c>
      <c r="M3368" s="46">
        <f t="shared" si="916"/>
        <v>403000</v>
      </c>
      <c r="N3368" s="46">
        <v>355151</v>
      </c>
      <c r="O3368" s="48">
        <f t="shared" si="917"/>
        <v>0</v>
      </c>
      <c r="P3368" s="46">
        <v>0</v>
      </c>
      <c r="Q3368" s="46">
        <v>403000</v>
      </c>
      <c r="R3368" s="49">
        <f t="shared" si="918"/>
        <v>1</v>
      </c>
      <c r="S3368" s="50">
        <f t="shared" si="919"/>
        <v>0.01</v>
      </c>
      <c r="T3368" s="49">
        <f t="shared" si="920"/>
        <v>4030</v>
      </c>
      <c r="U3368" s="51">
        <f t="shared" si="921"/>
        <v>0</v>
      </c>
      <c r="V3368" s="52">
        <f>IF(0&lt;0.8,0,IF(0&lt;1,Sheet3!L561,1))*IF(G3368&lt;3,0.12 - O3368,0.01) *U3368</f>
        <v>0</v>
      </c>
      <c r="W3368" s="52">
        <f t="shared" si="922"/>
        <v>0</v>
      </c>
      <c r="X3368" s="53">
        <f t="shared" si="923"/>
        <v>0</v>
      </c>
      <c r="Y3368" s="53">
        <f t="shared" si="924"/>
        <v>0</v>
      </c>
      <c r="Z3368" s="54">
        <f t="shared" si="931"/>
        <v>0</v>
      </c>
      <c r="AA3368" s="54">
        <f t="shared" si="925"/>
        <v>0</v>
      </c>
      <c r="AB3368" s="55">
        <f t="shared" si="932"/>
        <v>0</v>
      </c>
      <c r="AC3368" s="55">
        <f t="shared" si="926"/>
        <v>0</v>
      </c>
      <c r="AD3368" s="56">
        <f t="shared" si="927"/>
        <v>4030</v>
      </c>
    </row>
    <row r="3369" spans="3:30">
      <c r="C3369" s="43" t="s">
        <v>6250</v>
      </c>
      <c r="D3369" s="44" t="s">
        <v>6251</v>
      </c>
      <c r="E3369" s="44"/>
      <c r="F3369" s="45">
        <v>42224.446145833332</v>
      </c>
      <c r="G3369" s="46">
        <v>37</v>
      </c>
      <c r="H3369" s="47">
        <v>43382</v>
      </c>
      <c r="I3369" s="47">
        <v>43395</v>
      </c>
      <c r="J3369" s="46">
        <v>1084000</v>
      </c>
      <c r="K3369" s="46">
        <v>0</v>
      </c>
      <c r="L3369" s="46">
        <v>0</v>
      </c>
      <c r="M3369" s="46">
        <f t="shared" si="916"/>
        <v>1084000</v>
      </c>
      <c r="N3369" s="46">
        <v>1076471</v>
      </c>
      <c r="O3369" s="48">
        <f t="shared" si="917"/>
        <v>0</v>
      </c>
      <c r="P3369" s="46">
        <v>0</v>
      </c>
      <c r="Q3369" s="46">
        <v>1084000</v>
      </c>
      <c r="R3369" s="49">
        <f t="shared" si="918"/>
        <v>1</v>
      </c>
      <c r="S3369" s="50">
        <f t="shared" si="919"/>
        <v>0.01</v>
      </c>
      <c r="T3369" s="49">
        <f t="shared" si="920"/>
        <v>10840</v>
      </c>
      <c r="U3369" s="51">
        <f t="shared" si="921"/>
        <v>0</v>
      </c>
      <c r="V3369" s="52">
        <f>IF(0&lt;0.8,0,IF(0&lt;1,Sheet3!L561,1))*IF(G3369&lt;3,0.12 - O3369,0.01) *U3369</f>
        <v>0</v>
      </c>
      <c r="W3369" s="52">
        <f t="shared" si="922"/>
        <v>0</v>
      </c>
      <c r="X3369" s="53">
        <f t="shared" si="923"/>
        <v>0</v>
      </c>
      <c r="Y3369" s="53">
        <f t="shared" si="924"/>
        <v>0</v>
      </c>
      <c r="Z3369" s="54">
        <f t="shared" si="931"/>
        <v>0</v>
      </c>
      <c r="AA3369" s="54">
        <f t="shared" si="925"/>
        <v>0</v>
      </c>
      <c r="AB3369" s="55">
        <f t="shared" si="932"/>
        <v>0</v>
      </c>
      <c r="AC3369" s="55">
        <f t="shared" si="926"/>
        <v>0</v>
      </c>
      <c r="AD3369" s="56">
        <f t="shared" si="927"/>
        <v>10840</v>
      </c>
    </row>
    <row r="3370" spans="3:30">
      <c r="C3370" s="43" t="s">
        <v>6252</v>
      </c>
      <c r="D3370" s="44" t="s">
        <v>6253</v>
      </c>
      <c r="E3370" s="44"/>
      <c r="F3370" s="45">
        <v>42475.417951388888</v>
      </c>
      <c r="G3370" s="46">
        <v>29</v>
      </c>
      <c r="H3370" s="47" t="s">
        <v>24</v>
      </c>
      <c r="I3370" s="47" t="s">
        <v>24</v>
      </c>
      <c r="J3370" s="46">
        <v>1999374</v>
      </c>
      <c r="K3370" s="46">
        <v>0</v>
      </c>
      <c r="L3370" s="46">
        <v>0</v>
      </c>
      <c r="M3370" s="46">
        <f t="shared" si="916"/>
        <v>1999374</v>
      </c>
      <c r="N3370" s="46">
        <v>2468167</v>
      </c>
      <c r="O3370" s="48">
        <f t="shared" si="917"/>
        <v>0.18993568911666026</v>
      </c>
      <c r="P3370" s="46">
        <v>0</v>
      </c>
      <c r="Q3370" s="46">
        <v>1999374</v>
      </c>
      <c r="R3370" s="49">
        <f t="shared" si="918"/>
        <v>1</v>
      </c>
      <c r="S3370" s="50">
        <f t="shared" si="919"/>
        <v>0.01</v>
      </c>
      <c r="T3370" s="49">
        <f t="shared" si="920"/>
        <v>19993.740000000002</v>
      </c>
      <c r="U3370" s="51">
        <f t="shared" si="921"/>
        <v>0</v>
      </c>
      <c r="V3370" s="52">
        <f>IF(0&lt;0.8,0,IF(0&lt;1,Sheet3!L561,1))*IF(G3370&lt;3,0.12 - O3370,0.01) *U3370</f>
        <v>0</v>
      </c>
      <c r="W3370" s="52">
        <f t="shared" si="922"/>
        <v>0</v>
      </c>
      <c r="X3370" s="53">
        <f t="shared" si="923"/>
        <v>0</v>
      </c>
      <c r="Y3370" s="53">
        <f t="shared" si="924"/>
        <v>0</v>
      </c>
      <c r="Z3370" s="54">
        <f t="shared" si="931"/>
        <v>0</v>
      </c>
      <c r="AA3370" s="54">
        <f t="shared" si="925"/>
        <v>0</v>
      </c>
      <c r="AB3370" s="55">
        <f t="shared" si="932"/>
        <v>0</v>
      </c>
      <c r="AC3370" s="55">
        <f t="shared" si="926"/>
        <v>0</v>
      </c>
      <c r="AD3370" s="56">
        <f t="shared" si="927"/>
        <v>19993.740000000002</v>
      </c>
    </row>
    <row r="3371" spans="3:30">
      <c r="C3371" s="43" t="s">
        <v>6254</v>
      </c>
      <c r="D3371" s="44" t="s">
        <v>6255</v>
      </c>
      <c r="E3371" s="44"/>
      <c r="F3371" s="45">
        <v>42622.170775462961</v>
      </c>
      <c r="G3371" s="46">
        <v>24</v>
      </c>
      <c r="H3371" s="47" t="s">
        <v>24</v>
      </c>
      <c r="I3371" s="47" t="s">
        <v>24</v>
      </c>
      <c r="J3371" s="46">
        <v>2283844</v>
      </c>
      <c r="K3371" s="46">
        <v>18005</v>
      </c>
      <c r="L3371" s="46">
        <v>0</v>
      </c>
      <c r="M3371" s="46">
        <f t="shared" si="916"/>
        <v>2265839</v>
      </c>
      <c r="N3371" s="46">
        <v>2984356</v>
      </c>
      <c r="O3371" s="48">
        <f t="shared" si="917"/>
        <v>0.24076115584065705</v>
      </c>
      <c r="P3371" s="46">
        <v>0</v>
      </c>
      <c r="Q3371" s="46">
        <v>2283844</v>
      </c>
      <c r="R3371" s="49">
        <f t="shared" si="918"/>
        <v>1</v>
      </c>
      <c r="S3371" s="50">
        <f t="shared" si="919"/>
        <v>0.01</v>
      </c>
      <c r="T3371" s="49">
        <f t="shared" si="920"/>
        <v>22658.39</v>
      </c>
      <c r="U3371" s="51">
        <f t="shared" si="921"/>
        <v>0</v>
      </c>
      <c r="V3371" s="52">
        <f>IF(0&lt;0.8,0,IF(0&lt;1,Sheet3!L561,1))*IF(G3371&lt;3,0.12 - O3371,0.01) *U3371</f>
        <v>0</v>
      </c>
      <c r="W3371" s="52">
        <f t="shared" si="922"/>
        <v>0</v>
      </c>
      <c r="X3371" s="53">
        <f t="shared" si="923"/>
        <v>0</v>
      </c>
      <c r="Y3371" s="53">
        <f t="shared" si="924"/>
        <v>0</v>
      </c>
      <c r="Z3371" s="54">
        <f t="shared" si="931"/>
        <v>0</v>
      </c>
      <c r="AA3371" s="54">
        <f t="shared" si="925"/>
        <v>0</v>
      </c>
      <c r="AB3371" s="55">
        <f t="shared" si="932"/>
        <v>0</v>
      </c>
      <c r="AC3371" s="55">
        <f t="shared" si="926"/>
        <v>0</v>
      </c>
      <c r="AD3371" s="56">
        <f t="shared" si="927"/>
        <v>22658.39</v>
      </c>
    </row>
    <row r="3372" spans="3:30">
      <c r="C3372" s="43" t="s">
        <v>6256</v>
      </c>
      <c r="D3372" s="44" t="s">
        <v>6255</v>
      </c>
      <c r="E3372" s="44"/>
      <c r="F3372" s="45">
        <v>42622.177939814814</v>
      </c>
      <c r="G3372" s="46">
        <v>24</v>
      </c>
      <c r="H3372" s="47" t="s">
        <v>24</v>
      </c>
      <c r="I3372" s="47" t="s">
        <v>24</v>
      </c>
      <c r="J3372" s="46">
        <v>2060791</v>
      </c>
      <c r="K3372" s="46">
        <v>0</v>
      </c>
      <c r="L3372" s="46">
        <v>0</v>
      </c>
      <c r="M3372" s="46">
        <f t="shared" si="916"/>
        <v>2060791</v>
      </c>
      <c r="N3372" s="46">
        <v>2829361</v>
      </c>
      <c r="O3372" s="48">
        <f t="shared" si="917"/>
        <v>0.2716408404583226</v>
      </c>
      <c r="P3372" s="46">
        <v>0</v>
      </c>
      <c r="Q3372" s="46">
        <v>2060791</v>
      </c>
      <c r="R3372" s="49">
        <f t="shared" si="918"/>
        <v>1</v>
      </c>
      <c r="S3372" s="50">
        <f t="shared" si="919"/>
        <v>0.01</v>
      </c>
      <c r="T3372" s="49">
        <f t="shared" si="920"/>
        <v>20607.91</v>
      </c>
      <c r="U3372" s="51">
        <f t="shared" si="921"/>
        <v>0</v>
      </c>
      <c r="V3372" s="52">
        <f>IF(0&lt;0.8,0,IF(0&lt;1,Sheet3!L561,1))*IF(G3372&lt;3,0.12 - O3372,0.01) *U3372</f>
        <v>0</v>
      </c>
      <c r="W3372" s="52">
        <f t="shared" si="922"/>
        <v>0</v>
      </c>
      <c r="X3372" s="53">
        <f t="shared" si="923"/>
        <v>0</v>
      </c>
      <c r="Y3372" s="53">
        <f t="shared" si="924"/>
        <v>0</v>
      </c>
      <c r="Z3372" s="54">
        <f t="shared" si="931"/>
        <v>0</v>
      </c>
      <c r="AA3372" s="54">
        <f t="shared" si="925"/>
        <v>0</v>
      </c>
      <c r="AB3372" s="55">
        <f t="shared" si="932"/>
        <v>0</v>
      </c>
      <c r="AC3372" s="55">
        <f t="shared" si="926"/>
        <v>0</v>
      </c>
      <c r="AD3372" s="56">
        <f t="shared" si="927"/>
        <v>20607.91</v>
      </c>
    </row>
    <row r="3373" spans="3:30">
      <c r="C3373" s="43" t="s">
        <v>6257</v>
      </c>
      <c r="D3373" s="44" t="s">
        <v>6258</v>
      </c>
      <c r="E3373" s="44"/>
      <c r="F3373" s="45">
        <v>42964.138287037036</v>
      </c>
      <c r="G3373" s="46">
        <v>13</v>
      </c>
      <c r="H3373" s="47">
        <v>43392</v>
      </c>
      <c r="I3373" s="47">
        <v>43373</v>
      </c>
      <c r="J3373" s="46">
        <v>777000</v>
      </c>
      <c r="K3373" s="46">
        <v>0</v>
      </c>
      <c r="L3373" s="46">
        <v>0</v>
      </c>
      <c r="M3373" s="46">
        <f t="shared" si="916"/>
        <v>777000</v>
      </c>
      <c r="N3373" s="46">
        <v>772067</v>
      </c>
      <c r="O3373" s="48">
        <f t="shared" si="917"/>
        <v>0</v>
      </c>
      <c r="P3373" s="46">
        <v>0</v>
      </c>
      <c r="Q3373" s="46">
        <v>777000</v>
      </c>
      <c r="R3373" s="49">
        <f t="shared" si="918"/>
        <v>1</v>
      </c>
      <c r="S3373" s="50">
        <f t="shared" si="919"/>
        <v>0.01</v>
      </c>
      <c r="T3373" s="49">
        <f t="shared" si="920"/>
        <v>7770</v>
      </c>
      <c r="U3373" s="51">
        <f t="shared" si="921"/>
        <v>0</v>
      </c>
      <c r="V3373" s="52">
        <f>IF(0&lt;0.8,0,IF(0&lt;1,Sheet3!L561,1))*IF(G3373&lt;3,0.12 - O3373,0.01) *U3373</f>
        <v>0</v>
      </c>
      <c r="W3373" s="52">
        <f t="shared" si="922"/>
        <v>0</v>
      </c>
      <c r="X3373" s="53">
        <f t="shared" si="923"/>
        <v>0</v>
      </c>
      <c r="Y3373" s="53">
        <f t="shared" si="924"/>
        <v>0</v>
      </c>
      <c r="Z3373" s="54">
        <f t="shared" si="931"/>
        <v>0</v>
      </c>
      <c r="AA3373" s="54">
        <f t="shared" si="925"/>
        <v>0</v>
      </c>
      <c r="AB3373" s="55">
        <f t="shared" si="932"/>
        <v>0</v>
      </c>
      <c r="AC3373" s="55">
        <f t="shared" si="926"/>
        <v>0</v>
      </c>
      <c r="AD3373" s="56">
        <f t="shared" si="927"/>
        <v>7770</v>
      </c>
    </row>
    <row r="3374" spans="3:30">
      <c r="C3374" s="43" t="s">
        <v>6259</v>
      </c>
      <c r="D3374" s="44" t="s">
        <v>6260</v>
      </c>
      <c r="E3374" s="44"/>
      <c r="F3374" s="45">
        <v>42970.156469907408</v>
      </c>
      <c r="G3374" s="46">
        <v>13</v>
      </c>
      <c r="H3374" s="47">
        <v>43382</v>
      </c>
      <c r="I3374" s="47">
        <v>43404</v>
      </c>
      <c r="J3374" s="46">
        <v>266000</v>
      </c>
      <c r="K3374" s="46">
        <v>0</v>
      </c>
      <c r="L3374" s="46">
        <v>0</v>
      </c>
      <c r="M3374" s="46">
        <f t="shared" si="916"/>
        <v>266000</v>
      </c>
      <c r="N3374" s="46">
        <v>256946</v>
      </c>
      <c r="O3374" s="48">
        <f t="shared" si="917"/>
        <v>0</v>
      </c>
      <c r="P3374" s="46">
        <v>0</v>
      </c>
      <c r="Q3374" s="46">
        <v>266000</v>
      </c>
      <c r="R3374" s="49">
        <f t="shared" si="918"/>
        <v>1</v>
      </c>
      <c r="S3374" s="50">
        <f t="shared" si="919"/>
        <v>0.01</v>
      </c>
      <c r="T3374" s="49">
        <f t="shared" si="920"/>
        <v>2660</v>
      </c>
      <c r="U3374" s="51">
        <f t="shared" si="921"/>
        <v>0</v>
      </c>
      <c r="V3374" s="52">
        <f>IF(0&lt;0.8,0,IF(0&lt;1,Sheet3!L561,1))*IF(G3374&lt;3,0.12 - O3374,0.01) *U3374</f>
        <v>0</v>
      </c>
      <c r="W3374" s="52">
        <f t="shared" si="922"/>
        <v>0</v>
      </c>
      <c r="X3374" s="53">
        <f t="shared" si="923"/>
        <v>0</v>
      </c>
      <c r="Y3374" s="53">
        <f t="shared" si="924"/>
        <v>0</v>
      </c>
      <c r="Z3374" s="54">
        <f t="shared" si="931"/>
        <v>0</v>
      </c>
      <c r="AA3374" s="54">
        <f t="shared" si="925"/>
        <v>0</v>
      </c>
      <c r="AB3374" s="55">
        <f t="shared" si="932"/>
        <v>0</v>
      </c>
      <c r="AC3374" s="55">
        <f t="shared" si="926"/>
        <v>0</v>
      </c>
      <c r="AD3374" s="56">
        <f t="shared" si="927"/>
        <v>2660</v>
      </c>
    </row>
    <row r="3375" spans="3:30">
      <c r="C3375" s="43" t="s">
        <v>6261</v>
      </c>
      <c r="D3375" s="44" t="s">
        <v>6262</v>
      </c>
      <c r="E3375" s="44"/>
      <c r="F3375" s="45">
        <v>42982.406724537039</v>
      </c>
      <c r="G3375" s="46">
        <v>12</v>
      </c>
      <c r="H3375" s="47">
        <v>43382</v>
      </c>
      <c r="I3375" s="47">
        <v>43404</v>
      </c>
      <c r="J3375" s="46">
        <v>22000</v>
      </c>
      <c r="K3375" s="46">
        <v>0</v>
      </c>
      <c r="L3375" s="46">
        <v>0</v>
      </c>
      <c r="M3375" s="46">
        <f t="shared" si="916"/>
        <v>22000</v>
      </c>
      <c r="N3375" s="46">
        <v>20168</v>
      </c>
      <c r="O3375" s="48">
        <f t="shared" si="917"/>
        <v>0</v>
      </c>
      <c r="P3375" s="46">
        <v>0</v>
      </c>
      <c r="Q3375" s="46">
        <v>22000</v>
      </c>
      <c r="R3375" s="49">
        <f t="shared" si="918"/>
        <v>1</v>
      </c>
      <c r="S3375" s="50">
        <f t="shared" si="919"/>
        <v>0.01</v>
      </c>
      <c r="T3375" s="49">
        <f t="shared" si="920"/>
        <v>220</v>
      </c>
      <c r="U3375" s="51">
        <f t="shared" si="921"/>
        <v>0</v>
      </c>
      <c r="V3375" s="52">
        <f>IF(0&lt;0.8,0,IF(0&lt;1,Sheet3!L561,1))*IF(G3375&lt;3,0.12 - O3375,0.01) *U3375</f>
        <v>0</v>
      </c>
      <c r="W3375" s="52">
        <f t="shared" si="922"/>
        <v>0</v>
      </c>
      <c r="X3375" s="53">
        <f t="shared" si="923"/>
        <v>0</v>
      </c>
      <c r="Y3375" s="53">
        <f t="shared" si="924"/>
        <v>0</v>
      </c>
      <c r="Z3375" s="54">
        <f t="shared" si="931"/>
        <v>0</v>
      </c>
      <c r="AA3375" s="54">
        <f t="shared" si="925"/>
        <v>0</v>
      </c>
      <c r="AB3375" s="55">
        <f t="shared" si="932"/>
        <v>0</v>
      </c>
      <c r="AC3375" s="55">
        <f t="shared" si="926"/>
        <v>0</v>
      </c>
      <c r="AD3375" s="56">
        <f t="shared" si="927"/>
        <v>220</v>
      </c>
    </row>
    <row r="3376" spans="3:30">
      <c r="C3376" s="43" t="s">
        <v>6263</v>
      </c>
      <c r="D3376" s="44" t="s">
        <v>6264</v>
      </c>
      <c r="E3376" s="44"/>
      <c r="F3376" s="45">
        <v>43201.340162037035</v>
      </c>
      <c r="G3376" s="46">
        <v>5</v>
      </c>
      <c r="H3376" s="47">
        <v>43382</v>
      </c>
      <c r="I3376" s="47">
        <v>43404</v>
      </c>
      <c r="J3376" s="46">
        <v>4797000</v>
      </c>
      <c r="K3376" s="46">
        <v>0</v>
      </c>
      <c r="L3376" s="46">
        <v>0</v>
      </c>
      <c r="M3376" s="46">
        <f t="shared" si="916"/>
        <v>4797000</v>
      </c>
      <c r="N3376" s="46">
        <v>4644041</v>
      </c>
      <c r="O3376" s="48">
        <f t="shared" si="917"/>
        <v>0</v>
      </c>
      <c r="P3376" s="46">
        <v>0</v>
      </c>
      <c r="Q3376" s="46">
        <v>4797000</v>
      </c>
      <c r="R3376" s="49">
        <f t="shared" si="918"/>
        <v>1</v>
      </c>
      <c r="S3376" s="50">
        <f t="shared" si="919"/>
        <v>0.01</v>
      </c>
      <c r="T3376" s="49">
        <f t="shared" si="920"/>
        <v>47970</v>
      </c>
      <c r="U3376" s="51">
        <f t="shared" si="921"/>
        <v>0</v>
      </c>
      <c r="V3376" s="52">
        <f>IF(0&lt;0.8,0,IF(0&lt;1,Sheet3!L561,1))*IF(G3376&lt;3,0.12 - O3376,0.01) *U3376</f>
        <v>0</v>
      </c>
      <c r="W3376" s="52">
        <f t="shared" si="922"/>
        <v>0</v>
      </c>
      <c r="X3376" s="53">
        <f t="shared" si="923"/>
        <v>0</v>
      </c>
      <c r="Y3376" s="53">
        <f t="shared" si="924"/>
        <v>0</v>
      </c>
      <c r="Z3376" s="54">
        <f t="shared" si="931"/>
        <v>0</v>
      </c>
      <c r="AA3376" s="54">
        <f t="shared" si="925"/>
        <v>0</v>
      </c>
      <c r="AB3376" s="55">
        <f t="shared" si="932"/>
        <v>0</v>
      </c>
      <c r="AC3376" s="55">
        <f t="shared" si="926"/>
        <v>0</v>
      </c>
      <c r="AD3376" s="56">
        <f t="shared" si="927"/>
        <v>47970</v>
      </c>
    </row>
    <row r="3377" spans="3:30">
      <c r="C3377" s="43" t="s">
        <v>6265</v>
      </c>
      <c r="D3377" s="44" t="s">
        <v>6266</v>
      </c>
      <c r="E3377" s="44"/>
      <c r="F3377" s="45">
        <v>43231.087719907402</v>
      </c>
      <c r="G3377" s="46">
        <v>4</v>
      </c>
      <c r="H3377" s="47">
        <v>43392</v>
      </c>
      <c r="I3377" s="47">
        <v>43404</v>
      </c>
      <c r="J3377" s="46">
        <v>6742000</v>
      </c>
      <c r="K3377" s="46">
        <v>0</v>
      </c>
      <c r="L3377" s="46">
        <v>0</v>
      </c>
      <c r="M3377" s="46">
        <f t="shared" si="916"/>
        <v>6742000</v>
      </c>
      <c r="N3377" s="46">
        <v>5753577</v>
      </c>
      <c r="O3377" s="48">
        <f t="shared" si="917"/>
        <v>0</v>
      </c>
      <c r="P3377" s="46">
        <v>0</v>
      </c>
      <c r="Q3377" s="46">
        <v>6822000</v>
      </c>
      <c r="R3377" s="49">
        <f t="shared" si="918"/>
        <v>1</v>
      </c>
      <c r="S3377" s="50">
        <f t="shared" si="919"/>
        <v>0.01</v>
      </c>
      <c r="T3377" s="49">
        <f t="shared" si="920"/>
        <v>67420</v>
      </c>
      <c r="U3377" s="51">
        <f t="shared" si="921"/>
        <v>0</v>
      </c>
      <c r="V3377" s="52">
        <f>IF(0&lt;0.8,0,IF(0&lt;1,Sheet3!L561,1))*IF(G3377&lt;3,0.12 - O3377,0.01) *U3377</f>
        <v>0</v>
      </c>
      <c r="W3377" s="52">
        <f t="shared" si="922"/>
        <v>0</v>
      </c>
      <c r="X3377" s="53">
        <f t="shared" si="923"/>
        <v>0</v>
      </c>
      <c r="Y3377" s="53">
        <f t="shared" si="924"/>
        <v>0</v>
      </c>
      <c r="Z3377" s="54">
        <f t="shared" si="931"/>
        <v>0</v>
      </c>
      <c r="AA3377" s="54">
        <f t="shared" si="925"/>
        <v>0</v>
      </c>
      <c r="AB3377" s="55">
        <f t="shared" si="932"/>
        <v>0</v>
      </c>
      <c r="AC3377" s="55">
        <f t="shared" si="926"/>
        <v>0</v>
      </c>
      <c r="AD3377" s="56">
        <f t="shared" si="927"/>
        <v>67420</v>
      </c>
    </row>
    <row r="3378" spans="3:30">
      <c r="C3378" s="43" t="s">
        <v>6267</v>
      </c>
      <c r="D3378" s="44" t="s">
        <v>6268</v>
      </c>
      <c r="E3378" s="44"/>
      <c r="F3378" s="45">
        <v>42521.336018518516</v>
      </c>
      <c r="G3378" s="46">
        <v>28</v>
      </c>
      <c r="H3378" s="47" t="s">
        <v>24</v>
      </c>
      <c r="I3378" s="47" t="s">
        <v>24</v>
      </c>
      <c r="J3378" s="46">
        <v>0</v>
      </c>
      <c r="K3378" s="46">
        <v>0</v>
      </c>
      <c r="L3378" s="46">
        <v>0</v>
      </c>
      <c r="M3378" s="46">
        <f t="shared" si="916"/>
        <v>0</v>
      </c>
      <c r="N3378" s="46">
        <v>1406243</v>
      </c>
      <c r="O3378" s="48">
        <f t="shared" si="917"/>
        <v>1</v>
      </c>
      <c r="P3378" s="46">
        <v>0</v>
      </c>
      <c r="Q3378" s="46">
        <v>0</v>
      </c>
      <c r="R3378" s="49">
        <f t="shared" si="918"/>
        <v>1</v>
      </c>
      <c r="S3378" s="50">
        <f t="shared" si="919"/>
        <v>0.01</v>
      </c>
      <c r="T3378" s="49">
        <f t="shared" si="920"/>
        <v>0</v>
      </c>
      <c r="U3378" s="51">
        <f t="shared" si="921"/>
        <v>0</v>
      </c>
      <c r="V3378" s="52">
        <f>IF(0&lt;0.8,0,IF(0&lt;1,Sheet3!L561,1))*IF(G3378&lt;3,0.12 - O3378,0.01) *U3378</f>
        <v>0</v>
      </c>
      <c r="W3378" s="52">
        <f t="shared" si="922"/>
        <v>0</v>
      </c>
      <c r="X3378" s="53">
        <f t="shared" si="923"/>
        <v>0</v>
      </c>
      <c r="Y3378" s="53">
        <f t="shared" si="924"/>
        <v>0</v>
      </c>
      <c r="Z3378" s="54">
        <f>IF(R3378=1,0,"")</f>
        <v>0</v>
      </c>
      <c r="AA3378" s="54">
        <f t="shared" si="925"/>
        <v>0</v>
      </c>
      <c r="AB3378" s="55">
        <f>IF(R3378=0,"",0)</f>
        <v>0</v>
      </c>
      <c r="AC3378" s="55">
        <f t="shared" si="926"/>
        <v>0</v>
      </c>
      <c r="AD3378" s="56">
        <f t="shared" si="927"/>
        <v>0</v>
      </c>
    </row>
    <row r="3379" spans="3:30">
      <c r="C3379" s="43" t="s">
        <v>6269</v>
      </c>
      <c r="D3379" s="44" t="s">
        <v>995</v>
      </c>
      <c r="E3379" s="44"/>
      <c r="F3379" s="45">
        <v>43316.208761574075</v>
      </c>
      <c r="G3379" s="46">
        <v>1</v>
      </c>
      <c r="H3379" s="47">
        <v>43434</v>
      </c>
      <c r="I3379" s="47">
        <v>43460</v>
      </c>
      <c r="J3379" s="46">
        <v>889804</v>
      </c>
      <c r="K3379" s="46">
        <v>0</v>
      </c>
      <c r="L3379" s="46">
        <v>0</v>
      </c>
      <c r="M3379" s="46">
        <f t="shared" ref="M3379:M3442" si="933">IFERROR(J3379-K3379-L3379,0)</f>
        <v>889804</v>
      </c>
      <c r="N3379" s="46">
        <v>863769</v>
      </c>
      <c r="O3379" s="48">
        <f t="shared" ref="O3379:O3442" si="934">IFERROR(IF(1 - M3379/N3379&lt;0,0,1-M3379/N3379),0)</f>
        <v>0</v>
      </c>
      <c r="P3379" s="46">
        <v>0</v>
      </c>
      <c r="Q3379" s="46">
        <v>0</v>
      </c>
      <c r="R3379" s="49">
        <f t="shared" ref="R3379:R3442" si="935">IF(F3379&lt;DATEVALUE("2018-07-01"),1,0)</f>
        <v>0</v>
      </c>
      <c r="S3379" s="50">
        <f t="shared" ref="S3379:S3442" si="936">IF(R3379=1,1%,0)</f>
        <v>0</v>
      </c>
      <c r="T3379" s="49">
        <f t="shared" ref="T3379:T3442" si="937">IFERROR(S3379*M3379,0)</f>
        <v>0</v>
      </c>
      <c r="U3379" s="51">
        <f t="shared" ref="U3379:U3442" si="938">IF(O3379&lt;=0.12,1,0)*(1-R3379)*M3379</f>
        <v>889804</v>
      </c>
      <c r="V3379" s="52">
        <f>IF(0&lt;0.8,0,IF(0&lt;1,Sheet3!L561,1))*IF(G3379&lt;3,0.12 - O3379,0.01) *U3379</f>
        <v>0</v>
      </c>
      <c r="W3379" s="52">
        <f t="shared" ref="W3379:W3442" si="939">IF(0&gt;1,IF(0&lt;=1.1,1,IF(0&lt;=1.2,2,IF(0&lt;=1.5,3,5))),0) * 1000000</f>
        <v>0</v>
      </c>
      <c r="X3379" s="53">
        <f t="shared" ref="X3379:X3442" si="940">IF(AND(P3379&gt;=150000000,P3379&lt;300000000),5000000,IF(AND(P3379&gt;=300000000,P3379&lt;500000000),10000000,IF(AND(P3379&gt;=300000000,P3379&lt;500000000),15000000,IF(AND(P3379&gt;=500000000,P3379&lt;3000000000),20000000,IF(P3379&gt;=30000000000,35000000,0))))) * (1-R3379)</f>
        <v>0</v>
      </c>
      <c r="Y3379" s="53">
        <f t="shared" ref="Y3379:Y3442" si="941">IFERROR(Q3379 * (1-R3379),0)</f>
        <v>0</v>
      </c>
      <c r="Z3379" s="54">
        <f t="shared" ref="Z3379:Z3412" si="942">IF(R3379=1,0,0)</f>
        <v>0</v>
      </c>
      <c r="AA3379" s="54">
        <f t="shared" ref="AA3379:AA3442" si="943">IFERROR((1-R3379) * Z3379 * 2%,0)</f>
        <v>0</v>
      </c>
      <c r="AB3379" s="55">
        <f t="shared" ref="AB3379:AB3403" si="944">IF(R3379=0,0,0)</f>
        <v>0</v>
      </c>
      <c r="AC3379" s="55">
        <f t="shared" ref="AC3379:AC3442" si="945">IFERROR(AB3379 * (1-R3379) * 2%,0)</f>
        <v>0</v>
      </c>
      <c r="AD3379" s="56">
        <f t="shared" ref="AD3379:AD3442" si="946">T3379+V3379+W3379+X3379+AA3379+AC3379</f>
        <v>0</v>
      </c>
    </row>
    <row r="3380" spans="3:30">
      <c r="C3380" s="43" t="s">
        <v>6270</v>
      </c>
      <c r="D3380" s="44" t="s">
        <v>995</v>
      </c>
      <c r="E3380" s="44"/>
      <c r="F3380" s="45">
        <v>43316.210462962961</v>
      </c>
      <c r="G3380" s="46">
        <v>1</v>
      </c>
      <c r="H3380" s="47">
        <v>43459</v>
      </c>
      <c r="I3380" s="47">
        <v>43487</v>
      </c>
      <c r="J3380" s="46">
        <v>1151996</v>
      </c>
      <c r="K3380" s="46">
        <v>0</v>
      </c>
      <c r="L3380" s="46">
        <v>0</v>
      </c>
      <c r="M3380" s="46">
        <f t="shared" si="933"/>
        <v>1151996</v>
      </c>
      <c r="N3380" s="46">
        <v>1257129</v>
      </c>
      <c r="O3380" s="48">
        <f t="shared" si="934"/>
        <v>8.3629444551831966E-2</v>
      </c>
      <c r="P3380" s="46">
        <v>0</v>
      </c>
      <c r="Q3380" s="46">
        <v>0</v>
      </c>
      <c r="R3380" s="49">
        <f t="shared" si="935"/>
        <v>0</v>
      </c>
      <c r="S3380" s="50">
        <f t="shared" si="936"/>
        <v>0</v>
      </c>
      <c r="T3380" s="49">
        <f t="shared" si="937"/>
        <v>0</v>
      </c>
      <c r="U3380" s="51">
        <f t="shared" si="938"/>
        <v>1151996</v>
      </c>
      <c r="V3380" s="52">
        <f>IF(0&lt;0.8,0,IF(0&lt;1,Sheet3!L561,1))*IF(G3380&lt;3,0.12 - O3380,0.01) *U3380</f>
        <v>0</v>
      </c>
      <c r="W3380" s="52">
        <f t="shared" si="939"/>
        <v>0</v>
      </c>
      <c r="X3380" s="53">
        <f t="shared" si="940"/>
        <v>0</v>
      </c>
      <c r="Y3380" s="53">
        <f t="shared" si="941"/>
        <v>0</v>
      </c>
      <c r="Z3380" s="54">
        <f t="shared" si="942"/>
        <v>0</v>
      </c>
      <c r="AA3380" s="54">
        <f t="shared" si="943"/>
        <v>0</v>
      </c>
      <c r="AB3380" s="55">
        <f t="shared" si="944"/>
        <v>0</v>
      </c>
      <c r="AC3380" s="55">
        <f t="shared" si="945"/>
        <v>0</v>
      </c>
      <c r="AD3380" s="56">
        <f t="shared" si="946"/>
        <v>0</v>
      </c>
    </row>
    <row r="3381" spans="3:30">
      <c r="C3381" s="43" t="s">
        <v>6271</v>
      </c>
      <c r="D3381" s="44" t="s">
        <v>995</v>
      </c>
      <c r="E3381" s="44"/>
      <c r="F3381" s="45">
        <v>43316.211446759255</v>
      </c>
      <c r="G3381" s="46">
        <v>1</v>
      </c>
      <c r="H3381" s="47">
        <v>43431</v>
      </c>
      <c r="I3381" s="47">
        <v>43460</v>
      </c>
      <c r="J3381" s="46">
        <v>713752</v>
      </c>
      <c r="K3381" s="46">
        <v>0</v>
      </c>
      <c r="L3381" s="46">
        <v>0</v>
      </c>
      <c r="M3381" s="46">
        <f t="shared" si="933"/>
        <v>713752</v>
      </c>
      <c r="N3381" s="46">
        <v>713796</v>
      </c>
      <c r="O3381" s="48">
        <f t="shared" si="934"/>
        <v>6.1642261934835574E-5</v>
      </c>
      <c r="P3381" s="46">
        <v>0</v>
      </c>
      <c r="Q3381" s="46">
        <v>0</v>
      </c>
      <c r="R3381" s="49">
        <f t="shared" si="935"/>
        <v>0</v>
      </c>
      <c r="S3381" s="50">
        <f t="shared" si="936"/>
        <v>0</v>
      </c>
      <c r="T3381" s="49">
        <f t="shared" si="937"/>
        <v>0</v>
      </c>
      <c r="U3381" s="51">
        <f t="shared" si="938"/>
        <v>713752</v>
      </c>
      <c r="V3381" s="52">
        <f>IF(0&lt;0.8,0,IF(0&lt;1,Sheet3!L561,1))*IF(G3381&lt;3,0.12 - O3381,0.01) *U3381</f>
        <v>0</v>
      </c>
      <c r="W3381" s="52">
        <f t="shared" si="939"/>
        <v>0</v>
      </c>
      <c r="X3381" s="53">
        <f t="shared" si="940"/>
        <v>0</v>
      </c>
      <c r="Y3381" s="53">
        <f t="shared" si="941"/>
        <v>0</v>
      </c>
      <c r="Z3381" s="54">
        <f t="shared" si="942"/>
        <v>0</v>
      </c>
      <c r="AA3381" s="54">
        <f t="shared" si="943"/>
        <v>0</v>
      </c>
      <c r="AB3381" s="55">
        <f t="shared" si="944"/>
        <v>0</v>
      </c>
      <c r="AC3381" s="55">
        <f t="shared" si="945"/>
        <v>0</v>
      </c>
      <c r="AD3381" s="56">
        <f t="shared" si="946"/>
        <v>0</v>
      </c>
    </row>
    <row r="3382" spans="3:30">
      <c r="C3382" s="43" t="s">
        <v>6272</v>
      </c>
      <c r="D3382" s="44" t="s">
        <v>995</v>
      </c>
      <c r="E3382" s="44"/>
      <c r="F3382" s="45">
        <v>43316.212060185186</v>
      </c>
      <c r="G3382" s="46">
        <v>1</v>
      </c>
      <c r="H3382" s="47">
        <v>43431</v>
      </c>
      <c r="I3382" s="47">
        <v>43460</v>
      </c>
      <c r="J3382" s="46">
        <v>558591</v>
      </c>
      <c r="K3382" s="46">
        <v>0</v>
      </c>
      <c r="L3382" s="46">
        <v>0</v>
      </c>
      <c r="M3382" s="46">
        <f t="shared" si="933"/>
        <v>558591</v>
      </c>
      <c r="N3382" s="46">
        <v>556735</v>
      </c>
      <c r="O3382" s="48">
        <f t="shared" si="934"/>
        <v>0</v>
      </c>
      <c r="P3382" s="46">
        <v>0</v>
      </c>
      <c r="Q3382" s="46">
        <v>0</v>
      </c>
      <c r="R3382" s="49">
        <f t="shared" si="935"/>
        <v>0</v>
      </c>
      <c r="S3382" s="50">
        <f t="shared" si="936"/>
        <v>0</v>
      </c>
      <c r="T3382" s="49">
        <f t="shared" si="937"/>
        <v>0</v>
      </c>
      <c r="U3382" s="51">
        <f t="shared" si="938"/>
        <v>558591</v>
      </c>
      <c r="V3382" s="52">
        <f>IF(0&lt;0.8,0,IF(0&lt;1,Sheet3!L561,1))*IF(G3382&lt;3,0.12 - O3382,0.01) *U3382</f>
        <v>0</v>
      </c>
      <c r="W3382" s="52">
        <f t="shared" si="939"/>
        <v>0</v>
      </c>
      <c r="X3382" s="53">
        <f t="shared" si="940"/>
        <v>0</v>
      </c>
      <c r="Y3382" s="53">
        <f t="shared" si="941"/>
        <v>0</v>
      </c>
      <c r="Z3382" s="54">
        <f t="shared" si="942"/>
        <v>0</v>
      </c>
      <c r="AA3382" s="54">
        <f t="shared" si="943"/>
        <v>0</v>
      </c>
      <c r="AB3382" s="55">
        <f t="shared" si="944"/>
        <v>0</v>
      </c>
      <c r="AC3382" s="55">
        <f t="shared" si="945"/>
        <v>0</v>
      </c>
      <c r="AD3382" s="56">
        <f t="shared" si="946"/>
        <v>0</v>
      </c>
    </row>
    <row r="3383" spans="3:30">
      <c r="C3383" s="43" t="s">
        <v>6273</v>
      </c>
      <c r="D3383" s="44" t="s">
        <v>995</v>
      </c>
      <c r="E3383" s="44"/>
      <c r="F3383" s="45">
        <v>43316.233472222222</v>
      </c>
      <c r="G3383" s="46">
        <v>1</v>
      </c>
      <c r="H3383" s="47">
        <v>43431</v>
      </c>
      <c r="I3383" s="47">
        <v>43460</v>
      </c>
      <c r="J3383" s="46">
        <v>915030</v>
      </c>
      <c r="K3383" s="46">
        <v>0</v>
      </c>
      <c r="L3383" s="46">
        <v>0</v>
      </c>
      <c r="M3383" s="46">
        <f t="shared" si="933"/>
        <v>915030</v>
      </c>
      <c r="N3383" s="46">
        <v>962289</v>
      </c>
      <c r="O3383" s="48">
        <f t="shared" si="934"/>
        <v>4.9111025897625393E-2</v>
      </c>
      <c r="P3383" s="46">
        <v>0</v>
      </c>
      <c r="Q3383" s="46">
        <v>0</v>
      </c>
      <c r="R3383" s="49">
        <f t="shared" si="935"/>
        <v>0</v>
      </c>
      <c r="S3383" s="50">
        <f t="shared" si="936"/>
        <v>0</v>
      </c>
      <c r="T3383" s="49">
        <f t="shared" si="937"/>
        <v>0</v>
      </c>
      <c r="U3383" s="51">
        <f t="shared" si="938"/>
        <v>915030</v>
      </c>
      <c r="V3383" s="52">
        <f>IF(0&lt;0.8,0,IF(0&lt;1,Sheet3!L561,1))*IF(G3383&lt;3,0.12 - O3383,0.01) *U3383</f>
        <v>0</v>
      </c>
      <c r="W3383" s="52">
        <f t="shared" si="939"/>
        <v>0</v>
      </c>
      <c r="X3383" s="53">
        <f t="shared" si="940"/>
        <v>0</v>
      </c>
      <c r="Y3383" s="53">
        <f t="shared" si="941"/>
        <v>0</v>
      </c>
      <c r="Z3383" s="54">
        <f t="shared" si="942"/>
        <v>0</v>
      </c>
      <c r="AA3383" s="54">
        <f t="shared" si="943"/>
        <v>0</v>
      </c>
      <c r="AB3383" s="55">
        <f t="shared" si="944"/>
        <v>0</v>
      </c>
      <c r="AC3383" s="55">
        <f t="shared" si="945"/>
        <v>0</v>
      </c>
      <c r="AD3383" s="56">
        <f t="shared" si="946"/>
        <v>0</v>
      </c>
    </row>
    <row r="3384" spans="3:30">
      <c r="C3384" s="43" t="s">
        <v>6274</v>
      </c>
      <c r="D3384" s="44" t="s">
        <v>6275</v>
      </c>
      <c r="E3384" s="44"/>
      <c r="F3384" s="45">
        <v>39692.710081018515</v>
      </c>
      <c r="G3384" s="46">
        <v>120</v>
      </c>
      <c r="H3384" s="47">
        <v>43372</v>
      </c>
      <c r="I3384" s="47">
        <v>43423</v>
      </c>
      <c r="J3384" s="46">
        <v>340150</v>
      </c>
      <c r="K3384" s="46">
        <v>0</v>
      </c>
      <c r="L3384" s="46">
        <v>0</v>
      </c>
      <c r="M3384" s="46">
        <f t="shared" si="933"/>
        <v>340150</v>
      </c>
      <c r="N3384" s="46">
        <v>340182</v>
      </c>
      <c r="O3384" s="48">
        <f t="shared" si="934"/>
        <v>9.4067293390009965E-5</v>
      </c>
      <c r="P3384" s="46">
        <v>0</v>
      </c>
      <c r="Q3384" s="46">
        <v>340150</v>
      </c>
      <c r="R3384" s="49">
        <f t="shared" si="935"/>
        <v>1</v>
      </c>
      <c r="S3384" s="50">
        <f t="shared" si="936"/>
        <v>0.01</v>
      </c>
      <c r="T3384" s="49">
        <f t="shared" si="937"/>
        <v>3401.5</v>
      </c>
      <c r="U3384" s="51">
        <f t="shared" si="938"/>
        <v>0</v>
      </c>
      <c r="V3384" s="52">
        <f>IF(0&lt;0.8,0,IF(0&lt;1,Sheet3!L561,1))*IF(G3384&lt;3,0.12 - O3384,0.01) *U3384</f>
        <v>0</v>
      </c>
      <c r="W3384" s="52">
        <f t="shared" si="939"/>
        <v>0</v>
      </c>
      <c r="X3384" s="53">
        <f t="shared" si="940"/>
        <v>0</v>
      </c>
      <c r="Y3384" s="53">
        <f t="shared" si="941"/>
        <v>0</v>
      </c>
      <c r="Z3384" s="54">
        <f t="shared" si="942"/>
        <v>0</v>
      </c>
      <c r="AA3384" s="54">
        <f t="shared" si="943"/>
        <v>0</v>
      </c>
      <c r="AB3384" s="55">
        <f t="shared" si="944"/>
        <v>0</v>
      </c>
      <c r="AC3384" s="55">
        <f t="shared" si="945"/>
        <v>0</v>
      </c>
      <c r="AD3384" s="56">
        <f t="shared" si="946"/>
        <v>3401.5</v>
      </c>
    </row>
    <row r="3385" spans="3:30">
      <c r="C3385" s="43" t="s">
        <v>6276</v>
      </c>
      <c r="D3385" s="44" t="s">
        <v>6277</v>
      </c>
      <c r="E3385" s="44"/>
      <c r="F3385" s="45">
        <v>40084.632187499999</v>
      </c>
      <c r="G3385" s="46">
        <v>108</v>
      </c>
      <c r="H3385" s="47">
        <v>43372</v>
      </c>
      <c r="I3385" s="47">
        <v>43389</v>
      </c>
      <c r="J3385" s="46">
        <v>1324400</v>
      </c>
      <c r="K3385" s="46">
        <v>0</v>
      </c>
      <c r="L3385" s="46">
        <v>0</v>
      </c>
      <c r="M3385" s="46">
        <f t="shared" si="933"/>
        <v>1324400</v>
      </c>
      <c r="N3385" s="46">
        <v>1324400</v>
      </c>
      <c r="O3385" s="48">
        <f t="shared" si="934"/>
        <v>0</v>
      </c>
      <c r="P3385" s="46">
        <v>0</v>
      </c>
      <c r="Q3385" s="46">
        <v>1324400</v>
      </c>
      <c r="R3385" s="49">
        <f t="shared" si="935"/>
        <v>1</v>
      </c>
      <c r="S3385" s="50">
        <f t="shared" si="936"/>
        <v>0.01</v>
      </c>
      <c r="T3385" s="49">
        <f t="shared" si="937"/>
        <v>13244</v>
      </c>
      <c r="U3385" s="51">
        <f t="shared" si="938"/>
        <v>0</v>
      </c>
      <c r="V3385" s="52">
        <f>IF(0&lt;0.8,0,IF(0&lt;1,Sheet3!L561,1))*IF(G3385&lt;3,0.12 - O3385,0.01) *U3385</f>
        <v>0</v>
      </c>
      <c r="W3385" s="52">
        <f t="shared" si="939"/>
        <v>0</v>
      </c>
      <c r="X3385" s="53">
        <f t="shared" si="940"/>
        <v>0</v>
      </c>
      <c r="Y3385" s="53">
        <f t="shared" si="941"/>
        <v>0</v>
      </c>
      <c r="Z3385" s="54">
        <f t="shared" si="942"/>
        <v>0</v>
      </c>
      <c r="AA3385" s="54">
        <f t="shared" si="943"/>
        <v>0</v>
      </c>
      <c r="AB3385" s="55">
        <f t="shared" si="944"/>
        <v>0</v>
      </c>
      <c r="AC3385" s="55">
        <f t="shared" si="945"/>
        <v>0</v>
      </c>
      <c r="AD3385" s="56">
        <f t="shared" si="946"/>
        <v>13244</v>
      </c>
    </row>
    <row r="3386" spans="3:30">
      <c r="C3386" s="43" t="s">
        <v>6278</v>
      </c>
      <c r="D3386" s="44" t="s">
        <v>6279</v>
      </c>
      <c r="E3386" s="44"/>
      <c r="F3386" s="45">
        <v>40084.633194444446</v>
      </c>
      <c r="G3386" s="46">
        <v>108</v>
      </c>
      <c r="H3386" s="47" t="s">
        <v>24</v>
      </c>
      <c r="I3386" s="47" t="s">
        <v>24</v>
      </c>
      <c r="J3386" s="46">
        <v>1283800</v>
      </c>
      <c r="K3386" s="46">
        <v>0</v>
      </c>
      <c r="L3386" s="46">
        <v>0</v>
      </c>
      <c r="M3386" s="46">
        <f t="shared" si="933"/>
        <v>1283800</v>
      </c>
      <c r="N3386" s="46">
        <v>1283482</v>
      </c>
      <c r="O3386" s="48">
        <f t="shared" si="934"/>
        <v>0</v>
      </c>
      <c r="P3386" s="46">
        <v>0</v>
      </c>
      <c r="Q3386" s="46">
        <v>1283800</v>
      </c>
      <c r="R3386" s="49">
        <f t="shared" si="935"/>
        <v>1</v>
      </c>
      <c r="S3386" s="50">
        <f t="shared" si="936"/>
        <v>0.01</v>
      </c>
      <c r="T3386" s="49">
        <f t="shared" si="937"/>
        <v>12838</v>
      </c>
      <c r="U3386" s="51">
        <f t="shared" si="938"/>
        <v>0</v>
      </c>
      <c r="V3386" s="52">
        <f>IF(0&lt;0.8,0,IF(0&lt;1,Sheet3!L561,1))*IF(G3386&lt;3,0.12 - O3386,0.01) *U3386</f>
        <v>0</v>
      </c>
      <c r="W3386" s="52">
        <f t="shared" si="939"/>
        <v>0</v>
      </c>
      <c r="X3386" s="53">
        <f t="shared" si="940"/>
        <v>0</v>
      </c>
      <c r="Y3386" s="53">
        <f t="shared" si="941"/>
        <v>0</v>
      </c>
      <c r="Z3386" s="54">
        <f t="shared" si="942"/>
        <v>0</v>
      </c>
      <c r="AA3386" s="54">
        <f t="shared" si="943"/>
        <v>0</v>
      </c>
      <c r="AB3386" s="55">
        <f t="shared" si="944"/>
        <v>0</v>
      </c>
      <c r="AC3386" s="55">
        <f t="shared" si="945"/>
        <v>0</v>
      </c>
      <c r="AD3386" s="56">
        <f t="shared" si="946"/>
        <v>12838</v>
      </c>
    </row>
    <row r="3387" spans="3:30">
      <c r="C3387" s="43" t="s">
        <v>6280</v>
      </c>
      <c r="D3387" s="44" t="s">
        <v>6281</v>
      </c>
      <c r="E3387" s="44"/>
      <c r="F3387" s="45">
        <v>40256.584826388884</v>
      </c>
      <c r="G3387" s="46">
        <v>102</v>
      </c>
      <c r="H3387" s="47">
        <v>43372</v>
      </c>
      <c r="I3387" s="47">
        <v>43451</v>
      </c>
      <c r="J3387" s="46">
        <v>441770</v>
      </c>
      <c r="K3387" s="46">
        <v>0</v>
      </c>
      <c r="L3387" s="46">
        <v>0</v>
      </c>
      <c r="M3387" s="46">
        <f t="shared" si="933"/>
        <v>441770</v>
      </c>
      <c r="N3387" s="46">
        <v>442170</v>
      </c>
      <c r="O3387" s="48">
        <f t="shared" si="934"/>
        <v>9.0462944116520561E-4</v>
      </c>
      <c r="P3387" s="46">
        <v>0</v>
      </c>
      <c r="Q3387" s="46">
        <v>441770</v>
      </c>
      <c r="R3387" s="49">
        <f t="shared" si="935"/>
        <v>1</v>
      </c>
      <c r="S3387" s="50">
        <f t="shared" si="936"/>
        <v>0.01</v>
      </c>
      <c r="T3387" s="49">
        <f t="shared" si="937"/>
        <v>4417.7</v>
      </c>
      <c r="U3387" s="51">
        <f t="shared" si="938"/>
        <v>0</v>
      </c>
      <c r="V3387" s="52">
        <f>IF(0&lt;0.8,0,IF(0&lt;1,Sheet3!L561,1))*IF(G3387&lt;3,0.12 - O3387,0.01) *U3387</f>
        <v>0</v>
      </c>
      <c r="W3387" s="52">
        <f t="shared" si="939"/>
        <v>0</v>
      </c>
      <c r="X3387" s="53">
        <f t="shared" si="940"/>
        <v>0</v>
      </c>
      <c r="Y3387" s="53">
        <f t="shared" si="941"/>
        <v>0</v>
      </c>
      <c r="Z3387" s="54">
        <f t="shared" si="942"/>
        <v>0</v>
      </c>
      <c r="AA3387" s="54">
        <f t="shared" si="943"/>
        <v>0</v>
      </c>
      <c r="AB3387" s="55">
        <f t="shared" si="944"/>
        <v>0</v>
      </c>
      <c r="AC3387" s="55">
        <f t="shared" si="945"/>
        <v>0</v>
      </c>
      <c r="AD3387" s="56">
        <f t="shared" si="946"/>
        <v>4417.7</v>
      </c>
    </row>
    <row r="3388" spans="3:30">
      <c r="C3388" s="43" t="s">
        <v>6282</v>
      </c>
      <c r="D3388" s="44" t="s">
        <v>6283</v>
      </c>
      <c r="E3388" s="44"/>
      <c r="F3388" s="45">
        <v>40361.742094907408</v>
      </c>
      <c r="G3388" s="46">
        <v>98</v>
      </c>
      <c r="H3388" s="47">
        <v>43372</v>
      </c>
      <c r="I3388" s="47">
        <v>43397</v>
      </c>
      <c r="J3388" s="46">
        <v>1957120</v>
      </c>
      <c r="K3388" s="46">
        <v>0</v>
      </c>
      <c r="L3388" s="46">
        <v>0</v>
      </c>
      <c r="M3388" s="46">
        <f t="shared" si="933"/>
        <v>1957120</v>
      </c>
      <c r="N3388" s="46">
        <v>1957120</v>
      </c>
      <c r="O3388" s="48">
        <f t="shared" si="934"/>
        <v>0</v>
      </c>
      <c r="P3388" s="46">
        <v>0</v>
      </c>
      <c r="Q3388" s="46">
        <v>1957120</v>
      </c>
      <c r="R3388" s="49">
        <f t="shared" si="935"/>
        <v>1</v>
      </c>
      <c r="S3388" s="50">
        <f t="shared" si="936"/>
        <v>0.01</v>
      </c>
      <c r="T3388" s="49">
        <f t="shared" si="937"/>
        <v>19571.2</v>
      </c>
      <c r="U3388" s="51">
        <f t="shared" si="938"/>
        <v>0</v>
      </c>
      <c r="V3388" s="52">
        <f>IF(0&lt;0.8,0,IF(0&lt;1,Sheet3!L561,1))*IF(G3388&lt;3,0.12 - O3388,0.01) *U3388</f>
        <v>0</v>
      </c>
      <c r="W3388" s="52">
        <f t="shared" si="939"/>
        <v>0</v>
      </c>
      <c r="X3388" s="53">
        <f t="shared" si="940"/>
        <v>0</v>
      </c>
      <c r="Y3388" s="53">
        <f t="shared" si="941"/>
        <v>0</v>
      </c>
      <c r="Z3388" s="54">
        <f t="shared" si="942"/>
        <v>0</v>
      </c>
      <c r="AA3388" s="54">
        <f t="shared" si="943"/>
        <v>0</v>
      </c>
      <c r="AB3388" s="55">
        <f t="shared" si="944"/>
        <v>0</v>
      </c>
      <c r="AC3388" s="55">
        <f t="shared" si="945"/>
        <v>0</v>
      </c>
      <c r="AD3388" s="56">
        <f t="shared" si="946"/>
        <v>19571.2</v>
      </c>
    </row>
    <row r="3389" spans="3:30">
      <c r="C3389" s="43" t="s">
        <v>6284</v>
      </c>
      <c r="D3389" s="44" t="s">
        <v>6285</v>
      </c>
      <c r="E3389" s="44"/>
      <c r="F3389" s="45">
        <v>40665.841493055552</v>
      </c>
      <c r="G3389" s="46">
        <v>88</v>
      </c>
      <c r="H3389" s="47">
        <v>43372</v>
      </c>
      <c r="I3389" s="47">
        <v>43423</v>
      </c>
      <c r="J3389" s="46">
        <v>292400</v>
      </c>
      <c r="K3389" s="46">
        <v>0</v>
      </c>
      <c r="L3389" s="46">
        <v>0</v>
      </c>
      <c r="M3389" s="46">
        <f t="shared" si="933"/>
        <v>292400</v>
      </c>
      <c r="N3389" s="46">
        <v>292400</v>
      </c>
      <c r="O3389" s="48">
        <f t="shared" si="934"/>
        <v>0</v>
      </c>
      <c r="P3389" s="46">
        <v>0</v>
      </c>
      <c r="Q3389" s="46">
        <v>292400</v>
      </c>
      <c r="R3389" s="49">
        <f t="shared" si="935"/>
        <v>1</v>
      </c>
      <c r="S3389" s="50">
        <f t="shared" si="936"/>
        <v>0.01</v>
      </c>
      <c r="T3389" s="49">
        <f t="shared" si="937"/>
        <v>2924</v>
      </c>
      <c r="U3389" s="51">
        <f t="shared" si="938"/>
        <v>0</v>
      </c>
      <c r="V3389" s="52">
        <f>IF(0&lt;0.8,0,IF(0&lt;1,Sheet3!L561,1))*IF(G3389&lt;3,0.12 - O3389,0.01) *U3389</f>
        <v>0</v>
      </c>
      <c r="W3389" s="52">
        <f t="shared" si="939"/>
        <v>0</v>
      </c>
      <c r="X3389" s="53">
        <f t="shared" si="940"/>
        <v>0</v>
      </c>
      <c r="Y3389" s="53">
        <f t="shared" si="941"/>
        <v>0</v>
      </c>
      <c r="Z3389" s="54">
        <f t="shared" si="942"/>
        <v>0</v>
      </c>
      <c r="AA3389" s="54">
        <f t="shared" si="943"/>
        <v>0</v>
      </c>
      <c r="AB3389" s="55">
        <f t="shared" si="944"/>
        <v>0</v>
      </c>
      <c r="AC3389" s="55">
        <f t="shared" si="945"/>
        <v>0</v>
      </c>
      <c r="AD3389" s="56">
        <f t="shared" si="946"/>
        <v>2924</v>
      </c>
    </row>
    <row r="3390" spans="3:30">
      <c r="C3390" s="43" t="s">
        <v>6286</v>
      </c>
      <c r="D3390" s="44" t="s">
        <v>6287</v>
      </c>
      <c r="E3390" s="44"/>
      <c r="F3390" s="45">
        <v>40880.328217592592</v>
      </c>
      <c r="G3390" s="46">
        <v>81</v>
      </c>
      <c r="H3390" s="47">
        <v>43372</v>
      </c>
      <c r="I3390" s="47">
        <v>43411</v>
      </c>
      <c r="J3390" s="46">
        <v>1553266</v>
      </c>
      <c r="K3390" s="46">
        <v>0</v>
      </c>
      <c r="L3390" s="46">
        <v>0</v>
      </c>
      <c r="M3390" s="46">
        <f t="shared" si="933"/>
        <v>1553266</v>
      </c>
      <c r="N3390" s="46">
        <v>1078550</v>
      </c>
      <c r="O3390" s="48">
        <f t="shared" si="934"/>
        <v>0</v>
      </c>
      <c r="P3390" s="46">
        <v>0</v>
      </c>
      <c r="Q3390" s="46">
        <v>1553266</v>
      </c>
      <c r="R3390" s="49">
        <f t="shared" si="935"/>
        <v>1</v>
      </c>
      <c r="S3390" s="50">
        <f t="shared" si="936"/>
        <v>0.01</v>
      </c>
      <c r="T3390" s="49">
        <f t="shared" si="937"/>
        <v>15532.66</v>
      </c>
      <c r="U3390" s="51">
        <f t="shared" si="938"/>
        <v>0</v>
      </c>
      <c r="V3390" s="52">
        <f>IF(0&lt;0.8,0,IF(0&lt;1,Sheet3!L561,1))*IF(G3390&lt;3,0.12 - O3390,0.01) *U3390</f>
        <v>0</v>
      </c>
      <c r="W3390" s="52">
        <f t="shared" si="939"/>
        <v>0</v>
      </c>
      <c r="X3390" s="53">
        <f t="shared" si="940"/>
        <v>0</v>
      </c>
      <c r="Y3390" s="53">
        <f t="shared" si="941"/>
        <v>0</v>
      </c>
      <c r="Z3390" s="54">
        <f t="shared" si="942"/>
        <v>0</v>
      </c>
      <c r="AA3390" s="54">
        <f t="shared" si="943"/>
        <v>0</v>
      </c>
      <c r="AB3390" s="55">
        <f t="shared" si="944"/>
        <v>0</v>
      </c>
      <c r="AC3390" s="55">
        <f t="shared" si="945"/>
        <v>0</v>
      </c>
      <c r="AD3390" s="56">
        <f t="shared" si="946"/>
        <v>15532.66</v>
      </c>
    </row>
    <row r="3391" spans="3:30">
      <c r="C3391" s="43" t="s">
        <v>6288</v>
      </c>
      <c r="D3391" s="44" t="s">
        <v>6289</v>
      </c>
      <c r="E3391" s="44"/>
      <c r="F3391" s="45">
        <v>41095.466111111113</v>
      </c>
      <c r="G3391" s="46">
        <v>74</v>
      </c>
      <c r="H3391" s="47">
        <v>43372</v>
      </c>
      <c r="I3391" s="47">
        <v>43425</v>
      </c>
      <c r="J3391" s="46">
        <v>1019860</v>
      </c>
      <c r="K3391" s="46">
        <v>0</v>
      </c>
      <c r="L3391" s="46">
        <v>0</v>
      </c>
      <c r="M3391" s="46">
        <f t="shared" si="933"/>
        <v>1019860</v>
      </c>
      <c r="N3391" s="46">
        <v>1019960</v>
      </c>
      <c r="O3391" s="48">
        <f t="shared" si="934"/>
        <v>9.8043060512198466E-5</v>
      </c>
      <c r="P3391" s="46">
        <v>0</v>
      </c>
      <c r="Q3391" s="46">
        <v>1019860</v>
      </c>
      <c r="R3391" s="49">
        <f t="shared" si="935"/>
        <v>1</v>
      </c>
      <c r="S3391" s="50">
        <f t="shared" si="936"/>
        <v>0.01</v>
      </c>
      <c r="T3391" s="49">
        <f t="shared" si="937"/>
        <v>10198.6</v>
      </c>
      <c r="U3391" s="51">
        <f t="shared" si="938"/>
        <v>0</v>
      </c>
      <c r="V3391" s="52">
        <f>IF(0&lt;0.8,0,IF(0&lt;1,Sheet3!L561,1))*IF(G3391&lt;3,0.12 - O3391,0.01) *U3391</f>
        <v>0</v>
      </c>
      <c r="W3391" s="52">
        <f t="shared" si="939"/>
        <v>0</v>
      </c>
      <c r="X3391" s="53">
        <f t="shared" si="940"/>
        <v>0</v>
      </c>
      <c r="Y3391" s="53">
        <f t="shared" si="941"/>
        <v>0</v>
      </c>
      <c r="Z3391" s="54">
        <f t="shared" si="942"/>
        <v>0</v>
      </c>
      <c r="AA3391" s="54">
        <f t="shared" si="943"/>
        <v>0</v>
      </c>
      <c r="AB3391" s="55">
        <f t="shared" si="944"/>
        <v>0</v>
      </c>
      <c r="AC3391" s="55">
        <f t="shared" si="945"/>
        <v>0</v>
      </c>
      <c r="AD3391" s="56">
        <f t="shared" si="946"/>
        <v>10198.6</v>
      </c>
    </row>
    <row r="3392" spans="3:30">
      <c r="C3392" s="43" t="s">
        <v>6290</v>
      </c>
      <c r="D3392" s="44" t="s">
        <v>6291</v>
      </c>
      <c r="E3392" s="44"/>
      <c r="F3392" s="45">
        <v>41108.396539351852</v>
      </c>
      <c r="G3392" s="46">
        <v>74</v>
      </c>
      <c r="H3392" s="47">
        <v>43372</v>
      </c>
      <c r="I3392" s="47">
        <v>43390</v>
      </c>
      <c r="J3392" s="46">
        <v>1062000</v>
      </c>
      <c r="K3392" s="46">
        <v>0</v>
      </c>
      <c r="L3392" s="46">
        <v>0</v>
      </c>
      <c r="M3392" s="46">
        <f t="shared" si="933"/>
        <v>1062000</v>
      </c>
      <c r="N3392" s="46">
        <v>1062000</v>
      </c>
      <c r="O3392" s="48">
        <f t="shared" si="934"/>
        <v>0</v>
      </c>
      <c r="P3392" s="46">
        <v>0</v>
      </c>
      <c r="Q3392" s="46">
        <v>1062000</v>
      </c>
      <c r="R3392" s="49">
        <f t="shared" si="935"/>
        <v>1</v>
      </c>
      <c r="S3392" s="50">
        <f t="shared" si="936"/>
        <v>0.01</v>
      </c>
      <c r="T3392" s="49">
        <f t="shared" si="937"/>
        <v>10620</v>
      </c>
      <c r="U3392" s="51">
        <f t="shared" si="938"/>
        <v>0</v>
      </c>
      <c r="V3392" s="52">
        <f>IF(0&lt;0.8,0,IF(0&lt;1,Sheet3!L561,1))*IF(G3392&lt;3,0.12 - O3392,0.01) *U3392</f>
        <v>0</v>
      </c>
      <c r="W3392" s="52">
        <f t="shared" si="939"/>
        <v>0</v>
      </c>
      <c r="X3392" s="53">
        <f t="shared" si="940"/>
        <v>0</v>
      </c>
      <c r="Y3392" s="53">
        <f t="shared" si="941"/>
        <v>0</v>
      </c>
      <c r="Z3392" s="54">
        <f t="shared" si="942"/>
        <v>0</v>
      </c>
      <c r="AA3392" s="54">
        <f t="shared" si="943"/>
        <v>0</v>
      </c>
      <c r="AB3392" s="55">
        <f t="shared" si="944"/>
        <v>0</v>
      </c>
      <c r="AC3392" s="55">
        <f t="shared" si="945"/>
        <v>0</v>
      </c>
      <c r="AD3392" s="56">
        <f t="shared" si="946"/>
        <v>10620</v>
      </c>
    </row>
    <row r="3393" spans="3:30">
      <c r="C3393" s="43" t="s">
        <v>6292</v>
      </c>
      <c r="D3393" s="44" t="s">
        <v>6293</v>
      </c>
      <c r="E3393" s="44"/>
      <c r="F3393" s="45">
        <v>41186.379027777773</v>
      </c>
      <c r="G3393" s="46">
        <v>71</v>
      </c>
      <c r="H3393" s="47">
        <v>43404</v>
      </c>
      <c r="I3393" s="47">
        <v>43416</v>
      </c>
      <c r="J3393" s="46">
        <v>4202007</v>
      </c>
      <c r="K3393" s="46">
        <v>356727</v>
      </c>
      <c r="L3393" s="46">
        <v>0</v>
      </c>
      <c r="M3393" s="46">
        <f t="shared" si="933"/>
        <v>3845280</v>
      </c>
      <c r="N3393" s="46">
        <v>5673860</v>
      </c>
      <c r="O3393" s="48">
        <f t="shared" si="934"/>
        <v>0.32228148033261306</v>
      </c>
      <c r="P3393" s="46">
        <v>0</v>
      </c>
      <c r="Q3393" s="46">
        <v>4202007</v>
      </c>
      <c r="R3393" s="49">
        <f t="shared" si="935"/>
        <v>1</v>
      </c>
      <c r="S3393" s="50">
        <f t="shared" si="936"/>
        <v>0.01</v>
      </c>
      <c r="T3393" s="49">
        <f t="shared" si="937"/>
        <v>38452.800000000003</v>
      </c>
      <c r="U3393" s="51">
        <f t="shared" si="938"/>
        <v>0</v>
      </c>
      <c r="V3393" s="52">
        <f>IF(0&lt;0.8,0,IF(0&lt;1,Sheet3!L561,1))*IF(G3393&lt;3,0.12 - O3393,0.01) *U3393</f>
        <v>0</v>
      </c>
      <c r="W3393" s="52">
        <f t="shared" si="939"/>
        <v>0</v>
      </c>
      <c r="X3393" s="53">
        <f t="shared" si="940"/>
        <v>0</v>
      </c>
      <c r="Y3393" s="53">
        <f t="shared" si="941"/>
        <v>0</v>
      </c>
      <c r="Z3393" s="54">
        <f t="shared" si="942"/>
        <v>0</v>
      </c>
      <c r="AA3393" s="54">
        <f t="shared" si="943"/>
        <v>0</v>
      </c>
      <c r="AB3393" s="55">
        <f t="shared" si="944"/>
        <v>0</v>
      </c>
      <c r="AC3393" s="55">
        <f t="shared" si="945"/>
        <v>0</v>
      </c>
      <c r="AD3393" s="56">
        <f t="shared" si="946"/>
        <v>38452.800000000003</v>
      </c>
    </row>
    <row r="3394" spans="3:30">
      <c r="C3394" s="43" t="s">
        <v>6294</v>
      </c>
      <c r="D3394" s="44" t="s">
        <v>6295</v>
      </c>
      <c r="E3394" s="44"/>
      <c r="F3394" s="45">
        <v>41216.436493055553</v>
      </c>
      <c r="G3394" s="46">
        <v>70</v>
      </c>
      <c r="H3394" s="47">
        <v>43372</v>
      </c>
      <c r="I3394" s="47">
        <v>43397</v>
      </c>
      <c r="J3394" s="46">
        <v>1377060</v>
      </c>
      <c r="K3394" s="46">
        <v>0</v>
      </c>
      <c r="L3394" s="46">
        <v>0</v>
      </c>
      <c r="M3394" s="46">
        <f t="shared" si="933"/>
        <v>1377060</v>
      </c>
      <c r="N3394" s="46">
        <v>1377060</v>
      </c>
      <c r="O3394" s="48">
        <f t="shared" si="934"/>
        <v>0</v>
      </c>
      <c r="P3394" s="46">
        <v>0</v>
      </c>
      <c r="Q3394" s="46">
        <v>1377060</v>
      </c>
      <c r="R3394" s="49">
        <f t="shared" si="935"/>
        <v>1</v>
      </c>
      <c r="S3394" s="50">
        <f t="shared" si="936"/>
        <v>0.01</v>
      </c>
      <c r="T3394" s="49">
        <f t="shared" si="937"/>
        <v>13770.6</v>
      </c>
      <c r="U3394" s="51">
        <f t="shared" si="938"/>
        <v>0</v>
      </c>
      <c r="V3394" s="52">
        <f>IF(0&lt;0.8,0,IF(0&lt;1,Sheet3!L561,1))*IF(G3394&lt;3,0.12 - O3394,0.01) *U3394</f>
        <v>0</v>
      </c>
      <c r="W3394" s="52">
        <f t="shared" si="939"/>
        <v>0</v>
      </c>
      <c r="X3394" s="53">
        <f t="shared" si="940"/>
        <v>0</v>
      </c>
      <c r="Y3394" s="53">
        <f t="shared" si="941"/>
        <v>0</v>
      </c>
      <c r="Z3394" s="54">
        <f t="shared" si="942"/>
        <v>0</v>
      </c>
      <c r="AA3394" s="54">
        <f t="shared" si="943"/>
        <v>0</v>
      </c>
      <c r="AB3394" s="55">
        <f t="shared" si="944"/>
        <v>0</v>
      </c>
      <c r="AC3394" s="55">
        <f t="shared" si="945"/>
        <v>0</v>
      </c>
      <c r="AD3394" s="56">
        <f t="shared" si="946"/>
        <v>13770.6</v>
      </c>
    </row>
    <row r="3395" spans="3:30">
      <c r="C3395" s="43" t="s">
        <v>6296</v>
      </c>
      <c r="D3395" s="44" t="s">
        <v>6297</v>
      </c>
      <c r="E3395" s="44"/>
      <c r="F3395" s="45">
        <v>41260.628900462958</v>
      </c>
      <c r="G3395" s="46">
        <v>69</v>
      </c>
      <c r="H3395" s="47">
        <v>43372</v>
      </c>
      <c r="I3395" s="47">
        <v>43423</v>
      </c>
      <c r="J3395" s="46">
        <v>981600</v>
      </c>
      <c r="K3395" s="46">
        <v>0</v>
      </c>
      <c r="L3395" s="46">
        <v>0</v>
      </c>
      <c r="M3395" s="46">
        <f t="shared" si="933"/>
        <v>981600</v>
      </c>
      <c r="N3395" s="46">
        <v>981600</v>
      </c>
      <c r="O3395" s="48">
        <f t="shared" si="934"/>
        <v>0</v>
      </c>
      <c r="P3395" s="46">
        <v>0</v>
      </c>
      <c r="Q3395" s="46">
        <v>981600</v>
      </c>
      <c r="R3395" s="49">
        <f t="shared" si="935"/>
        <v>1</v>
      </c>
      <c r="S3395" s="50">
        <f t="shared" si="936"/>
        <v>0.01</v>
      </c>
      <c r="T3395" s="49">
        <f t="shared" si="937"/>
        <v>9816</v>
      </c>
      <c r="U3395" s="51">
        <f t="shared" si="938"/>
        <v>0</v>
      </c>
      <c r="V3395" s="52">
        <f>IF(0&lt;0.8,0,IF(0&lt;1,Sheet3!L561,1))*IF(G3395&lt;3,0.12 - O3395,0.01) *U3395</f>
        <v>0</v>
      </c>
      <c r="W3395" s="52">
        <f t="shared" si="939"/>
        <v>0</v>
      </c>
      <c r="X3395" s="53">
        <f t="shared" si="940"/>
        <v>0</v>
      </c>
      <c r="Y3395" s="53">
        <f t="shared" si="941"/>
        <v>0</v>
      </c>
      <c r="Z3395" s="54">
        <f t="shared" si="942"/>
        <v>0</v>
      </c>
      <c r="AA3395" s="54">
        <f t="shared" si="943"/>
        <v>0</v>
      </c>
      <c r="AB3395" s="55">
        <f t="shared" si="944"/>
        <v>0</v>
      </c>
      <c r="AC3395" s="55">
        <f t="shared" si="945"/>
        <v>0</v>
      </c>
      <c r="AD3395" s="56">
        <f t="shared" si="946"/>
        <v>9816</v>
      </c>
    </row>
    <row r="3396" spans="3:30">
      <c r="C3396" s="43" t="s">
        <v>6298</v>
      </c>
      <c r="D3396" s="44" t="s">
        <v>6299</v>
      </c>
      <c r="E3396" s="44"/>
      <c r="F3396" s="45">
        <v>41362.644467592589</v>
      </c>
      <c r="G3396" s="46">
        <v>66</v>
      </c>
      <c r="H3396" s="47">
        <v>43398</v>
      </c>
      <c r="I3396" s="47">
        <v>43468</v>
      </c>
      <c r="J3396" s="46">
        <v>355530</v>
      </c>
      <c r="K3396" s="46">
        <v>0</v>
      </c>
      <c r="L3396" s="46">
        <v>0</v>
      </c>
      <c r="M3396" s="46">
        <f t="shared" si="933"/>
        <v>355530</v>
      </c>
      <c r="N3396" s="46">
        <v>355530</v>
      </c>
      <c r="O3396" s="48">
        <f t="shared" si="934"/>
        <v>0</v>
      </c>
      <c r="P3396" s="46">
        <v>0</v>
      </c>
      <c r="Q3396" s="46">
        <v>355530</v>
      </c>
      <c r="R3396" s="49">
        <f t="shared" si="935"/>
        <v>1</v>
      </c>
      <c r="S3396" s="50">
        <f t="shared" si="936"/>
        <v>0.01</v>
      </c>
      <c r="T3396" s="49">
        <f t="shared" si="937"/>
        <v>3555.3</v>
      </c>
      <c r="U3396" s="51">
        <f t="shared" si="938"/>
        <v>0</v>
      </c>
      <c r="V3396" s="52">
        <f>IF(0&lt;0.8,0,IF(0&lt;1,Sheet3!L561,1))*IF(G3396&lt;3,0.12 - O3396,0.01) *U3396</f>
        <v>0</v>
      </c>
      <c r="W3396" s="52">
        <f t="shared" si="939"/>
        <v>0</v>
      </c>
      <c r="X3396" s="53">
        <f t="shared" si="940"/>
        <v>0</v>
      </c>
      <c r="Y3396" s="53">
        <f t="shared" si="941"/>
        <v>0</v>
      </c>
      <c r="Z3396" s="54">
        <f t="shared" si="942"/>
        <v>0</v>
      </c>
      <c r="AA3396" s="54">
        <f t="shared" si="943"/>
        <v>0</v>
      </c>
      <c r="AB3396" s="55">
        <f t="shared" si="944"/>
        <v>0</v>
      </c>
      <c r="AC3396" s="55">
        <f t="shared" si="945"/>
        <v>0</v>
      </c>
      <c r="AD3396" s="56">
        <f t="shared" si="946"/>
        <v>3555.3</v>
      </c>
    </row>
    <row r="3397" spans="3:30">
      <c r="C3397" s="43" t="s">
        <v>6300</v>
      </c>
      <c r="D3397" s="44" t="s">
        <v>6301</v>
      </c>
      <c r="E3397" s="44"/>
      <c r="F3397" s="45">
        <v>41485.627546296295</v>
      </c>
      <c r="G3397" s="46">
        <v>62</v>
      </c>
      <c r="H3397" s="47">
        <v>43372</v>
      </c>
      <c r="I3397" s="47">
        <v>43390</v>
      </c>
      <c r="J3397" s="46">
        <v>3837700</v>
      </c>
      <c r="K3397" s="46">
        <v>0</v>
      </c>
      <c r="L3397" s="46">
        <v>0</v>
      </c>
      <c r="M3397" s="46">
        <f t="shared" si="933"/>
        <v>3837700</v>
      </c>
      <c r="N3397" s="46">
        <v>8941438</v>
      </c>
      <c r="O3397" s="48">
        <f t="shared" si="934"/>
        <v>0.57079610684545368</v>
      </c>
      <c r="P3397" s="46">
        <v>0</v>
      </c>
      <c r="Q3397" s="46">
        <v>3837700</v>
      </c>
      <c r="R3397" s="49">
        <f t="shared" si="935"/>
        <v>1</v>
      </c>
      <c r="S3397" s="50">
        <f t="shared" si="936"/>
        <v>0.01</v>
      </c>
      <c r="T3397" s="49">
        <f t="shared" si="937"/>
        <v>38377</v>
      </c>
      <c r="U3397" s="51">
        <f t="shared" si="938"/>
        <v>0</v>
      </c>
      <c r="V3397" s="52">
        <f>IF(0&lt;0.8,0,IF(0&lt;1,Sheet3!L561,1))*IF(G3397&lt;3,0.12 - O3397,0.01) *U3397</f>
        <v>0</v>
      </c>
      <c r="W3397" s="52">
        <f t="shared" si="939"/>
        <v>0</v>
      </c>
      <c r="X3397" s="53">
        <f t="shared" si="940"/>
        <v>0</v>
      </c>
      <c r="Y3397" s="53">
        <f t="shared" si="941"/>
        <v>0</v>
      </c>
      <c r="Z3397" s="54">
        <f t="shared" si="942"/>
        <v>0</v>
      </c>
      <c r="AA3397" s="54">
        <f t="shared" si="943"/>
        <v>0</v>
      </c>
      <c r="AB3397" s="55">
        <f t="shared" si="944"/>
        <v>0</v>
      </c>
      <c r="AC3397" s="55">
        <f t="shared" si="945"/>
        <v>0</v>
      </c>
      <c r="AD3397" s="56">
        <f t="shared" si="946"/>
        <v>38377</v>
      </c>
    </row>
    <row r="3398" spans="3:30">
      <c r="C3398" s="43" t="s">
        <v>6302</v>
      </c>
      <c r="D3398" s="44" t="s">
        <v>6303</v>
      </c>
      <c r="E3398" s="44"/>
      <c r="F3398" s="45">
        <v>42641.03833333333</v>
      </c>
      <c r="G3398" s="46">
        <v>24</v>
      </c>
      <c r="H3398" s="47">
        <v>43372</v>
      </c>
      <c r="I3398" s="47">
        <v>43423</v>
      </c>
      <c r="J3398" s="46">
        <v>906000</v>
      </c>
      <c r="K3398" s="46">
        <v>0</v>
      </c>
      <c r="L3398" s="46">
        <v>0</v>
      </c>
      <c r="M3398" s="46">
        <f t="shared" si="933"/>
        <v>906000</v>
      </c>
      <c r="N3398" s="46">
        <v>898385</v>
      </c>
      <c r="O3398" s="48">
        <f t="shared" si="934"/>
        <v>0</v>
      </c>
      <c r="P3398" s="46">
        <v>0</v>
      </c>
      <c r="Q3398" s="46">
        <v>906000</v>
      </c>
      <c r="R3398" s="49">
        <f t="shared" si="935"/>
        <v>1</v>
      </c>
      <c r="S3398" s="50">
        <f t="shared" si="936"/>
        <v>0.01</v>
      </c>
      <c r="T3398" s="49">
        <f t="shared" si="937"/>
        <v>9060</v>
      </c>
      <c r="U3398" s="51">
        <f t="shared" si="938"/>
        <v>0</v>
      </c>
      <c r="V3398" s="52">
        <f>IF(0&lt;0.8,0,IF(0&lt;1,Sheet3!L561,1))*IF(G3398&lt;3,0.12 - O3398,0.01) *U3398</f>
        <v>0</v>
      </c>
      <c r="W3398" s="52">
        <f t="shared" si="939"/>
        <v>0</v>
      </c>
      <c r="X3398" s="53">
        <f t="shared" si="940"/>
        <v>0</v>
      </c>
      <c r="Y3398" s="53">
        <f t="shared" si="941"/>
        <v>0</v>
      </c>
      <c r="Z3398" s="54">
        <f t="shared" si="942"/>
        <v>0</v>
      </c>
      <c r="AA3398" s="54">
        <f t="shared" si="943"/>
        <v>0</v>
      </c>
      <c r="AB3398" s="55">
        <f t="shared" si="944"/>
        <v>0</v>
      </c>
      <c r="AC3398" s="55">
        <f t="shared" si="945"/>
        <v>0</v>
      </c>
      <c r="AD3398" s="56">
        <f t="shared" si="946"/>
        <v>9060</v>
      </c>
    </row>
    <row r="3399" spans="3:30">
      <c r="C3399" s="43" t="s">
        <v>6304</v>
      </c>
      <c r="D3399" s="44" t="s">
        <v>6305</v>
      </c>
      <c r="E3399" s="44"/>
      <c r="F3399" s="45">
        <v>42649.28869212963</v>
      </c>
      <c r="G3399" s="46">
        <v>23</v>
      </c>
      <c r="H3399" s="47">
        <v>43404</v>
      </c>
      <c r="I3399" s="47">
        <v>43416</v>
      </c>
      <c r="J3399" s="46">
        <v>2555815</v>
      </c>
      <c r="K3399" s="46">
        <v>204463</v>
      </c>
      <c r="L3399" s="46">
        <v>0</v>
      </c>
      <c r="M3399" s="46">
        <f t="shared" si="933"/>
        <v>2351352</v>
      </c>
      <c r="N3399" s="46">
        <v>3332103</v>
      </c>
      <c r="O3399" s="48">
        <f t="shared" si="934"/>
        <v>0.29433393865675817</v>
      </c>
      <c r="P3399" s="46">
        <v>0</v>
      </c>
      <c r="Q3399" s="46">
        <v>2555815</v>
      </c>
      <c r="R3399" s="49">
        <f t="shared" si="935"/>
        <v>1</v>
      </c>
      <c r="S3399" s="50">
        <f t="shared" si="936"/>
        <v>0.01</v>
      </c>
      <c r="T3399" s="49">
        <f t="shared" si="937"/>
        <v>23513.52</v>
      </c>
      <c r="U3399" s="51">
        <f t="shared" si="938"/>
        <v>0</v>
      </c>
      <c r="V3399" s="52">
        <f>IF(0&lt;0.8,0,IF(0&lt;1,Sheet3!L561,1))*IF(G3399&lt;3,0.12 - O3399,0.01) *U3399</f>
        <v>0</v>
      </c>
      <c r="W3399" s="52">
        <f t="shared" si="939"/>
        <v>0</v>
      </c>
      <c r="X3399" s="53">
        <f t="shared" si="940"/>
        <v>0</v>
      </c>
      <c r="Y3399" s="53">
        <f t="shared" si="941"/>
        <v>0</v>
      </c>
      <c r="Z3399" s="54">
        <f t="shared" si="942"/>
        <v>0</v>
      </c>
      <c r="AA3399" s="54">
        <f t="shared" si="943"/>
        <v>0</v>
      </c>
      <c r="AB3399" s="55">
        <f t="shared" si="944"/>
        <v>0</v>
      </c>
      <c r="AC3399" s="55">
        <f t="shared" si="945"/>
        <v>0</v>
      </c>
      <c r="AD3399" s="56">
        <f t="shared" si="946"/>
        <v>23513.52</v>
      </c>
    </row>
    <row r="3400" spans="3:30">
      <c r="C3400" s="43" t="s">
        <v>6306</v>
      </c>
      <c r="D3400" s="44" t="s">
        <v>6305</v>
      </c>
      <c r="E3400" s="44"/>
      <c r="F3400" s="45">
        <v>42704.11755787037</v>
      </c>
      <c r="G3400" s="46">
        <v>22</v>
      </c>
      <c r="H3400" s="47">
        <v>43404</v>
      </c>
      <c r="I3400" s="47">
        <v>43416</v>
      </c>
      <c r="J3400" s="46">
        <v>1822978</v>
      </c>
      <c r="K3400" s="46">
        <v>164069</v>
      </c>
      <c r="L3400" s="46">
        <v>0</v>
      </c>
      <c r="M3400" s="46">
        <f t="shared" si="933"/>
        <v>1658909</v>
      </c>
      <c r="N3400" s="46">
        <v>2510509</v>
      </c>
      <c r="O3400" s="48">
        <f t="shared" si="934"/>
        <v>0.33921407969459583</v>
      </c>
      <c r="P3400" s="46">
        <v>0</v>
      </c>
      <c r="Q3400" s="46">
        <v>1822978</v>
      </c>
      <c r="R3400" s="49">
        <f t="shared" si="935"/>
        <v>1</v>
      </c>
      <c r="S3400" s="50">
        <f t="shared" si="936"/>
        <v>0.01</v>
      </c>
      <c r="T3400" s="49">
        <f t="shared" si="937"/>
        <v>16589.09</v>
      </c>
      <c r="U3400" s="51">
        <f t="shared" si="938"/>
        <v>0</v>
      </c>
      <c r="V3400" s="52">
        <f>IF(0&lt;0.8,0,IF(0&lt;1,Sheet3!L561,1))*IF(G3400&lt;3,0.12 - O3400,0.01) *U3400</f>
        <v>0</v>
      </c>
      <c r="W3400" s="52">
        <f t="shared" si="939"/>
        <v>0</v>
      </c>
      <c r="X3400" s="53">
        <f t="shared" si="940"/>
        <v>0</v>
      </c>
      <c r="Y3400" s="53">
        <f t="shared" si="941"/>
        <v>0</v>
      </c>
      <c r="Z3400" s="54">
        <f t="shared" si="942"/>
        <v>0</v>
      </c>
      <c r="AA3400" s="54">
        <f t="shared" si="943"/>
        <v>0</v>
      </c>
      <c r="AB3400" s="55">
        <f t="shared" si="944"/>
        <v>0</v>
      </c>
      <c r="AC3400" s="55">
        <f t="shared" si="945"/>
        <v>0</v>
      </c>
      <c r="AD3400" s="56">
        <f t="shared" si="946"/>
        <v>16589.09</v>
      </c>
    </row>
    <row r="3401" spans="3:30">
      <c r="C3401" s="43" t="s">
        <v>6307</v>
      </c>
      <c r="D3401" s="44" t="s">
        <v>6308</v>
      </c>
      <c r="E3401" s="44"/>
      <c r="F3401" s="45">
        <v>42875.354120370372</v>
      </c>
      <c r="G3401" s="46">
        <v>16</v>
      </c>
      <c r="H3401" s="47">
        <v>43372</v>
      </c>
      <c r="I3401" s="47">
        <v>43381</v>
      </c>
      <c r="J3401" s="46">
        <v>1004720</v>
      </c>
      <c r="K3401" s="46">
        <v>0</v>
      </c>
      <c r="L3401" s="46">
        <v>0</v>
      </c>
      <c r="M3401" s="46">
        <f t="shared" si="933"/>
        <v>1004720</v>
      </c>
      <c r="N3401" s="46">
        <v>1006024</v>
      </c>
      <c r="O3401" s="48">
        <f t="shared" si="934"/>
        <v>1.2961917409525237E-3</v>
      </c>
      <c r="P3401" s="46">
        <v>0</v>
      </c>
      <c r="Q3401" s="46">
        <v>1004720</v>
      </c>
      <c r="R3401" s="49">
        <f t="shared" si="935"/>
        <v>1</v>
      </c>
      <c r="S3401" s="50">
        <f t="shared" si="936"/>
        <v>0.01</v>
      </c>
      <c r="T3401" s="49">
        <f t="shared" si="937"/>
        <v>10047.200000000001</v>
      </c>
      <c r="U3401" s="51">
        <f t="shared" si="938"/>
        <v>0</v>
      </c>
      <c r="V3401" s="52">
        <f>IF(0&lt;0.8,0,IF(0&lt;1,Sheet3!L561,1))*IF(G3401&lt;3,0.12 - O3401,0.01) *U3401</f>
        <v>0</v>
      </c>
      <c r="W3401" s="52">
        <f t="shared" si="939"/>
        <v>0</v>
      </c>
      <c r="X3401" s="53">
        <f t="shared" si="940"/>
        <v>0</v>
      </c>
      <c r="Y3401" s="53">
        <f t="shared" si="941"/>
        <v>0</v>
      </c>
      <c r="Z3401" s="54">
        <f t="shared" si="942"/>
        <v>0</v>
      </c>
      <c r="AA3401" s="54">
        <f t="shared" si="943"/>
        <v>0</v>
      </c>
      <c r="AB3401" s="55">
        <f t="shared" si="944"/>
        <v>0</v>
      </c>
      <c r="AC3401" s="55">
        <f t="shared" si="945"/>
        <v>0</v>
      </c>
      <c r="AD3401" s="56">
        <f t="shared" si="946"/>
        <v>10047.200000000001</v>
      </c>
    </row>
    <row r="3402" spans="3:30">
      <c r="C3402" s="43" t="s">
        <v>6309</v>
      </c>
      <c r="D3402" s="44" t="s">
        <v>6310</v>
      </c>
      <c r="E3402" s="44"/>
      <c r="F3402" s="45">
        <v>43207.140289351853</v>
      </c>
      <c r="G3402" s="46">
        <v>5</v>
      </c>
      <c r="H3402" s="47">
        <v>43372</v>
      </c>
      <c r="I3402" s="47">
        <v>43402</v>
      </c>
      <c r="J3402" s="46">
        <v>1602099</v>
      </c>
      <c r="K3402" s="46">
        <v>0</v>
      </c>
      <c r="L3402" s="46">
        <v>0</v>
      </c>
      <c r="M3402" s="46">
        <f t="shared" si="933"/>
        <v>1602099</v>
      </c>
      <c r="N3402" s="46">
        <v>1602192</v>
      </c>
      <c r="O3402" s="48">
        <f t="shared" si="934"/>
        <v>5.8045477695611858E-5</v>
      </c>
      <c r="P3402" s="46">
        <v>0</v>
      </c>
      <c r="Q3402" s="46">
        <v>1602099</v>
      </c>
      <c r="R3402" s="49">
        <f t="shared" si="935"/>
        <v>1</v>
      </c>
      <c r="S3402" s="50">
        <f t="shared" si="936"/>
        <v>0.01</v>
      </c>
      <c r="T3402" s="49">
        <f t="shared" si="937"/>
        <v>16020.99</v>
      </c>
      <c r="U3402" s="51">
        <f t="shared" si="938"/>
        <v>0</v>
      </c>
      <c r="V3402" s="52">
        <f>IF(0&lt;0.8,0,IF(0&lt;1,Sheet3!L561,1))*IF(G3402&lt;3,0.12 - O3402,0.01) *U3402</f>
        <v>0</v>
      </c>
      <c r="W3402" s="52">
        <f t="shared" si="939"/>
        <v>0</v>
      </c>
      <c r="X3402" s="53">
        <f t="shared" si="940"/>
        <v>0</v>
      </c>
      <c r="Y3402" s="53">
        <f t="shared" si="941"/>
        <v>0</v>
      </c>
      <c r="Z3402" s="54">
        <f t="shared" si="942"/>
        <v>0</v>
      </c>
      <c r="AA3402" s="54">
        <f t="shared" si="943"/>
        <v>0</v>
      </c>
      <c r="AB3402" s="55">
        <f t="shared" si="944"/>
        <v>0</v>
      </c>
      <c r="AC3402" s="55">
        <f t="shared" si="945"/>
        <v>0</v>
      </c>
      <c r="AD3402" s="56">
        <f t="shared" si="946"/>
        <v>16020.99</v>
      </c>
    </row>
    <row r="3403" spans="3:30">
      <c r="C3403" s="43" t="s">
        <v>6311</v>
      </c>
      <c r="D3403" s="44" t="s">
        <v>6312</v>
      </c>
      <c r="E3403" s="44"/>
      <c r="F3403" s="45">
        <v>43287.179803240739</v>
      </c>
      <c r="G3403" s="46">
        <v>2</v>
      </c>
      <c r="H3403" s="47">
        <v>43372</v>
      </c>
      <c r="I3403" s="47">
        <v>43409</v>
      </c>
      <c r="J3403" s="46">
        <v>690000</v>
      </c>
      <c r="K3403" s="46">
        <v>0</v>
      </c>
      <c r="L3403" s="46">
        <v>0</v>
      </c>
      <c r="M3403" s="46">
        <f t="shared" si="933"/>
        <v>690000</v>
      </c>
      <c r="N3403" s="46">
        <v>649110</v>
      </c>
      <c r="O3403" s="48">
        <f t="shared" si="934"/>
        <v>0</v>
      </c>
      <c r="P3403" s="46">
        <v>690000</v>
      </c>
      <c r="Q3403" s="46">
        <v>0</v>
      </c>
      <c r="R3403" s="49">
        <f t="shared" si="935"/>
        <v>0</v>
      </c>
      <c r="S3403" s="50">
        <f t="shared" si="936"/>
        <v>0</v>
      </c>
      <c r="T3403" s="49">
        <f t="shared" si="937"/>
        <v>0</v>
      </c>
      <c r="U3403" s="51">
        <f t="shared" si="938"/>
        <v>690000</v>
      </c>
      <c r="V3403" s="52">
        <f>IF(0&lt;0.8,0,IF(0&lt;1,Sheet3!L561,1))*IF(G3403&lt;3,0.12 - O3403,0.01) *U3403</f>
        <v>0</v>
      </c>
      <c r="W3403" s="52">
        <f t="shared" si="939"/>
        <v>0</v>
      </c>
      <c r="X3403" s="53">
        <f t="shared" si="940"/>
        <v>0</v>
      </c>
      <c r="Y3403" s="53">
        <f t="shared" si="941"/>
        <v>0</v>
      </c>
      <c r="Z3403" s="54">
        <f t="shared" si="942"/>
        <v>0</v>
      </c>
      <c r="AA3403" s="54">
        <f t="shared" si="943"/>
        <v>0</v>
      </c>
      <c r="AB3403" s="55">
        <f t="shared" si="944"/>
        <v>0</v>
      </c>
      <c r="AC3403" s="55">
        <f t="shared" si="945"/>
        <v>0</v>
      </c>
      <c r="AD3403" s="56">
        <f t="shared" si="946"/>
        <v>0</v>
      </c>
    </row>
    <row r="3404" spans="3:30">
      <c r="C3404" s="43" t="s">
        <v>6313</v>
      </c>
      <c r="D3404" s="44" t="s">
        <v>6314</v>
      </c>
      <c r="E3404" s="44"/>
      <c r="F3404" s="45">
        <v>43309.1253125</v>
      </c>
      <c r="G3404" s="46">
        <v>2</v>
      </c>
      <c r="H3404" s="47">
        <v>43372</v>
      </c>
      <c r="I3404" s="47">
        <v>43390</v>
      </c>
      <c r="J3404" s="46">
        <v>8877258</v>
      </c>
      <c r="K3404" s="46">
        <v>0</v>
      </c>
      <c r="L3404" s="46">
        <v>0</v>
      </c>
      <c r="M3404" s="46">
        <f t="shared" si="933"/>
        <v>8877258</v>
      </c>
      <c r="N3404" s="46">
        <v>1118045</v>
      </c>
      <c r="O3404" s="48">
        <f t="shared" si="934"/>
        <v>0</v>
      </c>
      <c r="P3404" s="46">
        <v>8877258</v>
      </c>
      <c r="Q3404" s="46">
        <v>0</v>
      </c>
      <c r="R3404" s="49">
        <f t="shared" si="935"/>
        <v>0</v>
      </c>
      <c r="S3404" s="50">
        <f t="shared" si="936"/>
        <v>0</v>
      </c>
      <c r="T3404" s="49">
        <f t="shared" si="937"/>
        <v>0</v>
      </c>
      <c r="U3404" s="51">
        <f t="shared" si="938"/>
        <v>8877258</v>
      </c>
      <c r="V3404" s="52">
        <f>IF(0&lt;0.8,0,IF(0&lt;1,Sheet3!L561,1))*IF(G3404&lt;3,0.12 - O3404,0.01) *U3404</f>
        <v>0</v>
      </c>
      <c r="W3404" s="52">
        <f t="shared" si="939"/>
        <v>0</v>
      </c>
      <c r="X3404" s="53">
        <f t="shared" si="940"/>
        <v>0</v>
      </c>
      <c r="Y3404" s="53">
        <f t="shared" si="941"/>
        <v>0</v>
      </c>
      <c r="Z3404" s="54">
        <f t="shared" si="942"/>
        <v>0</v>
      </c>
      <c r="AA3404" s="54">
        <f t="shared" si="943"/>
        <v>0</v>
      </c>
      <c r="AB3404" s="55">
        <f>IF(R3404=0,7738696,0)</f>
        <v>7738696</v>
      </c>
      <c r="AC3404" s="55">
        <f t="shared" si="945"/>
        <v>154773.92000000001</v>
      </c>
      <c r="AD3404" s="56">
        <f t="shared" si="946"/>
        <v>154773.92000000001</v>
      </c>
    </row>
    <row r="3405" spans="3:30">
      <c r="C3405" s="43" t="s">
        <v>6315</v>
      </c>
      <c r="D3405" s="44" t="s">
        <v>6316</v>
      </c>
      <c r="E3405" s="44"/>
      <c r="F3405" s="45">
        <v>43309.127847222218</v>
      </c>
      <c r="G3405" s="46">
        <v>2</v>
      </c>
      <c r="H3405" s="47">
        <v>43372</v>
      </c>
      <c r="I3405" s="47">
        <v>43390</v>
      </c>
      <c r="J3405" s="46">
        <v>293300</v>
      </c>
      <c r="K3405" s="46">
        <v>0</v>
      </c>
      <c r="L3405" s="46">
        <v>0</v>
      </c>
      <c r="M3405" s="46">
        <f t="shared" si="933"/>
        <v>293300</v>
      </c>
      <c r="N3405" s="46">
        <v>293300</v>
      </c>
      <c r="O3405" s="48">
        <f t="shared" si="934"/>
        <v>0</v>
      </c>
      <c r="P3405" s="46">
        <v>293300</v>
      </c>
      <c r="Q3405" s="46">
        <v>0</v>
      </c>
      <c r="R3405" s="49">
        <f t="shared" si="935"/>
        <v>0</v>
      </c>
      <c r="S3405" s="50">
        <f t="shared" si="936"/>
        <v>0</v>
      </c>
      <c r="T3405" s="49">
        <f t="shared" si="937"/>
        <v>0</v>
      </c>
      <c r="U3405" s="51">
        <f t="shared" si="938"/>
        <v>293300</v>
      </c>
      <c r="V3405" s="52">
        <f>IF(0&lt;0.8,0,IF(0&lt;1,Sheet3!L561,1))*IF(G3405&lt;3,0.12 - O3405,0.01) *U3405</f>
        <v>0</v>
      </c>
      <c r="W3405" s="52">
        <f t="shared" si="939"/>
        <v>0</v>
      </c>
      <c r="X3405" s="53">
        <f t="shared" si="940"/>
        <v>0</v>
      </c>
      <c r="Y3405" s="53">
        <f t="shared" si="941"/>
        <v>0</v>
      </c>
      <c r="Z3405" s="54">
        <f t="shared" si="942"/>
        <v>0</v>
      </c>
      <c r="AA3405" s="54">
        <f t="shared" si="943"/>
        <v>0</v>
      </c>
      <c r="AB3405" s="55">
        <f t="shared" ref="AB3405:AB3411" si="947">IF(R3405=0,0,0)</f>
        <v>0</v>
      </c>
      <c r="AC3405" s="55">
        <f t="shared" si="945"/>
        <v>0</v>
      </c>
      <c r="AD3405" s="56">
        <f t="shared" si="946"/>
        <v>0</v>
      </c>
    </row>
    <row r="3406" spans="3:30">
      <c r="C3406" s="43" t="s">
        <v>6317</v>
      </c>
      <c r="D3406" s="44" t="s">
        <v>6318</v>
      </c>
      <c r="E3406" s="44"/>
      <c r="F3406" s="45">
        <v>43309.130532407406</v>
      </c>
      <c r="G3406" s="46">
        <v>2</v>
      </c>
      <c r="H3406" s="47">
        <v>43372</v>
      </c>
      <c r="I3406" s="47">
        <v>43423</v>
      </c>
      <c r="J3406" s="46">
        <v>32000</v>
      </c>
      <c r="K3406" s="46">
        <v>0</v>
      </c>
      <c r="L3406" s="46">
        <v>0</v>
      </c>
      <c r="M3406" s="46">
        <f t="shared" si="933"/>
        <v>32000</v>
      </c>
      <c r="N3406" s="46">
        <v>32000</v>
      </c>
      <c r="O3406" s="48">
        <f t="shared" si="934"/>
        <v>0</v>
      </c>
      <c r="P3406" s="46">
        <v>32000</v>
      </c>
      <c r="Q3406" s="46">
        <v>0</v>
      </c>
      <c r="R3406" s="49">
        <f t="shared" si="935"/>
        <v>0</v>
      </c>
      <c r="S3406" s="50">
        <f t="shared" si="936"/>
        <v>0</v>
      </c>
      <c r="T3406" s="49">
        <f t="shared" si="937"/>
        <v>0</v>
      </c>
      <c r="U3406" s="51">
        <f t="shared" si="938"/>
        <v>32000</v>
      </c>
      <c r="V3406" s="52">
        <f>IF(0&lt;0.8,0,IF(0&lt;1,Sheet3!L561,1))*IF(G3406&lt;3,0.12 - O3406,0.01) *U3406</f>
        <v>0</v>
      </c>
      <c r="W3406" s="52">
        <f t="shared" si="939"/>
        <v>0</v>
      </c>
      <c r="X3406" s="53">
        <f t="shared" si="940"/>
        <v>0</v>
      </c>
      <c r="Y3406" s="53">
        <f t="shared" si="941"/>
        <v>0</v>
      </c>
      <c r="Z3406" s="54">
        <f t="shared" si="942"/>
        <v>0</v>
      </c>
      <c r="AA3406" s="54">
        <f t="shared" si="943"/>
        <v>0</v>
      </c>
      <c r="AB3406" s="55">
        <f t="shared" si="947"/>
        <v>0</v>
      </c>
      <c r="AC3406" s="55">
        <f t="shared" si="945"/>
        <v>0</v>
      </c>
      <c r="AD3406" s="56">
        <f t="shared" si="946"/>
        <v>0</v>
      </c>
    </row>
    <row r="3407" spans="3:30">
      <c r="C3407" s="43" t="s">
        <v>6319</v>
      </c>
      <c r="D3407" s="44" t="s">
        <v>6320</v>
      </c>
      <c r="E3407" s="44"/>
      <c r="F3407" s="45">
        <v>43309.131956018515</v>
      </c>
      <c r="G3407" s="46">
        <v>2</v>
      </c>
      <c r="H3407" s="47">
        <v>43372</v>
      </c>
      <c r="I3407" s="47">
        <v>43423</v>
      </c>
      <c r="J3407" s="46">
        <v>43000</v>
      </c>
      <c r="K3407" s="46">
        <v>0</v>
      </c>
      <c r="L3407" s="46">
        <v>0</v>
      </c>
      <c r="M3407" s="46">
        <f t="shared" si="933"/>
        <v>43000</v>
      </c>
      <c r="N3407" s="46">
        <v>43124</v>
      </c>
      <c r="O3407" s="48">
        <f t="shared" si="934"/>
        <v>2.8754289954550094E-3</v>
      </c>
      <c r="P3407" s="46">
        <v>43000</v>
      </c>
      <c r="Q3407" s="46">
        <v>0</v>
      </c>
      <c r="R3407" s="49">
        <f t="shared" si="935"/>
        <v>0</v>
      </c>
      <c r="S3407" s="50">
        <f t="shared" si="936"/>
        <v>0</v>
      </c>
      <c r="T3407" s="49">
        <f t="shared" si="937"/>
        <v>0</v>
      </c>
      <c r="U3407" s="51">
        <f t="shared" si="938"/>
        <v>43000</v>
      </c>
      <c r="V3407" s="52">
        <f>IF(0&lt;0.8,0,IF(0&lt;1,Sheet3!L561,1))*IF(G3407&lt;3,0.12 - O3407,0.01) *U3407</f>
        <v>0</v>
      </c>
      <c r="W3407" s="52">
        <f t="shared" si="939"/>
        <v>0</v>
      </c>
      <c r="X3407" s="53">
        <f t="shared" si="940"/>
        <v>0</v>
      </c>
      <c r="Y3407" s="53">
        <f t="shared" si="941"/>
        <v>0</v>
      </c>
      <c r="Z3407" s="54">
        <f t="shared" si="942"/>
        <v>0</v>
      </c>
      <c r="AA3407" s="54">
        <f t="shared" si="943"/>
        <v>0</v>
      </c>
      <c r="AB3407" s="55">
        <f t="shared" si="947"/>
        <v>0</v>
      </c>
      <c r="AC3407" s="55">
        <f t="shared" si="945"/>
        <v>0</v>
      </c>
      <c r="AD3407" s="56">
        <f t="shared" si="946"/>
        <v>0</v>
      </c>
    </row>
    <row r="3408" spans="3:30">
      <c r="C3408" s="43" t="s">
        <v>6321</v>
      </c>
      <c r="D3408" s="44" t="s">
        <v>6322</v>
      </c>
      <c r="E3408" s="44"/>
      <c r="F3408" s="45">
        <v>43309.137812499997</v>
      </c>
      <c r="G3408" s="46">
        <v>2</v>
      </c>
      <c r="H3408" s="47">
        <v>43372</v>
      </c>
      <c r="I3408" s="47">
        <v>43390</v>
      </c>
      <c r="J3408" s="46">
        <v>9293000</v>
      </c>
      <c r="K3408" s="46">
        <v>0</v>
      </c>
      <c r="L3408" s="46">
        <v>0</v>
      </c>
      <c r="M3408" s="46">
        <f t="shared" si="933"/>
        <v>9293000</v>
      </c>
      <c r="N3408" s="46">
        <v>9328700</v>
      </c>
      <c r="O3408" s="48">
        <f t="shared" si="934"/>
        <v>3.8268997823919237E-3</v>
      </c>
      <c r="P3408" s="46">
        <v>9293000</v>
      </c>
      <c r="Q3408" s="46">
        <v>0</v>
      </c>
      <c r="R3408" s="49">
        <f t="shared" si="935"/>
        <v>0</v>
      </c>
      <c r="S3408" s="50">
        <f t="shared" si="936"/>
        <v>0</v>
      </c>
      <c r="T3408" s="49">
        <f t="shared" si="937"/>
        <v>0</v>
      </c>
      <c r="U3408" s="51">
        <f t="shared" si="938"/>
        <v>9293000</v>
      </c>
      <c r="V3408" s="52">
        <f>IF(0&lt;0.8,0,IF(0&lt;1,Sheet3!L561,1))*IF(G3408&lt;3,0.12 - O3408,0.01) *U3408</f>
        <v>0</v>
      </c>
      <c r="W3408" s="52">
        <f t="shared" si="939"/>
        <v>0</v>
      </c>
      <c r="X3408" s="53">
        <f t="shared" si="940"/>
        <v>0</v>
      </c>
      <c r="Y3408" s="53">
        <f t="shared" si="941"/>
        <v>0</v>
      </c>
      <c r="Z3408" s="54">
        <f t="shared" si="942"/>
        <v>0</v>
      </c>
      <c r="AA3408" s="54">
        <f t="shared" si="943"/>
        <v>0</v>
      </c>
      <c r="AB3408" s="55">
        <f t="shared" si="947"/>
        <v>0</v>
      </c>
      <c r="AC3408" s="55">
        <f t="shared" si="945"/>
        <v>0</v>
      </c>
      <c r="AD3408" s="56">
        <f t="shared" si="946"/>
        <v>0</v>
      </c>
    </row>
    <row r="3409" spans="3:30">
      <c r="C3409" s="43" t="s">
        <v>6323</v>
      </c>
      <c r="D3409" s="44" t="s">
        <v>6324</v>
      </c>
      <c r="E3409" s="44"/>
      <c r="F3409" s="45">
        <v>43309.143738425926</v>
      </c>
      <c r="G3409" s="46">
        <v>2</v>
      </c>
      <c r="H3409" s="47">
        <v>43372</v>
      </c>
      <c r="I3409" s="47">
        <v>43423</v>
      </c>
      <c r="J3409" s="46">
        <v>11000</v>
      </c>
      <c r="K3409" s="46">
        <v>0</v>
      </c>
      <c r="L3409" s="46">
        <v>0</v>
      </c>
      <c r="M3409" s="46">
        <f t="shared" si="933"/>
        <v>11000</v>
      </c>
      <c r="N3409" s="46">
        <v>11000</v>
      </c>
      <c r="O3409" s="48">
        <f t="shared" si="934"/>
        <v>0</v>
      </c>
      <c r="P3409" s="46">
        <v>11000</v>
      </c>
      <c r="Q3409" s="46">
        <v>0</v>
      </c>
      <c r="R3409" s="49">
        <f t="shared" si="935"/>
        <v>0</v>
      </c>
      <c r="S3409" s="50">
        <f t="shared" si="936"/>
        <v>0</v>
      </c>
      <c r="T3409" s="49">
        <f t="shared" si="937"/>
        <v>0</v>
      </c>
      <c r="U3409" s="51">
        <f t="shared" si="938"/>
        <v>11000</v>
      </c>
      <c r="V3409" s="52">
        <f>IF(0&lt;0.8,0,IF(0&lt;1,Sheet3!L561,1))*IF(G3409&lt;3,0.12 - O3409,0.01) *U3409</f>
        <v>0</v>
      </c>
      <c r="W3409" s="52">
        <f t="shared" si="939"/>
        <v>0</v>
      </c>
      <c r="X3409" s="53">
        <f t="shared" si="940"/>
        <v>0</v>
      </c>
      <c r="Y3409" s="53">
        <f t="shared" si="941"/>
        <v>0</v>
      </c>
      <c r="Z3409" s="54">
        <f t="shared" si="942"/>
        <v>0</v>
      </c>
      <c r="AA3409" s="54">
        <f t="shared" si="943"/>
        <v>0</v>
      </c>
      <c r="AB3409" s="55">
        <f t="shared" si="947"/>
        <v>0</v>
      </c>
      <c r="AC3409" s="55">
        <f t="shared" si="945"/>
        <v>0</v>
      </c>
      <c r="AD3409" s="56">
        <f t="shared" si="946"/>
        <v>0</v>
      </c>
    </row>
    <row r="3410" spans="3:30">
      <c r="C3410" s="43" t="s">
        <v>6325</v>
      </c>
      <c r="D3410" s="44" t="s">
        <v>6326</v>
      </c>
      <c r="E3410" s="44"/>
      <c r="F3410" s="45">
        <v>43309.145740740736</v>
      </c>
      <c r="G3410" s="46">
        <v>2</v>
      </c>
      <c r="H3410" s="47">
        <v>43372</v>
      </c>
      <c r="I3410" s="47">
        <v>43423</v>
      </c>
      <c r="J3410" s="46">
        <v>436502</v>
      </c>
      <c r="K3410" s="46">
        <v>0</v>
      </c>
      <c r="L3410" s="46">
        <v>0</v>
      </c>
      <c r="M3410" s="46">
        <f t="shared" si="933"/>
        <v>436502</v>
      </c>
      <c r="N3410" s="46">
        <v>436506</v>
      </c>
      <c r="O3410" s="48">
        <f t="shared" si="934"/>
        <v>9.1636770170877568E-6</v>
      </c>
      <c r="P3410" s="46">
        <v>436502</v>
      </c>
      <c r="Q3410" s="46">
        <v>0</v>
      </c>
      <c r="R3410" s="49">
        <f t="shared" si="935"/>
        <v>0</v>
      </c>
      <c r="S3410" s="50">
        <f t="shared" si="936"/>
        <v>0</v>
      </c>
      <c r="T3410" s="49">
        <f t="shared" si="937"/>
        <v>0</v>
      </c>
      <c r="U3410" s="51">
        <f t="shared" si="938"/>
        <v>436502</v>
      </c>
      <c r="V3410" s="52">
        <f>IF(0&lt;0.8,0,IF(0&lt;1,Sheet3!L561,1))*IF(G3410&lt;3,0.12 - O3410,0.01) *U3410</f>
        <v>0</v>
      </c>
      <c r="W3410" s="52">
        <f t="shared" si="939"/>
        <v>0</v>
      </c>
      <c r="X3410" s="53">
        <f t="shared" si="940"/>
        <v>0</v>
      </c>
      <c r="Y3410" s="53">
        <f t="shared" si="941"/>
        <v>0</v>
      </c>
      <c r="Z3410" s="54">
        <f t="shared" si="942"/>
        <v>0</v>
      </c>
      <c r="AA3410" s="54">
        <f t="shared" si="943"/>
        <v>0</v>
      </c>
      <c r="AB3410" s="55">
        <f t="shared" si="947"/>
        <v>0</v>
      </c>
      <c r="AC3410" s="55">
        <f t="shared" si="945"/>
        <v>0</v>
      </c>
      <c r="AD3410" s="56">
        <f t="shared" si="946"/>
        <v>0</v>
      </c>
    </row>
    <row r="3411" spans="3:30">
      <c r="C3411" s="43" t="s">
        <v>6327</v>
      </c>
      <c r="D3411" s="44" t="s">
        <v>6328</v>
      </c>
      <c r="E3411" s="44"/>
      <c r="F3411" s="45">
        <v>43309.148645833331</v>
      </c>
      <c r="G3411" s="46">
        <v>2</v>
      </c>
      <c r="H3411" s="47">
        <v>43372</v>
      </c>
      <c r="I3411" s="47">
        <v>43451</v>
      </c>
      <c r="J3411" s="46">
        <v>261200</v>
      </c>
      <c r="K3411" s="46">
        <v>0</v>
      </c>
      <c r="L3411" s="46">
        <v>0</v>
      </c>
      <c r="M3411" s="46">
        <f t="shared" si="933"/>
        <v>261200</v>
      </c>
      <c r="N3411" s="46">
        <v>261200</v>
      </c>
      <c r="O3411" s="48">
        <f t="shared" si="934"/>
        <v>0</v>
      </c>
      <c r="P3411" s="46">
        <v>261200</v>
      </c>
      <c r="Q3411" s="46">
        <v>0</v>
      </c>
      <c r="R3411" s="49">
        <f t="shared" si="935"/>
        <v>0</v>
      </c>
      <c r="S3411" s="50">
        <f t="shared" si="936"/>
        <v>0</v>
      </c>
      <c r="T3411" s="49">
        <f t="shared" si="937"/>
        <v>0</v>
      </c>
      <c r="U3411" s="51">
        <f t="shared" si="938"/>
        <v>261200</v>
      </c>
      <c r="V3411" s="52">
        <f>IF(0&lt;0.8,0,IF(0&lt;1,Sheet3!L561,1))*IF(G3411&lt;3,0.12 - O3411,0.01) *U3411</f>
        <v>0</v>
      </c>
      <c r="W3411" s="52">
        <f t="shared" si="939"/>
        <v>0</v>
      </c>
      <c r="X3411" s="53">
        <f t="shared" si="940"/>
        <v>0</v>
      </c>
      <c r="Y3411" s="53">
        <f t="shared" si="941"/>
        <v>0</v>
      </c>
      <c r="Z3411" s="54">
        <f t="shared" si="942"/>
        <v>0</v>
      </c>
      <c r="AA3411" s="54">
        <f t="shared" si="943"/>
        <v>0</v>
      </c>
      <c r="AB3411" s="55">
        <f t="shared" si="947"/>
        <v>0</v>
      </c>
      <c r="AC3411" s="55">
        <f t="shared" si="945"/>
        <v>0</v>
      </c>
      <c r="AD3411" s="56">
        <f t="shared" si="946"/>
        <v>0</v>
      </c>
    </row>
    <row r="3412" spans="3:30">
      <c r="C3412" s="43" t="s">
        <v>6329</v>
      </c>
      <c r="D3412" s="44" t="s">
        <v>6330</v>
      </c>
      <c r="E3412" s="44"/>
      <c r="F3412" s="45">
        <v>43321.291099537033</v>
      </c>
      <c r="G3412" s="46">
        <v>1</v>
      </c>
      <c r="H3412" s="47">
        <v>43372</v>
      </c>
      <c r="I3412" s="47">
        <v>43397</v>
      </c>
      <c r="J3412" s="46">
        <v>2169160</v>
      </c>
      <c r="K3412" s="46">
        <v>0</v>
      </c>
      <c r="L3412" s="46">
        <v>0</v>
      </c>
      <c r="M3412" s="46">
        <f t="shared" si="933"/>
        <v>2169160</v>
      </c>
      <c r="N3412" s="46">
        <v>408159</v>
      </c>
      <c r="O3412" s="48">
        <f t="shared" si="934"/>
        <v>0</v>
      </c>
      <c r="P3412" s="46">
        <v>0</v>
      </c>
      <c r="Q3412" s="46">
        <v>0</v>
      </c>
      <c r="R3412" s="49">
        <f t="shared" si="935"/>
        <v>0</v>
      </c>
      <c r="S3412" s="50">
        <f t="shared" si="936"/>
        <v>0</v>
      </c>
      <c r="T3412" s="49">
        <f t="shared" si="937"/>
        <v>0</v>
      </c>
      <c r="U3412" s="51">
        <f t="shared" si="938"/>
        <v>2169160</v>
      </c>
      <c r="V3412" s="52">
        <f>IF(0&lt;0.8,0,IF(0&lt;1,Sheet3!L561,1))*IF(G3412&lt;3,0.12 - O3412,0.01) *U3412</f>
        <v>0</v>
      </c>
      <c r="W3412" s="52">
        <f t="shared" si="939"/>
        <v>0</v>
      </c>
      <c r="X3412" s="53">
        <f t="shared" si="940"/>
        <v>0</v>
      </c>
      <c r="Y3412" s="53">
        <f t="shared" si="941"/>
        <v>0</v>
      </c>
      <c r="Z3412" s="54">
        <f t="shared" si="942"/>
        <v>0</v>
      </c>
      <c r="AA3412" s="54">
        <f t="shared" si="943"/>
        <v>0</v>
      </c>
      <c r="AB3412" s="55">
        <f>IF(R3412=0,1761000,0)</f>
        <v>1761000</v>
      </c>
      <c r="AC3412" s="55">
        <f t="shared" si="945"/>
        <v>35220</v>
      </c>
      <c r="AD3412" s="56">
        <f t="shared" si="946"/>
        <v>35220</v>
      </c>
    </row>
    <row r="3413" spans="3:30">
      <c r="C3413" s="43" t="s">
        <v>6331</v>
      </c>
      <c r="D3413" s="44" t="s">
        <v>6332</v>
      </c>
      <c r="E3413" s="44"/>
      <c r="F3413" s="45">
        <v>42524.063993055555</v>
      </c>
      <c r="G3413" s="46">
        <v>27</v>
      </c>
      <c r="H3413" s="47" t="s">
        <v>24</v>
      </c>
      <c r="I3413" s="47" t="s">
        <v>24</v>
      </c>
      <c r="J3413" s="46">
        <v>0</v>
      </c>
      <c r="K3413" s="46">
        <v>0</v>
      </c>
      <c r="L3413" s="46">
        <v>0</v>
      </c>
      <c r="M3413" s="46">
        <f t="shared" si="933"/>
        <v>0</v>
      </c>
      <c r="N3413" s="46">
        <v>732000</v>
      </c>
      <c r="O3413" s="48">
        <f t="shared" si="934"/>
        <v>1</v>
      </c>
      <c r="P3413" s="46">
        <v>0</v>
      </c>
      <c r="Q3413" s="46">
        <v>0</v>
      </c>
      <c r="R3413" s="49">
        <f t="shared" si="935"/>
        <v>1</v>
      </c>
      <c r="S3413" s="50">
        <f t="shared" si="936"/>
        <v>0.01</v>
      </c>
      <c r="T3413" s="49">
        <f t="shared" si="937"/>
        <v>0</v>
      </c>
      <c r="U3413" s="51">
        <f t="shared" si="938"/>
        <v>0</v>
      </c>
      <c r="V3413" s="52">
        <f>IF(0&lt;0.8,0,IF(0&lt;1,Sheet3!L561,1))*IF(G3413&lt;3,0.12 - O3413,0.01) *U3413</f>
        <v>0</v>
      </c>
      <c r="W3413" s="52">
        <f t="shared" si="939"/>
        <v>0</v>
      </c>
      <c r="X3413" s="53">
        <f t="shared" si="940"/>
        <v>0</v>
      </c>
      <c r="Y3413" s="53">
        <f t="shared" si="941"/>
        <v>0</v>
      </c>
      <c r="Z3413" s="54">
        <f>IF(R3413=1,0,"")</f>
        <v>0</v>
      </c>
      <c r="AA3413" s="54">
        <f t="shared" si="943"/>
        <v>0</v>
      </c>
      <c r="AB3413" s="55">
        <f>IF(R3413=0,"",0)</f>
        <v>0</v>
      </c>
      <c r="AC3413" s="55">
        <f t="shared" si="945"/>
        <v>0</v>
      </c>
      <c r="AD3413" s="56">
        <f t="shared" si="946"/>
        <v>0</v>
      </c>
    </row>
    <row r="3414" spans="3:30">
      <c r="C3414" s="43" t="s">
        <v>6333</v>
      </c>
      <c r="D3414" s="44" t="s">
        <v>995</v>
      </c>
      <c r="E3414" s="44"/>
      <c r="F3414" s="45">
        <v>43316.219097222223</v>
      </c>
      <c r="G3414" s="46">
        <v>1</v>
      </c>
      <c r="H3414" s="47">
        <v>43431</v>
      </c>
      <c r="I3414" s="47">
        <v>43460</v>
      </c>
      <c r="J3414" s="46">
        <v>620639</v>
      </c>
      <c r="K3414" s="46">
        <v>0</v>
      </c>
      <c r="L3414" s="46">
        <v>0</v>
      </c>
      <c r="M3414" s="46">
        <f t="shared" si="933"/>
        <v>620639</v>
      </c>
      <c r="N3414" s="46">
        <v>653953</v>
      </c>
      <c r="O3414" s="48">
        <f t="shared" si="934"/>
        <v>5.0942498925763746E-2</v>
      </c>
      <c r="P3414" s="46">
        <v>0</v>
      </c>
      <c r="Q3414" s="46">
        <v>0</v>
      </c>
      <c r="R3414" s="49">
        <f t="shared" si="935"/>
        <v>0</v>
      </c>
      <c r="S3414" s="50">
        <f t="shared" si="936"/>
        <v>0</v>
      </c>
      <c r="T3414" s="49">
        <f t="shared" si="937"/>
        <v>0</v>
      </c>
      <c r="U3414" s="51">
        <f t="shared" si="938"/>
        <v>620639</v>
      </c>
      <c r="V3414" s="52">
        <f>IF(0&lt;0.8,0,IF(0&lt;1,Sheet3!L561,1))*IF(G3414&lt;3,0.12 - O3414,0.01) *U3414</f>
        <v>0</v>
      </c>
      <c r="W3414" s="52">
        <f t="shared" si="939"/>
        <v>0</v>
      </c>
      <c r="X3414" s="53">
        <f t="shared" si="940"/>
        <v>0</v>
      </c>
      <c r="Y3414" s="53">
        <f t="shared" si="941"/>
        <v>0</v>
      </c>
      <c r="Z3414" s="54">
        <f>IF(R3414=1,0,0)</f>
        <v>0</v>
      </c>
      <c r="AA3414" s="54">
        <f t="shared" si="943"/>
        <v>0</v>
      </c>
      <c r="AB3414" s="55">
        <f>IF(R3414=0,0,0)</f>
        <v>0</v>
      </c>
      <c r="AC3414" s="55">
        <f t="shared" si="945"/>
        <v>0</v>
      </c>
      <c r="AD3414" s="56">
        <f t="shared" si="946"/>
        <v>0</v>
      </c>
    </row>
    <row r="3415" spans="3:30">
      <c r="C3415" s="43" t="s">
        <v>6334</v>
      </c>
      <c r="D3415" s="44" t="s">
        <v>24</v>
      </c>
      <c r="E3415" s="44"/>
      <c r="F3415" s="45" t="s">
        <v>24</v>
      </c>
      <c r="G3415" s="46" t="s">
        <v>24</v>
      </c>
      <c r="H3415" s="47" t="s">
        <v>24</v>
      </c>
      <c r="I3415" s="47" t="s">
        <v>24</v>
      </c>
      <c r="J3415" s="46">
        <v>96000</v>
      </c>
      <c r="K3415" s="46">
        <v>0</v>
      </c>
      <c r="L3415" s="46">
        <v>0</v>
      </c>
      <c r="M3415" s="46">
        <f t="shared" si="933"/>
        <v>96000</v>
      </c>
      <c r="N3415" s="46" t="s">
        <v>24</v>
      </c>
      <c r="O3415" s="48">
        <f t="shared" si="934"/>
        <v>0</v>
      </c>
      <c r="P3415" s="46">
        <v>0</v>
      </c>
      <c r="Q3415" s="46">
        <v>0</v>
      </c>
      <c r="R3415" s="49">
        <f t="shared" si="935"/>
        <v>0</v>
      </c>
      <c r="S3415" s="50">
        <f t="shared" si="936"/>
        <v>0</v>
      </c>
      <c r="T3415" s="49">
        <f t="shared" si="937"/>
        <v>0</v>
      </c>
      <c r="U3415" s="51">
        <f t="shared" si="938"/>
        <v>96000</v>
      </c>
      <c r="V3415" s="52">
        <f>IF(0&lt;0.8,0,IF(0&lt;1,Sheet3!L561,1))*IF(G3415&lt;3,0.12 - O3415,0.01) *U3415</f>
        <v>0</v>
      </c>
      <c r="W3415" s="52">
        <f t="shared" si="939"/>
        <v>0</v>
      </c>
      <c r="X3415" s="53">
        <f t="shared" si="940"/>
        <v>0</v>
      </c>
      <c r="Y3415" s="53">
        <f t="shared" si="941"/>
        <v>0</v>
      </c>
      <c r="Z3415" s="54" t="str">
        <f>IF(R3415=1,0,"")</f>
        <v/>
      </c>
      <c r="AA3415" s="54">
        <f t="shared" si="943"/>
        <v>0</v>
      </c>
      <c r="AB3415" s="55" t="str">
        <f>IF(R3415=0,"",0)</f>
        <v/>
      </c>
      <c r="AC3415" s="55">
        <f t="shared" si="945"/>
        <v>0</v>
      </c>
      <c r="AD3415" s="56">
        <f t="shared" si="946"/>
        <v>0</v>
      </c>
    </row>
    <row r="3416" spans="3:30">
      <c r="C3416" s="43" t="s">
        <v>6335</v>
      </c>
      <c r="D3416" s="44" t="s">
        <v>6336</v>
      </c>
      <c r="E3416" s="44"/>
      <c r="F3416" s="45">
        <v>38960.596238425926</v>
      </c>
      <c r="G3416" s="46">
        <v>145</v>
      </c>
      <c r="H3416" s="47">
        <v>43372</v>
      </c>
      <c r="I3416" s="47">
        <v>43389</v>
      </c>
      <c r="J3416" s="46">
        <v>778360</v>
      </c>
      <c r="K3416" s="46">
        <v>0</v>
      </c>
      <c r="L3416" s="46">
        <v>0</v>
      </c>
      <c r="M3416" s="46">
        <f t="shared" si="933"/>
        <v>778360</v>
      </c>
      <c r="N3416" s="46">
        <v>778360</v>
      </c>
      <c r="O3416" s="48">
        <f t="shared" si="934"/>
        <v>0</v>
      </c>
      <c r="P3416" s="46">
        <v>0</v>
      </c>
      <c r="Q3416" s="46">
        <v>778360</v>
      </c>
      <c r="R3416" s="49">
        <f t="shared" si="935"/>
        <v>1</v>
      </c>
      <c r="S3416" s="50">
        <f t="shared" si="936"/>
        <v>0.01</v>
      </c>
      <c r="T3416" s="49">
        <f t="shared" si="937"/>
        <v>7783.6</v>
      </c>
      <c r="U3416" s="51">
        <f t="shared" si="938"/>
        <v>0</v>
      </c>
      <c r="V3416" s="52">
        <f>IF(0&lt;0.8,0,IF(0&lt;1,Sheet3!L561,1))*IF(G3416&lt;3,0.12 - O3416,0.01) *U3416</f>
        <v>0</v>
      </c>
      <c r="W3416" s="52">
        <f t="shared" si="939"/>
        <v>0</v>
      </c>
      <c r="X3416" s="53">
        <f t="shared" si="940"/>
        <v>0</v>
      </c>
      <c r="Y3416" s="53">
        <f t="shared" si="941"/>
        <v>0</v>
      </c>
      <c r="Z3416" s="54">
        <f t="shared" ref="Z3416:Z3479" si="948">IF(R3416=1,0,0)</f>
        <v>0</v>
      </c>
      <c r="AA3416" s="54">
        <f t="shared" si="943"/>
        <v>0</v>
      </c>
      <c r="AB3416" s="55">
        <f t="shared" ref="AB3416:AB3460" si="949">IF(R3416=0,0,0)</f>
        <v>0</v>
      </c>
      <c r="AC3416" s="55">
        <f t="shared" si="945"/>
        <v>0</v>
      </c>
      <c r="AD3416" s="56">
        <f t="shared" si="946"/>
        <v>7783.6</v>
      </c>
    </row>
    <row r="3417" spans="3:30">
      <c r="C3417" s="43" t="s">
        <v>6337</v>
      </c>
      <c r="D3417" s="44" t="s">
        <v>6338</v>
      </c>
      <c r="E3417" s="44"/>
      <c r="F3417" s="45">
        <v>39254.495219907403</v>
      </c>
      <c r="G3417" s="46">
        <v>135</v>
      </c>
      <c r="H3417" s="47">
        <v>43372</v>
      </c>
      <c r="I3417" s="47">
        <v>43385</v>
      </c>
      <c r="J3417" s="46">
        <v>57400</v>
      </c>
      <c r="K3417" s="46">
        <v>0</v>
      </c>
      <c r="L3417" s="46">
        <v>0</v>
      </c>
      <c r="M3417" s="46">
        <f t="shared" si="933"/>
        <v>57400</v>
      </c>
      <c r="N3417" s="46">
        <v>57400</v>
      </c>
      <c r="O3417" s="48">
        <f t="shared" si="934"/>
        <v>0</v>
      </c>
      <c r="P3417" s="46">
        <v>0</v>
      </c>
      <c r="Q3417" s="46">
        <v>57400</v>
      </c>
      <c r="R3417" s="49">
        <f t="shared" si="935"/>
        <v>1</v>
      </c>
      <c r="S3417" s="50">
        <f t="shared" si="936"/>
        <v>0.01</v>
      </c>
      <c r="T3417" s="49">
        <f t="shared" si="937"/>
        <v>574</v>
      </c>
      <c r="U3417" s="51">
        <f t="shared" si="938"/>
        <v>0</v>
      </c>
      <c r="V3417" s="52">
        <f>IF(0&lt;0.8,0,IF(0&lt;1,Sheet3!L561,1))*IF(G3417&lt;3,0.12 - O3417,0.01) *U3417</f>
        <v>0</v>
      </c>
      <c r="W3417" s="52">
        <f t="shared" si="939"/>
        <v>0</v>
      </c>
      <c r="X3417" s="53">
        <f t="shared" si="940"/>
        <v>0</v>
      </c>
      <c r="Y3417" s="53">
        <f t="shared" si="941"/>
        <v>0</v>
      </c>
      <c r="Z3417" s="54">
        <f t="shared" si="948"/>
        <v>0</v>
      </c>
      <c r="AA3417" s="54">
        <f t="shared" si="943"/>
        <v>0</v>
      </c>
      <c r="AB3417" s="55">
        <f t="shared" si="949"/>
        <v>0</v>
      </c>
      <c r="AC3417" s="55">
        <f t="shared" si="945"/>
        <v>0</v>
      </c>
      <c r="AD3417" s="56">
        <f t="shared" si="946"/>
        <v>574</v>
      </c>
    </row>
    <row r="3418" spans="3:30">
      <c r="C3418" s="43" t="s">
        <v>6339</v>
      </c>
      <c r="D3418" s="44" t="s">
        <v>6340</v>
      </c>
      <c r="E3418" s="44"/>
      <c r="F3418" s="45">
        <v>39254.498668981483</v>
      </c>
      <c r="G3418" s="46">
        <v>135</v>
      </c>
      <c r="H3418" s="47">
        <v>43372</v>
      </c>
      <c r="I3418" s="47">
        <v>43460</v>
      </c>
      <c r="J3418" s="46">
        <v>5565437</v>
      </c>
      <c r="K3418" s="46">
        <v>0</v>
      </c>
      <c r="L3418" s="46">
        <v>0</v>
      </c>
      <c r="M3418" s="46">
        <f t="shared" si="933"/>
        <v>5565437</v>
      </c>
      <c r="N3418" s="46">
        <v>5565701</v>
      </c>
      <c r="O3418" s="48">
        <f t="shared" si="934"/>
        <v>4.7433378113526103E-5</v>
      </c>
      <c r="P3418" s="46">
        <v>0</v>
      </c>
      <c r="Q3418" s="46">
        <v>5565437</v>
      </c>
      <c r="R3418" s="49">
        <f t="shared" si="935"/>
        <v>1</v>
      </c>
      <c r="S3418" s="50">
        <f t="shared" si="936"/>
        <v>0.01</v>
      </c>
      <c r="T3418" s="49">
        <f t="shared" si="937"/>
        <v>55654.37</v>
      </c>
      <c r="U3418" s="51">
        <f t="shared" si="938"/>
        <v>0</v>
      </c>
      <c r="V3418" s="52">
        <f>IF(0&lt;0.8,0,IF(0&lt;1,Sheet3!L561,1))*IF(G3418&lt;3,0.12 - O3418,0.01) *U3418</f>
        <v>0</v>
      </c>
      <c r="W3418" s="52">
        <f t="shared" si="939"/>
        <v>0</v>
      </c>
      <c r="X3418" s="53">
        <f t="shared" si="940"/>
        <v>0</v>
      </c>
      <c r="Y3418" s="53">
        <f t="shared" si="941"/>
        <v>0</v>
      </c>
      <c r="Z3418" s="54">
        <f t="shared" si="948"/>
        <v>0</v>
      </c>
      <c r="AA3418" s="54">
        <f t="shared" si="943"/>
        <v>0</v>
      </c>
      <c r="AB3418" s="55">
        <f t="shared" si="949"/>
        <v>0</v>
      </c>
      <c r="AC3418" s="55">
        <f t="shared" si="945"/>
        <v>0</v>
      </c>
      <c r="AD3418" s="56">
        <f t="shared" si="946"/>
        <v>55654.37</v>
      </c>
    </row>
    <row r="3419" spans="3:30">
      <c r="C3419" s="43" t="s">
        <v>6341</v>
      </c>
      <c r="D3419" s="44" t="s">
        <v>6342</v>
      </c>
      <c r="E3419" s="44"/>
      <c r="F3419" s="45">
        <v>39323.454050925924</v>
      </c>
      <c r="G3419" s="46">
        <v>133</v>
      </c>
      <c r="H3419" s="47">
        <v>43372</v>
      </c>
      <c r="I3419" s="47">
        <v>43406</v>
      </c>
      <c r="J3419" s="46">
        <v>1052800</v>
      </c>
      <c r="K3419" s="46">
        <v>0</v>
      </c>
      <c r="L3419" s="46">
        <v>0</v>
      </c>
      <c r="M3419" s="46">
        <f t="shared" si="933"/>
        <v>1052800</v>
      </c>
      <c r="N3419" s="46">
        <v>1055000</v>
      </c>
      <c r="O3419" s="48">
        <f t="shared" si="934"/>
        <v>2.085308056872015E-3</v>
      </c>
      <c r="P3419" s="46">
        <v>0</v>
      </c>
      <c r="Q3419" s="46">
        <v>1052800</v>
      </c>
      <c r="R3419" s="49">
        <f t="shared" si="935"/>
        <v>1</v>
      </c>
      <c r="S3419" s="50">
        <f t="shared" si="936"/>
        <v>0.01</v>
      </c>
      <c r="T3419" s="49">
        <f t="shared" si="937"/>
        <v>10528</v>
      </c>
      <c r="U3419" s="51">
        <f t="shared" si="938"/>
        <v>0</v>
      </c>
      <c r="V3419" s="52">
        <f>IF(0&lt;0.8,0,IF(0&lt;1,Sheet3!L561,1))*IF(G3419&lt;3,0.12 - O3419,0.01) *U3419</f>
        <v>0</v>
      </c>
      <c r="W3419" s="52">
        <f t="shared" si="939"/>
        <v>0</v>
      </c>
      <c r="X3419" s="53">
        <f t="shared" si="940"/>
        <v>0</v>
      </c>
      <c r="Y3419" s="53">
        <f t="shared" si="941"/>
        <v>0</v>
      </c>
      <c r="Z3419" s="54">
        <f t="shared" si="948"/>
        <v>0</v>
      </c>
      <c r="AA3419" s="54">
        <f t="shared" si="943"/>
        <v>0</v>
      </c>
      <c r="AB3419" s="55">
        <f t="shared" si="949"/>
        <v>0</v>
      </c>
      <c r="AC3419" s="55">
        <f t="shared" si="945"/>
        <v>0</v>
      </c>
      <c r="AD3419" s="56">
        <f t="shared" si="946"/>
        <v>10528</v>
      </c>
    </row>
    <row r="3420" spans="3:30">
      <c r="C3420" s="43" t="s">
        <v>6343</v>
      </c>
      <c r="D3420" s="44" t="s">
        <v>6344</v>
      </c>
      <c r="E3420" s="44"/>
      <c r="F3420" s="45">
        <v>39325.456909722219</v>
      </c>
      <c r="G3420" s="46">
        <v>133</v>
      </c>
      <c r="H3420" s="47">
        <v>43389</v>
      </c>
      <c r="I3420" s="47">
        <v>43441</v>
      </c>
      <c r="J3420" s="46">
        <v>3442696</v>
      </c>
      <c r="K3420" s="46">
        <v>0</v>
      </c>
      <c r="L3420" s="46">
        <v>0</v>
      </c>
      <c r="M3420" s="46">
        <f t="shared" si="933"/>
        <v>3442696</v>
      </c>
      <c r="N3420" s="46">
        <v>3481834</v>
      </c>
      <c r="O3420" s="48">
        <f t="shared" si="934"/>
        <v>1.1240627784093071E-2</v>
      </c>
      <c r="P3420" s="46">
        <v>0</v>
      </c>
      <c r="Q3420" s="46">
        <v>3442696</v>
      </c>
      <c r="R3420" s="49">
        <f t="shared" si="935"/>
        <v>1</v>
      </c>
      <c r="S3420" s="50">
        <f t="shared" si="936"/>
        <v>0.01</v>
      </c>
      <c r="T3420" s="49">
        <f t="shared" si="937"/>
        <v>34426.959999999999</v>
      </c>
      <c r="U3420" s="51">
        <f t="shared" si="938"/>
        <v>0</v>
      </c>
      <c r="V3420" s="52">
        <f>IF(0&lt;0.8,0,IF(0&lt;1,Sheet3!L561,1))*IF(G3420&lt;3,0.12 - O3420,0.01) *U3420</f>
        <v>0</v>
      </c>
      <c r="W3420" s="52">
        <f t="shared" si="939"/>
        <v>0</v>
      </c>
      <c r="X3420" s="53">
        <f t="shared" si="940"/>
        <v>0</v>
      </c>
      <c r="Y3420" s="53">
        <f t="shared" si="941"/>
        <v>0</v>
      </c>
      <c r="Z3420" s="54">
        <f t="shared" si="948"/>
        <v>0</v>
      </c>
      <c r="AA3420" s="54">
        <f t="shared" si="943"/>
        <v>0</v>
      </c>
      <c r="AB3420" s="55">
        <f t="shared" si="949"/>
        <v>0</v>
      </c>
      <c r="AC3420" s="55">
        <f t="shared" si="945"/>
        <v>0</v>
      </c>
      <c r="AD3420" s="56">
        <f t="shared" si="946"/>
        <v>34426.959999999999</v>
      </c>
    </row>
    <row r="3421" spans="3:30">
      <c r="C3421" s="43" t="s">
        <v>6345</v>
      </c>
      <c r="D3421" s="44" t="s">
        <v>6346</v>
      </c>
      <c r="E3421" s="44"/>
      <c r="F3421" s="45">
        <v>39003.61042824074</v>
      </c>
      <c r="G3421" s="46">
        <v>143</v>
      </c>
      <c r="H3421" s="47">
        <v>43372</v>
      </c>
      <c r="I3421" s="47">
        <v>42634</v>
      </c>
      <c r="J3421" s="46">
        <v>279000</v>
      </c>
      <c r="K3421" s="46">
        <v>0</v>
      </c>
      <c r="L3421" s="46">
        <v>0</v>
      </c>
      <c r="M3421" s="46">
        <f t="shared" si="933"/>
        <v>279000</v>
      </c>
      <c r="N3421" s="46">
        <v>279000</v>
      </c>
      <c r="O3421" s="48">
        <f t="shared" si="934"/>
        <v>0</v>
      </c>
      <c r="P3421" s="46">
        <v>0</v>
      </c>
      <c r="Q3421" s="46">
        <v>279000</v>
      </c>
      <c r="R3421" s="49">
        <f t="shared" si="935"/>
        <v>1</v>
      </c>
      <c r="S3421" s="50">
        <f t="shared" si="936"/>
        <v>0.01</v>
      </c>
      <c r="T3421" s="49">
        <f t="shared" si="937"/>
        <v>2790</v>
      </c>
      <c r="U3421" s="51">
        <f t="shared" si="938"/>
        <v>0</v>
      </c>
      <c r="V3421" s="52">
        <f>IF(0&lt;0.8,0,IF(0&lt;1,Sheet3!L561,1))*IF(G3421&lt;3,0.12 - O3421,0.01) *U3421</f>
        <v>0</v>
      </c>
      <c r="W3421" s="52">
        <f t="shared" si="939"/>
        <v>0</v>
      </c>
      <c r="X3421" s="53">
        <f t="shared" si="940"/>
        <v>0</v>
      </c>
      <c r="Y3421" s="53">
        <f t="shared" si="941"/>
        <v>0</v>
      </c>
      <c r="Z3421" s="54">
        <f t="shared" si="948"/>
        <v>0</v>
      </c>
      <c r="AA3421" s="54">
        <f t="shared" si="943"/>
        <v>0</v>
      </c>
      <c r="AB3421" s="55">
        <f t="shared" si="949"/>
        <v>0</v>
      </c>
      <c r="AC3421" s="55">
        <f t="shared" si="945"/>
        <v>0</v>
      </c>
      <c r="AD3421" s="56">
        <f t="shared" si="946"/>
        <v>2790</v>
      </c>
    </row>
    <row r="3422" spans="3:30">
      <c r="C3422" s="43" t="s">
        <v>6347</v>
      </c>
      <c r="D3422" s="44" t="s">
        <v>6348</v>
      </c>
      <c r="E3422" s="44"/>
      <c r="F3422" s="45">
        <v>40638.774629629625</v>
      </c>
      <c r="G3422" s="46">
        <v>89</v>
      </c>
      <c r="H3422" s="47">
        <v>43372</v>
      </c>
      <c r="I3422" s="47">
        <v>43417</v>
      </c>
      <c r="J3422" s="46">
        <v>1322510</v>
      </c>
      <c r="K3422" s="46">
        <v>0</v>
      </c>
      <c r="L3422" s="46">
        <v>0</v>
      </c>
      <c r="M3422" s="46">
        <f t="shared" si="933"/>
        <v>1322510</v>
      </c>
      <c r="N3422" s="46">
        <v>1322510</v>
      </c>
      <c r="O3422" s="48">
        <f t="shared" si="934"/>
        <v>0</v>
      </c>
      <c r="P3422" s="46">
        <v>0</v>
      </c>
      <c r="Q3422" s="46">
        <v>1322510</v>
      </c>
      <c r="R3422" s="49">
        <f t="shared" si="935"/>
        <v>1</v>
      </c>
      <c r="S3422" s="50">
        <f t="shared" si="936"/>
        <v>0.01</v>
      </c>
      <c r="T3422" s="49">
        <f t="shared" si="937"/>
        <v>13225.1</v>
      </c>
      <c r="U3422" s="51">
        <f t="shared" si="938"/>
        <v>0</v>
      </c>
      <c r="V3422" s="52">
        <f>IF(0&lt;0.8,0,IF(0&lt;1,Sheet3!L561,1))*IF(G3422&lt;3,0.12 - O3422,0.01) *U3422</f>
        <v>0</v>
      </c>
      <c r="W3422" s="52">
        <f t="shared" si="939"/>
        <v>0</v>
      </c>
      <c r="X3422" s="53">
        <f t="shared" si="940"/>
        <v>0</v>
      </c>
      <c r="Y3422" s="53">
        <f t="shared" si="941"/>
        <v>0</v>
      </c>
      <c r="Z3422" s="54">
        <f t="shared" si="948"/>
        <v>0</v>
      </c>
      <c r="AA3422" s="54">
        <f t="shared" si="943"/>
        <v>0</v>
      </c>
      <c r="AB3422" s="55">
        <f t="shared" si="949"/>
        <v>0</v>
      </c>
      <c r="AC3422" s="55">
        <f t="shared" si="945"/>
        <v>0</v>
      </c>
      <c r="AD3422" s="56">
        <f t="shared" si="946"/>
        <v>13225.1</v>
      </c>
    </row>
    <row r="3423" spans="3:30">
      <c r="C3423" s="43" t="s">
        <v>6349</v>
      </c>
      <c r="D3423" s="44" t="s">
        <v>6350</v>
      </c>
      <c r="E3423" s="44"/>
      <c r="F3423" s="45">
        <v>39498.406608796293</v>
      </c>
      <c r="G3423" s="46">
        <v>127</v>
      </c>
      <c r="H3423" s="47">
        <v>43389</v>
      </c>
      <c r="I3423" s="47">
        <v>43399</v>
      </c>
      <c r="J3423" s="46">
        <v>10618433</v>
      </c>
      <c r="K3423" s="46">
        <v>0</v>
      </c>
      <c r="L3423" s="46">
        <v>0</v>
      </c>
      <c r="M3423" s="46">
        <f t="shared" si="933"/>
        <v>10618433</v>
      </c>
      <c r="N3423" s="46">
        <v>20775897</v>
      </c>
      <c r="O3423" s="48">
        <f t="shared" si="934"/>
        <v>0.48890615890134614</v>
      </c>
      <c r="P3423" s="46">
        <v>0</v>
      </c>
      <c r="Q3423" s="46">
        <v>10618433</v>
      </c>
      <c r="R3423" s="49">
        <f t="shared" si="935"/>
        <v>1</v>
      </c>
      <c r="S3423" s="50">
        <f t="shared" si="936"/>
        <v>0.01</v>
      </c>
      <c r="T3423" s="49">
        <f t="shared" si="937"/>
        <v>106184.33</v>
      </c>
      <c r="U3423" s="51">
        <f t="shared" si="938"/>
        <v>0</v>
      </c>
      <c r="V3423" s="52">
        <f>IF(0&lt;0.8,0,IF(0&lt;1,Sheet3!L561,1))*IF(G3423&lt;3,0.12 - O3423,0.01) *U3423</f>
        <v>0</v>
      </c>
      <c r="W3423" s="52">
        <f t="shared" si="939"/>
        <v>0</v>
      </c>
      <c r="X3423" s="53">
        <f t="shared" si="940"/>
        <v>0</v>
      </c>
      <c r="Y3423" s="53">
        <f t="shared" si="941"/>
        <v>0</v>
      </c>
      <c r="Z3423" s="54">
        <f t="shared" si="948"/>
        <v>0</v>
      </c>
      <c r="AA3423" s="54">
        <f t="shared" si="943"/>
        <v>0</v>
      </c>
      <c r="AB3423" s="55">
        <f t="shared" si="949"/>
        <v>0</v>
      </c>
      <c r="AC3423" s="55">
        <f t="shared" si="945"/>
        <v>0</v>
      </c>
      <c r="AD3423" s="56">
        <f t="shared" si="946"/>
        <v>106184.33</v>
      </c>
    </row>
    <row r="3424" spans="3:30">
      <c r="C3424" s="43" t="s">
        <v>6351</v>
      </c>
      <c r="D3424" s="44" t="s">
        <v>6352</v>
      </c>
      <c r="E3424" s="44"/>
      <c r="F3424" s="45">
        <v>40599.412094907406</v>
      </c>
      <c r="G3424" s="46">
        <v>91</v>
      </c>
      <c r="H3424" s="47">
        <v>43372</v>
      </c>
      <c r="I3424" s="47">
        <v>43397</v>
      </c>
      <c r="J3424" s="46">
        <v>160101</v>
      </c>
      <c r="K3424" s="46">
        <v>0</v>
      </c>
      <c r="L3424" s="46">
        <v>0</v>
      </c>
      <c r="M3424" s="46">
        <f t="shared" si="933"/>
        <v>160101</v>
      </c>
      <c r="N3424" s="46">
        <v>162301</v>
      </c>
      <c r="O3424" s="48">
        <f t="shared" si="934"/>
        <v>1.355506127503836E-2</v>
      </c>
      <c r="P3424" s="46">
        <v>0</v>
      </c>
      <c r="Q3424" s="46">
        <v>160101</v>
      </c>
      <c r="R3424" s="49">
        <f t="shared" si="935"/>
        <v>1</v>
      </c>
      <c r="S3424" s="50">
        <f t="shared" si="936"/>
        <v>0.01</v>
      </c>
      <c r="T3424" s="49">
        <f t="shared" si="937"/>
        <v>1601.01</v>
      </c>
      <c r="U3424" s="51">
        <f t="shared" si="938"/>
        <v>0</v>
      </c>
      <c r="V3424" s="52">
        <f>IF(0&lt;0.8,0,IF(0&lt;1,Sheet3!L561,1))*IF(G3424&lt;3,0.12 - O3424,0.01) *U3424</f>
        <v>0</v>
      </c>
      <c r="W3424" s="52">
        <f t="shared" si="939"/>
        <v>0</v>
      </c>
      <c r="X3424" s="53">
        <f t="shared" si="940"/>
        <v>0</v>
      </c>
      <c r="Y3424" s="53">
        <f t="shared" si="941"/>
        <v>0</v>
      </c>
      <c r="Z3424" s="54">
        <f t="shared" si="948"/>
        <v>0</v>
      </c>
      <c r="AA3424" s="54">
        <f t="shared" si="943"/>
        <v>0</v>
      </c>
      <c r="AB3424" s="55">
        <f t="shared" si="949"/>
        <v>0</v>
      </c>
      <c r="AC3424" s="55">
        <f t="shared" si="945"/>
        <v>0</v>
      </c>
      <c r="AD3424" s="56">
        <f t="shared" si="946"/>
        <v>1601.01</v>
      </c>
    </row>
    <row r="3425" spans="3:30">
      <c r="C3425" s="43" t="s">
        <v>6353</v>
      </c>
      <c r="D3425" s="44" t="s">
        <v>6354</v>
      </c>
      <c r="E3425" s="44"/>
      <c r="F3425" s="45">
        <v>40710.458657407406</v>
      </c>
      <c r="G3425" s="46">
        <v>87</v>
      </c>
      <c r="H3425" s="47">
        <v>43372</v>
      </c>
      <c r="I3425" s="47">
        <v>43390</v>
      </c>
      <c r="J3425" s="46">
        <v>1799802</v>
      </c>
      <c r="K3425" s="46">
        <v>0</v>
      </c>
      <c r="L3425" s="46">
        <v>0</v>
      </c>
      <c r="M3425" s="46">
        <f t="shared" si="933"/>
        <v>1799802</v>
      </c>
      <c r="N3425" s="46">
        <v>1799802</v>
      </c>
      <c r="O3425" s="48">
        <f t="shared" si="934"/>
        <v>0</v>
      </c>
      <c r="P3425" s="46">
        <v>0</v>
      </c>
      <c r="Q3425" s="46">
        <v>1799802</v>
      </c>
      <c r="R3425" s="49">
        <f t="shared" si="935"/>
        <v>1</v>
      </c>
      <c r="S3425" s="50">
        <f t="shared" si="936"/>
        <v>0.01</v>
      </c>
      <c r="T3425" s="49">
        <f t="shared" si="937"/>
        <v>17998.02</v>
      </c>
      <c r="U3425" s="51">
        <f t="shared" si="938"/>
        <v>0</v>
      </c>
      <c r="V3425" s="52">
        <f>IF(0&lt;0.8,0,IF(0&lt;1,Sheet3!L561,1))*IF(G3425&lt;3,0.12 - O3425,0.01) *U3425</f>
        <v>0</v>
      </c>
      <c r="W3425" s="52">
        <f t="shared" si="939"/>
        <v>0</v>
      </c>
      <c r="X3425" s="53">
        <f t="shared" si="940"/>
        <v>0</v>
      </c>
      <c r="Y3425" s="53">
        <f t="shared" si="941"/>
        <v>0</v>
      </c>
      <c r="Z3425" s="54">
        <f t="shared" si="948"/>
        <v>0</v>
      </c>
      <c r="AA3425" s="54">
        <f t="shared" si="943"/>
        <v>0</v>
      </c>
      <c r="AB3425" s="55">
        <f t="shared" si="949"/>
        <v>0</v>
      </c>
      <c r="AC3425" s="55">
        <f t="shared" si="945"/>
        <v>0</v>
      </c>
      <c r="AD3425" s="56">
        <f t="shared" si="946"/>
        <v>17998.02</v>
      </c>
    </row>
    <row r="3426" spans="3:30">
      <c r="C3426" s="43" t="s">
        <v>6355</v>
      </c>
      <c r="D3426" s="44" t="s">
        <v>6356</v>
      </c>
      <c r="E3426" s="44"/>
      <c r="F3426" s="45">
        <v>39498.428206018514</v>
      </c>
      <c r="G3426" s="46">
        <v>127</v>
      </c>
      <c r="H3426" s="47">
        <v>43372</v>
      </c>
      <c r="I3426" s="47">
        <v>43386</v>
      </c>
      <c r="J3426" s="46">
        <v>1434225</v>
      </c>
      <c r="K3426" s="46">
        <v>0</v>
      </c>
      <c r="L3426" s="46">
        <v>0</v>
      </c>
      <c r="M3426" s="46">
        <f t="shared" si="933"/>
        <v>1434225</v>
      </c>
      <c r="N3426" s="46">
        <v>3044580</v>
      </c>
      <c r="O3426" s="48">
        <f t="shared" si="934"/>
        <v>0.52892517194489885</v>
      </c>
      <c r="P3426" s="46">
        <v>0</v>
      </c>
      <c r="Q3426" s="46">
        <v>1434225</v>
      </c>
      <c r="R3426" s="49">
        <f t="shared" si="935"/>
        <v>1</v>
      </c>
      <c r="S3426" s="50">
        <f t="shared" si="936"/>
        <v>0.01</v>
      </c>
      <c r="T3426" s="49">
        <f t="shared" si="937"/>
        <v>14342.25</v>
      </c>
      <c r="U3426" s="51">
        <f t="shared" si="938"/>
        <v>0</v>
      </c>
      <c r="V3426" s="52">
        <f>IF(0&lt;0.8,0,IF(0&lt;1,Sheet3!L561,1))*IF(G3426&lt;3,0.12 - O3426,0.01) *U3426</f>
        <v>0</v>
      </c>
      <c r="W3426" s="52">
        <f t="shared" si="939"/>
        <v>0</v>
      </c>
      <c r="X3426" s="53">
        <f t="shared" si="940"/>
        <v>0</v>
      </c>
      <c r="Y3426" s="53">
        <f t="shared" si="941"/>
        <v>0</v>
      </c>
      <c r="Z3426" s="54">
        <f t="shared" si="948"/>
        <v>0</v>
      </c>
      <c r="AA3426" s="54">
        <f t="shared" si="943"/>
        <v>0</v>
      </c>
      <c r="AB3426" s="55">
        <f t="shared" si="949"/>
        <v>0</v>
      </c>
      <c r="AC3426" s="55">
        <f t="shared" si="945"/>
        <v>0</v>
      </c>
      <c r="AD3426" s="56">
        <f t="shared" si="946"/>
        <v>14342.25</v>
      </c>
    </row>
    <row r="3427" spans="3:30">
      <c r="C3427" s="43" t="s">
        <v>6357</v>
      </c>
      <c r="D3427" s="44" t="s">
        <v>6358</v>
      </c>
      <c r="E3427" s="44"/>
      <c r="F3427" s="45">
        <v>40727.640856481477</v>
      </c>
      <c r="G3427" s="46">
        <v>86</v>
      </c>
      <c r="H3427" s="47">
        <v>43372</v>
      </c>
      <c r="I3427" s="47">
        <v>43385</v>
      </c>
      <c r="J3427" s="46">
        <v>898760</v>
      </c>
      <c r="K3427" s="46">
        <v>0</v>
      </c>
      <c r="L3427" s="46">
        <v>0</v>
      </c>
      <c r="M3427" s="46">
        <f t="shared" si="933"/>
        <v>898760</v>
      </c>
      <c r="N3427" s="46">
        <v>898760</v>
      </c>
      <c r="O3427" s="48">
        <f t="shared" si="934"/>
        <v>0</v>
      </c>
      <c r="P3427" s="46">
        <v>0</v>
      </c>
      <c r="Q3427" s="46">
        <v>898760</v>
      </c>
      <c r="R3427" s="49">
        <f t="shared" si="935"/>
        <v>1</v>
      </c>
      <c r="S3427" s="50">
        <f t="shared" si="936"/>
        <v>0.01</v>
      </c>
      <c r="T3427" s="49">
        <f t="shared" si="937"/>
        <v>8987.6</v>
      </c>
      <c r="U3427" s="51">
        <f t="shared" si="938"/>
        <v>0</v>
      </c>
      <c r="V3427" s="52">
        <f>IF(0&lt;0.8,0,IF(0&lt;1,Sheet3!L561,1))*IF(G3427&lt;3,0.12 - O3427,0.01) *U3427</f>
        <v>0</v>
      </c>
      <c r="W3427" s="52">
        <f t="shared" si="939"/>
        <v>0</v>
      </c>
      <c r="X3427" s="53">
        <f t="shared" si="940"/>
        <v>0</v>
      </c>
      <c r="Y3427" s="53">
        <f t="shared" si="941"/>
        <v>0</v>
      </c>
      <c r="Z3427" s="54">
        <f t="shared" si="948"/>
        <v>0</v>
      </c>
      <c r="AA3427" s="54">
        <f t="shared" si="943"/>
        <v>0</v>
      </c>
      <c r="AB3427" s="55">
        <f t="shared" si="949"/>
        <v>0</v>
      </c>
      <c r="AC3427" s="55">
        <f t="shared" si="945"/>
        <v>0</v>
      </c>
      <c r="AD3427" s="56">
        <f t="shared" si="946"/>
        <v>8987.6</v>
      </c>
    </row>
    <row r="3428" spans="3:30">
      <c r="C3428" s="43" t="s">
        <v>6359</v>
      </c>
      <c r="D3428" s="44" t="s">
        <v>6360</v>
      </c>
      <c r="E3428" s="44"/>
      <c r="F3428" s="45">
        <v>39529.393321759257</v>
      </c>
      <c r="G3428" s="46">
        <v>126</v>
      </c>
      <c r="H3428" s="47">
        <v>43372</v>
      </c>
      <c r="I3428" s="47">
        <v>43383</v>
      </c>
      <c r="J3428" s="46">
        <v>222800</v>
      </c>
      <c r="K3428" s="46">
        <v>0</v>
      </c>
      <c r="L3428" s="46">
        <v>0</v>
      </c>
      <c r="M3428" s="46">
        <f t="shared" si="933"/>
        <v>222800</v>
      </c>
      <c r="N3428" s="46">
        <v>222800</v>
      </c>
      <c r="O3428" s="48">
        <f t="shared" si="934"/>
        <v>0</v>
      </c>
      <c r="P3428" s="46">
        <v>0</v>
      </c>
      <c r="Q3428" s="46">
        <v>222800</v>
      </c>
      <c r="R3428" s="49">
        <f t="shared" si="935"/>
        <v>1</v>
      </c>
      <c r="S3428" s="50">
        <f t="shared" si="936"/>
        <v>0.01</v>
      </c>
      <c r="T3428" s="49">
        <f t="shared" si="937"/>
        <v>2228</v>
      </c>
      <c r="U3428" s="51">
        <f t="shared" si="938"/>
        <v>0</v>
      </c>
      <c r="V3428" s="52">
        <f>IF(0&lt;0.8,0,IF(0&lt;1,Sheet3!L561,1))*IF(G3428&lt;3,0.12 - O3428,0.01) *U3428</f>
        <v>0</v>
      </c>
      <c r="W3428" s="52">
        <f t="shared" si="939"/>
        <v>0</v>
      </c>
      <c r="X3428" s="53">
        <f t="shared" si="940"/>
        <v>0</v>
      </c>
      <c r="Y3428" s="53">
        <f t="shared" si="941"/>
        <v>0</v>
      </c>
      <c r="Z3428" s="54">
        <f t="shared" si="948"/>
        <v>0</v>
      </c>
      <c r="AA3428" s="54">
        <f t="shared" si="943"/>
        <v>0</v>
      </c>
      <c r="AB3428" s="55">
        <f t="shared" si="949"/>
        <v>0</v>
      </c>
      <c r="AC3428" s="55">
        <f t="shared" si="945"/>
        <v>0</v>
      </c>
      <c r="AD3428" s="56">
        <f t="shared" si="946"/>
        <v>2228</v>
      </c>
    </row>
    <row r="3429" spans="3:30">
      <c r="C3429" s="43" t="s">
        <v>6361</v>
      </c>
      <c r="D3429" s="44" t="s">
        <v>6362</v>
      </c>
      <c r="E3429" s="44"/>
      <c r="F3429" s="45">
        <v>39543.670914351853</v>
      </c>
      <c r="G3429" s="46">
        <v>125</v>
      </c>
      <c r="H3429" s="47">
        <v>43372</v>
      </c>
      <c r="I3429" s="47">
        <v>43385</v>
      </c>
      <c r="J3429" s="46">
        <v>111400</v>
      </c>
      <c r="K3429" s="46">
        <v>0</v>
      </c>
      <c r="L3429" s="46">
        <v>0</v>
      </c>
      <c r="M3429" s="46">
        <f t="shared" si="933"/>
        <v>111400</v>
      </c>
      <c r="N3429" s="46">
        <v>111400</v>
      </c>
      <c r="O3429" s="48">
        <f t="shared" si="934"/>
        <v>0</v>
      </c>
      <c r="P3429" s="46">
        <v>0</v>
      </c>
      <c r="Q3429" s="46">
        <v>111400</v>
      </c>
      <c r="R3429" s="49">
        <f t="shared" si="935"/>
        <v>1</v>
      </c>
      <c r="S3429" s="50">
        <f t="shared" si="936"/>
        <v>0.01</v>
      </c>
      <c r="T3429" s="49">
        <f t="shared" si="937"/>
        <v>1114</v>
      </c>
      <c r="U3429" s="51">
        <f t="shared" si="938"/>
        <v>0</v>
      </c>
      <c r="V3429" s="52">
        <f>IF(0&lt;0.8,0,IF(0&lt;1,Sheet3!L561,1))*IF(G3429&lt;3,0.12 - O3429,0.01) *U3429</f>
        <v>0</v>
      </c>
      <c r="W3429" s="52">
        <f t="shared" si="939"/>
        <v>0</v>
      </c>
      <c r="X3429" s="53">
        <f t="shared" si="940"/>
        <v>0</v>
      </c>
      <c r="Y3429" s="53">
        <f t="shared" si="941"/>
        <v>0</v>
      </c>
      <c r="Z3429" s="54">
        <f t="shared" si="948"/>
        <v>0</v>
      </c>
      <c r="AA3429" s="54">
        <f t="shared" si="943"/>
        <v>0</v>
      </c>
      <c r="AB3429" s="55">
        <f t="shared" si="949"/>
        <v>0</v>
      </c>
      <c r="AC3429" s="55">
        <f t="shared" si="945"/>
        <v>0</v>
      </c>
      <c r="AD3429" s="56">
        <f t="shared" si="946"/>
        <v>1114</v>
      </c>
    </row>
    <row r="3430" spans="3:30">
      <c r="C3430" s="43" t="s">
        <v>6363</v>
      </c>
      <c r="D3430" s="44" t="s">
        <v>6364</v>
      </c>
      <c r="E3430" s="44"/>
      <c r="F3430" s="45">
        <v>39575.406400462962</v>
      </c>
      <c r="G3430" s="46">
        <v>124</v>
      </c>
      <c r="H3430" s="47">
        <v>43372</v>
      </c>
      <c r="I3430" s="47">
        <v>43399</v>
      </c>
      <c r="J3430" s="46">
        <v>322120</v>
      </c>
      <c r="K3430" s="46">
        <v>0</v>
      </c>
      <c r="L3430" s="46">
        <v>0</v>
      </c>
      <c r="M3430" s="46">
        <f t="shared" si="933"/>
        <v>322120</v>
      </c>
      <c r="N3430" s="46">
        <v>324320</v>
      </c>
      <c r="O3430" s="48">
        <f t="shared" si="934"/>
        <v>6.783423778983666E-3</v>
      </c>
      <c r="P3430" s="46">
        <v>0</v>
      </c>
      <c r="Q3430" s="46">
        <v>322120</v>
      </c>
      <c r="R3430" s="49">
        <f t="shared" si="935"/>
        <v>1</v>
      </c>
      <c r="S3430" s="50">
        <f t="shared" si="936"/>
        <v>0.01</v>
      </c>
      <c r="T3430" s="49">
        <f t="shared" si="937"/>
        <v>3221.2000000000003</v>
      </c>
      <c r="U3430" s="51">
        <f t="shared" si="938"/>
        <v>0</v>
      </c>
      <c r="V3430" s="52">
        <f>IF(0&lt;0.8,0,IF(0&lt;1,Sheet3!L561,1))*IF(G3430&lt;3,0.12 - O3430,0.01) *U3430</f>
        <v>0</v>
      </c>
      <c r="W3430" s="52">
        <f t="shared" si="939"/>
        <v>0</v>
      </c>
      <c r="X3430" s="53">
        <f t="shared" si="940"/>
        <v>0</v>
      </c>
      <c r="Y3430" s="53">
        <f t="shared" si="941"/>
        <v>0</v>
      </c>
      <c r="Z3430" s="54">
        <f t="shared" si="948"/>
        <v>0</v>
      </c>
      <c r="AA3430" s="54">
        <f t="shared" si="943"/>
        <v>0</v>
      </c>
      <c r="AB3430" s="55">
        <f t="shared" si="949"/>
        <v>0</v>
      </c>
      <c r="AC3430" s="55">
        <f t="shared" si="945"/>
        <v>0</v>
      </c>
      <c r="AD3430" s="56">
        <f t="shared" si="946"/>
        <v>3221.2000000000003</v>
      </c>
    </row>
    <row r="3431" spans="3:30">
      <c r="C3431" s="43" t="s">
        <v>6365</v>
      </c>
      <c r="D3431" s="44" t="s">
        <v>6366</v>
      </c>
      <c r="E3431" s="44"/>
      <c r="F3431" s="45">
        <v>39587.666724537034</v>
      </c>
      <c r="G3431" s="46">
        <v>124</v>
      </c>
      <c r="H3431" s="47">
        <v>43372</v>
      </c>
      <c r="I3431" s="47">
        <v>43389</v>
      </c>
      <c r="J3431" s="46">
        <v>550000</v>
      </c>
      <c r="K3431" s="46">
        <v>0</v>
      </c>
      <c r="L3431" s="46">
        <v>0</v>
      </c>
      <c r="M3431" s="46">
        <f t="shared" si="933"/>
        <v>550000</v>
      </c>
      <c r="N3431" s="46">
        <v>548614</v>
      </c>
      <c r="O3431" s="48">
        <f t="shared" si="934"/>
        <v>0</v>
      </c>
      <c r="P3431" s="46">
        <v>0</v>
      </c>
      <c r="Q3431" s="46">
        <v>550000</v>
      </c>
      <c r="R3431" s="49">
        <f t="shared" si="935"/>
        <v>1</v>
      </c>
      <c r="S3431" s="50">
        <f t="shared" si="936"/>
        <v>0.01</v>
      </c>
      <c r="T3431" s="49">
        <f t="shared" si="937"/>
        <v>5500</v>
      </c>
      <c r="U3431" s="51">
        <f t="shared" si="938"/>
        <v>0</v>
      </c>
      <c r="V3431" s="52">
        <f>IF(0&lt;0.8,0,IF(0&lt;1,Sheet3!L561,1))*IF(G3431&lt;3,0.12 - O3431,0.01) *U3431</f>
        <v>0</v>
      </c>
      <c r="W3431" s="52">
        <f t="shared" si="939"/>
        <v>0</v>
      </c>
      <c r="X3431" s="53">
        <f t="shared" si="940"/>
        <v>0</v>
      </c>
      <c r="Y3431" s="53">
        <f t="shared" si="941"/>
        <v>0</v>
      </c>
      <c r="Z3431" s="54">
        <f t="shared" si="948"/>
        <v>0</v>
      </c>
      <c r="AA3431" s="54">
        <f t="shared" si="943"/>
        <v>0</v>
      </c>
      <c r="AB3431" s="55">
        <f t="shared" si="949"/>
        <v>0</v>
      </c>
      <c r="AC3431" s="55">
        <f t="shared" si="945"/>
        <v>0</v>
      </c>
      <c r="AD3431" s="56">
        <f t="shared" si="946"/>
        <v>5500</v>
      </c>
    </row>
    <row r="3432" spans="3:30">
      <c r="C3432" s="43" t="s">
        <v>6367</v>
      </c>
      <c r="D3432" s="44" t="s">
        <v>6368</v>
      </c>
      <c r="E3432" s="44"/>
      <c r="F3432" s="45">
        <v>39695.629548611112</v>
      </c>
      <c r="G3432" s="46">
        <v>120</v>
      </c>
      <c r="H3432" s="47">
        <v>43404</v>
      </c>
      <c r="I3432" s="47">
        <v>43413</v>
      </c>
      <c r="J3432" s="46">
        <v>227000</v>
      </c>
      <c r="K3432" s="46">
        <v>0</v>
      </c>
      <c r="L3432" s="46">
        <v>0</v>
      </c>
      <c r="M3432" s="46">
        <f t="shared" si="933"/>
        <v>227000</v>
      </c>
      <c r="N3432" s="46">
        <v>227000</v>
      </c>
      <c r="O3432" s="48">
        <f t="shared" si="934"/>
        <v>0</v>
      </c>
      <c r="P3432" s="46">
        <v>0</v>
      </c>
      <c r="Q3432" s="46">
        <v>227000</v>
      </c>
      <c r="R3432" s="49">
        <f t="shared" si="935"/>
        <v>1</v>
      </c>
      <c r="S3432" s="50">
        <f t="shared" si="936"/>
        <v>0.01</v>
      </c>
      <c r="T3432" s="49">
        <f t="shared" si="937"/>
        <v>2270</v>
      </c>
      <c r="U3432" s="51">
        <f t="shared" si="938"/>
        <v>0</v>
      </c>
      <c r="V3432" s="52">
        <f>IF(0&lt;0.8,0,IF(0&lt;1,Sheet3!L561,1))*IF(G3432&lt;3,0.12 - O3432,0.01) *U3432</f>
        <v>0</v>
      </c>
      <c r="W3432" s="52">
        <f t="shared" si="939"/>
        <v>0</v>
      </c>
      <c r="X3432" s="53">
        <f t="shared" si="940"/>
        <v>0</v>
      </c>
      <c r="Y3432" s="53">
        <f t="shared" si="941"/>
        <v>0</v>
      </c>
      <c r="Z3432" s="54">
        <f t="shared" si="948"/>
        <v>0</v>
      </c>
      <c r="AA3432" s="54">
        <f t="shared" si="943"/>
        <v>0</v>
      </c>
      <c r="AB3432" s="55">
        <f t="shared" si="949"/>
        <v>0</v>
      </c>
      <c r="AC3432" s="55">
        <f t="shared" si="945"/>
        <v>0</v>
      </c>
      <c r="AD3432" s="56">
        <f t="shared" si="946"/>
        <v>2270</v>
      </c>
    </row>
    <row r="3433" spans="3:30">
      <c r="C3433" s="43" t="s">
        <v>6369</v>
      </c>
      <c r="D3433" s="44" t="s">
        <v>6370</v>
      </c>
      <c r="E3433" s="44"/>
      <c r="F3433" s="45">
        <v>39861.449803240735</v>
      </c>
      <c r="G3433" s="46">
        <v>115</v>
      </c>
      <c r="H3433" s="47">
        <v>43372</v>
      </c>
      <c r="I3433" s="47">
        <v>43417</v>
      </c>
      <c r="J3433" s="46">
        <v>1441425</v>
      </c>
      <c r="K3433" s="46">
        <v>0</v>
      </c>
      <c r="L3433" s="46">
        <v>0</v>
      </c>
      <c r="M3433" s="46">
        <f t="shared" si="933"/>
        <v>1441425</v>
      </c>
      <c r="N3433" s="46">
        <v>1441425</v>
      </c>
      <c r="O3433" s="48">
        <f t="shared" si="934"/>
        <v>0</v>
      </c>
      <c r="P3433" s="46">
        <v>0</v>
      </c>
      <c r="Q3433" s="46">
        <v>1441425</v>
      </c>
      <c r="R3433" s="49">
        <f t="shared" si="935"/>
        <v>1</v>
      </c>
      <c r="S3433" s="50">
        <f t="shared" si="936"/>
        <v>0.01</v>
      </c>
      <c r="T3433" s="49">
        <f t="shared" si="937"/>
        <v>14414.25</v>
      </c>
      <c r="U3433" s="51">
        <f t="shared" si="938"/>
        <v>0</v>
      </c>
      <c r="V3433" s="52">
        <f>IF(0&lt;0.8,0,IF(0&lt;1,Sheet3!L561,1))*IF(G3433&lt;3,0.12 - O3433,0.01) *U3433</f>
        <v>0</v>
      </c>
      <c r="W3433" s="52">
        <f t="shared" si="939"/>
        <v>0</v>
      </c>
      <c r="X3433" s="53">
        <f t="shared" si="940"/>
        <v>0</v>
      </c>
      <c r="Y3433" s="53">
        <f t="shared" si="941"/>
        <v>0</v>
      </c>
      <c r="Z3433" s="54">
        <f t="shared" si="948"/>
        <v>0</v>
      </c>
      <c r="AA3433" s="54">
        <f t="shared" si="943"/>
        <v>0</v>
      </c>
      <c r="AB3433" s="55">
        <f t="shared" si="949"/>
        <v>0</v>
      </c>
      <c r="AC3433" s="55">
        <f t="shared" si="945"/>
        <v>0</v>
      </c>
      <c r="AD3433" s="56">
        <f t="shared" si="946"/>
        <v>14414.25</v>
      </c>
    </row>
    <row r="3434" spans="3:30">
      <c r="C3434" s="43" t="s">
        <v>6371</v>
      </c>
      <c r="D3434" s="44" t="s">
        <v>6372</v>
      </c>
      <c r="E3434" s="44"/>
      <c r="F3434" s="45">
        <v>39879.400208333333</v>
      </c>
      <c r="G3434" s="46">
        <v>114</v>
      </c>
      <c r="H3434" s="47">
        <v>43383</v>
      </c>
      <c r="I3434" s="47">
        <v>43406</v>
      </c>
      <c r="J3434" s="46">
        <v>2029073</v>
      </c>
      <c r="K3434" s="46">
        <v>0</v>
      </c>
      <c r="L3434" s="46">
        <v>0</v>
      </c>
      <c r="M3434" s="46">
        <f t="shared" si="933"/>
        <v>2029073</v>
      </c>
      <c r="N3434" s="46">
        <v>2977211</v>
      </c>
      <c r="O3434" s="48">
        <f t="shared" si="934"/>
        <v>0.31846516756790166</v>
      </c>
      <c r="P3434" s="46">
        <v>0</v>
      </c>
      <c r="Q3434" s="46">
        <v>2029073</v>
      </c>
      <c r="R3434" s="49">
        <f t="shared" si="935"/>
        <v>1</v>
      </c>
      <c r="S3434" s="50">
        <f t="shared" si="936"/>
        <v>0.01</v>
      </c>
      <c r="T3434" s="49">
        <f t="shared" si="937"/>
        <v>20290.73</v>
      </c>
      <c r="U3434" s="51">
        <f t="shared" si="938"/>
        <v>0</v>
      </c>
      <c r="V3434" s="52">
        <f>IF(0&lt;0.8,0,IF(0&lt;1,Sheet3!L561,1))*IF(G3434&lt;3,0.12 - O3434,0.01) *U3434</f>
        <v>0</v>
      </c>
      <c r="W3434" s="52">
        <f t="shared" si="939"/>
        <v>0</v>
      </c>
      <c r="X3434" s="53">
        <f t="shared" si="940"/>
        <v>0</v>
      </c>
      <c r="Y3434" s="53">
        <f t="shared" si="941"/>
        <v>0</v>
      </c>
      <c r="Z3434" s="54">
        <f t="shared" si="948"/>
        <v>0</v>
      </c>
      <c r="AA3434" s="54">
        <f t="shared" si="943"/>
        <v>0</v>
      </c>
      <c r="AB3434" s="55">
        <f t="shared" si="949"/>
        <v>0</v>
      </c>
      <c r="AC3434" s="55">
        <f t="shared" si="945"/>
        <v>0</v>
      </c>
      <c r="AD3434" s="56">
        <f t="shared" si="946"/>
        <v>20290.73</v>
      </c>
    </row>
    <row r="3435" spans="3:30">
      <c r="C3435" s="43" t="s">
        <v>6373</v>
      </c>
      <c r="D3435" s="44" t="s">
        <v>6374</v>
      </c>
      <c r="E3435" s="44"/>
      <c r="F3435" s="45">
        <v>39963.675671296296</v>
      </c>
      <c r="G3435" s="46">
        <v>112</v>
      </c>
      <c r="H3435" s="47">
        <v>43391</v>
      </c>
      <c r="I3435" s="47">
        <v>43396</v>
      </c>
      <c r="J3435" s="46">
        <v>344200</v>
      </c>
      <c r="K3435" s="46">
        <v>0</v>
      </c>
      <c r="L3435" s="46">
        <v>0</v>
      </c>
      <c r="M3435" s="46">
        <f t="shared" si="933"/>
        <v>344200</v>
      </c>
      <c r="N3435" s="46">
        <v>344200</v>
      </c>
      <c r="O3435" s="48">
        <f t="shared" si="934"/>
        <v>0</v>
      </c>
      <c r="P3435" s="46">
        <v>0</v>
      </c>
      <c r="Q3435" s="46">
        <v>344200</v>
      </c>
      <c r="R3435" s="49">
        <f t="shared" si="935"/>
        <v>1</v>
      </c>
      <c r="S3435" s="50">
        <f t="shared" si="936"/>
        <v>0.01</v>
      </c>
      <c r="T3435" s="49">
        <f t="shared" si="937"/>
        <v>3442</v>
      </c>
      <c r="U3435" s="51">
        <f t="shared" si="938"/>
        <v>0</v>
      </c>
      <c r="V3435" s="52">
        <f>IF(0&lt;0.8,0,IF(0&lt;1,Sheet3!L561,1))*IF(G3435&lt;3,0.12 - O3435,0.01) *U3435</f>
        <v>0</v>
      </c>
      <c r="W3435" s="52">
        <f t="shared" si="939"/>
        <v>0</v>
      </c>
      <c r="X3435" s="53">
        <f t="shared" si="940"/>
        <v>0</v>
      </c>
      <c r="Y3435" s="53">
        <f t="shared" si="941"/>
        <v>0</v>
      </c>
      <c r="Z3435" s="54">
        <f t="shared" si="948"/>
        <v>0</v>
      </c>
      <c r="AA3435" s="54">
        <f t="shared" si="943"/>
        <v>0</v>
      </c>
      <c r="AB3435" s="55">
        <f t="shared" si="949"/>
        <v>0</v>
      </c>
      <c r="AC3435" s="55">
        <f t="shared" si="945"/>
        <v>0</v>
      </c>
      <c r="AD3435" s="56">
        <f t="shared" si="946"/>
        <v>3442</v>
      </c>
    </row>
    <row r="3436" spans="3:30">
      <c r="C3436" s="43" t="s">
        <v>6375</v>
      </c>
      <c r="D3436" s="44" t="s">
        <v>6376</v>
      </c>
      <c r="E3436" s="44"/>
      <c r="F3436" s="45">
        <v>40255.3903125</v>
      </c>
      <c r="G3436" s="46">
        <v>102</v>
      </c>
      <c r="H3436" s="47">
        <v>43372</v>
      </c>
      <c r="I3436" s="47">
        <v>43385</v>
      </c>
      <c r="J3436" s="46">
        <v>819670</v>
      </c>
      <c r="K3436" s="46">
        <v>0</v>
      </c>
      <c r="L3436" s="46">
        <v>0</v>
      </c>
      <c r="M3436" s="46">
        <f t="shared" si="933"/>
        <v>819670</v>
      </c>
      <c r="N3436" s="46">
        <v>819670</v>
      </c>
      <c r="O3436" s="48">
        <f t="shared" si="934"/>
        <v>0</v>
      </c>
      <c r="P3436" s="46">
        <v>0</v>
      </c>
      <c r="Q3436" s="46">
        <v>819670</v>
      </c>
      <c r="R3436" s="49">
        <f t="shared" si="935"/>
        <v>1</v>
      </c>
      <c r="S3436" s="50">
        <f t="shared" si="936"/>
        <v>0.01</v>
      </c>
      <c r="T3436" s="49">
        <f t="shared" si="937"/>
        <v>8196.7000000000007</v>
      </c>
      <c r="U3436" s="51">
        <f t="shared" si="938"/>
        <v>0</v>
      </c>
      <c r="V3436" s="52">
        <f>IF(0&lt;0.8,0,IF(0&lt;1,Sheet3!L561,1))*IF(G3436&lt;3,0.12 - O3436,0.01) *U3436</f>
        <v>0</v>
      </c>
      <c r="W3436" s="52">
        <f t="shared" si="939"/>
        <v>0</v>
      </c>
      <c r="X3436" s="53">
        <f t="shared" si="940"/>
        <v>0</v>
      </c>
      <c r="Y3436" s="53">
        <f t="shared" si="941"/>
        <v>0</v>
      </c>
      <c r="Z3436" s="54">
        <f t="shared" si="948"/>
        <v>0</v>
      </c>
      <c r="AA3436" s="54">
        <f t="shared" si="943"/>
        <v>0</v>
      </c>
      <c r="AB3436" s="55">
        <f t="shared" si="949"/>
        <v>0</v>
      </c>
      <c r="AC3436" s="55">
        <f t="shared" si="945"/>
        <v>0</v>
      </c>
      <c r="AD3436" s="56">
        <f t="shared" si="946"/>
        <v>8196.7000000000007</v>
      </c>
    </row>
    <row r="3437" spans="3:30">
      <c r="C3437" s="43" t="s">
        <v>6377</v>
      </c>
      <c r="D3437" s="44" t="s">
        <v>6378</v>
      </c>
      <c r="E3437" s="44"/>
      <c r="F3437" s="45">
        <v>40268.663865740738</v>
      </c>
      <c r="G3437" s="46">
        <v>102</v>
      </c>
      <c r="H3437" s="47">
        <v>43388</v>
      </c>
      <c r="I3437" s="47">
        <v>43420</v>
      </c>
      <c r="J3437" s="46">
        <v>953386</v>
      </c>
      <c r="K3437" s="46">
        <v>0</v>
      </c>
      <c r="L3437" s="46">
        <v>0</v>
      </c>
      <c r="M3437" s="46">
        <f t="shared" si="933"/>
        <v>953386</v>
      </c>
      <c r="N3437" s="46">
        <v>1099386</v>
      </c>
      <c r="O3437" s="48">
        <f t="shared" si="934"/>
        <v>0.13280140005421204</v>
      </c>
      <c r="P3437" s="46">
        <v>0</v>
      </c>
      <c r="Q3437" s="46">
        <v>953386</v>
      </c>
      <c r="R3437" s="49">
        <f t="shared" si="935"/>
        <v>1</v>
      </c>
      <c r="S3437" s="50">
        <f t="shared" si="936"/>
        <v>0.01</v>
      </c>
      <c r="T3437" s="49">
        <f t="shared" si="937"/>
        <v>9533.86</v>
      </c>
      <c r="U3437" s="51">
        <f t="shared" si="938"/>
        <v>0</v>
      </c>
      <c r="V3437" s="52">
        <f>IF(0&lt;0.8,0,IF(0&lt;1,Sheet3!L561,1))*IF(G3437&lt;3,0.12 - O3437,0.01) *U3437</f>
        <v>0</v>
      </c>
      <c r="W3437" s="52">
        <f t="shared" si="939"/>
        <v>0</v>
      </c>
      <c r="X3437" s="53">
        <f t="shared" si="940"/>
        <v>0</v>
      </c>
      <c r="Y3437" s="53">
        <f t="shared" si="941"/>
        <v>0</v>
      </c>
      <c r="Z3437" s="54">
        <f t="shared" si="948"/>
        <v>0</v>
      </c>
      <c r="AA3437" s="54">
        <f t="shared" si="943"/>
        <v>0</v>
      </c>
      <c r="AB3437" s="55">
        <f t="shared" si="949"/>
        <v>0</v>
      </c>
      <c r="AC3437" s="55">
        <f t="shared" si="945"/>
        <v>0</v>
      </c>
      <c r="AD3437" s="56">
        <f t="shared" si="946"/>
        <v>9533.86</v>
      </c>
    </row>
    <row r="3438" spans="3:30">
      <c r="C3438" s="43" t="s">
        <v>6379</v>
      </c>
      <c r="D3438" s="44" t="s">
        <v>6380</v>
      </c>
      <c r="E3438" s="44"/>
      <c r="F3438" s="45">
        <v>40302.353391203702</v>
      </c>
      <c r="G3438" s="46">
        <v>100</v>
      </c>
      <c r="H3438" s="47">
        <v>43404</v>
      </c>
      <c r="I3438" s="47">
        <v>43433</v>
      </c>
      <c r="J3438" s="46">
        <v>748597</v>
      </c>
      <c r="K3438" s="46">
        <v>0</v>
      </c>
      <c r="L3438" s="46">
        <v>0</v>
      </c>
      <c r="M3438" s="46">
        <f t="shared" si="933"/>
        <v>748597</v>
      </c>
      <c r="N3438" s="46">
        <v>748597</v>
      </c>
      <c r="O3438" s="48">
        <f t="shared" si="934"/>
        <v>0</v>
      </c>
      <c r="P3438" s="46">
        <v>0</v>
      </c>
      <c r="Q3438" s="46">
        <v>748597</v>
      </c>
      <c r="R3438" s="49">
        <f t="shared" si="935"/>
        <v>1</v>
      </c>
      <c r="S3438" s="50">
        <f t="shared" si="936"/>
        <v>0.01</v>
      </c>
      <c r="T3438" s="49">
        <f t="shared" si="937"/>
        <v>7485.97</v>
      </c>
      <c r="U3438" s="51">
        <f t="shared" si="938"/>
        <v>0</v>
      </c>
      <c r="V3438" s="52">
        <f>IF(0&lt;0.8,0,IF(0&lt;1,Sheet3!L561,1))*IF(G3438&lt;3,0.12 - O3438,0.01) *U3438</f>
        <v>0</v>
      </c>
      <c r="W3438" s="52">
        <f t="shared" si="939"/>
        <v>0</v>
      </c>
      <c r="X3438" s="53">
        <f t="shared" si="940"/>
        <v>0</v>
      </c>
      <c r="Y3438" s="53">
        <f t="shared" si="941"/>
        <v>0</v>
      </c>
      <c r="Z3438" s="54">
        <f t="shared" si="948"/>
        <v>0</v>
      </c>
      <c r="AA3438" s="54">
        <f t="shared" si="943"/>
        <v>0</v>
      </c>
      <c r="AB3438" s="55">
        <f t="shared" si="949"/>
        <v>0</v>
      </c>
      <c r="AC3438" s="55">
        <f t="shared" si="945"/>
        <v>0</v>
      </c>
      <c r="AD3438" s="56">
        <f t="shared" si="946"/>
        <v>7485.97</v>
      </c>
    </row>
    <row r="3439" spans="3:30">
      <c r="C3439" s="43" t="s">
        <v>6381</v>
      </c>
      <c r="D3439" s="44" t="s">
        <v>6382</v>
      </c>
      <c r="E3439" s="44"/>
      <c r="F3439" s="45">
        <v>40339.430185185185</v>
      </c>
      <c r="G3439" s="46">
        <v>99</v>
      </c>
      <c r="H3439" s="47">
        <v>43399</v>
      </c>
      <c r="I3439" s="47">
        <v>43418</v>
      </c>
      <c r="J3439" s="46">
        <v>1235499</v>
      </c>
      <c r="K3439" s="46">
        <v>0</v>
      </c>
      <c r="L3439" s="46">
        <v>0</v>
      </c>
      <c r="M3439" s="46">
        <f t="shared" si="933"/>
        <v>1235499</v>
      </c>
      <c r="N3439" s="46">
        <v>1237699</v>
      </c>
      <c r="O3439" s="48">
        <f t="shared" si="934"/>
        <v>1.777491942709819E-3</v>
      </c>
      <c r="P3439" s="46">
        <v>0</v>
      </c>
      <c r="Q3439" s="46">
        <v>1224499</v>
      </c>
      <c r="R3439" s="49">
        <f t="shared" si="935"/>
        <v>1</v>
      </c>
      <c r="S3439" s="50">
        <f t="shared" si="936"/>
        <v>0.01</v>
      </c>
      <c r="T3439" s="49">
        <f t="shared" si="937"/>
        <v>12354.99</v>
      </c>
      <c r="U3439" s="51">
        <f t="shared" si="938"/>
        <v>0</v>
      </c>
      <c r="V3439" s="52">
        <f>IF(0&lt;0.8,0,IF(0&lt;1,Sheet3!L561,1))*IF(G3439&lt;3,0.12 - O3439,0.01) *U3439</f>
        <v>0</v>
      </c>
      <c r="W3439" s="52">
        <f t="shared" si="939"/>
        <v>0</v>
      </c>
      <c r="X3439" s="53">
        <f t="shared" si="940"/>
        <v>0</v>
      </c>
      <c r="Y3439" s="53">
        <f t="shared" si="941"/>
        <v>0</v>
      </c>
      <c r="Z3439" s="54">
        <f t="shared" si="948"/>
        <v>0</v>
      </c>
      <c r="AA3439" s="54">
        <f t="shared" si="943"/>
        <v>0</v>
      </c>
      <c r="AB3439" s="55">
        <f t="shared" si="949"/>
        <v>0</v>
      </c>
      <c r="AC3439" s="55">
        <f t="shared" si="945"/>
        <v>0</v>
      </c>
      <c r="AD3439" s="56">
        <f t="shared" si="946"/>
        <v>12354.99</v>
      </c>
    </row>
    <row r="3440" spans="3:30">
      <c r="C3440" s="43" t="s">
        <v>6383</v>
      </c>
      <c r="D3440" s="44" t="s">
        <v>6384</v>
      </c>
      <c r="E3440" s="44"/>
      <c r="F3440" s="45">
        <v>40366.466620370367</v>
      </c>
      <c r="G3440" s="46">
        <v>98</v>
      </c>
      <c r="H3440" s="47">
        <v>43372</v>
      </c>
      <c r="I3440" s="47">
        <v>43399</v>
      </c>
      <c r="J3440" s="46">
        <v>312600</v>
      </c>
      <c r="K3440" s="46">
        <v>0</v>
      </c>
      <c r="L3440" s="46">
        <v>0</v>
      </c>
      <c r="M3440" s="46">
        <f t="shared" si="933"/>
        <v>312600</v>
      </c>
      <c r="N3440" s="46">
        <v>312600</v>
      </c>
      <c r="O3440" s="48">
        <f t="shared" si="934"/>
        <v>0</v>
      </c>
      <c r="P3440" s="46">
        <v>0</v>
      </c>
      <c r="Q3440" s="46">
        <v>312600</v>
      </c>
      <c r="R3440" s="49">
        <f t="shared" si="935"/>
        <v>1</v>
      </c>
      <c r="S3440" s="50">
        <f t="shared" si="936"/>
        <v>0.01</v>
      </c>
      <c r="T3440" s="49">
        <f t="shared" si="937"/>
        <v>3126</v>
      </c>
      <c r="U3440" s="51">
        <f t="shared" si="938"/>
        <v>0</v>
      </c>
      <c r="V3440" s="52">
        <f>IF(0&lt;0.8,0,IF(0&lt;1,Sheet3!L561,1))*IF(G3440&lt;3,0.12 - O3440,0.01) *U3440</f>
        <v>0</v>
      </c>
      <c r="W3440" s="52">
        <f t="shared" si="939"/>
        <v>0</v>
      </c>
      <c r="X3440" s="53">
        <f t="shared" si="940"/>
        <v>0</v>
      </c>
      <c r="Y3440" s="53">
        <f t="shared" si="941"/>
        <v>0</v>
      </c>
      <c r="Z3440" s="54">
        <f t="shared" si="948"/>
        <v>0</v>
      </c>
      <c r="AA3440" s="54">
        <f t="shared" si="943"/>
        <v>0</v>
      </c>
      <c r="AB3440" s="55">
        <f t="shared" si="949"/>
        <v>0</v>
      </c>
      <c r="AC3440" s="55">
        <f t="shared" si="945"/>
        <v>0</v>
      </c>
      <c r="AD3440" s="56">
        <f t="shared" si="946"/>
        <v>3126</v>
      </c>
    </row>
    <row r="3441" spans="3:30">
      <c r="C3441" s="43" t="s">
        <v>6385</v>
      </c>
      <c r="D3441" s="44" t="s">
        <v>6386</v>
      </c>
      <c r="E3441" s="44"/>
      <c r="F3441" s="45">
        <v>40480.584606481483</v>
      </c>
      <c r="G3441" s="46">
        <v>95</v>
      </c>
      <c r="H3441" s="47" t="s">
        <v>24</v>
      </c>
      <c r="I3441" s="47" t="s">
        <v>24</v>
      </c>
      <c r="J3441" s="46">
        <v>1545400</v>
      </c>
      <c r="K3441" s="46">
        <v>0</v>
      </c>
      <c r="L3441" s="46">
        <v>0</v>
      </c>
      <c r="M3441" s="46">
        <f t="shared" si="933"/>
        <v>1545400</v>
      </c>
      <c r="N3441" s="46">
        <v>1545400</v>
      </c>
      <c r="O3441" s="48">
        <f t="shared" si="934"/>
        <v>0</v>
      </c>
      <c r="P3441" s="46">
        <v>0</v>
      </c>
      <c r="Q3441" s="46">
        <v>1545400</v>
      </c>
      <c r="R3441" s="49">
        <f t="shared" si="935"/>
        <v>1</v>
      </c>
      <c r="S3441" s="50">
        <f t="shared" si="936"/>
        <v>0.01</v>
      </c>
      <c r="T3441" s="49">
        <f t="shared" si="937"/>
        <v>15454</v>
      </c>
      <c r="U3441" s="51">
        <f t="shared" si="938"/>
        <v>0</v>
      </c>
      <c r="V3441" s="52">
        <f>IF(0&lt;0.8,0,IF(0&lt;1,Sheet3!L561,1))*IF(G3441&lt;3,0.12 - O3441,0.01) *U3441</f>
        <v>0</v>
      </c>
      <c r="W3441" s="52">
        <f t="shared" si="939"/>
        <v>0</v>
      </c>
      <c r="X3441" s="53">
        <f t="shared" si="940"/>
        <v>0</v>
      </c>
      <c r="Y3441" s="53">
        <f t="shared" si="941"/>
        <v>0</v>
      </c>
      <c r="Z3441" s="54">
        <f t="shared" si="948"/>
        <v>0</v>
      </c>
      <c r="AA3441" s="54">
        <f t="shared" si="943"/>
        <v>0</v>
      </c>
      <c r="AB3441" s="55">
        <f t="shared" si="949"/>
        <v>0</v>
      </c>
      <c r="AC3441" s="55">
        <f t="shared" si="945"/>
        <v>0</v>
      </c>
      <c r="AD3441" s="56">
        <f t="shared" si="946"/>
        <v>15454</v>
      </c>
    </row>
    <row r="3442" spans="3:30">
      <c r="C3442" s="43" t="s">
        <v>6387</v>
      </c>
      <c r="D3442" s="44" t="s">
        <v>6388</v>
      </c>
      <c r="E3442" s="44"/>
      <c r="F3442" s="45">
        <v>40774.383935185186</v>
      </c>
      <c r="G3442" s="46">
        <v>85</v>
      </c>
      <c r="H3442" s="47">
        <v>43392</v>
      </c>
      <c r="I3442" s="47">
        <v>43391</v>
      </c>
      <c r="J3442" s="46">
        <v>3005000</v>
      </c>
      <c r="K3442" s="46">
        <v>0</v>
      </c>
      <c r="L3442" s="46">
        <v>0</v>
      </c>
      <c r="M3442" s="46">
        <f t="shared" si="933"/>
        <v>3005000</v>
      </c>
      <c r="N3442" s="46">
        <v>4807220</v>
      </c>
      <c r="O3442" s="48">
        <f t="shared" si="934"/>
        <v>0.37489859003748527</v>
      </c>
      <c r="P3442" s="46">
        <v>0</v>
      </c>
      <c r="Q3442" s="46">
        <v>3005000</v>
      </c>
      <c r="R3442" s="49">
        <f t="shared" si="935"/>
        <v>1</v>
      </c>
      <c r="S3442" s="50">
        <f t="shared" si="936"/>
        <v>0.01</v>
      </c>
      <c r="T3442" s="49">
        <f t="shared" si="937"/>
        <v>30050</v>
      </c>
      <c r="U3442" s="51">
        <f t="shared" si="938"/>
        <v>0</v>
      </c>
      <c r="V3442" s="52">
        <f>IF(0&lt;0.8,0,IF(0&lt;1,Sheet3!L561,1))*IF(G3442&lt;3,0.12 - O3442,0.01) *U3442</f>
        <v>0</v>
      </c>
      <c r="W3442" s="52">
        <f t="shared" si="939"/>
        <v>0</v>
      </c>
      <c r="X3442" s="53">
        <f t="shared" si="940"/>
        <v>0</v>
      </c>
      <c r="Y3442" s="53">
        <f t="shared" si="941"/>
        <v>0</v>
      </c>
      <c r="Z3442" s="54">
        <f t="shared" si="948"/>
        <v>0</v>
      </c>
      <c r="AA3442" s="54">
        <f t="shared" si="943"/>
        <v>0</v>
      </c>
      <c r="AB3442" s="55">
        <f t="shared" si="949"/>
        <v>0</v>
      </c>
      <c r="AC3442" s="55">
        <f t="shared" si="945"/>
        <v>0</v>
      </c>
      <c r="AD3442" s="56">
        <f t="shared" si="946"/>
        <v>30050</v>
      </c>
    </row>
    <row r="3443" spans="3:30">
      <c r="C3443" s="43" t="s">
        <v>6389</v>
      </c>
      <c r="D3443" s="44" t="s">
        <v>6390</v>
      </c>
      <c r="E3443" s="44"/>
      <c r="F3443" s="45">
        <v>40778.475717592592</v>
      </c>
      <c r="G3443" s="46">
        <v>85</v>
      </c>
      <c r="H3443" s="47">
        <v>43372</v>
      </c>
      <c r="I3443" s="47">
        <v>43396</v>
      </c>
      <c r="J3443" s="46">
        <v>615161</v>
      </c>
      <c r="K3443" s="46">
        <v>0</v>
      </c>
      <c r="L3443" s="46">
        <v>0</v>
      </c>
      <c r="M3443" s="46">
        <f t="shared" ref="M3443:M3506" si="950">IFERROR(J3443-K3443-L3443,0)</f>
        <v>615161</v>
      </c>
      <c r="N3443" s="46">
        <v>619121</v>
      </c>
      <c r="O3443" s="48">
        <f t="shared" ref="O3443:O3506" si="951">IFERROR(IF(1 - M3443/N3443&lt;0,0,1-M3443/N3443),0)</f>
        <v>6.3961648853778641E-3</v>
      </c>
      <c r="P3443" s="46">
        <v>0</v>
      </c>
      <c r="Q3443" s="46">
        <v>615161</v>
      </c>
      <c r="R3443" s="49">
        <f t="shared" ref="R3443:R3506" si="952">IF(F3443&lt;DATEVALUE("2018-07-01"),1,0)</f>
        <v>1</v>
      </c>
      <c r="S3443" s="50">
        <f t="shared" ref="S3443:S3506" si="953">IF(R3443=1,1%,0)</f>
        <v>0.01</v>
      </c>
      <c r="T3443" s="49">
        <f t="shared" ref="T3443:T3506" si="954">IFERROR(S3443*M3443,0)</f>
        <v>6151.6100000000006</v>
      </c>
      <c r="U3443" s="51">
        <f t="shared" ref="U3443:U3506" si="955">IF(O3443&lt;=0.12,1,0)*(1-R3443)*M3443</f>
        <v>0</v>
      </c>
      <c r="V3443" s="52">
        <f>IF(0&lt;0.8,0,IF(0&lt;1,Sheet3!L561,1))*IF(G3443&lt;3,0.12 - O3443,0.01) *U3443</f>
        <v>0</v>
      </c>
      <c r="W3443" s="52">
        <f t="shared" ref="W3443:W3506" si="956">IF(0&gt;1,IF(0&lt;=1.1,1,IF(0&lt;=1.2,2,IF(0&lt;=1.5,3,5))),0) * 1000000</f>
        <v>0</v>
      </c>
      <c r="X3443" s="53">
        <f t="shared" ref="X3443:X3506" si="957">IF(AND(P3443&gt;=150000000,P3443&lt;300000000),5000000,IF(AND(P3443&gt;=300000000,P3443&lt;500000000),10000000,IF(AND(P3443&gt;=300000000,P3443&lt;500000000),15000000,IF(AND(P3443&gt;=500000000,P3443&lt;3000000000),20000000,IF(P3443&gt;=30000000000,35000000,0))))) * (1-R3443)</f>
        <v>0</v>
      </c>
      <c r="Y3443" s="53">
        <f t="shared" ref="Y3443:Y3506" si="958">IFERROR(Q3443 * (1-R3443),0)</f>
        <v>0</v>
      </c>
      <c r="Z3443" s="54">
        <f t="shared" si="948"/>
        <v>0</v>
      </c>
      <c r="AA3443" s="54">
        <f t="shared" ref="AA3443:AA3506" si="959">IFERROR((1-R3443) * Z3443 * 2%,0)</f>
        <v>0</v>
      </c>
      <c r="AB3443" s="55">
        <f t="shared" si="949"/>
        <v>0</v>
      </c>
      <c r="AC3443" s="55">
        <f t="shared" ref="AC3443:AC3506" si="960">IFERROR(AB3443 * (1-R3443) * 2%,0)</f>
        <v>0</v>
      </c>
      <c r="AD3443" s="56">
        <f t="shared" ref="AD3443:AD3506" si="961">T3443+V3443+W3443+X3443+AA3443+AC3443</f>
        <v>6151.6100000000006</v>
      </c>
    </row>
    <row r="3444" spans="3:30">
      <c r="C3444" s="43" t="s">
        <v>6391</v>
      </c>
      <c r="D3444" s="44" t="s">
        <v>6392</v>
      </c>
      <c r="E3444" s="44"/>
      <c r="F3444" s="45">
        <v>40806.688125000001</v>
      </c>
      <c r="G3444" s="46">
        <v>84</v>
      </c>
      <c r="H3444" s="47">
        <v>43383</v>
      </c>
      <c r="I3444" s="47">
        <v>43391</v>
      </c>
      <c r="J3444" s="46">
        <v>12653420</v>
      </c>
      <c r="K3444" s="46">
        <v>0</v>
      </c>
      <c r="L3444" s="46">
        <v>0</v>
      </c>
      <c r="M3444" s="46">
        <f t="shared" si="950"/>
        <v>12653420</v>
      </c>
      <c r="N3444" s="46">
        <v>27218400</v>
      </c>
      <c r="O3444" s="48">
        <f t="shared" si="951"/>
        <v>0.53511521617729185</v>
      </c>
      <c r="P3444" s="46">
        <v>0</v>
      </c>
      <c r="Q3444" s="46">
        <v>12653420</v>
      </c>
      <c r="R3444" s="49">
        <f t="shared" si="952"/>
        <v>1</v>
      </c>
      <c r="S3444" s="50">
        <f t="shared" si="953"/>
        <v>0.01</v>
      </c>
      <c r="T3444" s="49">
        <f t="shared" si="954"/>
        <v>126534.2</v>
      </c>
      <c r="U3444" s="51">
        <f t="shared" si="955"/>
        <v>0</v>
      </c>
      <c r="V3444" s="52">
        <f>IF(0&lt;0.8,0,IF(0&lt;1,Sheet3!L561,1))*IF(G3444&lt;3,0.12 - O3444,0.01) *U3444</f>
        <v>0</v>
      </c>
      <c r="W3444" s="52">
        <f t="shared" si="956"/>
        <v>0</v>
      </c>
      <c r="X3444" s="53">
        <f t="shared" si="957"/>
        <v>0</v>
      </c>
      <c r="Y3444" s="53">
        <f t="shared" si="958"/>
        <v>0</v>
      </c>
      <c r="Z3444" s="54">
        <f t="shared" si="948"/>
        <v>0</v>
      </c>
      <c r="AA3444" s="54">
        <f t="shared" si="959"/>
        <v>0</v>
      </c>
      <c r="AB3444" s="55">
        <f t="shared" si="949"/>
        <v>0</v>
      </c>
      <c r="AC3444" s="55">
        <f t="shared" si="960"/>
        <v>0</v>
      </c>
      <c r="AD3444" s="56">
        <f t="shared" si="961"/>
        <v>126534.2</v>
      </c>
    </row>
    <row r="3445" spans="3:30">
      <c r="C3445" s="43" t="s">
        <v>6393</v>
      </c>
      <c r="D3445" s="44" t="s">
        <v>6394</v>
      </c>
      <c r="E3445" s="44"/>
      <c r="F3445" s="45">
        <v>40841.702256944445</v>
      </c>
      <c r="G3445" s="46">
        <v>83</v>
      </c>
      <c r="H3445" s="47">
        <v>43372</v>
      </c>
      <c r="I3445" s="47">
        <v>43399</v>
      </c>
      <c r="J3445" s="46">
        <v>1457250</v>
      </c>
      <c r="K3445" s="46">
        <v>0</v>
      </c>
      <c r="L3445" s="46">
        <v>0</v>
      </c>
      <c r="M3445" s="46">
        <f t="shared" si="950"/>
        <v>1457250</v>
      </c>
      <c r="N3445" s="46">
        <v>1462530</v>
      </c>
      <c r="O3445" s="48">
        <f t="shared" si="951"/>
        <v>3.6101823552336931E-3</v>
      </c>
      <c r="P3445" s="46">
        <v>0</v>
      </c>
      <c r="Q3445" s="46">
        <v>1457250</v>
      </c>
      <c r="R3445" s="49">
        <f t="shared" si="952"/>
        <v>1</v>
      </c>
      <c r="S3445" s="50">
        <f t="shared" si="953"/>
        <v>0.01</v>
      </c>
      <c r="T3445" s="49">
        <f t="shared" si="954"/>
        <v>14572.5</v>
      </c>
      <c r="U3445" s="51">
        <f t="shared" si="955"/>
        <v>0</v>
      </c>
      <c r="V3445" s="52">
        <f>IF(0&lt;0.8,0,IF(0&lt;1,Sheet3!L561,1))*IF(G3445&lt;3,0.12 - O3445,0.01) *U3445</f>
        <v>0</v>
      </c>
      <c r="W3445" s="52">
        <f t="shared" si="956"/>
        <v>0</v>
      </c>
      <c r="X3445" s="53">
        <f t="shared" si="957"/>
        <v>0</v>
      </c>
      <c r="Y3445" s="53">
        <f t="shared" si="958"/>
        <v>0</v>
      </c>
      <c r="Z3445" s="54">
        <f t="shared" si="948"/>
        <v>0</v>
      </c>
      <c r="AA3445" s="54">
        <f t="shared" si="959"/>
        <v>0</v>
      </c>
      <c r="AB3445" s="55">
        <f t="shared" si="949"/>
        <v>0</v>
      </c>
      <c r="AC3445" s="55">
        <f t="shared" si="960"/>
        <v>0</v>
      </c>
      <c r="AD3445" s="56">
        <f t="shared" si="961"/>
        <v>14572.5</v>
      </c>
    </row>
    <row r="3446" spans="3:30">
      <c r="C3446" s="43" t="s">
        <v>6395</v>
      </c>
      <c r="D3446" s="44" t="s">
        <v>6396</v>
      </c>
      <c r="E3446" s="44"/>
      <c r="F3446" s="45">
        <v>40907.43546296296</v>
      </c>
      <c r="G3446" s="46">
        <v>81</v>
      </c>
      <c r="H3446" s="47" t="s">
        <v>24</v>
      </c>
      <c r="I3446" s="47" t="s">
        <v>24</v>
      </c>
      <c r="J3446" s="46">
        <v>2006000</v>
      </c>
      <c r="K3446" s="46">
        <v>0</v>
      </c>
      <c r="L3446" s="46">
        <v>0</v>
      </c>
      <c r="M3446" s="46">
        <f t="shared" si="950"/>
        <v>2006000</v>
      </c>
      <c r="N3446" s="46">
        <v>4332717</v>
      </c>
      <c r="O3446" s="48">
        <f t="shared" si="951"/>
        <v>0.53701107180552066</v>
      </c>
      <c r="P3446" s="46">
        <v>0</v>
      </c>
      <c r="Q3446" s="46">
        <v>2006000</v>
      </c>
      <c r="R3446" s="49">
        <f t="shared" si="952"/>
        <v>1</v>
      </c>
      <c r="S3446" s="50">
        <f t="shared" si="953"/>
        <v>0.01</v>
      </c>
      <c r="T3446" s="49">
        <f t="shared" si="954"/>
        <v>20060</v>
      </c>
      <c r="U3446" s="51">
        <f t="shared" si="955"/>
        <v>0</v>
      </c>
      <c r="V3446" s="52">
        <f>IF(0&lt;0.8,0,IF(0&lt;1,Sheet3!L561,1))*IF(G3446&lt;3,0.12 - O3446,0.01) *U3446</f>
        <v>0</v>
      </c>
      <c r="W3446" s="52">
        <f t="shared" si="956"/>
        <v>0</v>
      </c>
      <c r="X3446" s="53">
        <f t="shared" si="957"/>
        <v>0</v>
      </c>
      <c r="Y3446" s="53">
        <f t="shared" si="958"/>
        <v>0</v>
      </c>
      <c r="Z3446" s="54">
        <f t="shared" si="948"/>
        <v>0</v>
      </c>
      <c r="AA3446" s="54">
        <f t="shared" si="959"/>
        <v>0</v>
      </c>
      <c r="AB3446" s="55">
        <f t="shared" si="949"/>
        <v>0</v>
      </c>
      <c r="AC3446" s="55">
        <f t="shared" si="960"/>
        <v>0</v>
      </c>
      <c r="AD3446" s="56">
        <f t="shared" si="961"/>
        <v>20060</v>
      </c>
    </row>
    <row r="3447" spans="3:30">
      <c r="C3447" s="43" t="s">
        <v>6397</v>
      </c>
      <c r="D3447" s="44" t="s">
        <v>6398</v>
      </c>
      <c r="E3447" s="44"/>
      <c r="F3447" s="45">
        <v>40908.69736111111</v>
      </c>
      <c r="G3447" s="46">
        <v>81</v>
      </c>
      <c r="H3447" s="47">
        <v>43372</v>
      </c>
      <c r="I3447" s="47">
        <v>43392</v>
      </c>
      <c r="J3447" s="46">
        <v>1193941</v>
      </c>
      <c r="K3447" s="46">
        <v>0</v>
      </c>
      <c r="L3447" s="46">
        <v>0</v>
      </c>
      <c r="M3447" s="46">
        <f t="shared" si="950"/>
        <v>1193941</v>
      </c>
      <c r="N3447" s="46">
        <v>1148829</v>
      </c>
      <c r="O3447" s="48">
        <f t="shared" si="951"/>
        <v>0</v>
      </c>
      <c r="P3447" s="46">
        <v>0</v>
      </c>
      <c r="Q3447" s="46">
        <v>1193941</v>
      </c>
      <c r="R3447" s="49">
        <f t="shared" si="952"/>
        <v>1</v>
      </c>
      <c r="S3447" s="50">
        <f t="shared" si="953"/>
        <v>0.01</v>
      </c>
      <c r="T3447" s="49">
        <f t="shared" si="954"/>
        <v>11939.41</v>
      </c>
      <c r="U3447" s="51">
        <f t="shared" si="955"/>
        <v>0</v>
      </c>
      <c r="V3447" s="52">
        <f>IF(0&lt;0.8,0,IF(0&lt;1,Sheet3!L561,1))*IF(G3447&lt;3,0.12 - O3447,0.01) *U3447</f>
        <v>0</v>
      </c>
      <c r="W3447" s="52">
        <f t="shared" si="956"/>
        <v>0</v>
      </c>
      <c r="X3447" s="53">
        <f t="shared" si="957"/>
        <v>0</v>
      </c>
      <c r="Y3447" s="53">
        <f t="shared" si="958"/>
        <v>0</v>
      </c>
      <c r="Z3447" s="54">
        <f t="shared" si="948"/>
        <v>0</v>
      </c>
      <c r="AA3447" s="54">
        <f t="shared" si="959"/>
        <v>0</v>
      </c>
      <c r="AB3447" s="55">
        <f t="shared" si="949"/>
        <v>0</v>
      </c>
      <c r="AC3447" s="55">
        <f t="shared" si="960"/>
        <v>0</v>
      </c>
      <c r="AD3447" s="56">
        <f t="shared" si="961"/>
        <v>11939.41</v>
      </c>
    </row>
    <row r="3448" spans="3:30">
      <c r="C3448" s="43" t="s">
        <v>6399</v>
      </c>
      <c r="D3448" s="44" t="s">
        <v>6400</v>
      </c>
      <c r="E3448" s="44"/>
      <c r="F3448" s="45">
        <v>40952.644178240742</v>
      </c>
      <c r="G3448" s="46">
        <v>79</v>
      </c>
      <c r="H3448" s="47">
        <v>43372</v>
      </c>
      <c r="I3448" s="47">
        <v>43419</v>
      </c>
      <c r="J3448" s="46">
        <v>3261141</v>
      </c>
      <c r="K3448" s="46">
        <v>0</v>
      </c>
      <c r="L3448" s="46">
        <v>0</v>
      </c>
      <c r="M3448" s="46">
        <f t="shared" si="950"/>
        <v>3261141</v>
      </c>
      <c r="N3448" s="46">
        <v>3269941</v>
      </c>
      <c r="O3448" s="48">
        <f t="shared" si="951"/>
        <v>2.6911800549306308E-3</v>
      </c>
      <c r="P3448" s="46">
        <v>0</v>
      </c>
      <c r="Q3448" s="46">
        <v>3261141</v>
      </c>
      <c r="R3448" s="49">
        <f t="shared" si="952"/>
        <v>1</v>
      </c>
      <c r="S3448" s="50">
        <f t="shared" si="953"/>
        <v>0.01</v>
      </c>
      <c r="T3448" s="49">
        <f t="shared" si="954"/>
        <v>32611.41</v>
      </c>
      <c r="U3448" s="51">
        <f t="shared" si="955"/>
        <v>0</v>
      </c>
      <c r="V3448" s="52">
        <f>IF(0&lt;0.8,0,IF(0&lt;1,Sheet3!L561,1))*IF(G3448&lt;3,0.12 - O3448,0.01) *U3448</f>
        <v>0</v>
      </c>
      <c r="W3448" s="52">
        <f t="shared" si="956"/>
        <v>0</v>
      </c>
      <c r="X3448" s="53">
        <f t="shared" si="957"/>
        <v>0</v>
      </c>
      <c r="Y3448" s="53">
        <f t="shared" si="958"/>
        <v>0</v>
      </c>
      <c r="Z3448" s="54">
        <f t="shared" si="948"/>
        <v>0</v>
      </c>
      <c r="AA3448" s="54">
        <f t="shared" si="959"/>
        <v>0</v>
      </c>
      <c r="AB3448" s="55">
        <f t="shared" si="949"/>
        <v>0</v>
      </c>
      <c r="AC3448" s="55">
        <f t="shared" si="960"/>
        <v>0</v>
      </c>
      <c r="AD3448" s="56">
        <f t="shared" si="961"/>
        <v>32611.41</v>
      </c>
    </row>
    <row r="3449" spans="3:30">
      <c r="C3449" s="43" t="s">
        <v>6401</v>
      </c>
      <c r="D3449" s="44" t="s">
        <v>6402</v>
      </c>
      <c r="E3449" s="44"/>
      <c r="F3449" s="45">
        <v>40961.439965277779</v>
      </c>
      <c r="G3449" s="46">
        <v>79</v>
      </c>
      <c r="H3449" s="47">
        <v>43372</v>
      </c>
      <c r="I3449" s="47">
        <v>43399</v>
      </c>
      <c r="J3449" s="46">
        <v>2194301</v>
      </c>
      <c r="K3449" s="46">
        <v>0</v>
      </c>
      <c r="L3449" s="46">
        <v>0</v>
      </c>
      <c r="M3449" s="46">
        <f t="shared" si="950"/>
        <v>2194301</v>
      </c>
      <c r="N3449" s="46">
        <v>2194301</v>
      </c>
      <c r="O3449" s="48">
        <f t="shared" si="951"/>
        <v>0</v>
      </c>
      <c r="P3449" s="46">
        <v>0</v>
      </c>
      <c r="Q3449" s="46">
        <v>2194301</v>
      </c>
      <c r="R3449" s="49">
        <f t="shared" si="952"/>
        <v>1</v>
      </c>
      <c r="S3449" s="50">
        <f t="shared" si="953"/>
        <v>0.01</v>
      </c>
      <c r="T3449" s="49">
        <f t="shared" si="954"/>
        <v>21943.010000000002</v>
      </c>
      <c r="U3449" s="51">
        <f t="shared" si="955"/>
        <v>0</v>
      </c>
      <c r="V3449" s="52">
        <f>IF(0&lt;0.8,0,IF(0&lt;1,Sheet3!L561,1))*IF(G3449&lt;3,0.12 - O3449,0.01) *U3449</f>
        <v>0</v>
      </c>
      <c r="W3449" s="52">
        <f t="shared" si="956"/>
        <v>0</v>
      </c>
      <c r="X3449" s="53">
        <f t="shared" si="957"/>
        <v>0</v>
      </c>
      <c r="Y3449" s="53">
        <f t="shared" si="958"/>
        <v>0</v>
      </c>
      <c r="Z3449" s="54">
        <f t="shared" si="948"/>
        <v>0</v>
      </c>
      <c r="AA3449" s="54">
        <f t="shared" si="959"/>
        <v>0</v>
      </c>
      <c r="AB3449" s="55">
        <f t="shared" si="949"/>
        <v>0</v>
      </c>
      <c r="AC3449" s="55">
        <f t="shared" si="960"/>
        <v>0</v>
      </c>
      <c r="AD3449" s="56">
        <f t="shared" si="961"/>
        <v>21943.010000000002</v>
      </c>
    </row>
    <row r="3450" spans="3:30">
      <c r="C3450" s="43" t="s">
        <v>6403</v>
      </c>
      <c r="D3450" s="44" t="s">
        <v>6404</v>
      </c>
      <c r="E3450" s="44"/>
      <c r="F3450" s="45">
        <v>40973.316886574074</v>
      </c>
      <c r="G3450" s="46">
        <v>78</v>
      </c>
      <c r="H3450" s="47">
        <v>43389</v>
      </c>
      <c r="I3450" s="47">
        <v>43446</v>
      </c>
      <c r="J3450" s="46">
        <v>2036040</v>
      </c>
      <c r="K3450" s="46">
        <v>0</v>
      </c>
      <c r="L3450" s="46">
        <v>0</v>
      </c>
      <c r="M3450" s="46">
        <f t="shared" si="950"/>
        <v>2036040</v>
      </c>
      <c r="N3450" s="46">
        <v>2020520</v>
      </c>
      <c r="O3450" s="48">
        <f t="shared" si="951"/>
        <v>0</v>
      </c>
      <c r="P3450" s="46">
        <v>0</v>
      </c>
      <c r="Q3450" s="46">
        <v>2886040</v>
      </c>
      <c r="R3450" s="49">
        <f t="shared" si="952"/>
        <v>1</v>
      </c>
      <c r="S3450" s="50">
        <f t="shared" si="953"/>
        <v>0.01</v>
      </c>
      <c r="T3450" s="49">
        <f t="shared" si="954"/>
        <v>20360.400000000001</v>
      </c>
      <c r="U3450" s="51">
        <f t="shared" si="955"/>
        <v>0</v>
      </c>
      <c r="V3450" s="52">
        <f>IF(0&lt;0.8,0,IF(0&lt;1,Sheet3!L561,1))*IF(G3450&lt;3,0.12 - O3450,0.01) *U3450</f>
        <v>0</v>
      </c>
      <c r="W3450" s="52">
        <f t="shared" si="956"/>
        <v>0</v>
      </c>
      <c r="X3450" s="53">
        <f t="shared" si="957"/>
        <v>0</v>
      </c>
      <c r="Y3450" s="53">
        <f t="shared" si="958"/>
        <v>0</v>
      </c>
      <c r="Z3450" s="54">
        <f t="shared" si="948"/>
        <v>0</v>
      </c>
      <c r="AA3450" s="54">
        <f t="shared" si="959"/>
        <v>0</v>
      </c>
      <c r="AB3450" s="55">
        <f t="shared" si="949"/>
        <v>0</v>
      </c>
      <c r="AC3450" s="55">
        <f t="shared" si="960"/>
        <v>0</v>
      </c>
      <c r="AD3450" s="56">
        <f t="shared" si="961"/>
        <v>20360.400000000001</v>
      </c>
    </row>
    <row r="3451" spans="3:30">
      <c r="C3451" s="43" t="s">
        <v>6405</v>
      </c>
      <c r="D3451" s="44" t="s">
        <v>6406</v>
      </c>
      <c r="E3451" s="44"/>
      <c r="F3451" s="45">
        <v>40973.318865740737</v>
      </c>
      <c r="G3451" s="46">
        <v>78</v>
      </c>
      <c r="H3451" s="47">
        <v>43383</v>
      </c>
      <c r="I3451" s="47">
        <v>43412</v>
      </c>
      <c r="J3451" s="46">
        <v>1961736</v>
      </c>
      <c r="K3451" s="46">
        <v>0</v>
      </c>
      <c r="L3451" s="46">
        <v>0</v>
      </c>
      <c r="M3451" s="46">
        <f t="shared" si="950"/>
        <v>1961736</v>
      </c>
      <c r="N3451" s="46">
        <v>1961736</v>
      </c>
      <c r="O3451" s="48">
        <f t="shared" si="951"/>
        <v>0</v>
      </c>
      <c r="P3451" s="46">
        <v>0</v>
      </c>
      <c r="Q3451" s="46">
        <v>1961736</v>
      </c>
      <c r="R3451" s="49">
        <f t="shared" si="952"/>
        <v>1</v>
      </c>
      <c r="S3451" s="50">
        <f t="shared" si="953"/>
        <v>0.01</v>
      </c>
      <c r="T3451" s="49">
        <f t="shared" si="954"/>
        <v>19617.36</v>
      </c>
      <c r="U3451" s="51">
        <f t="shared" si="955"/>
        <v>0</v>
      </c>
      <c r="V3451" s="52">
        <f>IF(0&lt;0.8,0,IF(0&lt;1,Sheet3!L561,1))*IF(G3451&lt;3,0.12 - O3451,0.01) *U3451</f>
        <v>0</v>
      </c>
      <c r="W3451" s="52">
        <f t="shared" si="956"/>
        <v>0</v>
      </c>
      <c r="X3451" s="53">
        <f t="shared" si="957"/>
        <v>0</v>
      </c>
      <c r="Y3451" s="53">
        <f t="shared" si="958"/>
        <v>0</v>
      </c>
      <c r="Z3451" s="54">
        <f t="shared" si="948"/>
        <v>0</v>
      </c>
      <c r="AA3451" s="54">
        <f t="shared" si="959"/>
        <v>0</v>
      </c>
      <c r="AB3451" s="55">
        <f t="shared" si="949"/>
        <v>0</v>
      </c>
      <c r="AC3451" s="55">
        <f t="shared" si="960"/>
        <v>0</v>
      </c>
      <c r="AD3451" s="56">
        <f t="shared" si="961"/>
        <v>19617.36</v>
      </c>
    </row>
    <row r="3452" spans="3:30">
      <c r="C3452" s="43" t="s">
        <v>6407</v>
      </c>
      <c r="D3452" s="44" t="s">
        <v>6408</v>
      </c>
      <c r="E3452" s="44"/>
      <c r="F3452" s="45">
        <v>41104.597673611112</v>
      </c>
      <c r="G3452" s="46">
        <v>74</v>
      </c>
      <c r="H3452" s="47">
        <v>43425</v>
      </c>
      <c r="I3452" s="47">
        <v>43447</v>
      </c>
      <c r="J3452" s="46">
        <v>1746690</v>
      </c>
      <c r="K3452" s="46">
        <v>0</v>
      </c>
      <c r="L3452" s="46">
        <v>0</v>
      </c>
      <c r="M3452" s="46">
        <f t="shared" si="950"/>
        <v>1746690</v>
      </c>
      <c r="N3452" s="46">
        <v>1751181</v>
      </c>
      <c r="O3452" s="48">
        <f t="shared" si="951"/>
        <v>2.564555006021596E-3</v>
      </c>
      <c r="P3452" s="46">
        <v>0</v>
      </c>
      <c r="Q3452" s="46">
        <v>3493380</v>
      </c>
      <c r="R3452" s="49">
        <f t="shared" si="952"/>
        <v>1</v>
      </c>
      <c r="S3452" s="50">
        <f t="shared" si="953"/>
        <v>0.01</v>
      </c>
      <c r="T3452" s="49">
        <f t="shared" si="954"/>
        <v>17466.900000000001</v>
      </c>
      <c r="U3452" s="51">
        <f t="shared" si="955"/>
        <v>0</v>
      </c>
      <c r="V3452" s="52">
        <f>IF(0&lt;0.8,0,IF(0&lt;1,Sheet3!L561,1))*IF(G3452&lt;3,0.12 - O3452,0.01) *U3452</f>
        <v>0</v>
      </c>
      <c r="W3452" s="52">
        <f t="shared" si="956"/>
        <v>0</v>
      </c>
      <c r="X3452" s="53">
        <f t="shared" si="957"/>
        <v>0</v>
      </c>
      <c r="Y3452" s="53">
        <f t="shared" si="958"/>
        <v>0</v>
      </c>
      <c r="Z3452" s="54">
        <f t="shared" si="948"/>
        <v>0</v>
      </c>
      <c r="AA3452" s="54">
        <f t="shared" si="959"/>
        <v>0</v>
      </c>
      <c r="AB3452" s="55">
        <f t="shared" si="949"/>
        <v>0</v>
      </c>
      <c r="AC3452" s="55">
        <f t="shared" si="960"/>
        <v>0</v>
      </c>
      <c r="AD3452" s="56">
        <f t="shared" si="961"/>
        <v>17466.900000000001</v>
      </c>
    </row>
    <row r="3453" spans="3:30">
      <c r="C3453" s="43" t="s">
        <v>6409</v>
      </c>
      <c r="D3453" s="44" t="s">
        <v>6410</v>
      </c>
      <c r="E3453" s="44"/>
      <c r="F3453" s="45">
        <v>41173.724641203698</v>
      </c>
      <c r="G3453" s="46">
        <v>72</v>
      </c>
      <c r="H3453" s="47">
        <v>43372</v>
      </c>
      <c r="I3453" s="47">
        <v>43399</v>
      </c>
      <c r="J3453" s="46">
        <v>485100</v>
      </c>
      <c r="K3453" s="46">
        <v>0</v>
      </c>
      <c r="L3453" s="46">
        <v>0</v>
      </c>
      <c r="M3453" s="46">
        <f t="shared" si="950"/>
        <v>485100</v>
      </c>
      <c r="N3453" s="46">
        <v>485100</v>
      </c>
      <c r="O3453" s="48">
        <f t="shared" si="951"/>
        <v>0</v>
      </c>
      <c r="P3453" s="46">
        <v>0</v>
      </c>
      <c r="Q3453" s="46">
        <v>485100</v>
      </c>
      <c r="R3453" s="49">
        <f t="shared" si="952"/>
        <v>1</v>
      </c>
      <c r="S3453" s="50">
        <f t="shared" si="953"/>
        <v>0.01</v>
      </c>
      <c r="T3453" s="49">
        <f t="shared" si="954"/>
        <v>4851</v>
      </c>
      <c r="U3453" s="51">
        <f t="shared" si="955"/>
        <v>0</v>
      </c>
      <c r="V3453" s="52">
        <f>IF(0&lt;0.8,0,IF(0&lt;1,Sheet3!L561,1))*IF(G3453&lt;3,0.12 - O3453,0.01) *U3453</f>
        <v>0</v>
      </c>
      <c r="W3453" s="52">
        <f t="shared" si="956"/>
        <v>0</v>
      </c>
      <c r="X3453" s="53">
        <f t="shared" si="957"/>
        <v>0</v>
      </c>
      <c r="Y3453" s="53">
        <f t="shared" si="958"/>
        <v>0</v>
      </c>
      <c r="Z3453" s="54">
        <f t="shared" si="948"/>
        <v>0</v>
      </c>
      <c r="AA3453" s="54">
        <f t="shared" si="959"/>
        <v>0</v>
      </c>
      <c r="AB3453" s="55">
        <f t="shared" si="949"/>
        <v>0</v>
      </c>
      <c r="AC3453" s="55">
        <f t="shared" si="960"/>
        <v>0</v>
      </c>
      <c r="AD3453" s="56">
        <f t="shared" si="961"/>
        <v>4851</v>
      </c>
    </row>
    <row r="3454" spans="3:30">
      <c r="C3454" s="43" t="s">
        <v>6411</v>
      </c>
      <c r="D3454" s="44" t="s">
        <v>6412</v>
      </c>
      <c r="E3454" s="44"/>
      <c r="F3454" s="45">
        <v>41247.327893518515</v>
      </c>
      <c r="G3454" s="46">
        <v>69</v>
      </c>
      <c r="H3454" s="47">
        <v>43425</v>
      </c>
      <c r="I3454" s="47">
        <v>43451</v>
      </c>
      <c r="J3454" s="46">
        <v>391840</v>
      </c>
      <c r="K3454" s="46">
        <v>37300</v>
      </c>
      <c r="L3454" s="46">
        <v>0</v>
      </c>
      <c r="M3454" s="46">
        <f t="shared" si="950"/>
        <v>354540</v>
      </c>
      <c r="N3454" s="46">
        <v>391840</v>
      </c>
      <c r="O3454" s="48">
        <f t="shared" si="951"/>
        <v>9.5191915067374455E-2</v>
      </c>
      <c r="P3454" s="46">
        <v>0</v>
      </c>
      <c r="Q3454" s="46">
        <v>746380</v>
      </c>
      <c r="R3454" s="49">
        <f t="shared" si="952"/>
        <v>1</v>
      </c>
      <c r="S3454" s="50">
        <f t="shared" si="953"/>
        <v>0.01</v>
      </c>
      <c r="T3454" s="49">
        <f t="shared" si="954"/>
        <v>3545.4</v>
      </c>
      <c r="U3454" s="51">
        <f t="shared" si="955"/>
        <v>0</v>
      </c>
      <c r="V3454" s="52">
        <f>IF(0&lt;0.8,0,IF(0&lt;1,Sheet3!L561,1))*IF(G3454&lt;3,0.12 - O3454,0.01) *U3454</f>
        <v>0</v>
      </c>
      <c r="W3454" s="52">
        <f t="shared" si="956"/>
        <v>0</v>
      </c>
      <c r="X3454" s="53">
        <f t="shared" si="957"/>
        <v>0</v>
      </c>
      <c r="Y3454" s="53">
        <f t="shared" si="958"/>
        <v>0</v>
      </c>
      <c r="Z3454" s="54">
        <f t="shared" si="948"/>
        <v>0</v>
      </c>
      <c r="AA3454" s="54">
        <f t="shared" si="959"/>
        <v>0</v>
      </c>
      <c r="AB3454" s="55">
        <f t="shared" si="949"/>
        <v>0</v>
      </c>
      <c r="AC3454" s="55">
        <f t="shared" si="960"/>
        <v>0</v>
      </c>
      <c r="AD3454" s="56">
        <f t="shared" si="961"/>
        <v>3545.4</v>
      </c>
    </row>
    <row r="3455" spans="3:30">
      <c r="C3455" s="43" t="s">
        <v>6413</v>
      </c>
      <c r="D3455" s="44" t="s">
        <v>6414</v>
      </c>
      <c r="E3455" s="44"/>
      <c r="F3455" s="45">
        <v>41386.404699074075</v>
      </c>
      <c r="G3455" s="46">
        <v>65</v>
      </c>
      <c r="H3455" s="47" t="s">
        <v>24</v>
      </c>
      <c r="I3455" s="47" t="s">
        <v>24</v>
      </c>
      <c r="J3455" s="46">
        <v>48300</v>
      </c>
      <c r="K3455" s="46">
        <v>0</v>
      </c>
      <c r="L3455" s="46">
        <v>0</v>
      </c>
      <c r="M3455" s="46">
        <f t="shared" si="950"/>
        <v>48300</v>
      </c>
      <c r="N3455" s="46">
        <v>48300</v>
      </c>
      <c r="O3455" s="48">
        <f t="shared" si="951"/>
        <v>0</v>
      </c>
      <c r="P3455" s="46">
        <v>0</v>
      </c>
      <c r="Q3455" s="46">
        <v>48300</v>
      </c>
      <c r="R3455" s="49">
        <f t="shared" si="952"/>
        <v>1</v>
      </c>
      <c r="S3455" s="50">
        <f t="shared" si="953"/>
        <v>0.01</v>
      </c>
      <c r="T3455" s="49">
        <f t="shared" si="954"/>
        <v>483</v>
      </c>
      <c r="U3455" s="51">
        <f t="shared" si="955"/>
        <v>0</v>
      </c>
      <c r="V3455" s="52">
        <f>IF(0&lt;0.8,0,IF(0&lt;1,Sheet3!L561,1))*IF(G3455&lt;3,0.12 - O3455,0.01) *U3455</f>
        <v>0</v>
      </c>
      <c r="W3455" s="52">
        <f t="shared" si="956"/>
        <v>0</v>
      </c>
      <c r="X3455" s="53">
        <f t="shared" si="957"/>
        <v>0</v>
      </c>
      <c r="Y3455" s="53">
        <f t="shared" si="958"/>
        <v>0</v>
      </c>
      <c r="Z3455" s="54">
        <f t="shared" si="948"/>
        <v>0</v>
      </c>
      <c r="AA3455" s="54">
        <f t="shared" si="959"/>
        <v>0</v>
      </c>
      <c r="AB3455" s="55">
        <f t="shared" si="949"/>
        <v>0</v>
      </c>
      <c r="AC3455" s="55">
        <f t="shared" si="960"/>
        <v>0</v>
      </c>
      <c r="AD3455" s="56">
        <f t="shared" si="961"/>
        <v>483</v>
      </c>
    </row>
    <row r="3456" spans="3:30">
      <c r="C3456" s="43" t="s">
        <v>6415</v>
      </c>
      <c r="D3456" s="44" t="s">
        <v>6416</v>
      </c>
      <c r="E3456" s="44"/>
      <c r="F3456" s="45">
        <v>41454.464155092588</v>
      </c>
      <c r="G3456" s="46">
        <v>63</v>
      </c>
      <c r="H3456" s="47">
        <v>43372</v>
      </c>
      <c r="I3456" s="47">
        <v>43397</v>
      </c>
      <c r="J3456" s="46">
        <v>222640</v>
      </c>
      <c r="K3456" s="46">
        <v>0</v>
      </c>
      <c r="L3456" s="46">
        <v>0</v>
      </c>
      <c r="M3456" s="46">
        <f t="shared" si="950"/>
        <v>222640</v>
      </c>
      <c r="N3456" s="46">
        <v>222640</v>
      </c>
      <c r="O3456" s="48">
        <f t="shared" si="951"/>
        <v>0</v>
      </c>
      <c r="P3456" s="46">
        <v>0</v>
      </c>
      <c r="Q3456" s="46">
        <v>222640</v>
      </c>
      <c r="R3456" s="49">
        <f t="shared" si="952"/>
        <v>1</v>
      </c>
      <c r="S3456" s="50">
        <f t="shared" si="953"/>
        <v>0.01</v>
      </c>
      <c r="T3456" s="49">
        <f t="shared" si="954"/>
        <v>2226.4</v>
      </c>
      <c r="U3456" s="51">
        <f t="shared" si="955"/>
        <v>0</v>
      </c>
      <c r="V3456" s="52">
        <f>IF(0&lt;0.8,0,IF(0&lt;1,Sheet3!L561,1))*IF(G3456&lt;3,0.12 - O3456,0.01) *U3456</f>
        <v>0</v>
      </c>
      <c r="W3456" s="52">
        <f t="shared" si="956"/>
        <v>0</v>
      </c>
      <c r="X3456" s="53">
        <f t="shared" si="957"/>
        <v>0</v>
      </c>
      <c r="Y3456" s="53">
        <f t="shared" si="958"/>
        <v>0</v>
      </c>
      <c r="Z3456" s="54">
        <f t="shared" si="948"/>
        <v>0</v>
      </c>
      <c r="AA3456" s="54">
        <f t="shared" si="959"/>
        <v>0</v>
      </c>
      <c r="AB3456" s="55">
        <f t="shared" si="949"/>
        <v>0</v>
      </c>
      <c r="AC3456" s="55">
        <f t="shared" si="960"/>
        <v>0</v>
      </c>
      <c r="AD3456" s="56">
        <f t="shared" si="961"/>
        <v>2226.4</v>
      </c>
    </row>
    <row r="3457" spans="3:30">
      <c r="C3457" s="43" t="s">
        <v>6417</v>
      </c>
      <c r="D3457" s="44" t="s">
        <v>6418</v>
      </c>
      <c r="E3457" s="44"/>
      <c r="F3457" s="45">
        <v>41573.69494212963</v>
      </c>
      <c r="G3457" s="46">
        <v>59</v>
      </c>
      <c r="H3457" s="47">
        <v>43404</v>
      </c>
      <c r="I3457" s="47">
        <v>43411</v>
      </c>
      <c r="J3457" s="46">
        <v>2418484</v>
      </c>
      <c r="K3457" s="46">
        <v>193478</v>
      </c>
      <c r="L3457" s="46">
        <v>0</v>
      </c>
      <c r="M3457" s="46">
        <f t="shared" si="950"/>
        <v>2225006</v>
      </c>
      <c r="N3457" s="46">
        <v>3059967</v>
      </c>
      <c r="O3457" s="48">
        <f t="shared" si="951"/>
        <v>0.27286601456813098</v>
      </c>
      <c r="P3457" s="46">
        <v>0</v>
      </c>
      <c r="Q3457" s="46">
        <v>2418484</v>
      </c>
      <c r="R3457" s="49">
        <f t="shared" si="952"/>
        <v>1</v>
      </c>
      <c r="S3457" s="50">
        <f t="shared" si="953"/>
        <v>0.01</v>
      </c>
      <c r="T3457" s="49">
        <f t="shared" si="954"/>
        <v>22250.06</v>
      </c>
      <c r="U3457" s="51">
        <f t="shared" si="955"/>
        <v>0</v>
      </c>
      <c r="V3457" s="52">
        <f>IF(0&lt;0.8,0,IF(0&lt;1,Sheet3!L561,1))*IF(G3457&lt;3,0.12 - O3457,0.01) *U3457</f>
        <v>0</v>
      </c>
      <c r="W3457" s="52">
        <f t="shared" si="956"/>
        <v>0</v>
      </c>
      <c r="X3457" s="53">
        <f t="shared" si="957"/>
        <v>0</v>
      </c>
      <c r="Y3457" s="53">
        <f t="shared" si="958"/>
        <v>0</v>
      </c>
      <c r="Z3457" s="54">
        <f t="shared" si="948"/>
        <v>0</v>
      </c>
      <c r="AA3457" s="54">
        <f t="shared" si="959"/>
        <v>0</v>
      </c>
      <c r="AB3457" s="55">
        <f t="shared" si="949"/>
        <v>0</v>
      </c>
      <c r="AC3457" s="55">
        <f t="shared" si="960"/>
        <v>0</v>
      </c>
      <c r="AD3457" s="56">
        <f t="shared" si="961"/>
        <v>22250.06</v>
      </c>
    </row>
    <row r="3458" spans="3:30">
      <c r="C3458" s="43" t="s">
        <v>6419</v>
      </c>
      <c r="D3458" s="44" t="s">
        <v>6420</v>
      </c>
      <c r="E3458" s="44"/>
      <c r="F3458" s="45">
        <v>41606.604664351849</v>
      </c>
      <c r="G3458" s="46">
        <v>58</v>
      </c>
      <c r="H3458" s="47">
        <v>43372</v>
      </c>
      <c r="I3458" s="47">
        <v>43391</v>
      </c>
      <c r="J3458" s="46">
        <v>329560</v>
      </c>
      <c r="K3458" s="46">
        <v>0</v>
      </c>
      <c r="L3458" s="46">
        <v>0</v>
      </c>
      <c r="M3458" s="46">
        <f t="shared" si="950"/>
        <v>329560</v>
      </c>
      <c r="N3458" s="46">
        <v>329560</v>
      </c>
      <c r="O3458" s="48">
        <f t="shared" si="951"/>
        <v>0</v>
      </c>
      <c r="P3458" s="46">
        <v>0</v>
      </c>
      <c r="Q3458" s="46">
        <v>329560</v>
      </c>
      <c r="R3458" s="49">
        <f t="shared" si="952"/>
        <v>1</v>
      </c>
      <c r="S3458" s="50">
        <f t="shared" si="953"/>
        <v>0.01</v>
      </c>
      <c r="T3458" s="49">
        <f t="shared" si="954"/>
        <v>3295.6</v>
      </c>
      <c r="U3458" s="51">
        <f t="shared" si="955"/>
        <v>0</v>
      </c>
      <c r="V3458" s="52">
        <f>IF(0&lt;0.8,0,IF(0&lt;1,Sheet3!L561,1))*IF(G3458&lt;3,0.12 - O3458,0.01) *U3458</f>
        <v>0</v>
      </c>
      <c r="W3458" s="52">
        <f t="shared" si="956"/>
        <v>0</v>
      </c>
      <c r="X3458" s="53">
        <f t="shared" si="957"/>
        <v>0</v>
      </c>
      <c r="Y3458" s="53">
        <f t="shared" si="958"/>
        <v>0</v>
      </c>
      <c r="Z3458" s="54">
        <f t="shared" si="948"/>
        <v>0</v>
      </c>
      <c r="AA3458" s="54">
        <f t="shared" si="959"/>
        <v>0</v>
      </c>
      <c r="AB3458" s="55">
        <f t="shared" si="949"/>
        <v>0</v>
      </c>
      <c r="AC3458" s="55">
        <f t="shared" si="960"/>
        <v>0</v>
      </c>
      <c r="AD3458" s="56">
        <f t="shared" si="961"/>
        <v>3295.6</v>
      </c>
    </row>
    <row r="3459" spans="3:30">
      <c r="C3459" s="43" t="s">
        <v>6421</v>
      </c>
      <c r="D3459" s="44" t="s">
        <v>6422</v>
      </c>
      <c r="E3459" s="44"/>
      <c r="F3459" s="45">
        <v>41743.395775462959</v>
      </c>
      <c r="G3459" s="46">
        <v>53</v>
      </c>
      <c r="H3459" s="47">
        <v>43390</v>
      </c>
      <c r="I3459" s="47">
        <v>43412</v>
      </c>
      <c r="J3459" s="46">
        <v>2059877</v>
      </c>
      <c r="K3459" s="46">
        <v>0</v>
      </c>
      <c r="L3459" s="46">
        <v>0</v>
      </c>
      <c r="M3459" s="46">
        <f t="shared" si="950"/>
        <v>2059877</v>
      </c>
      <c r="N3459" s="46">
        <v>2059412</v>
      </c>
      <c r="O3459" s="48">
        <f t="shared" si="951"/>
        <v>0</v>
      </c>
      <c r="P3459" s="46">
        <v>0</v>
      </c>
      <c r="Q3459" s="46">
        <v>2059877</v>
      </c>
      <c r="R3459" s="49">
        <f t="shared" si="952"/>
        <v>1</v>
      </c>
      <c r="S3459" s="50">
        <f t="shared" si="953"/>
        <v>0.01</v>
      </c>
      <c r="T3459" s="49">
        <f t="shared" si="954"/>
        <v>20598.77</v>
      </c>
      <c r="U3459" s="51">
        <f t="shared" si="955"/>
        <v>0</v>
      </c>
      <c r="V3459" s="52">
        <f>IF(0&lt;0.8,0,IF(0&lt;1,Sheet3!L561,1))*IF(G3459&lt;3,0.12 - O3459,0.01) *U3459</f>
        <v>0</v>
      </c>
      <c r="W3459" s="52">
        <f t="shared" si="956"/>
        <v>0</v>
      </c>
      <c r="X3459" s="53">
        <f t="shared" si="957"/>
        <v>0</v>
      </c>
      <c r="Y3459" s="53">
        <f t="shared" si="958"/>
        <v>0</v>
      </c>
      <c r="Z3459" s="54">
        <f t="shared" si="948"/>
        <v>0</v>
      </c>
      <c r="AA3459" s="54">
        <f t="shared" si="959"/>
        <v>0</v>
      </c>
      <c r="AB3459" s="55">
        <f t="shared" si="949"/>
        <v>0</v>
      </c>
      <c r="AC3459" s="55">
        <f t="shared" si="960"/>
        <v>0</v>
      </c>
      <c r="AD3459" s="56">
        <f t="shared" si="961"/>
        <v>20598.77</v>
      </c>
    </row>
    <row r="3460" spans="3:30">
      <c r="C3460" s="43" t="s">
        <v>6423</v>
      </c>
      <c r="D3460" s="44" t="s">
        <v>6424</v>
      </c>
      <c r="E3460" s="44"/>
      <c r="F3460" s="45">
        <v>41752.387280092589</v>
      </c>
      <c r="G3460" s="46">
        <v>53</v>
      </c>
      <c r="H3460" s="47">
        <v>43372</v>
      </c>
      <c r="I3460" s="47">
        <v>43383</v>
      </c>
      <c r="J3460" s="46">
        <v>754507</v>
      </c>
      <c r="K3460" s="46">
        <v>0</v>
      </c>
      <c r="L3460" s="46">
        <v>0</v>
      </c>
      <c r="M3460" s="46">
        <f t="shared" si="950"/>
        <v>754507</v>
      </c>
      <c r="N3460" s="46">
        <v>754507</v>
      </c>
      <c r="O3460" s="48">
        <f t="shared" si="951"/>
        <v>0</v>
      </c>
      <c r="P3460" s="46">
        <v>0</v>
      </c>
      <c r="Q3460" s="46">
        <v>754507</v>
      </c>
      <c r="R3460" s="49">
        <f t="shared" si="952"/>
        <v>1</v>
      </c>
      <c r="S3460" s="50">
        <f t="shared" si="953"/>
        <v>0.01</v>
      </c>
      <c r="T3460" s="49">
        <f t="shared" si="954"/>
        <v>7545.07</v>
      </c>
      <c r="U3460" s="51">
        <f t="shared" si="955"/>
        <v>0</v>
      </c>
      <c r="V3460" s="52">
        <f>IF(0&lt;0.8,0,IF(0&lt;1,Sheet3!L561,1))*IF(G3460&lt;3,0.12 - O3460,0.01) *U3460</f>
        <v>0</v>
      </c>
      <c r="W3460" s="52">
        <f t="shared" si="956"/>
        <v>0</v>
      </c>
      <c r="X3460" s="53">
        <f t="shared" si="957"/>
        <v>0</v>
      </c>
      <c r="Y3460" s="53">
        <f t="shared" si="958"/>
        <v>0</v>
      </c>
      <c r="Z3460" s="54">
        <f t="shared" si="948"/>
        <v>0</v>
      </c>
      <c r="AA3460" s="54">
        <f t="shared" si="959"/>
        <v>0</v>
      </c>
      <c r="AB3460" s="55">
        <f t="shared" si="949"/>
        <v>0</v>
      </c>
      <c r="AC3460" s="55">
        <f t="shared" si="960"/>
        <v>0</v>
      </c>
      <c r="AD3460" s="56">
        <f t="shared" si="961"/>
        <v>7545.07</v>
      </c>
    </row>
    <row r="3461" spans="3:30">
      <c r="C3461" s="43" t="s">
        <v>6425</v>
      </c>
      <c r="D3461" s="44" t="s">
        <v>6426</v>
      </c>
      <c r="E3461" s="44"/>
      <c r="F3461" s="45">
        <v>41859.589988425927</v>
      </c>
      <c r="G3461" s="46">
        <v>49</v>
      </c>
      <c r="H3461" s="47">
        <v>43389</v>
      </c>
      <c r="I3461" s="47">
        <v>43396</v>
      </c>
      <c r="J3461" s="46">
        <v>3225248</v>
      </c>
      <c r="K3461" s="46">
        <v>0</v>
      </c>
      <c r="L3461" s="46">
        <v>0</v>
      </c>
      <c r="M3461" s="46">
        <f t="shared" si="950"/>
        <v>3225248</v>
      </c>
      <c r="N3461" s="46">
        <v>2714977</v>
      </c>
      <c r="O3461" s="48">
        <f t="shared" si="951"/>
        <v>0</v>
      </c>
      <c r="P3461" s="46">
        <v>0</v>
      </c>
      <c r="Q3461" s="46">
        <v>3225248</v>
      </c>
      <c r="R3461" s="49">
        <f t="shared" si="952"/>
        <v>1</v>
      </c>
      <c r="S3461" s="50">
        <f t="shared" si="953"/>
        <v>0.01</v>
      </c>
      <c r="T3461" s="49">
        <f t="shared" si="954"/>
        <v>32252.48</v>
      </c>
      <c r="U3461" s="51">
        <f t="shared" si="955"/>
        <v>0</v>
      </c>
      <c r="V3461" s="52">
        <f>IF(0&lt;0.8,0,IF(0&lt;1,Sheet3!L561,1))*IF(G3461&lt;3,0.12 - O3461,0.01) *U3461</f>
        <v>0</v>
      </c>
      <c r="W3461" s="52">
        <f t="shared" si="956"/>
        <v>0</v>
      </c>
      <c r="X3461" s="53">
        <f t="shared" si="957"/>
        <v>0</v>
      </c>
      <c r="Y3461" s="53">
        <f t="shared" si="958"/>
        <v>0</v>
      </c>
      <c r="Z3461" s="54">
        <f t="shared" si="948"/>
        <v>0</v>
      </c>
      <c r="AA3461" s="54">
        <f t="shared" si="959"/>
        <v>0</v>
      </c>
      <c r="AB3461" s="55">
        <f>IF(R3461=0,510270,0)</f>
        <v>0</v>
      </c>
      <c r="AC3461" s="55">
        <f t="shared" si="960"/>
        <v>0</v>
      </c>
      <c r="AD3461" s="56">
        <f t="shared" si="961"/>
        <v>32252.48</v>
      </c>
    </row>
    <row r="3462" spans="3:30">
      <c r="C3462" s="43" t="s">
        <v>6427</v>
      </c>
      <c r="D3462" s="44" t="s">
        <v>6418</v>
      </c>
      <c r="E3462" s="44"/>
      <c r="F3462" s="45">
        <v>41948.409907407404</v>
      </c>
      <c r="G3462" s="46">
        <v>46</v>
      </c>
      <c r="H3462" s="47">
        <v>43404</v>
      </c>
      <c r="I3462" s="47">
        <v>43411</v>
      </c>
      <c r="J3462" s="46">
        <v>2752507</v>
      </c>
      <c r="K3462" s="46">
        <v>220197</v>
      </c>
      <c r="L3462" s="46">
        <v>0</v>
      </c>
      <c r="M3462" s="46">
        <f t="shared" si="950"/>
        <v>2532310</v>
      </c>
      <c r="N3462" s="46">
        <v>3658585</v>
      </c>
      <c r="O3462" s="48">
        <f t="shared" si="951"/>
        <v>0.3078444261920934</v>
      </c>
      <c r="P3462" s="46">
        <v>0</v>
      </c>
      <c r="Q3462" s="46">
        <v>2752507</v>
      </c>
      <c r="R3462" s="49">
        <f t="shared" si="952"/>
        <v>1</v>
      </c>
      <c r="S3462" s="50">
        <f t="shared" si="953"/>
        <v>0.01</v>
      </c>
      <c r="T3462" s="49">
        <f t="shared" si="954"/>
        <v>25323.100000000002</v>
      </c>
      <c r="U3462" s="51">
        <f t="shared" si="955"/>
        <v>0</v>
      </c>
      <c r="V3462" s="52">
        <f>IF(0&lt;0.8,0,IF(0&lt;1,Sheet3!L561,1))*IF(G3462&lt;3,0.12 - O3462,0.01) *U3462</f>
        <v>0</v>
      </c>
      <c r="W3462" s="52">
        <f t="shared" si="956"/>
        <v>0</v>
      </c>
      <c r="X3462" s="53">
        <f t="shared" si="957"/>
        <v>0</v>
      </c>
      <c r="Y3462" s="53">
        <f t="shared" si="958"/>
        <v>0</v>
      </c>
      <c r="Z3462" s="54">
        <f t="shared" si="948"/>
        <v>0</v>
      </c>
      <c r="AA3462" s="54">
        <f t="shared" si="959"/>
        <v>0</v>
      </c>
      <c r="AB3462" s="55">
        <f t="shared" ref="AB3462:AB3479" si="962">IF(R3462=0,0,0)</f>
        <v>0</v>
      </c>
      <c r="AC3462" s="55">
        <f t="shared" si="960"/>
        <v>0</v>
      </c>
      <c r="AD3462" s="56">
        <f t="shared" si="961"/>
        <v>25323.100000000002</v>
      </c>
    </row>
    <row r="3463" spans="3:30">
      <c r="C3463" s="43" t="s">
        <v>6428</v>
      </c>
      <c r="D3463" s="44" t="s">
        <v>6429</v>
      </c>
      <c r="E3463" s="44"/>
      <c r="F3463" s="45">
        <v>41968.615520833329</v>
      </c>
      <c r="G3463" s="46">
        <v>46</v>
      </c>
      <c r="H3463" s="47">
        <v>43372</v>
      </c>
      <c r="I3463" s="47">
        <v>43406</v>
      </c>
      <c r="J3463" s="46">
        <v>2967100</v>
      </c>
      <c r="K3463" s="46">
        <v>0</v>
      </c>
      <c r="L3463" s="46">
        <v>0</v>
      </c>
      <c r="M3463" s="46">
        <f t="shared" si="950"/>
        <v>2967100</v>
      </c>
      <c r="N3463" s="46">
        <v>2967100</v>
      </c>
      <c r="O3463" s="48">
        <f t="shared" si="951"/>
        <v>0</v>
      </c>
      <c r="P3463" s="46">
        <v>0</v>
      </c>
      <c r="Q3463" s="46">
        <v>2967100</v>
      </c>
      <c r="R3463" s="49">
        <f t="shared" si="952"/>
        <v>1</v>
      </c>
      <c r="S3463" s="50">
        <f t="shared" si="953"/>
        <v>0.01</v>
      </c>
      <c r="T3463" s="49">
        <f t="shared" si="954"/>
        <v>29671</v>
      </c>
      <c r="U3463" s="51">
        <f t="shared" si="955"/>
        <v>0</v>
      </c>
      <c r="V3463" s="52">
        <f>IF(0&lt;0.8,0,IF(0&lt;1,Sheet3!L561,1))*IF(G3463&lt;3,0.12 - O3463,0.01) *U3463</f>
        <v>0</v>
      </c>
      <c r="W3463" s="52">
        <f t="shared" si="956"/>
        <v>0</v>
      </c>
      <c r="X3463" s="53">
        <f t="shared" si="957"/>
        <v>0</v>
      </c>
      <c r="Y3463" s="53">
        <f t="shared" si="958"/>
        <v>0</v>
      </c>
      <c r="Z3463" s="54">
        <f t="shared" si="948"/>
        <v>0</v>
      </c>
      <c r="AA3463" s="54">
        <f t="shared" si="959"/>
        <v>0</v>
      </c>
      <c r="AB3463" s="55">
        <f t="shared" si="962"/>
        <v>0</v>
      </c>
      <c r="AC3463" s="55">
        <f t="shared" si="960"/>
        <v>0</v>
      </c>
      <c r="AD3463" s="56">
        <f t="shared" si="961"/>
        <v>29671</v>
      </c>
    </row>
    <row r="3464" spans="3:30">
      <c r="C3464" s="43" t="s">
        <v>6430</v>
      </c>
      <c r="D3464" s="44" t="s">
        <v>6431</v>
      </c>
      <c r="E3464" s="44"/>
      <c r="F3464" s="45">
        <v>41999.582175925927</v>
      </c>
      <c r="G3464" s="46">
        <v>45</v>
      </c>
      <c r="H3464" s="47">
        <v>43389</v>
      </c>
      <c r="I3464" s="47">
        <v>43447</v>
      </c>
      <c r="J3464" s="46">
        <v>2115672</v>
      </c>
      <c r="K3464" s="46">
        <v>0</v>
      </c>
      <c r="L3464" s="46">
        <v>0</v>
      </c>
      <c r="M3464" s="46">
        <f t="shared" si="950"/>
        <v>2115672</v>
      </c>
      <c r="N3464" s="46">
        <v>2120114</v>
      </c>
      <c r="O3464" s="48">
        <f t="shared" si="951"/>
        <v>2.095170354047049E-3</v>
      </c>
      <c r="P3464" s="46">
        <v>0</v>
      </c>
      <c r="Q3464" s="46">
        <v>2115672</v>
      </c>
      <c r="R3464" s="49">
        <f t="shared" si="952"/>
        <v>1</v>
      </c>
      <c r="S3464" s="50">
        <f t="shared" si="953"/>
        <v>0.01</v>
      </c>
      <c r="T3464" s="49">
        <f t="shared" si="954"/>
        <v>21156.720000000001</v>
      </c>
      <c r="U3464" s="51">
        <f t="shared" si="955"/>
        <v>0</v>
      </c>
      <c r="V3464" s="52">
        <f>IF(0&lt;0.8,0,IF(0&lt;1,Sheet3!L561,1))*IF(G3464&lt;3,0.12 - O3464,0.01) *U3464</f>
        <v>0</v>
      </c>
      <c r="W3464" s="52">
        <f t="shared" si="956"/>
        <v>0</v>
      </c>
      <c r="X3464" s="53">
        <f t="shared" si="957"/>
        <v>0</v>
      </c>
      <c r="Y3464" s="53">
        <f t="shared" si="958"/>
        <v>0</v>
      </c>
      <c r="Z3464" s="54">
        <f t="shared" si="948"/>
        <v>0</v>
      </c>
      <c r="AA3464" s="54">
        <f t="shared" si="959"/>
        <v>0</v>
      </c>
      <c r="AB3464" s="55">
        <f t="shared" si="962"/>
        <v>0</v>
      </c>
      <c r="AC3464" s="55">
        <f t="shared" si="960"/>
        <v>0</v>
      </c>
      <c r="AD3464" s="56">
        <f t="shared" si="961"/>
        <v>21156.720000000001</v>
      </c>
    </row>
    <row r="3465" spans="3:30">
      <c r="C3465" s="43" t="s">
        <v>6432</v>
      </c>
      <c r="D3465" s="44" t="s">
        <v>6433</v>
      </c>
      <c r="E3465" s="44"/>
      <c r="F3465" s="45">
        <v>42019.333425925921</v>
      </c>
      <c r="G3465" s="46">
        <v>44</v>
      </c>
      <c r="H3465" s="47">
        <v>43372</v>
      </c>
      <c r="I3465" s="47">
        <v>43385</v>
      </c>
      <c r="J3465" s="46">
        <v>786300</v>
      </c>
      <c r="K3465" s="46">
        <v>0</v>
      </c>
      <c r="L3465" s="46">
        <v>0</v>
      </c>
      <c r="M3465" s="46">
        <f t="shared" si="950"/>
        <v>786300</v>
      </c>
      <c r="N3465" s="46">
        <v>786300</v>
      </c>
      <c r="O3465" s="48">
        <f t="shared" si="951"/>
        <v>0</v>
      </c>
      <c r="P3465" s="46">
        <v>0</v>
      </c>
      <c r="Q3465" s="46">
        <v>786300</v>
      </c>
      <c r="R3465" s="49">
        <f t="shared" si="952"/>
        <v>1</v>
      </c>
      <c r="S3465" s="50">
        <f t="shared" si="953"/>
        <v>0.01</v>
      </c>
      <c r="T3465" s="49">
        <f t="shared" si="954"/>
        <v>7863</v>
      </c>
      <c r="U3465" s="51">
        <f t="shared" si="955"/>
        <v>0</v>
      </c>
      <c r="V3465" s="52">
        <f>IF(0&lt;0.8,0,IF(0&lt;1,Sheet3!L561,1))*IF(G3465&lt;3,0.12 - O3465,0.01) *U3465</f>
        <v>0</v>
      </c>
      <c r="W3465" s="52">
        <f t="shared" si="956"/>
        <v>0</v>
      </c>
      <c r="X3465" s="53">
        <f t="shared" si="957"/>
        <v>0</v>
      </c>
      <c r="Y3465" s="53">
        <f t="shared" si="958"/>
        <v>0</v>
      </c>
      <c r="Z3465" s="54">
        <f t="shared" si="948"/>
        <v>0</v>
      </c>
      <c r="AA3465" s="54">
        <f t="shared" si="959"/>
        <v>0</v>
      </c>
      <c r="AB3465" s="55">
        <f t="shared" si="962"/>
        <v>0</v>
      </c>
      <c r="AC3465" s="55">
        <f t="shared" si="960"/>
        <v>0</v>
      </c>
      <c r="AD3465" s="56">
        <f t="shared" si="961"/>
        <v>7863</v>
      </c>
    </row>
    <row r="3466" spans="3:30">
      <c r="C3466" s="43" t="s">
        <v>6434</v>
      </c>
      <c r="D3466" s="44" t="s">
        <v>6435</v>
      </c>
      <c r="E3466" s="44"/>
      <c r="F3466" s="45">
        <v>42019.336157407408</v>
      </c>
      <c r="G3466" s="46">
        <v>44</v>
      </c>
      <c r="H3466" s="47">
        <v>43372</v>
      </c>
      <c r="I3466" s="47">
        <v>43399</v>
      </c>
      <c r="J3466" s="46">
        <v>1369792</v>
      </c>
      <c r="K3466" s="46">
        <v>0</v>
      </c>
      <c r="L3466" s="46">
        <v>0</v>
      </c>
      <c r="M3466" s="46">
        <f t="shared" si="950"/>
        <v>1369792</v>
      </c>
      <c r="N3466" s="46">
        <v>1369792</v>
      </c>
      <c r="O3466" s="48">
        <f t="shared" si="951"/>
        <v>0</v>
      </c>
      <c r="P3466" s="46">
        <v>0</v>
      </c>
      <c r="Q3466" s="46">
        <v>1369792</v>
      </c>
      <c r="R3466" s="49">
        <f t="shared" si="952"/>
        <v>1</v>
      </c>
      <c r="S3466" s="50">
        <f t="shared" si="953"/>
        <v>0.01</v>
      </c>
      <c r="T3466" s="49">
        <f t="shared" si="954"/>
        <v>13697.92</v>
      </c>
      <c r="U3466" s="51">
        <f t="shared" si="955"/>
        <v>0</v>
      </c>
      <c r="V3466" s="52">
        <f>IF(0&lt;0.8,0,IF(0&lt;1,Sheet3!L561,1))*IF(G3466&lt;3,0.12 - O3466,0.01) *U3466</f>
        <v>0</v>
      </c>
      <c r="W3466" s="52">
        <f t="shared" si="956"/>
        <v>0</v>
      </c>
      <c r="X3466" s="53">
        <f t="shared" si="957"/>
        <v>0</v>
      </c>
      <c r="Y3466" s="53">
        <f t="shared" si="958"/>
        <v>0</v>
      </c>
      <c r="Z3466" s="54">
        <f t="shared" si="948"/>
        <v>0</v>
      </c>
      <c r="AA3466" s="54">
        <f t="shared" si="959"/>
        <v>0</v>
      </c>
      <c r="AB3466" s="55">
        <f t="shared" si="962"/>
        <v>0</v>
      </c>
      <c r="AC3466" s="55">
        <f t="shared" si="960"/>
        <v>0</v>
      </c>
      <c r="AD3466" s="56">
        <f t="shared" si="961"/>
        <v>13697.92</v>
      </c>
    </row>
    <row r="3467" spans="3:30">
      <c r="C3467" s="43" t="s">
        <v>6436</v>
      </c>
      <c r="D3467" s="44" t="s">
        <v>6437</v>
      </c>
      <c r="E3467" s="44"/>
      <c r="F3467" s="45">
        <v>42094.32907407407</v>
      </c>
      <c r="G3467" s="46">
        <v>42</v>
      </c>
      <c r="H3467" s="47">
        <v>43392</v>
      </c>
      <c r="I3467" s="47">
        <v>43425</v>
      </c>
      <c r="J3467" s="46">
        <v>1298293</v>
      </c>
      <c r="K3467" s="46">
        <v>0</v>
      </c>
      <c r="L3467" s="46">
        <v>0</v>
      </c>
      <c r="M3467" s="46">
        <f t="shared" si="950"/>
        <v>1298293</v>
      </c>
      <c r="N3467" s="46">
        <v>1435536</v>
      </c>
      <c r="O3467" s="48">
        <f t="shared" si="951"/>
        <v>9.5604011323993321E-2</v>
      </c>
      <c r="P3467" s="46">
        <v>0</v>
      </c>
      <c r="Q3467" s="46">
        <v>1298293</v>
      </c>
      <c r="R3467" s="49">
        <f t="shared" si="952"/>
        <v>1</v>
      </c>
      <c r="S3467" s="50">
        <f t="shared" si="953"/>
        <v>0.01</v>
      </c>
      <c r="T3467" s="49">
        <f t="shared" si="954"/>
        <v>12982.93</v>
      </c>
      <c r="U3467" s="51">
        <f t="shared" si="955"/>
        <v>0</v>
      </c>
      <c r="V3467" s="52">
        <f>IF(0&lt;0.8,0,IF(0&lt;1,Sheet3!L561,1))*IF(G3467&lt;3,0.12 - O3467,0.01) *U3467</f>
        <v>0</v>
      </c>
      <c r="W3467" s="52">
        <f t="shared" si="956"/>
        <v>0</v>
      </c>
      <c r="X3467" s="53">
        <f t="shared" si="957"/>
        <v>0</v>
      </c>
      <c r="Y3467" s="53">
        <f t="shared" si="958"/>
        <v>0</v>
      </c>
      <c r="Z3467" s="54">
        <f t="shared" si="948"/>
        <v>0</v>
      </c>
      <c r="AA3467" s="54">
        <f t="shared" si="959"/>
        <v>0</v>
      </c>
      <c r="AB3467" s="55">
        <f t="shared" si="962"/>
        <v>0</v>
      </c>
      <c r="AC3467" s="55">
        <f t="shared" si="960"/>
        <v>0</v>
      </c>
      <c r="AD3467" s="56">
        <f t="shared" si="961"/>
        <v>12982.93</v>
      </c>
    </row>
    <row r="3468" spans="3:30">
      <c r="C3468" s="43" t="s">
        <v>6438</v>
      </c>
      <c r="D3468" s="44" t="s">
        <v>6439</v>
      </c>
      <c r="E3468" s="44"/>
      <c r="F3468" s="45">
        <v>42107.379004629627</v>
      </c>
      <c r="G3468" s="46">
        <v>41</v>
      </c>
      <c r="H3468" s="47">
        <v>43396</v>
      </c>
      <c r="I3468" s="47">
        <v>43399</v>
      </c>
      <c r="J3468" s="46">
        <v>253870</v>
      </c>
      <c r="K3468" s="46">
        <v>0</v>
      </c>
      <c r="L3468" s="46">
        <v>0</v>
      </c>
      <c r="M3468" s="46">
        <f t="shared" si="950"/>
        <v>253870</v>
      </c>
      <c r="N3468" s="46">
        <v>253870</v>
      </c>
      <c r="O3468" s="48">
        <f t="shared" si="951"/>
        <v>0</v>
      </c>
      <c r="P3468" s="46">
        <v>0</v>
      </c>
      <c r="Q3468" s="46">
        <v>328340</v>
      </c>
      <c r="R3468" s="49">
        <f t="shared" si="952"/>
        <v>1</v>
      </c>
      <c r="S3468" s="50">
        <f t="shared" si="953"/>
        <v>0.01</v>
      </c>
      <c r="T3468" s="49">
        <f t="shared" si="954"/>
        <v>2538.7000000000003</v>
      </c>
      <c r="U3468" s="51">
        <f t="shared" si="955"/>
        <v>0</v>
      </c>
      <c r="V3468" s="52">
        <f>IF(0&lt;0.8,0,IF(0&lt;1,Sheet3!L561,1))*IF(G3468&lt;3,0.12 - O3468,0.01) *U3468</f>
        <v>0</v>
      </c>
      <c r="W3468" s="52">
        <f t="shared" si="956"/>
        <v>0</v>
      </c>
      <c r="X3468" s="53">
        <f t="shared" si="957"/>
        <v>0</v>
      </c>
      <c r="Y3468" s="53">
        <f t="shared" si="958"/>
        <v>0</v>
      </c>
      <c r="Z3468" s="54">
        <f t="shared" si="948"/>
        <v>0</v>
      </c>
      <c r="AA3468" s="54">
        <f t="shared" si="959"/>
        <v>0</v>
      </c>
      <c r="AB3468" s="55">
        <f t="shared" si="962"/>
        <v>0</v>
      </c>
      <c r="AC3468" s="55">
        <f t="shared" si="960"/>
        <v>0</v>
      </c>
      <c r="AD3468" s="56">
        <f t="shared" si="961"/>
        <v>2538.7000000000003</v>
      </c>
    </row>
    <row r="3469" spans="3:30">
      <c r="C3469" s="43" t="s">
        <v>6440</v>
      </c>
      <c r="D3469" s="44" t="s">
        <v>6441</v>
      </c>
      <c r="E3469" s="44"/>
      <c r="F3469" s="45">
        <v>42133.619791666664</v>
      </c>
      <c r="G3469" s="46">
        <v>40</v>
      </c>
      <c r="H3469" s="47">
        <v>43391</v>
      </c>
      <c r="I3469" s="47">
        <v>43438</v>
      </c>
      <c r="J3469" s="46">
        <v>1420477</v>
      </c>
      <c r="K3469" s="46">
        <v>0</v>
      </c>
      <c r="L3469" s="46">
        <v>0</v>
      </c>
      <c r="M3469" s="46">
        <f t="shared" si="950"/>
        <v>1420477</v>
      </c>
      <c r="N3469" s="46">
        <v>1420477</v>
      </c>
      <c r="O3469" s="48">
        <f t="shared" si="951"/>
        <v>0</v>
      </c>
      <c r="P3469" s="46">
        <v>0</v>
      </c>
      <c r="Q3469" s="46">
        <v>1420477</v>
      </c>
      <c r="R3469" s="49">
        <f t="shared" si="952"/>
        <v>1</v>
      </c>
      <c r="S3469" s="50">
        <f t="shared" si="953"/>
        <v>0.01</v>
      </c>
      <c r="T3469" s="49">
        <f t="shared" si="954"/>
        <v>14204.77</v>
      </c>
      <c r="U3469" s="51">
        <f t="shared" si="955"/>
        <v>0</v>
      </c>
      <c r="V3469" s="52">
        <f>IF(0&lt;0.8,0,IF(0&lt;1,Sheet3!L561,1))*IF(G3469&lt;3,0.12 - O3469,0.01) *U3469</f>
        <v>0</v>
      </c>
      <c r="W3469" s="52">
        <f t="shared" si="956"/>
        <v>0</v>
      </c>
      <c r="X3469" s="53">
        <f t="shared" si="957"/>
        <v>0</v>
      </c>
      <c r="Y3469" s="53">
        <f t="shared" si="958"/>
        <v>0</v>
      </c>
      <c r="Z3469" s="54">
        <f t="shared" si="948"/>
        <v>0</v>
      </c>
      <c r="AA3469" s="54">
        <f t="shared" si="959"/>
        <v>0</v>
      </c>
      <c r="AB3469" s="55">
        <f t="shared" si="962"/>
        <v>0</v>
      </c>
      <c r="AC3469" s="55">
        <f t="shared" si="960"/>
        <v>0</v>
      </c>
      <c r="AD3469" s="56">
        <f t="shared" si="961"/>
        <v>14204.77</v>
      </c>
    </row>
    <row r="3470" spans="3:30">
      <c r="C3470" s="43" t="s">
        <v>6442</v>
      </c>
      <c r="D3470" s="44" t="s">
        <v>6443</v>
      </c>
      <c r="E3470" s="44"/>
      <c r="F3470" s="45">
        <v>42188.643518518518</v>
      </c>
      <c r="G3470" s="46">
        <v>38</v>
      </c>
      <c r="H3470" s="47">
        <v>43372</v>
      </c>
      <c r="I3470" s="47">
        <v>43392</v>
      </c>
      <c r="J3470" s="46">
        <v>908802</v>
      </c>
      <c r="K3470" s="46">
        <v>0</v>
      </c>
      <c r="L3470" s="46">
        <v>0</v>
      </c>
      <c r="M3470" s="46">
        <f t="shared" si="950"/>
        <v>908802</v>
      </c>
      <c r="N3470" s="46">
        <v>908802</v>
      </c>
      <c r="O3470" s="48">
        <f t="shared" si="951"/>
        <v>0</v>
      </c>
      <c r="P3470" s="46">
        <v>0</v>
      </c>
      <c r="Q3470" s="46">
        <v>908802</v>
      </c>
      <c r="R3470" s="49">
        <f t="shared" si="952"/>
        <v>1</v>
      </c>
      <c r="S3470" s="50">
        <f t="shared" si="953"/>
        <v>0.01</v>
      </c>
      <c r="T3470" s="49">
        <f t="shared" si="954"/>
        <v>9088.02</v>
      </c>
      <c r="U3470" s="51">
        <f t="shared" si="955"/>
        <v>0</v>
      </c>
      <c r="V3470" s="52">
        <f>IF(0&lt;0.8,0,IF(0&lt;1,Sheet3!L561,1))*IF(G3470&lt;3,0.12 - O3470,0.01) *U3470</f>
        <v>0</v>
      </c>
      <c r="W3470" s="52">
        <f t="shared" si="956"/>
        <v>0</v>
      </c>
      <c r="X3470" s="53">
        <f t="shared" si="957"/>
        <v>0</v>
      </c>
      <c r="Y3470" s="53">
        <f t="shared" si="958"/>
        <v>0</v>
      </c>
      <c r="Z3470" s="54">
        <f t="shared" si="948"/>
        <v>0</v>
      </c>
      <c r="AA3470" s="54">
        <f t="shared" si="959"/>
        <v>0</v>
      </c>
      <c r="AB3470" s="55">
        <f t="shared" si="962"/>
        <v>0</v>
      </c>
      <c r="AC3470" s="55">
        <f t="shared" si="960"/>
        <v>0</v>
      </c>
      <c r="AD3470" s="56">
        <f t="shared" si="961"/>
        <v>9088.02</v>
      </c>
    </row>
    <row r="3471" spans="3:30">
      <c r="C3471" s="43" t="s">
        <v>6444</v>
      </c>
      <c r="D3471" s="44" t="s">
        <v>6445</v>
      </c>
      <c r="E3471" s="44"/>
      <c r="F3471" s="45">
        <v>42202.433368055557</v>
      </c>
      <c r="G3471" s="46">
        <v>38</v>
      </c>
      <c r="H3471" s="47">
        <v>43372</v>
      </c>
      <c r="I3471" s="47">
        <v>43383</v>
      </c>
      <c r="J3471" s="46">
        <v>3617137</v>
      </c>
      <c r="K3471" s="46">
        <v>0</v>
      </c>
      <c r="L3471" s="46">
        <v>0</v>
      </c>
      <c r="M3471" s="46">
        <f t="shared" si="950"/>
        <v>3617137</v>
      </c>
      <c r="N3471" s="46">
        <v>3617137</v>
      </c>
      <c r="O3471" s="48">
        <f t="shared" si="951"/>
        <v>0</v>
      </c>
      <c r="P3471" s="46">
        <v>0</v>
      </c>
      <c r="Q3471" s="46">
        <v>3617137</v>
      </c>
      <c r="R3471" s="49">
        <f t="shared" si="952"/>
        <v>1</v>
      </c>
      <c r="S3471" s="50">
        <f t="shared" si="953"/>
        <v>0.01</v>
      </c>
      <c r="T3471" s="49">
        <f t="shared" si="954"/>
        <v>36171.370000000003</v>
      </c>
      <c r="U3471" s="51">
        <f t="shared" si="955"/>
        <v>0</v>
      </c>
      <c r="V3471" s="52">
        <f>IF(0&lt;0.8,0,IF(0&lt;1,Sheet3!L561,1))*IF(G3471&lt;3,0.12 - O3471,0.01) *U3471</f>
        <v>0</v>
      </c>
      <c r="W3471" s="52">
        <f t="shared" si="956"/>
        <v>0</v>
      </c>
      <c r="X3471" s="53">
        <f t="shared" si="957"/>
        <v>0</v>
      </c>
      <c r="Y3471" s="53">
        <f t="shared" si="958"/>
        <v>0</v>
      </c>
      <c r="Z3471" s="54">
        <f t="shared" si="948"/>
        <v>0</v>
      </c>
      <c r="AA3471" s="54">
        <f t="shared" si="959"/>
        <v>0</v>
      </c>
      <c r="AB3471" s="55">
        <f t="shared" si="962"/>
        <v>0</v>
      </c>
      <c r="AC3471" s="55">
        <f t="shared" si="960"/>
        <v>0</v>
      </c>
      <c r="AD3471" s="56">
        <f t="shared" si="961"/>
        <v>36171.370000000003</v>
      </c>
    </row>
    <row r="3472" spans="3:30">
      <c r="C3472" s="43" t="s">
        <v>6446</v>
      </c>
      <c r="D3472" s="44" t="s">
        <v>6447</v>
      </c>
      <c r="E3472" s="44"/>
      <c r="F3472" s="45">
        <v>42273.624965277777</v>
      </c>
      <c r="G3472" s="46">
        <v>36</v>
      </c>
      <c r="H3472" s="47">
        <v>43372</v>
      </c>
      <c r="I3472" s="47">
        <v>43417</v>
      </c>
      <c r="J3472" s="46">
        <v>5193374</v>
      </c>
      <c r="K3472" s="46">
        <v>0</v>
      </c>
      <c r="L3472" s="46">
        <v>0</v>
      </c>
      <c r="M3472" s="46">
        <f t="shared" si="950"/>
        <v>5193374</v>
      </c>
      <c r="N3472" s="46">
        <v>5212547</v>
      </c>
      <c r="O3472" s="48">
        <f t="shared" si="951"/>
        <v>3.6782402153879845E-3</v>
      </c>
      <c r="P3472" s="46">
        <v>0</v>
      </c>
      <c r="Q3472" s="46">
        <v>5193374</v>
      </c>
      <c r="R3472" s="49">
        <f t="shared" si="952"/>
        <v>1</v>
      </c>
      <c r="S3472" s="50">
        <f t="shared" si="953"/>
        <v>0.01</v>
      </c>
      <c r="T3472" s="49">
        <f t="shared" si="954"/>
        <v>51933.74</v>
      </c>
      <c r="U3472" s="51">
        <f t="shared" si="955"/>
        <v>0</v>
      </c>
      <c r="V3472" s="52">
        <f>IF(0&lt;0.8,0,IF(0&lt;1,Sheet3!L561,1))*IF(G3472&lt;3,0.12 - O3472,0.01) *U3472</f>
        <v>0</v>
      </c>
      <c r="W3472" s="52">
        <f t="shared" si="956"/>
        <v>0</v>
      </c>
      <c r="X3472" s="53">
        <f t="shared" si="957"/>
        <v>0</v>
      </c>
      <c r="Y3472" s="53">
        <f t="shared" si="958"/>
        <v>0</v>
      </c>
      <c r="Z3472" s="54">
        <f t="shared" si="948"/>
        <v>0</v>
      </c>
      <c r="AA3472" s="54">
        <f t="shared" si="959"/>
        <v>0</v>
      </c>
      <c r="AB3472" s="55">
        <f t="shared" si="962"/>
        <v>0</v>
      </c>
      <c r="AC3472" s="55">
        <f t="shared" si="960"/>
        <v>0</v>
      </c>
      <c r="AD3472" s="56">
        <f t="shared" si="961"/>
        <v>51933.74</v>
      </c>
    </row>
    <row r="3473" spans="3:30">
      <c r="C3473" s="43" t="s">
        <v>6448</v>
      </c>
      <c r="D3473" s="44" t="s">
        <v>6449</v>
      </c>
      <c r="E3473" s="44"/>
      <c r="F3473" s="45">
        <v>42289.671921296293</v>
      </c>
      <c r="G3473" s="46">
        <v>35</v>
      </c>
      <c r="H3473" s="47">
        <v>43372</v>
      </c>
      <c r="I3473" s="47">
        <v>43409</v>
      </c>
      <c r="J3473" s="46">
        <v>401929</v>
      </c>
      <c r="K3473" s="46">
        <v>0</v>
      </c>
      <c r="L3473" s="46">
        <v>0</v>
      </c>
      <c r="M3473" s="46">
        <f t="shared" si="950"/>
        <v>401929</v>
      </c>
      <c r="N3473" s="46">
        <v>503296</v>
      </c>
      <c r="O3473" s="48">
        <f t="shared" si="951"/>
        <v>0.2014063294760936</v>
      </c>
      <c r="P3473" s="46">
        <v>0</v>
      </c>
      <c r="Q3473" s="46">
        <v>401929</v>
      </c>
      <c r="R3473" s="49">
        <f t="shared" si="952"/>
        <v>1</v>
      </c>
      <c r="S3473" s="50">
        <f t="shared" si="953"/>
        <v>0.01</v>
      </c>
      <c r="T3473" s="49">
        <f t="shared" si="954"/>
        <v>4019.29</v>
      </c>
      <c r="U3473" s="51">
        <f t="shared" si="955"/>
        <v>0</v>
      </c>
      <c r="V3473" s="52">
        <f>IF(0&lt;0.8,0,IF(0&lt;1,Sheet3!L561,1))*IF(G3473&lt;3,0.12 - O3473,0.01) *U3473</f>
        <v>0</v>
      </c>
      <c r="W3473" s="52">
        <f t="shared" si="956"/>
        <v>0</v>
      </c>
      <c r="X3473" s="53">
        <f t="shared" si="957"/>
        <v>0</v>
      </c>
      <c r="Y3473" s="53">
        <f t="shared" si="958"/>
        <v>0</v>
      </c>
      <c r="Z3473" s="54">
        <f t="shared" si="948"/>
        <v>0</v>
      </c>
      <c r="AA3473" s="54">
        <f t="shared" si="959"/>
        <v>0</v>
      </c>
      <c r="AB3473" s="55">
        <f t="shared" si="962"/>
        <v>0</v>
      </c>
      <c r="AC3473" s="55">
        <f t="shared" si="960"/>
        <v>0</v>
      </c>
      <c r="AD3473" s="56">
        <f t="shared" si="961"/>
        <v>4019.29</v>
      </c>
    </row>
    <row r="3474" spans="3:30">
      <c r="C3474" s="43" t="s">
        <v>6450</v>
      </c>
      <c r="D3474" s="44" t="s">
        <v>6451</v>
      </c>
      <c r="E3474" s="44"/>
      <c r="F3474" s="45">
        <v>42332.372743055552</v>
      </c>
      <c r="G3474" s="46">
        <v>34</v>
      </c>
      <c r="H3474" s="47">
        <v>43372</v>
      </c>
      <c r="I3474" s="47">
        <v>43465</v>
      </c>
      <c r="J3474" s="46">
        <v>620040</v>
      </c>
      <c r="K3474" s="46">
        <v>0</v>
      </c>
      <c r="L3474" s="46">
        <v>0</v>
      </c>
      <c r="M3474" s="46">
        <f t="shared" si="950"/>
        <v>620040</v>
      </c>
      <c r="N3474" s="46">
        <v>636980</v>
      </c>
      <c r="O3474" s="48">
        <f t="shared" si="951"/>
        <v>2.6594241577443611E-2</v>
      </c>
      <c r="P3474" s="46">
        <v>0</v>
      </c>
      <c r="Q3474" s="46">
        <v>620040</v>
      </c>
      <c r="R3474" s="49">
        <f t="shared" si="952"/>
        <v>1</v>
      </c>
      <c r="S3474" s="50">
        <f t="shared" si="953"/>
        <v>0.01</v>
      </c>
      <c r="T3474" s="49">
        <f t="shared" si="954"/>
        <v>6200.4000000000005</v>
      </c>
      <c r="U3474" s="51">
        <f t="shared" si="955"/>
        <v>0</v>
      </c>
      <c r="V3474" s="52">
        <f>IF(0&lt;0.8,0,IF(0&lt;1,Sheet3!L561,1))*IF(G3474&lt;3,0.12 - O3474,0.01) *U3474</f>
        <v>0</v>
      </c>
      <c r="W3474" s="52">
        <f t="shared" si="956"/>
        <v>0</v>
      </c>
      <c r="X3474" s="53">
        <f t="shared" si="957"/>
        <v>0</v>
      </c>
      <c r="Y3474" s="53">
        <f t="shared" si="958"/>
        <v>0</v>
      </c>
      <c r="Z3474" s="54">
        <f t="shared" si="948"/>
        <v>0</v>
      </c>
      <c r="AA3474" s="54">
        <f t="shared" si="959"/>
        <v>0</v>
      </c>
      <c r="AB3474" s="55">
        <f t="shared" si="962"/>
        <v>0</v>
      </c>
      <c r="AC3474" s="55">
        <f t="shared" si="960"/>
        <v>0</v>
      </c>
      <c r="AD3474" s="56">
        <f t="shared" si="961"/>
        <v>6200.4000000000005</v>
      </c>
    </row>
    <row r="3475" spans="3:30">
      <c r="C3475" s="43" t="s">
        <v>6452</v>
      </c>
      <c r="D3475" s="44" t="s">
        <v>6453</v>
      </c>
      <c r="E3475" s="44"/>
      <c r="F3475" s="45">
        <v>42338.451041666667</v>
      </c>
      <c r="G3475" s="46">
        <v>34</v>
      </c>
      <c r="H3475" s="47">
        <v>43372</v>
      </c>
      <c r="I3475" s="47">
        <v>43383</v>
      </c>
      <c r="J3475" s="46">
        <v>517000</v>
      </c>
      <c r="K3475" s="46">
        <v>0</v>
      </c>
      <c r="L3475" s="46">
        <v>0</v>
      </c>
      <c r="M3475" s="46">
        <f t="shared" si="950"/>
        <v>517000</v>
      </c>
      <c r="N3475" s="46">
        <v>517000</v>
      </c>
      <c r="O3475" s="48">
        <f t="shared" si="951"/>
        <v>0</v>
      </c>
      <c r="P3475" s="46">
        <v>0</v>
      </c>
      <c r="Q3475" s="46">
        <v>517000</v>
      </c>
      <c r="R3475" s="49">
        <f t="shared" si="952"/>
        <v>1</v>
      </c>
      <c r="S3475" s="50">
        <f t="shared" si="953"/>
        <v>0.01</v>
      </c>
      <c r="T3475" s="49">
        <f t="shared" si="954"/>
        <v>5170</v>
      </c>
      <c r="U3475" s="51">
        <f t="shared" si="955"/>
        <v>0</v>
      </c>
      <c r="V3475" s="52">
        <f>IF(0&lt;0.8,0,IF(0&lt;1,Sheet3!L561,1))*IF(G3475&lt;3,0.12 - O3475,0.01) *U3475</f>
        <v>0</v>
      </c>
      <c r="W3475" s="52">
        <f t="shared" si="956"/>
        <v>0</v>
      </c>
      <c r="X3475" s="53">
        <f t="shared" si="957"/>
        <v>0</v>
      </c>
      <c r="Y3475" s="53">
        <f t="shared" si="958"/>
        <v>0</v>
      </c>
      <c r="Z3475" s="54">
        <f t="shared" si="948"/>
        <v>0</v>
      </c>
      <c r="AA3475" s="54">
        <f t="shared" si="959"/>
        <v>0</v>
      </c>
      <c r="AB3475" s="55">
        <f t="shared" si="962"/>
        <v>0</v>
      </c>
      <c r="AC3475" s="55">
        <f t="shared" si="960"/>
        <v>0</v>
      </c>
      <c r="AD3475" s="56">
        <f t="shared" si="961"/>
        <v>5170</v>
      </c>
    </row>
    <row r="3476" spans="3:30">
      <c r="C3476" s="43" t="s">
        <v>6454</v>
      </c>
      <c r="D3476" s="44" t="s">
        <v>6455</v>
      </c>
      <c r="E3476" s="44"/>
      <c r="F3476" s="45">
        <v>42346.418425925927</v>
      </c>
      <c r="G3476" s="46">
        <v>33</v>
      </c>
      <c r="H3476" s="47">
        <v>43372</v>
      </c>
      <c r="I3476" s="47">
        <v>43397</v>
      </c>
      <c r="J3476" s="46">
        <v>3006016</v>
      </c>
      <c r="K3476" s="46">
        <v>0</v>
      </c>
      <c r="L3476" s="46">
        <v>0</v>
      </c>
      <c r="M3476" s="46">
        <f t="shared" si="950"/>
        <v>3006016</v>
      </c>
      <c r="N3476" s="46">
        <v>3439635</v>
      </c>
      <c r="O3476" s="48">
        <f t="shared" si="951"/>
        <v>0.12606541101017987</v>
      </c>
      <c r="P3476" s="46">
        <v>0</v>
      </c>
      <c r="Q3476" s="46">
        <v>3006016</v>
      </c>
      <c r="R3476" s="49">
        <f t="shared" si="952"/>
        <v>1</v>
      </c>
      <c r="S3476" s="50">
        <f t="shared" si="953"/>
        <v>0.01</v>
      </c>
      <c r="T3476" s="49">
        <f t="shared" si="954"/>
        <v>30060.16</v>
      </c>
      <c r="U3476" s="51">
        <f t="shared" si="955"/>
        <v>0</v>
      </c>
      <c r="V3476" s="52">
        <f>IF(0&lt;0.8,0,IF(0&lt;1,Sheet3!L561,1))*IF(G3476&lt;3,0.12 - O3476,0.01) *U3476</f>
        <v>0</v>
      </c>
      <c r="W3476" s="52">
        <f t="shared" si="956"/>
        <v>0</v>
      </c>
      <c r="X3476" s="53">
        <f t="shared" si="957"/>
        <v>0</v>
      </c>
      <c r="Y3476" s="53">
        <f t="shared" si="958"/>
        <v>0</v>
      </c>
      <c r="Z3476" s="54">
        <f t="shared" si="948"/>
        <v>0</v>
      </c>
      <c r="AA3476" s="54">
        <f t="shared" si="959"/>
        <v>0</v>
      </c>
      <c r="AB3476" s="55">
        <f t="shared" si="962"/>
        <v>0</v>
      </c>
      <c r="AC3476" s="55">
        <f t="shared" si="960"/>
        <v>0</v>
      </c>
      <c r="AD3476" s="56">
        <f t="shared" si="961"/>
        <v>30060.16</v>
      </c>
    </row>
    <row r="3477" spans="3:30">
      <c r="C3477" s="43" t="s">
        <v>6456</v>
      </c>
      <c r="D3477" s="44" t="s">
        <v>6457</v>
      </c>
      <c r="E3477" s="44"/>
      <c r="F3477" s="45">
        <v>42388.459675925922</v>
      </c>
      <c r="G3477" s="46">
        <v>32</v>
      </c>
      <c r="H3477" s="47">
        <v>43389</v>
      </c>
      <c r="I3477" s="47">
        <v>43399</v>
      </c>
      <c r="J3477" s="46">
        <v>113600</v>
      </c>
      <c r="K3477" s="46">
        <v>0</v>
      </c>
      <c r="L3477" s="46">
        <v>0</v>
      </c>
      <c r="M3477" s="46">
        <f t="shared" si="950"/>
        <v>113600</v>
      </c>
      <c r="N3477" s="46">
        <v>113600</v>
      </c>
      <c r="O3477" s="48">
        <f t="shared" si="951"/>
        <v>0</v>
      </c>
      <c r="P3477" s="46">
        <v>0</v>
      </c>
      <c r="Q3477" s="46">
        <v>113600</v>
      </c>
      <c r="R3477" s="49">
        <f t="shared" si="952"/>
        <v>1</v>
      </c>
      <c r="S3477" s="50">
        <f t="shared" si="953"/>
        <v>0.01</v>
      </c>
      <c r="T3477" s="49">
        <f t="shared" si="954"/>
        <v>1136</v>
      </c>
      <c r="U3477" s="51">
        <f t="shared" si="955"/>
        <v>0</v>
      </c>
      <c r="V3477" s="52">
        <f>IF(0&lt;0.8,0,IF(0&lt;1,Sheet3!L561,1))*IF(G3477&lt;3,0.12 - O3477,0.01) *U3477</f>
        <v>0</v>
      </c>
      <c r="W3477" s="52">
        <f t="shared" si="956"/>
        <v>0</v>
      </c>
      <c r="X3477" s="53">
        <f t="shared" si="957"/>
        <v>0</v>
      </c>
      <c r="Y3477" s="53">
        <f t="shared" si="958"/>
        <v>0</v>
      </c>
      <c r="Z3477" s="54">
        <f t="shared" si="948"/>
        <v>0</v>
      </c>
      <c r="AA3477" s="54">
        <f t="shared" si="959"/>
        <v>0</v>
      </c>
      <c r="AB3477" s="55">
        <f t="shared" si="962"/>
        <v>0</v>
      </c>
      <c r="AC3477" s="55">
        <f t="shared" si="960"/>
        <v>0</v>
      </c>
      <c r="AD3477" s="56">
        <f t="shared" si="961"/>
        <v>1136</v>
      </c>
    </row>
    <row r="3478" spans="3:30">
      <c r="C3478" s="43" t="s">
        <v>6458</v>
      </c>
      <c r="D3478" s="44" t="s">
        <v>6459</v>
      </c>
      <c r="E3478" s="44"/>
      <c r="F3478" s="45">
        <v>42426.577476851853</v>
      </c>
      <c r="G3478" s="46">
        <v>31</v>
      </c>
      <c r="H3478" s="47">
        <v>43372</v>
      </c>
      <c r="I3478" s="47">
        <v>43417</v>
      </c>
      <c r="J3478" s="46">
        <v>127200</v>
      </c>
      <c r="K3478" s="46">
        <v>0</v>
      </c>
      <c r="L3478" s="46">
        <v>0</v>
      </c>
      <c r="M3478" s="46">
        <f t="shared" si="950"/>
        <v>127200</v>
      </c>
      <c r="N3478" s="46">
        <v>127200</v>
      </c>
      <c r="O3478" s="48">
        <f t="shared" si="951"/>
        <v>0</v>
      </c>
      <c r="P3478" s="46">
        <v>0</v>
      </c>
      <c r="Q3478" s="46">
        <v>127200</v>
      </c>
      <c r="R3478" s="49">
        <f t="shared" si="952"/>
        <v>1</v>
      </c>
      <c r="S3478" s="50">
        <f t="shared" si="953"/>
        <v>0.01</v>
      </c>
      <c r="T3478" s="49">
        <f t="shared" si="954"/>
        <v>1272</v>
      </c>
      <c r="U3478" s="51">
        <f t="shared" si="955"/>
        <v>0</v>
      </c>
      <c r="V3478" s="52">
        <f>IF(0&lt;0.8,0,IF(0&lt;1,Sheet3!L561,1))*IF(G3478&lt;3,0.12 - O3478,0.01) *U3478</f>
        <v>0</v>
      </c>
      <c r="W3478" s="52">
        <f t="shared" si="956"/>
        <v>0</v>
      </c>
      <c r="X3478" s="53">
        <f t="shared" si="957"/>
        <v>0</v>
      </c>
      <c r="Y3478" s="53">
        <f t="shared" si="958"/>
        <v>0</v>
      </c>
      <c r="Z3478" s="54">
        <f t="shared" si="948"/>
        <v>0</v>
      </c>
      <c r="AA3478" s="54">
        <f t="shared" si="959"/>
        <v>0</v>
      </c>
      <c r="AB3478" s="55">
        <f t="shared" si="962"/>
        <v>0</v>
      </c>
      <c r="AC3478" s="55">
        <f t="shared" si="960"/>
        <v>0</v>
      </c>
      <c r="AD3478" s="56">
        <f t="shared" si="961"/>
        <v>1272</v>
      </c>
    </row>
    <row r="3479" spans="3:30">
      <c r="C3479" s="43" t="s">
        <v>6460</v>
      </c>
      <c r="D3479" s="44" t="s">
        <v>6461</v>
      </c>
      <c r="E3479" s="44"/>
      <c r="F3479" s="45">
        <v>42450.626273148147</v>
      </c>
      <c r="G3479" s="46">
        <v>30</v>
      </c>
      <c r="H3479" s="47">
        <v>43404</v>
      </c>
      <c r="I3479" s="47">
        <v>43411</v>
      </c>
      <c r="J3479" s="46">
        <v>3039955</v>
      </c>
      <c r="K3479" s="46">
        <v>273601</v>
      </c>
      <c r="L3479" s="46">
        <v>0</v>
      </c>
      <c r="M3479" s="46">
        <f t="shared" si="950"/>
        <v>2766354</v>
      </c>
      <c r="N3479" s="46">
        <v>3755777</v>
      </c>
      <c r="O3479" s="48">
        <f t="shared" si="951"/>
        <v>0.26344029477788489</v>
      </c>
      <c r="P3479" s="46">
        <v>0</v>
      </c>
      <c r="Q3479" s="46">
        <v>3039955</v>
      </c>
      <c r="R3479" s="49">
        <f t="shared" si="952"/>
        <v>1</v>
      </c>
      <c r="S3479" s="50">
        <f t="shared" si="953"/>
        <v>0.01</v>
      </c>
      <c r="T3479" s="49">
        <f t="shared" si="954"/>
        <v>27663.54</v>
      </c>
      <c r="U3479" s="51">
        <f t="shared" si="955"/>
        <v>0</v>
      </c>
      <c r="V3479" s="52">
        <f>IF(0&lt;0.8,0,IF(0&lt;1,Sheet3!L561,1))*IF(G3479&lt;3,0.12 - O3479,0.01) *U3479</f>
        <v>0</v>
      </c>
      <c r="W3479" s="52">
        <f t="shared" si="956"/>
        <v>0</v>
      </c>
      <c r="X3479" s="53">
        <f t="shared" si="957"/>
        <v>0</v>
      </c>
      <c r="Y3479" s="53">
        <f t="shared" si="958"/>
        <v>0</v>
      </c>
      <c r="Z3479" s="54">
        <f t="shared" si="948"/>
        <v>0</v>
      </c>
      <c r="AA3479" s="54">
        <f t="shared" si="959"/>
        <v>0</v>
      </c>
      <c r="AB3479" s="55">
        <f t="shared" si="962"/>
        <v>0</v>
      </c>
      <c r="AC3479" s="55">
        <f t="shared" si="960"/>
        <v>0</v>
      </c>
      <c r="AD3479" s="56">
        <f t="shared" si="961"/>
        <v>27663.54</v>
      </c>
    </row>
    <row r="3480" spans="3:30">
      <c r="C3480" s="43" t="s">
        <v>6462</v>
      </c>
      <c r="D3480" s="44" t="s">
        <v>6463</v>
      </c>
      <c r="E3480" s="44"/>
      <c r="F3480" s="45">
        <v>42453.647164351853</v>
      </c>
      <c r="G3480" s="46">
        <v>30</v>
      </c>
      <c r="H3480" s="47">
        <v>43392</v>
      </c>
      <c r="I3480" s="47">
        <v>43398</v>
      </c>
      <c r="J3480" s="46">
        <v>4353274</v>
      </c>
      <c r="K3480" s="46">
        <v>0</v>
      </c>
      <c r="L3480" s="46">
        <v>0</v>
      </c>
      <c r="M3480" s="46">
        <f t="shared" si="950"/>
        <v>4353274</v>
      </c>
      <c r="N3480" s="46">
        <v>3153273</v>
      </c>
      <c r="O3480" s="48">
        <f t="shared" si="951"/>
        <v>0</v>
      </c>
      <c r="P3480" s="46">
        <v>0</v>
      </c>
      <c r="Q3480" s="46">
        <v>4353274</v>
      </c>
      <c r="R3480" s="49">
        <f t="shared" si="952"/>
        <v>1</v>
      </c>
      <c r="S3480" s="50">
        <f t="shared" si="953"/>
        <v>0.01</v>
      </c>
      <c r="T3480" s="49">
        <f t="shared" si="954"/>
        <v>43532.74</v>
      </c>
      <c r="U3480" s="51">
        <f t="shared" si="955"/>
        <v>0</v>
      </c>
      <c r="V3480" s="52">
        <f>IF(0&lt;0.8,0,IF(0&lt;1,Sheet3!L561,1))*IF(G3480&lt;3,0.12 - O3480,0.01) *U3480</f>
        <v>0</v>
      </c>
      <c r="W3480" s="52">
        <f t="shared" si="956"/>
        <v>0</v>
      </c>
      <c r="X3480" s="53">
        <f t="shared" si="957"/>
        <v>0</v>
      </c>
      <c r="Y3480" s="53">
        <f t="shared" si="958"/>
        <v>0</v>
      </c>
      <c r="Z3480" s="54">
        <f t="shared" ref="Z3480:Z3543" si="963">IF(R3480=1,0,0)</f>
        <v>0</v>
      </c>
      <c r="AA3480" s="54">
        <f t="shared" si="959"/>
        <v>0</v>
      </c>
      <c r="AB3480" s="55">
        <f>IF(R3480=0,1200000,0)</f>
        <v>0</v>
      </c>
      <c r="AC3480" s="55">
        <f t="shared" si="960"/>
        <v>0</v>
      </c>
      <c r="AD3480" s="56">
        <f t="shared" si="961"/>
        <v>43532.74</v>
      </c>
    </row>
    <row r="3481" spans="3:30">
      <c r="C3481" s="43" t="s">
        <v>6464</v>
      </c>
      <c r="D3481" s="44" t="s">
        <v>6461</v>
      </c>
      <c r="E3481" s="44"/>
      <c r="F3481" s="45">
        <v>42467.492094907408</v>
      </c>
      <c r="G3481" s="46">
        <v>29</v>
      </c>
      <c r="H3481" s="47">
        <v>43404</v>
      </c>
      <c r="I3481" s="47">
        <v>43411</v>
      </c>
      <c r="J3481" s="46">
        <v>1948422</v>
      </c>
      <c r="K3481" s="46">
        <v>175360</v>
      </c>
      <c r="L3481" s="46">
        <v>0</v>
      </c>
      <c r="M3481" s="46">
        <f t="shared" si="950"/>
        <v>1773062</v>
      </c>
      <c r="N3481" s="46">
        <v>2687413</v>
      </c>
      <c r="O3481" s="48">
        <f t="shared" si="951"/>
        <v>0.34023464201445774</v>
      </c>
      <c r="P3481" s="46">
        <v>0</v>
      </c>
      <c r="Q3481" s="46">
        <v>1948422</v>
      </c>
      <c r="R3481" s="49">
        <f t="shared" si="952"/>
        <v>1</v>
      </c>
      <c r="S3481" s="50">
        <f t="shared" si="953"/>
        <v>0.01</v>
      </c>
      <c r="T3481" s="49">
        <f t="shared" si="954"/>
        <v>17730.62</v>
      </c>
      <c r="U3481" s="51">
        <f t="shared" si="955"/>
        <v>0</v>
      </c>
      <c r="V3481" s="52">
        <f>IF(0&lt;0.8,0,IF(0&lt;1,Sheet3!L561,1))*IF(G3481&lt;3,0.12 - O3481,0.01) *U3481</f>
        <v>0</v>
      </c>
      <c r="W3481" s="52">
        <f t="shared" si="956"/>
        <v>0</v>
      </c>
      <c r="X3481" s="53">
        <f t="shared" si="957"/>
        <v>0</v>
      </c>
      <c r="Y3481" s="53">
        <f t="shared" si="958"/>
        <v>0</v>
      </c>
      <c r="Z3481" s="54">
        <f t="shared" si="963"/>
        <v>0</v>
      </c>
      <c r="AA3481" s="54">
        <f t="shared" si="959"/>
        <v>0</v>
      </c>
      <c r="AB3481" s="55">
        <f t="shared" ref="AB3481:AB3530" si="964">IF(R3481=0,0,0)</f>
        <v>0</v>
      </c>
      <c r="AC3481" s="55">
        <f t="shared" si="960"/>
        <v>0</v>
      </c>
      <c r="AD3481" s="56">
        <f t="shared" si="961"/>
        <v>17730.62</v>
      </c>
    </row>
    <row r="3482" spans="3:30">
      <c r="C3482" s="43" t="s">
        <v>6465</v>
      </c>
      <c r="D3482" s="44" t="s">
        <v>6466</v>
      </c>
      <c r="E3482" s="44"/>
      <c r="F3482" s="45">
        <v>42496.104456018518</v>
      </c>
      <c r="G3482" s="46">
        <v>28</v>
      </c>
      <c r="H3482" s="47">
        <v>43396</v>
      </c>
      <c r="I3482" s="47">
        <v>43399</v>
      </c>
      <c r="J3482" s="46">
        <v>362369</v>
      </c>
      <c r="K3482" s="46">
        <v>0</v>
      </c>
      <c r="L3482" s="46">
        <v>0</v>
      </c>
      <c r="M3482" s="46">
        <f t="shared" si="950"/>
        <v>362369</v>
      </c>
      <c r="N3482" s="46">
        <v>362369</v>
      </c>
      <c r="O3482" s="48">
        <f t="shared" si="951"/>
        <v>0</v>
      </c>
      <c r="P3482" s="46">
        <v>0</v>
      </c>
      <c r="Q3482" s="46">
        <v>362369</v>
      </c>
      <c r="R3482" s="49">
        <f t="shared" si="952"/>
        <v>1</v>
      </c>
      <c r="S3482" s="50">
        <f t="shared" si="953"/>
        <v>0.01</v>
      </c>
      <c r="T3482" s="49">
        <f t="shared" si="954"/>
        <v>3623.69</v>
      </c>
      <c r="U3482" s="51">
        <f t="shared" si="955"/>
        <v>0</v>
      </c>
      <c r="V3482" s="52">
        <f>IF(0&lt;0.8,0,IF(0&lt;1,Sheet3!L561,1))*IF(G3482&lt;3,0.12 - O3482,0.01) *U3482</f>
        <v>0</v>
      </c>
      <c r="W3482" s="52">
        <f t="shared" si="956"/>
        <v>0</v>
      </c>
      <c r="X3482" s="53">
        <f t="shared" si="957"/>
        <v>0</v>
      </c>
      <c r="Y3482" s="53">
        <f t="shared" si="958"/>
        <v>0</v>
      </c>
      <c r="Z3482" s="54">
        <f t="shared" si="963"/>
        <v>0</v>
      </c>
      <c r="AA3482" s="54">
        <f t="shared" si="959"/>
        <v>0</v>
      </c>
      <c r="AB3482" s="55">
        <f t="shared" si="964"/>
        <v>0</v>
      </c>
      <c r="AC3482" s="55">
        <f t="shared" si="960"/>
        <v>0</v>
      </c>
      <c r="AD3482" s="56">
        <f t="shared" si="961"/>
        <v>3623.69</v>
      </c>
    </row>
    <row r="3483" spans="3:30">
      <c r="C3483" s="43" t="s">
        <v>6467</v>
      </c>
      <c r="D3483" s="44" t="s">
        <v>6468</v>
      </c>
      <c r="E3483" s="44"/>
      <c r="F3483" s="45">
        <v>42529.168449074074</v>
      </c>
      <c r="G3483" s="46">
        <v>27</v>
      </c>
      <c r="H3483" s="47">
        <v>43372</v>
      </c>
      <c r="I3483" s="47">
        <v>43417</v>
      </c>
      <c r="J3483" s="46">
        <v>945382</v>
      </c>
      <c r="K3483" s="46">
        <v>0</v>
      </c>
      <c r="L3483" s="46">
        <v>0</v>
      </c>
      <c r="M3483" s="46">
        <f t="shared" si="950"/>
        <v>945382</v>
      </c>
      <c r="N3483" s="46">
        <v>957295</v>
      </c>
      <c r="O3483" s="48">
        <f t="shared" si="951"/>
        <v>1.2444439801733043E-2</v>
      </c>
      <c r="P3483" s="46">
        <v>0</v>
      </c>
      <c r="Q3483" s="46">
        <v>945382</v>
      </c>
      <c r="R3483" s="49">
        <f t="shared" si="952"/>
        <v>1</v>
      </c>
      <c r="S3483" s="50">
        <f t="shared" si="953"/>
        <v>0.01</v>
      </c>
      <c r="T3483" s="49">
        <f t="shared" si="954"/>
        <v>9453.82</v>
      </c>
      <c r="U3483" s="51">
        <f t="shared" si="955"/>
        <v>0</v>
      </c>
      <c r="V3483" s="52">
        <f>IF(0&lt;0.8,0,IF(0&lt;1,Sheet3!L561,1))*IF(G3483&lt;3,0.12 - O3483,0.01) *U3483</f>
        <v>0</v>
      </c>
      <c r="W3483" s="52">
        <f t="shared" si="956"/>
        <v>0</v>
      </c>
      <c r="X3483" s="53">
        <f t="shared" si="957"/>
        <v>0</v>
      </c>
      <c r="Y3483" s="53">
        <f t="shared" si="958"/>
        <v>0</v>
      </c>
      <c r="Z3483" s="54">
        <f t="shared" si="963"/>
        <v>0</v>
      </c>
      <c r="AA3483" s="54">
        <f t="shared" si="959"/>
        <v>0</v>
      </c>
      <c r="AB3483" s="55">
        <f t="shared" si="964"/>
        <v>0</v>
      </c>
      <c r="AC3483" s="55">
        <f t="shared" si="960"/>
        <v>0</v>
      </c>
      <c r="AD3483" s="56">
        <f t="shared" si="961"/>
        <v>9453.82</v>
      </c>
    </row>
    <row r="3484" spans="3:30">
      <c r="C3484" s="43" t="s">
        <v>6469</v>
      </c>
      <c r="D3484" s="44" t="s">
        <v>6470</v>
      </c>
      <c r="E3484" s="44"/>
      <c r="F3484" s="45">
        <v>42545.196898148148</v>
      </c>
      <c r="G3484" s="46">
        <v>27</v>
      </c>
      <c r="H3484" s="47">
        <v>43372</v>
      </c>
      <c r="I3484" s="47">
        <v>43405</v>
      </c>
      <c r="J3484" s="46">
        <v>1470786</v>
      </c>
      <c r="K3484" s="46">
        <v>0</v>
      </c>
      <c r="L3484" s="46">
        <v>0</v>
      </c>
      <c r="M3484" s="46">
        <f t="shared" si="950"/>
        <v>1470786</v>
      </c>
      <c r="N3484" s="46">
        <v>1470636</v>
      </c>
      <c r="O3484" s="48">
        <f t="shared" si="951"/>
        <v>0</v>
      </c>
      <c r="P3484" s="46">
        <v>0</v>
      </c>
      <c r="Q3484" s="46">
        <v>1470786</v>
      </c>
      <c r="R3484" s="49">
        <f t="shared" si="952"/>
        <v>1</v>
      </c>
      <c r="S3484" s="50">
        <f t="shared" si="953"/>
        <v>0.01</v>
      </c>
      <c r="T3484" s="49">
        <f t="shared" si="954"/>
        <v>14707.86</v>
      </c>
      <c r="U3484" s="51">
        <f t="shared" si="955"/>
        <v>0</v>
      </c>
      <c r="V3484" s="52">
        <f>IF(0&lt;0.8,0,IF(0&lt;1,Sheet3!L561,1))*IF(G3484&lt;3,0.12 - O3484,0.01) *U3484</f>
        <v>0</v>
      </c>
      <c r="W3484" s="52">
        <f t="shared" si="956"/>
        <v>0</v>
      </c>
      <c r="X3484" s="53">
        <f t="shared" si="957"/>
        <v>0</v>
      </c>
      <c r="Y3484" s="53">
        <f t="shared" si="958"/>
        <v>0</v>
      </c>
      <c r="Z3484" s="54">
        <f t="shared" si="963"/>
        <v>0</v>
      </c>
      <c r="AA3484" s="54">
        <f t="shared" si="959"/>
        <v>0</v>
      </c>
      <c r="AB3484" s="55">
        <f t="shared" si="964"/>
        <v>0</v>
      </c>
      <c r="AC3484" s="55">
        <f t="shared" si="960"/>
        <v>0</v>
      </c>
      <c r="AD3484" s="56">
        <f t="shared" si="961"/>
        <v>14707.86</v>
      </c>
    </row>
    <row r="3485" spans="3:30">
      <c r="C3485" s="43" t="s">
        <v>6471</v>
      </c>
      <c r="D3485" s="44" t="s">
        <v>6472</v>
      </c>
      <c r="E3485" s="44"/>
      <c r="F3485" s="45">
        <v>42555.065127314811</v>
      </c>
      <c r="G3485" s="46">
        <v>26</v>
      </c>
      <c r="H3485" s="47">
        <v>43389</v>
      </c>
      <c r="I3485" s="47">
        <v>43391</v>
      </c>
      <c r="J3485" s="46">
        <v>3924787</v>
      </c>
      <c r="K3485" s="46">
        <v>0</v>
      </c>
      <c r="L3485" s="46">
        <v>0</v>
      </c>
      <c r="M3485" s="46">
        <f t="shared" si="950"/>
        <v>3924787</v>
      </c>
      <c r="N3485" s="46">
        <v>3912992</v>
      </c>
      <c r="O3485" s="48">
        <f t="shared" si="951"/>
        <v>0</v>
      </c>
      <c r="P3485" s="46">
        <v>0</v>
      </c>
      <c r="Q3485" s="46">
        <v>3924787</v>
      </c>
      <c r="R3485" s="49">
        <f t="shared" si="952"/>
        <v>1</v>
      </c>
      <c r="S3485" s="50">
        <f t="shared" si="953"/>
        <v>0.01</v>
      </c>
      <c r="T3485" s="49">
        <f t="shared" si="954"/>
        <v>39247.870000000003</v>
      </c>
      <c r="U3485" s="51">
        <f t="shared" si="955"/>
        <v>0</v>
      </c>
      <c r="V3485" s="52">
        <f>IF(0&lt;0.8,0,IF(0&lt;1,Sheet3!L561,1))*IF(G3485&lt;3,0.12 - O3485,0.01) *U3485</f>
        <v>0</v>
      </c>
      <c r="W3485" s="52">
        <f t="shared" si="956"/>
        <v>0</v>
      </c>
      <c r="X3485" s="53">
        <f t="shared" si="957"/>
        <v>0</v>
      </c>
      <c r="Y3485" s="53">
        <f t="shared" si="958"/>
        <v>0</v>
      </c>
      <c r="Z3485" s="54">
        <f t="shared" si="963"/>
        <v>0</v>
      </c>
      <c r="AA3485" s="54">
        <f t="shared" si="959"/>
        <v>0</v>
      </c>
      <c r="AB3485" s="55">
        <f t="shared" si="964"/>
        <v>0</v>
      </c>
      <c r="AC3485" s="55">
        <f t="shared" si="960"/>
        <v>0</v>
      </c>
      <c r="AD3485" s="56">
        <f t="shared" si="961"/>
        <v>39247.870000000003</v>
      </c>
    </row>
    <row r="3486" spans="3:30">
      <c r="C3486" s="43" t="s">
        <v>6473</v>
      </c>
      <c r="D3486" s="44" t="s">
        <v>6474</v>
      </c>
      <c r="E3486" s="44"/>
      <c r="F3486" s="45">
        <v>42559.266273148147</v>
      </c>
      <c r="G3486" s="46">
        <v>26</v>
      </c>
      <c r="H3486" s="47">
        <v>43404</v>
      </c>
      <c r="I3486" s="47">
        <v>43411</v>
      </c>
      <c r="J3486" s="46">
        <v>1470596</v>
      </c>
      <c r="K3486" s="46">
        <v>132359</v>
      </c>
      <c r="L3486" s="46">
        <v>0</v>
      </c>
      <c r="M3486" s="46">
        <f t="shared" si="950"/>
        <v>1338237</v>
      </c>
      <c r="N3486" s="46">
        <v>1806792</v>
      </c>
      <c r="O3486" s="48">
        <f t="shared" si="951"/>
        <v>0.25932979557137736</v>
      </c>
      <c r="P3486" s="46">
        <v>0</v>
      </c>
      <c r="Q3486" s="46">
        <v>1470596</v>
      </c>
      <c r="R3486" s="49">
        <f t="shared" si="952"/>
        <v>1</v>
      </c>
      <c r="S3486" s="50">
        <f t="shared" si="953"/>
        <v>0.01</v>
      </c>
      <c r="T3486" s="49">
        <f t="shared" si="954"/>
        <v>13382.37</v>
      </c>
      <c r="U3486" s="51">
        <f t="shared" si="955"/>
        <v>0</v>
      </c>
      <c r="V3486" s="52">
        <f>IF(0&lt;0.8,0,IF(0&lt;1,Sheet3!L561,1))*IF(G3486&lt;3,0.12 - O3486,0.01) *U3486</f>
        <v>0</v>
      </c>
      <c r="W3486" s="52">
        <f t="shared" si="956"/>
        <v>0</v>
      </c>
      <c r="X3486" s="53">
        <f t="shared" si="957"/>
        <v>0</v>
      </c>
      <c r="Y3486" s="53">
        <f t="shared" si="958"/>
        <v>0</v>
      </c>
      <c r="Z3486" s="54">
        <f t="shared" si="963"/>
        <v>0</v>
      </c>
      <c r="AA3486" s="54">
        <f t="shared" si="959"/>
        <v>0</v>
      </c>
      <c r="AB3486" s="55">
        <f t="shared" si="964"/>
        <v>0</v>
      </c>
      <c r="AC3486" s="55">
        <f t="shared" si="960"/>
        <v>0</v>
      </c>
      <c r="AD3486" s="56">
        <f t="shared" si="961"/>
        <v>13382.37</v>
      </c>
    </row>
    <row r="3487" spans="3:30">
      <c r="C3487" s="43" t="s">
        <v>6475</v>
      </c>
      <c r="D3487" s="44" t="s">
        <v>6476</v>
      </c>
      <c r="E3487" s="44"/>
      <c r="F3487" s="45">
        <v>42577.309791666667</v>
      </c>
      <c r="G3487" s="46">
        <v>26</v>
      </c>
      <c r="H3487" s="47">
        <v>43372</v>
      </c>
      <c r="I3487" s="47">
        <v>43383</v>
      </c>
      <c r="J3487" s="46">
        <v>32995228</v>
      </c>
      <c r="K3487" s="46">
        <v>0</v>
      </c>
      <c r="L3487" s="46">
        <v>0</v>
      </c>
      <c r="M3487" s="46">
        <f t="shared" si="950"/>
        <v>32995228</v>
      </c>
      <c r="N3487" s="46">
        <v>43516030</v>
      </c>
      <c r="O3487" s="48">
        <f t="shared" si="951"/>
        <v>0.24176842418759248</v>
      </c>
      <c r="P3487" s="46">
        <v>0</v>
      </c>
      <c r="Q3487" s="46">
        <v>32995228</v>
      </c>
      <c r="R3487" s="49">
        <f t="shared" si="952"/>
        <v>1</v>
      </c>
      <c r="S3487" s="50">
        <f t="shared" si="953"/>
        <v>0.01</v>
      </c>
      <c r="T3487" s="49">
        <f t="shared" si="954"/>
        <v>329952.28000000003</v>
      </c>
      <c r="U3487" s="51">
        <f t="shared" si="955"/>
        <v>0</v>
      </c>
      <c r="V3487" s="52">
        <f>IF(0&lt;0.8,0,IF(0&lt;1,Sheet3!L561,1))*IF(G3487&lt;3,0.12 - O3487,0.01) *U3487</f>
        <v>0</v>
      </c>
      <c r="W3487" s="52">
        <f t="shared" si="956"/>
        <v>0</v>
      </c>
      <c r="X3487" s="53">
        <f t="shared" si="957"/>
        <v>0</v>
      </c>
      <c r="Y3487" s="53">
        <f t="shared" si="958"/>
        <v>0</v>
      </c>
      <c r="Z3487" s="54">
        <f t="shared" si="963"/>
        <v>0</v>
      </c>
      <c r="AA3487" s="54">
        <f t="shared" si="959"/>
        <v>0</v>
      </c>
      <c r="AB3487" s="55">
        <f t="shared" si="964"/>
        <v>0</v>
      </c>
      <c r="AC3487" s="55">
        <f t="shared" si="960"/>
        <v>0</v>
      </c>
      <c r="AD3487" s="56">
        <f t="shared" si="961"/>
        <v>329952.28000000003</v>
      </c>
    </row>
    <row r="3488" spans="3:30">
      <c r="C3488" s="43" t="s">
        <v>6477</v>
      </c>
      <c r="D3488" s="44" t="s">
        <v>6478</v>
      </c>
      <c r="E3488" s="44"/>
      <c r="F3488" s="45">
        <v>42595.28292824074</v>
      </c>
      <c r="G3488" s="46">
        <v>25</v>
      </c>
      <c r="H3488" s="47">
        <v>43372</v>
      </c>
      <c r="I3488" s="47">
        <v>43396</v>
      </c>
      <c r="J3488" s="46">
        <v>3088200</v>
      </c>
      <c r="K3488" s="46">
        <v>0</v>
      </c>
      <c r="L3488" s="46">
        <v>0</v>
      </c>
      <c r="M3488" s="46">
        <f t="shared" si="950"/>
        <v>3088200</v>
      </c>
      <c r="N3488" s="46">
        <v>4687870</v>
      </c>
      <c r="O3488" s="48">
        <f t="shared" si="951"/>
        <v>0.34123599843852326</v>
      </c>
      <c r="P3488" s="46">
        <v>0</v>
      </c>
      <c r="Q3488" s="46">
        <v>3088200</v>
      </c>
      <c r="R3488" s="49">
        <f t="shared" si="952"/>
        <v>1</v>
      </c>
      <c r="S3488" s="50">
        <f t="shared" si="953"/>
        <v>0.01</v>
      </c>
      <c r="T3488" s="49">
        <f t="shared" si="954"/>
        <v>30882</v>
      </c>
      <c r="U3488" s="51">
        <f t="shared" si="955"/>
        <v>0</v>
      </c>
      <c r="V3488" s="52">
        <f>IF(0&lt;0.8,0,IF(0&lt;1,Sheet3!L561,1))*IF(G3488&lt;3,0.12 - O3488,0.01) *U3488</f>
        <v>0</v>
      </c>
      <c r="W3488" s="52">
        <f t="shared" si="956"/>
        <v>0</v>
      </c>
      <c r="X3488" s="53">
        <f t="shared" si="957"/>
        <v>0</v>
      </c>
      <c r="Y3488" s="53">
        <f t="shared" si="958"/>
        <v>0</v>
      </c>
      <c r="Z3488" s="54">
        <f t="shared" si="963"/>
        <v>0</v>
      </c>
      <c r="AA3488" s="54">
        <f t="shared" si="959"/>
        <v>0</v>
      </c>
      <c r="AB3488" s="55">
        <f t="shared" si="964"/>
        <v>0</v>
      </c>
      <c r="AC3488" s="55">
        <f t="shared" si="960"/>
        <v>0</v>
      </c>
      <c r="AD3488" s="56">
        <f t="shared" si="961"/>
        <v>30882</v>
      </c>
    </row>
    <row r="3489" spans="3:30">
      <c r="C3489" s="43" t="s">
        <v>6479</v>
      </c>
      <c r="D3489" s="44" t="s">
        <v>6480</v>
      </c>
      <c r="E3489" s="44"/>
      <c r="F3489" s="45">
        <v>42605.108564814815</v>
      </c>
      <c r="G3489" s="46">
        <v>25</v>
      </c>
      <c r="H3489" s="47">
        <v>43372</v>
      </c>
      <c r="I3489" s="47">
        <v>43391</v>
      </c>
      <c r="J3489" s="46">
        <v>706499</v>
      </c>
      <c r="K3489" s="46">
        <v>0</v>
      </c>
      <c r="L3489" s="46">
        <v>0</v>
      </c>
      <c r="M3489" s="46">
        <f t="shared" si="950"/>
        <v>706499</v>
      </c>
      <c r="N3489" s="46">
        <v>705751</v>
      </c>
      <c r="O3489" s="48">
        <f t="shared" si="951"/>
        <v>0</v>
      </c>
      <c r="P3489" s="46">
        <v>0</v>
      </c>
      <c r="Q3489" s="46">
        <v>706499</v>
      </c>
      <c r="R3489" s="49">
        <f t="shared" si="952"/>
        <v>1</v>
      </c>
      <c r="S3489" s="50">
        <f t="shared" si="953"/>
        <v>0.01</v>
      </c>
      <c r="T3489" s="49">
        <f t="shared" si="954"/>
        <v>7064.99</v>
      </c>
      <c r="U3489" s="51">
        <f t="shared" si="955"/>
        <v>0</v>
      </c>
      <c r="V3489" s="52">
        <f>IF(0&lt;0.8,0,IF(0&lt;1,Sheet3!L561,1))*IF(G3489&lt;3,0.12 - O3489,0.01) *U3489</f>
        <v>0</v>
      </c>
      <c r="W3489" s="52">
        <f t="shared" si="956"/>
        <v>0</v>
      </c>
      <c r="X3489" s="53">
        <f t="shared" si="957"/>
        <v>0</v>
      </c>
      <c r="Y3489" s="53">
        <f t="shared" si="958"/>
        <v>0</v>
      </c>
      <c r="Z3489" s="54">
        <f t="shared" si="963"/>
        <v>0</v>
      </c>
      <c r="AA3489" s="54">
        <f t="shared" si="959"/>
        <v>0</v>
      </c>
      <c r="AB3489" s="55">
        <f t="shared" si="964"/>
        <v>0</v>
      </c>
      <c r="AC3489" s="55">
        <f t="shared" si="960"/>
        <v>0</v>
      </c>
      <c r="AD3489" s="56">
        <f t="shared" si="961"/>
        <v>7064.99</v>
      </c>
    </row>
    <row r="3490" spans="3:30">
      <c r="C3490" s="43" t="s">
        <v>6481</v>
      </c>
      <c r="D3490" s="44" t="s">
        <v>6482</v>
      </c>
      <c r="E3490" s="44"/>
      <c r="F3490" s="45">
        <v>42640.074849537035</v>
      </c>
      <c r="G3490" s="46">
        <v>24</v>
      </c>
      <c r="H3490" s="47">
        <v>43392</v>
      </c>
      <c r="I3490" s="47">
        <v>43402</v>
      </c>
      <c r="J3490" s="46">
        <v>6451514</v>
      </c>
      <c r="K3490" s="46">
        <v>0</v>
      </c>
      <c r="L3490" s="46">
        <v>0</v>
      </c>
      <c r="M3490" s="46">
        <f t="shared" si="950"/>
        <v>6451514</v>
      </c>
      <c r="N3490" s="46">
        <v>8210821</v>
      </c>
      <c r="O3490" s="48">
        <f t="shared" si="951"/>
        <v>0.21426688025472729</v>
      </c>
      <c r="P3490" s="46">
        <v>0</v>
      </c>
      <c r="Q3490" s="46">
        <v>6451514</v>
      </c>
      <c r="R3490" s="49">
        <f t="shared" si="952"/>
        <v>1</v>
      </c>
      <c r="S3490" s="50">
        <f t="shared" si="953"/>
        <v>0.01</v>
      </c>
      <c r="T3490" s="49">
        <f t="shared" si="954"/>
        <v>64515.14</v>
      </c>
      <c r="U3490" s="51">
        <f t="shared" si="955"/>
        <v>0</v>
      </c>
      <c r="V3490" s="52">
        <f>IF(0&lt;0.8,0,IF(0&lt;1,Sheet3!L561,1))*IF(G3490&lt;3,0.12 - O3490,0.01) *U3490</f>
        <v>0</v>
      </c>
      <c r="W3490" s="52">
        <f t="shared" si="956"/>
        <v>0</v>
      </c>
      <c r="X3490" s="53">
        <f t="shared" si="957"/>
        <v>0</v>
      </c>
      <c r="Y3490" s="53">
        <f t="shared" si="958"/>
        <v>0</v>
      </c>
      <c r="Z3490" s="54">
        <f t="shared" si="963"/>
        <v>0</v>
      </c>
      <c r="AA3490" s="54">
        <f t="shared" si="959"/>
        <v>0</v>
      </c>
      <c r="AB3490" s="55">
        <f t="shared" si="964"/>
        <v>0</v>
      </c>
      <c r="AC3490" s="55">
        <f t="shared" si="960"/>
        <v>0</v>
      </c>
      <c r="AD3490" s="56">
        <f t="shared" si="961"/>
        <v>64515.14</v>
      </c>
    </row>
    <row r="3491" spans="3:30">
      <c r="C3491" s="43" t="s">
        <v>6483</v>
      </c>
      <c r="D3491" s="44" t="s">
        <v>6484</v>
      </c>
      <c r="E3491" s="44"/>
      <c r="F3491" s="45">
        <v>42648.263807870368</v>
      </c>
      <c r="G3491" s="46">
        <v>23</v>
      </c>
      <c r="H3491" s="47">
        <v>43372</v>
      </c>
      <c r="I3491" s="47">
        <v>43392</v>
      </c>
      <c r="J3491" s="46">
        <v>321522</v>
      </c>
      <c r="K3491" s="46">
        <v>0</v>
      </c>
      <c r="L3491" s="46">
        <v>0</v>
      </c>
      <c r="M3491" s="46">
        <f t="shared" si="950"/>
        <v>321522</v>
      </c>
      <c r="N3491" s="46">
        <v>321522</v>
      </c>
      <c r="O3491" s="48">
        <f t="shared" si="951"/>
        <v>0</v>
      </c>
      <c r="P3491" s="46">
        <v>0</v>
      </c>
      <c r="Q3491" s="46">
        <v>321522</v>
      </c>
      <c r="R3491" s="49">
        <f t="shared" si="952"/>
        <v>1</v>
      </c>
      <c r="S3491" s="50">
        <f t="shared" si="953"/>
        <v>0.01</v>
      </c>
      <c r="T3491" s="49">
        <f t="shared" si="954"/>
        <v>3215.2200000000003</v>
      </c>
      <c r="U3491" s="51">
        <f t="shared" si="955"/>
        <v>0</v>
      </c>
      <c r="V3491" s="52">
        <f>IF(0&lt;0.8,0,IF(0&lt;1,Sheet3!L561,1))*IF(G3491&lt;3,0.12 - O3491,0.01) *U3491</f>
        <v>0</v>
      </c>
      <c r="W3491" s="52">
        <f t="shared" si="956"/>
        <v>0</v>
      </c>
      <c r="X3491" s="53">
        <f t="shared" si="957"/>
        <v>0</v>
      </c>
      <c r="Y3491" s="53">
        <f t="shared" si="958"/>
        <v>0</v>
      </c>
      <c r="Z3491" s="54">
        <f t="shared" si="963"/>
        <v>0</v>
      </c>
      <c r="AA3491" s="54">
        <f t="shared" si="959"/>
        <v>0</v>
      </c>
      <c r="AB3491" s="55">
        <f t="shared" si="964"/>
        <v>0</v>
      </c>
      <c r="AC3491" s="55">
        <f t="shared" si="960"/>
        <v>0</v>
      </c>
      <c r="AD3491" s="56">
        <f t="shared" si="961"/>
        <v>3215.2200000000003</v>
      </c>
    </row>
    <row r="3492" spans="3:30">
      <c r="C3492" s="43" t="s">
        <v>6485</v>
      </c>
      <c r="D3492" s="44" t="s">
        <v>6486</v>
      </c>
      <c r="E3492" s="44"/>
      <c r="F3492" s="45">
        <v>42679.132731481477</v>
      </c>
      <c r="G3492" s="46">
        <v>22</v>
      </c>
      <c r="H3492" s="47">
        <v>43383</v>
      </c>
      <c r="I3492" s="47">
        <v>43399</v>
      </c>
      <c r="J3492" s="46">
        <v>4603266</v>
      </c>
      <c r="K3492" s="46">
        <v>0</v>
      </c>
      <c r="L3492" s="46">
        <v>0</v>
      </c>
      <c r="M3492" s="46">
        <f t="shared" si="950"/>
        <v>4603266</v>
      </c>
      <c r="N3492" s="46">
        <v>4603266</v>
      </c>
      <c r="O3492" s="48">
        <f t="shared" si="951"/>
        <v>0</v>
      </c>
      <c r="P3492" s="46">
        <v>0</v>
      </c>
      <c r="Q3492" s="46">
        <v>4603266</v>
      </c>
      <c r="R3492" s="49">
        <f t="shared" si="952"/>
        <v>1</v>
      </c>
      <c r="S3492" s="50">
        <f t="shared" si="953"/>
        <v>0.01</v>
      </c>
      <c r="T3492" s="49">
        <f t="shared" si="954"/>
        <v>46032.66</v>
      </c>
      <c r="U3492" s="51">
        <f t="shared" si="955"/>
        <v>0</v>
      </c>
      <c r="V3492" s="52">
        <f>IF(0&lt;0.8,0,IF(0&lt;1,Sheet3!L561,1))*IF(G3492&lt;3,0.12 - O3492,0.01) *U3492</f>
        <v>0</v>
      </c>
      <c r="W3492" s="52">
        <f t="shared" si="956"/>
        <v>0</v>
      </c>
      <c r="X3492" s="53">
        <f t="shared" si="957"/>
        <v>0</v>
      </c>
      <c r="Y3492" s="53">
        <f t="shared" si="958"/>
        <v>0</v>
      </c>
      <c r="Z3492" s="54">
        <f t="shared" si="963"/>
        <v>0</v>
      </c>
      <c r="AA3492" s="54">
        <f t="shared" si="959"/>
        <v>0</v>
      </c>
      <c r="AB3492" s="55">
        <f t="shared" si="964"/>
        <v>0</v>
      </c>
      <c r="AC3492" s="55">
        <f t="shared" si="960"/>
        <v>0</v>
      </c>
      <c r="AD3492" s="56">
        <f t="shared" si="961"/>
        <v>46032.66</v>
      </c>
    </row>
    <row r="3493" spans="3:30">
      <c r="C3493" s="43" t="s">
        <v>6487</v>
      </c>
      <c r="D3493" s="44" t="s">
        <v>6488</v>
      </c>
      <c r="E3493" s="44"/>
      <c r="F3493" s="45">
        <v>42681.324201388888</v>
      </c>
      <c r="G3493" s="46">
        <v>22</v>
      </c>
      <c r="H3493" s="47">
        <v>43372</v>
      </c>
      <c r="I3493" s="47">
        <v>43397</v>
      </c>
      <c r="J3493" s="46">
        <v>784179</v>
      </c>
      <c r="K3493" s="46">
        <v>0</v>
      </c>
      <c r="L3493" s="46">
        <v>0</v>
      </c>
      <c r="M3493" s="46">
        <f t="shared" si="950"/>
        <v>784179</v>
      </c>
      <c r="N3493" s="46">
        <v>784179</v>
      </c>
      <c r="O3493" s="48">
        <f t="shared" si="951"/>
        <v>0</v>
      </c>
      <c r="P3493" s="46">
        <v>0</v>
      </c>
      <c r="Q3493" s="46">
        <v>784179</v>
      </c>
      <c r="R3493" s="49">
        <f t="shared" si="952"/>
        <v>1</v>
      </c>
      <c r="S3493" s="50">
        <f t="shared" si="953"/>
        <v>0.01</v>
      </c>
      <c r="T3493" s="49">
        <f t="shared" si="954"/>
        <v>7841.79</v>
      </c>
      <c r="U3493" s="51">
        <f t="shared" si="955"/>
        <v>0</v>
      </c>
      <c r="V3493" s="52">
        <f>IF(0&lt;0.8,0,IF(0&lt;1,Sheet3!L561,1))*IF(G3493&lt;3,0.12 - O3493,0.01) *U3493</f>
        <v>0</v>
      </c>
      <c r="W3493" s="52">
        <f t="shared" si="956"/>
        <v>0</v>
      </c>
      <c r="X3493" s="53">
        <f t="shared" si="957"/>
        <v>0</v>
      </c>
      <c r="Y3493" s="53">
        <f t="shared" si="958"/>
        <v>0</v>
      </c>
      <c r="Z3493" s="54">
        <f t="shared" si="963"/>
        <v>0</v>
      </c>
      <c r="AA3493" s="54">
        <f t="shared" si="959"/>
        <v>0</v>
      </c>
      <c r="AB3493" s="55">
        <f t="shared" si="964"/>
        <v>0</v>
      </c>
      <c r="AC3493" s="55">
        <f t="shared" si="960"/>
        <v>0</v>
      </c>
      <c r="AD3493" s="56">
        <f t="shared" si="961"/>
        <v>7841.79</v>
      </c>
    </row>
    <row r="3494" spans="3:30">
      <c r="C3494" s="43" t="s">
        <v>6489</v>
      </c>
      <c r="D3494" s="44" t="s">
        <v>6490</v>
      </c>
      <c r="E3494" s="44"/>
      <c r="F3494" s="45">
        <v>42684.402696759258</v>
      </c>
      <c r="G3494" s="46">
        <v>22</v>
      </c>
      <c r="H3494" s="47">
        <v>43372</v>
      </c>
      <c r="I3494" s="47">
        <v>43384</v>
      </c>
      <c r="J3494" s="46">
        <v>18047250</v>
      </c>
      <c r="K3494" s="46">
        <v>0</v>
      </c>
      <c r="L3494" s="46">
        <v>0</v>
      </c>
      <c r="M3494" s="46">
        <f t="shared" si="950"/>
        <v>18047250</v>
      </c>
      <c r="N3494" s="46">
        <v>18907835</v>
      </c>
      <c r="O3494" s="48">
        <f t="shared" si="951"/>
        <v>4.5514729740343096E-2</v>
      </c>
      <c r="P3494" s="46">
        <v>0</v>
      </c>
      <c r="Q3494" s="46">
        <v>18047250</v>
      </c>
      <c r="R3494" s="49">
        <f t="shared" si="952"/>
        <v>1</v>
      </c>
      <c r="S3494" s="50">
        <f t="shared" si="953"/>
        <v>0.01</v>
      </c>
      <c r="T3494" s="49">
        <f t="shared" si="954"/>
        <v>180472.5</v>
      </c>
      <c r="U3494" s="51">
        <f t="shared" si="955"/>
        <v>0</v>
      </c>
      <c r="V3494" s="52">
        <f>IF(0&lt;0.8,0,IF(0&lt;1,Sheet3!L561,1))*IF(G3494&lt;3,0.12 - O3494,0.01) *U3494</f>
        <v>0</v>
      </c>
      <c r="W3494" s="52">
        <f t="shared" si="956"/>
        <v>0</v>
      </c>
      <c r="X3494" s="53">
        <f t="shared" si="957"/>
        <v>0</v>
      </c>
      <c r="Y3494" s="53">
        <f t="shared" si="958"/>
        <v>0</v>
      </c>
      <c r="Z3494" s="54">
        <f t="shared" si="963"/>
        <v>0</v>
      </c>
      <c r="AA3494" s="54">
        <f t="shared" si="959"/>
        <v>0</v>
      </c>
      <c r="AB3494" s="55">
        <f t="shared" si="964"/>
        <v>0</v>
      </c>
      <c r="AC3494" s="55">
        <f t="shared" si="960"/>
        <v>0</v>
      </c>
      <c r="AD3494" s="56">
        <f t="shared" si="961"/>
        <v>180472.5</v>
      </c>
    </row>
    <row r="3495" spans="3:30">
      <c r="C3495" s="43" t="s">
        <v>6491</v>
      </c>
      <c r="D3495" s="44" t="s">
        <v>6492</v>
      </c>
      <c r="E3495" s="44"/>
      <c r="F3495" s="45">
        <v>42695.378113425926</v>
      </c>
      <c r="G3495" s="46">
        <v>22</v>
      </c>
      <c r="H3495" s="47">
        <v>43396</v>
      </c>
      <c r="I3495" s="47">
        <v>43402</v>
      </c>
      <c r="J3495" s="46">
        <v>1138940</v>
      </c>
      <c r="K3495" s="46">
        <v>0</v>
      </c>
      <c r="L3495" s="46">
        <v>0</v>
      </c>
      <c r="M3495" s="46">
        <f t="shared" si="950"/>
        <v>1138940</v>
      </c>
      <c r="N3495" s="46">
        <v>1146630</v>
      </c>
      <c r="O3495" s="48">
        <f t="shared" si="951"/>
        <v>6.7066098043833122E-3</v>
      </c>
      <c r="P3495" s="46">
        <v>0</v>
      </c>
      <c r="Q3495" s="46">
        <v>1138940</v>
      </c>
      <c r="R3495" s="49">
        <f t="shared" si="952"/>
        <v>1</v>
      </c>
      <c r="S3495" s="50">
        <f t="shared" si="953"/>
        <v>0.01</v>
      </c>
      <c r="T3495" s="49">
        <f t="shared" si="954"/>
        <v>11389.4</v>
      </c>
      <c r="U3495" s="51">
        <f t="shared" si="955"/>
        <v>0</v>
      </c>
      <c r="V3495" s="52">
        <f>IF(0&lt;0.8,0,IF(0&lt;1,Sheet3!L561,1))*IF(G3495&lt;3,0.12 - O3495,0.01) *U3495</f>
        <v>0</v>
      </c>
      <c r="W3495" s="52">
        <f t="shared" si="956"/>
        <v>0</v>
      </c>
      <c r="X3495" s="53">
        <f t="shared" si="957"/>
        <v>0</v>
      </c>
      <c r="Y3495" s="53">
        <f t="shared" si="958"/>
        <v>0</v>
      </c>
      <c r="Z3495" s="54">
        <f t="shared" si="963"/>
        <v>0</v>
      </c>
      <c r="AA3495" s="54">
        <f t="shared" si="959"/>
        <v>0</v>
      </c>
      <c r="AB3495" s="55">
        <f t="shared" si="964"/>
        <v>0</v>
      </c>
      <c r="AC3495" s="55">
        <f t="shared" si="960"/>
        <v>0</v>
      </c>
      <c r="AD3495" s="56">
        <f t="shared" si="961"/>
        <v>11389.4</v>
      </c>
    </row>
    <row r="3496" spans="3:30">
      <c r="C3496" s="43" t="s">
        <v>6493</v>
      </c>
      <c r="D3496" s="44" t="s">
        <v>6494</v>
      </c>
      <c r="E3496" s="44"/>
      <c r="F3496" s="45">
        <v>42711.104398148149</v>
      </c>
      <c r="G3496" s="46">
        <v>21</v>
      </c>
      <c r="H3496" s="47">
        <v>43372</v>
      </c>
      <c r="I3496" s="47">
        <v>43403</v>
      </c>
      <c r="J3496" s="46">
        <v>541400</v>
      </c>
      <c r="K3496" s="46">
        <v>0</v>
      </c>
      <c r="L3496" s="46">
        <v>0</v>
      </c>
      <c r="M3496" s="46">
        <f t="shared" si="950"/>
        <v>541400</v>
      </c>
      <c r="N3496" s="46">
        <v>541400</v>
      </c>
      <c r="O3496" s="48">
        <f t="shared" si="951"/>
        <v>0</v>
      </c>
      <c r="P3496" s="46">
        <v>0</v>
      </c>
      <c r="Q3496" s="46">
        <v>541400</v>
      </c>
      <c r="R3496" s="49">
        <f t="shared" si="952"/>
        <v>1</v>
      </c>
      <c r="S3496" s="50">
        <f t="shared" si="953"/>
        <v>0.01</v>
      </c>
      <c r="T3496" s="49">
        <f t="shared" si="954"/>
        <v>5414</v>
      </c>
      <c r="U3496" s="51">
        <f t="shared" si="955"/>
        <v>0</v>
      </c>
      <c r="V3496" s="52">
        <f>IF(0&lt;0.8,0,IF(0&lt;1,Sheet3!L561,1))*IF(G3496&lt;3,0.12 - O3496,0.01) *U3496</f>
        <v>0</v>
      </c>
      <c r="W3496" s="52">
        <f t="shared" si="956"/>
        <v>0</v>
      </c>
      <c r="X3496" s="53">
        <f t="shared" si="957"/>
        <v>0</v>
      </c>
      <c r="Y3496" s="53">
        <f t="shared" si="958"/>
        <v>0</v>
      </c>
      <c r="Z3496" s="54">
        <f t="shared" si="963"/>
        <v>0</v>
      </c>
      <c r="AA3496" s="54">
        <f t="shared" si="959"/>
        <v>0</v>
      </c>
      <c r="AB3496" s="55">
        <f t="shared" si="964"/>
        <v>0</v>
      </c>
      <c r="AC3496" s="55">
        <f t="shared" si="960"/>
        <v>0</v>
      </c>
      <c r="AD3496" s="56">
        <f t="shared" si="961"/>
        <v>5414</v>
      </c>
    </row>
    <row r="3497" spans="3:30">
      <c r="C3497" s="43" t="s">
        <v>6495</v>
      </c>
      <c r="D3497" s="44" t="s">
        <v>6496</v>
      </c>
      <c r="E3497" s="44"/>
      <c r="F3497" s="45">
        <v>42712.287210648145</v>
      </c>
      <c r="G3497" s="46">
        <v>21</v>
      </c>
      <c r="H3497" s="47">
        <v>43372</v>
      </c>
      <c r="I3497" s="47">
        <v>43385</v>
      </c>
      <c r="J3497" s="46">
        <v>217501</v>
      </c>
      <c r="K3497" s="46">
        <v>0</v>
      </c>
      <c r="L3497" s="46">
        <v>0</v>
      </c>
      <c r="M3497" s="46">
        <f t="shared" si="950"/>
        <v>217501</v>
      </c>
      <c r="N3497" s="46">
        <v>217501</v>
      </c>
      <c r="O3497" s="48">
        <f t="shared" si="951"/>
        <v>0</v>
      </c>
      <c r="P3497" s="46">
        <v>0</v>
      </c>
      <c r="Q3497" s="46">
        <v>217501</v>
      </c>
      <c r="R3497" s="49">
        <f t="shared" si="952"/>
        <v>1</v>
      </c>
      <c r="S3497" s="50">
        <f t="shared" si="953"/>
        <v>0.01</v>
      </c>
      <c r="T3497" s="49">
        <f t="shared" si="954"/>
        <v>2175.0100000000002</v>
      </c>
      <c r="U3497" s="51">
        <f t="shared" si="955"/>
        <v>0</v>
      </c>
      <c r="V3497" s="52">
        <f>IF(0&lt;0.8,0,IF(0&lt;1,Sheet3!L561,1))*IF(G3497&lt;3,0.12 - O3497,0.01) *U3497</f>
        <v>0</v>
      </c>
      <c r="W3497" s="52">
        <f t="shared" si="956"/>
        <v>0</v>
      </c>
      <c r="X3497" s="53">
        <f t="shared" si="957"/>
        <v>0</v>
      </c>
      <c r="Y3497" s="53">
        <f t="shared" si="958"/>
        <v>0</v>
      </c>
      <c r="Z3497" s="54">
        <f t="shared" si="963"/>
        <v>0</v>
      </c>
      <c r="AA3497" s="54">
        <f t="shared" si="959"/>
        <v>0</v>
      </c>
      <c r="AB3497" s="55">
        <f t="shared" si="964"/>
        <v>0</v>
      </c>
      <c r="AC3497" s="55">
        <f t="shared" si="960"/>
        <v>0</v>
      </c>
      <c r="AD3497" s="56">
        <f t="shared" si="961"/>
        <v>2175.0100000000002</v>
      </c>
    </row>
    <row r="3498" spans="3:30">
      <c r="C3498" s="43" t="s">
        <v>6497</v>
      </c>
      <c r="D3498" s="44" t="s">
        <v>6461</v>
      </c>
      <c r="E3498" s="44"/>
      <c r="F3498" s="45">
        <v>42712.36887731481</v>
      </c>
      <c r="G3498" s="46">
        <v>21</v>
      </c>
      <c r="H3498" s="47">
        <v>43404</v>
      </c>
      <c r="I3498" s="47">
        <v>43411</v>
      </c>
      <c r="J3498" s="46">
        <v>2033270</v>
      </c>
      <c r="K3498" s="46">
        <v>167842</v>
      </c>
      <c r="L3498" s="46">
        <v>0</v>
      </c>
      <c r="M3498" s="46">
        <f t="shared" si="950"/>
        <v>1865428</v>
      </c>
      <c r="N3498" s="46">
        <v>2706397</v>
      </c>
      <c r="O3498" s="48">
        <f t="shared" si="951"/>
        <v>0.31073379108829935</v>
      </c>
      <c r="P3498" s="46">
        <v>0</v>
      </c>
      <c r="Q3498" s="46">
        <v>2033270</v>
      </c>
      <c r="R3498" s="49">
        <f t="shared" si="952"/>
        <v>1</v>
      </c>
      <c r="S3498" s="50">
        <f t="shared" si="953"/>
        <v>0.01</v>
      </c>
      <c r="T3498" s="49">
        <f t="shared" si="954"/>
        <v>18654.28</v>
      </c>
      <c r="U3498" s="51">
        <f t="shared" si="955"/>
        <v>0</v>
      </c>
      <c r="V3498" s="52">
        <f>IF(0&lt;0.8,0,IF(0&lt;1,Sheet3!L561,1))*IF(G3498&lt;3,0.12 - O3498,0.01) *U3498</f>
        <v>0</v>
      </c>
      <c r="W3498" s="52">
        <f t="shared" si="956"/>
        <v>0</v>
      </c>
      <c r="X3498" s="53">
        <f t="shared" si="957"/>
        <v>0</v>
      </c>
      <c r="Y3498" s="53">
        <f t="shared" si="958"/>
        <v>0</v>
      </c>
      <c r="Z3498" s="54">
        <f t="shared" si="963"/>
        <v>0</v>
      </c>
      <c r="AA3498" s="54">
        <f t="shared" si="959"/>
        <v>0</v>
      </c>
      <c r="AB3498" s="55">
        <f t="shared" si="964"/>
        <v>0</v>
      </c>
      <c r="AC3498" s="55">
        <f t="shared" si="960"/>
        <v>0</v>
      </c>
      <c r="AD3498" s="56">
        <f t="shared" si="961"/>
        <v>18654.28</v>
      </c>
    </row>
    <row r="3499" spans="3:30">
      <c r="C3499" s="43" t="s">
        <v>6498</v>
      </c>
      <c r="D3499" s="44" t="s">
        <v>6499</v>
      </c>
      <c r="E3499" s="44"/>
      <c r="F3499" s="45">
        <v>42740.169178240736</v>
      </c>
      <c r="G3499" s="46">
        <v>20</v>
      </c>
      <c r="H3499" s="47">
        <v>43372</v>
      </c>
      <c r="I3499" s="47">
        <v>43396</v>
      </c>
      <c r="J3499" s="46">
        <v>135200</v>
      </c>
      <c r="K3499" s="46">
        <v>0</v>
      </c>
      <c r="L3499" s="46">
        <v>0</v>
      </c>
      <c r="M3499" s="46">
        <f t="shared" si="950"/>
        <v>135200</v>
      </c>
      <c r="N3499" s="46">
        <v>135200</v>
      </c>
      <c r="O3499" s="48">
        <f t="shared" si="951"/>
        <v>0</v>
      </c>
      <c r="P3499" s="46">
        <v>0</v>
      </c>
      <c r="Q3499" s="46">
        <v>135200</v>
      </c>
      <c r="R3499" s="49">
        <f t="shared" si="952"/>
        <v>1</v>
      </c>
      <c r="S3499" s="50">
        <f t="shared" si="953"/>
        <v>0.01</v>
      </c>
      <c r="T3499" s="49">
        <f t="shared" si="954"/>
        <v>1352</v>
      </c>
      <c r="U3499" s="51">
        <f t="shared" si="955"/>
        <v>0</v>
      </c>
      <c r="V3499" s="52">
        <f>IF(0&lt;0.8,0,IF(0&lt;1,Sheet3!L561,1))*IF(G3499&lt;3,0.12 - O3499,0.01) *U3499</f>
        <v>0</v>
      </c>
      <c r="W3499" s="52">
        <f t="shared" si="956"/>
        <v>0</v>
      </c>
      <c r="X3499" s="53">
        <f t="shared" si="957"/>
        <v>0</v>
      </c>
      <c r="Y3499" s="53">
        <f t="shared" si="958"/>
        <v>0</v>
      </c>
      <c r="Z3499" s="54">
        <f t="shared" si="963"/>
        <v>0</v>
      </c>
      <c r="AA3499" s="54">
        <f t="shared" si="959"/>
        <v>0</v>
      </c>
      <c r="AB3499" s="55">
        <f t="shared" si="964"/>
        <v>0</v>
      </c>
      <c r="AC3499" s="55">
        <f t="shared" si="960"/>
        <v>0</v>
      </c>
      <c r="AD3499" s="56">
        <f t="shared" si="961"/>
        <v>1352</v>
      </c>
    </row>
    <row r="3500" spans="3:30">
      <c r="C3500" s="43" t="s">
        <v>6500</v>
      </c>
      <c r="D3500" s="44" t="s">
        <v>6501</v>
      </c>
      <c r="E3500" s="44"/>
      <c r="F3500" s="45">
        <v>42749.154479166667</v>
      </c>
      <c r="G3500" s="46">
        <v>20</v>
      </c>
      <c r="H3500" s="47">
        <v>43372</v>
      </c>
      <c r="I3500" s="47">
        <v>43420</v>
      </c>
      <c r="J3500" s="46">
        <v>318000</v>
      </c>
      <c r="K3500" s="46">
        <v>0</v>
      </c>
      <c r="L3500" s="46">
        <v>0</v>
      </c>
      <c r="M3500" s="46">
        <f t="shared" si="950"/>
        <v>318000</v>
      </c>
      <c r="N3500" s="46">
        <v>318000</v>
      </c>
      <c r="O3500" s="48">
        <f t="shared" si="951"/>
        <v>0</v>
      </c>
      <c r="P3500" s="46">
        <v>0</v>
      </c>
      <c r="Q3500" s="46">
        <v>318000</v>
      </c>
      <c r="R3500" s="49">
        <f t="shared" si="952"/>
        <v>1</v>
      </c>
      <c r="S3500" s="50">
        <f t="shared" si="953"/>
        <v>0.01</v>
      </c>
      <c r="T3500" s="49">
        <f t="shared" si="954"/>
        <v>3180</v>
      </c>
      <c r="U3500" s="51">
        <f t="shared" si="955"/>
        <v>0</v>
      </c>
      <c r="V3500" s="52">
        <f>IF(0&lt;0.8,0,IF(0&lt;1,Sheet3!L561,1))*IF(G3500&lt;3,0.12 - O3500,0.01) *U3500</f>
        <v>0</v>
      </c>
      <c r="W3500" s="52">
        <f t="shared" si="956"/>
        <v>0</v>
      </c>
      <c r="X3500" s="53">
        <f t="shared" si="957"/>
        <v>0</v>
      </c>
      <c r="Y3500" s="53">
        <f t="shared" si="958"/>
        <v>0</v>
      </c>
      <c r="Z3500" s="54">
        <f t="shared" si="963"/>
        <v>0</v>
      </c>
      <c r="AA3500" s="54">
        <f t="shared" si="959"/>
        <v>0</v>
      </c>
      <c r="AB3500" s="55">
        <f t="shared" si="964"/>
        <v>0</v>
      </c>
      <c r="AC3500" s="55">
        <f t="shared" si="960"/>
        <v>0</v>
      </c>
      <c r="AD3500" s="56">
        <f t="shared" si="961"/>
        <v>3180</v>
      </c>
    </row>
    <row r="3501" spans="3:30">
      <c r="C3501" s="43" t="s">
        <v>6502</v>
      </c>
      <c r="D3501" s="44" t="s">
        <v>6503</v>
      </c>
      <c r="E3501" s="44"/>
      <c r="F3501" s="45">
        <v>42775.375775462962</v>
      </c>
      <c r="G3501" s="46">
        <v>19</v>
      </c>
      <c r="H3501" s="47">
        <v>43396</v>
      </c>
      <c r="I3501" s="47">
        <v>43413</v>
      </c>
      <c r="J3501" s="46">
        <v>2160280</v>
      </c>
      <c r="K3501" s="46">
        <v>0</v>
      </c>
      <c r="L3501" s="46">
        <v>0</v>
      </c>
      <c r="M3501" s="46">
        <f t="shared" si="950"/>
        <v>2160280</v>
      </c>
      <c r="N3501" s="46">
        <v>2481206</v>
      </c>
      <c r="O3501" s="48">
        <f t="shared" si="951"/>
        <v>0.12934274703511117</v>
      </c>
      <c r="P3501" s="46">
        <v>0</v>
      </c>
      <c r="Q3501" s="46">
        <v>2160280</v>
      </c>
      <c r="R3501" s="49">
        <f t="shared" si="952"/>
        <v>1</v>
      </c>
      <c r="S3501" s="50">
        <f t="shared" si="953"/>
        <v>0.01</v>
      </c>
      <c r="T3501" s="49">
        <f t="shared" si="954"/>
        <v>21602.799999999999</v>
      </c>
      <c r="U3501" s="51">
        <f t="shared" si="955"/>
        <v>0</v>
      </c>
      <c r="V3501" s="52">
        <f>IF(0&lt;0.8,0,IF(0&lt;1,Sheet3!L561,1))*IF(G3501&lt;3,0.12 - O3501,0.01) *U3501</f>
        <v>0</v>
      </c>
      <c r="W3501" s="52">
        <f t="shared" si="956"/>
        <v>0</v>
      </c>
      <c r="X3501" s="53">
        <f t="shared" si="957"/>
        <v>0</v>
      </c>
      <c r="Y3501" s="53">
        <f t="shared" si="958"/>
        <v>0</v>
      </c>
      <c r="Z3501" s="54">
        <f t="shared" si="963"/>
        <v>0</v>
      </c>
      <c r="AA3501" s="54">
        <f t="shared" si="959"/>
        <v>0</v>
      </c>
      <c r="AB3501" s="55">
        <f t="shared" si="964"/>
        <v>0</v>
      </c>
      <c r="AC3501" s="55">
        <f t="shared" si="960"/>
        <v>0</v>
      </c>
      <c r="AD3501" s="56">
        <f t="shared" si="961"/>
        <v>21602.799999999999</v>
      </c>
    </row>
    <row r="3502" spans="3:30">
      <c r="C3502" s="43" t="s">
        <v>6504</v>
      </c>
      <c r="D3502" s="44" t="s">
        <v>6505</v>
      </c>
      <c r="E3502" s="44"/>
      <c r="F3502" s="45">
        <v>42835.127129629625</v>
      </c>
      <c r="G3502" s="46">
        <v>17</v>
      </c>
      <c r="H3502" s="47">
        <v>43372</v>
      </c>
      <c r="I3502" s="47">
        <v>43385</v>
      </c>
      <c r="J3502" s="46">
        <v>1288680</v>
      </c>
      <c r="K3502" s="46">
        <v>0</v>
      </c>
      <c r="L3502" s="46">
        <v>0</v>
      </c>
      <c r="M3502" s="46">
        <f t="shared" si="950"/>
        <v>1288680</v>
      </c>
      <c r="N3502" s="46">
        <v>1288680</v>
      </c>
      <c r="O3502" s="48">
        <f t="shared" si="951"/>
        <v>0</v>
      </c>
      <c r="P3502" s="46">
        <v>0</v>
      </c>
      <c r="Q3502" s="46">
        <v>1288680</v>
      </c>
      <c r="R3502" s="49">
        <f t="shared" si="952"/>
        <v>1</v>
      </c>
      <c r="S3502" s="50">
        <f t="shared" si="953"/>
        <v>0.01</v>
      </c>
      <c r="T3502" s="49">
        <f t="shared" si="954"/>
        <v>12886.800000000001</v>
      </c>
      <c r="U3502" s="51">
        <f t="shared" si="955"/>
        <v>0</v>
      </c>
      <c r="V3502" s="52">
        <f>IF(0&lt;0.8,0,IF(0&lt;1,Sheet3!L561,1))*IF(G3502&lt;3,0.12 - O3502,0.01) *U3502</f>
        <v>0</v>
      </c>
      <c r="W3502" s="52">
        <f t="shared" si="956"/>
        <v>0</v>
      </c>
      <c r="X3502" s="53">
        <f t="shared" si="957"/>
        <v>0</v>
      </c>
      <c r="Y3502" s="53">
        <f t="shared" si="958"/>
        <v>0</v>
      </c>
      <c r="Z3502" s="54">
        <f t="shared" si="963"/>
        <v>0</v>
      </c>
      <c r="AA3502" s="54">
        <f t="shared" si="959"/>
        <v>0</v>
      </c>
      <c r="AB3502" s="55">
        <f t="shared" si="964"/>
        <v>0</v>
      </c>
      <c r="AC3502" s="55">
        <f t="shared" si="960"/>
        <v>0</v>
      </c>
      <c r="AD3502" s="56">
        <f t="shared" si="961"/>
        <v>12886.800000000001</v>
      </c>
    </row>
    <row r="3503" spans="3:30">
      <c r="C3503" s="43" t="s">
        <v>6506</v>
      </c>
      <c r="D3503" s="44" t="s">
        <v>6507</v>
      </c>
      <c r="E3503" s="44"/>
      <c r="F3503" s="45">
        <v>42842.070787037039</v>
      </c>
      <c r="G3503" s="46">
        <v>17</v>
      </c>
      <c r="H3503" s="47">
        <v>43388</v>
      </c>
      <c r="I3503" s="47">
        <v>43391</v>
      </c>
      <c r="J3503" s="46">
        <v>482000</v>
      </c>
      <c r="K3503" s="46">
        <v>0</v>
      </c>
      <c r="L3503" s="46">
        <v>0</v>
      </c>
      <c r="M3503" s="46">
        <f t="shared" si="950"/>
        <v>482000</v>
      </c>
      <c r="N3503" s="46">
        <v>482000</v>
      </c>
      <c r="O3503" s="48">
        <f t="shared" si="951"/>
        <v>0</v>
      </c>
      <c r="P3503" s="46">
        <v>0</v>
      </c>
      <c r="Q3503" s="46">
        <v>482000</v>
      </c>
      <c r="R3503" s="49">
        <f t="shared" si="952"/>
        <v>1</v>
      </c>
      <c r="S3503" s="50">
        <f t="shared" si="953"/>
        <v>0.01</v>
      </c>
      <c r="T3503" s="49">
        <f t="shared" si="954"/>
        <v>4820</v>
      </c>
      <c r="U3503" s="51">
        <f t="shared" si="955"/>
        <v>0</v>
      </c>
      <c r="V3503" s="52">
        <f>IF(0&lt;0.8,0,IF(0&lt;1,Sheet3!L561,1))*IF(G3503&lt;3,0.12 - O3503,0.01) *U3503</f>
        <v>0</v>
      </c>
      <c r="W3503" s="52">
        <f t="shared" si="956"/>
        <v>0</v>
      </c>
      <c r="X3503" s="53">
        <f t="shared" si="957"/>
        <v>0</v>
      </c>
      <c r="Y3503" s="53">
        <f t="shared" si="958"/>
        <v>0</v>
      </c>
      <c r="Z3503" s="54">
        <f t="shared" si="963"/>
        <v>0</v>
      </c>
      <c r="AA3503" s="54">
        <f t="shared" si="959"/>
        <v>0</v>
      </c>
      <c r="AB3503" s="55">
        <f t="shared" si="964"/>
        <v>0</v>
      </c>
      <c r="AC3503" s="55">
        <f t="shared" si="960"/>
        <v>0</v>
      </c>
      <c r="AD3503" s="56">
        <f t="shared" si="961"/>
        <v>4820</v>
      </c>
    </row>
    <row r="3504" spans="3:30">
      <c r="C3504" s="43" t="s">
        <v>6508</v>
      </c>
      <c r="D3504" s="44" t="s">
        <v>6509</v>
      </c>
      <c r="E3504" s="44"/>
      <c r="F3504" s="45">
        <v>42847.29819444444</v>
      </c>
      <c r="G3504" s="46">
        <v>17</v>
      </c>
      <c r="H3504" s="47">
        <v>43372</v>
      </c>
      <c r="I3504" s="47">
        <v>43405</v>
      </c>
      <c r="J3504" s="46">
        <v>66800</v>
      </c>
      <c r="K3504" s="46">
        <v>0</v>
      </c>
      <c r="L3504" s="46">
        <v>0</v>
      </c>
      <c r="M3504" s="46">
        <f t="shared" si="950"/>
        <v>66800</v>
      </c>
      <c r="N3504" s="46">
        <v>66800</v>
      </c>
      <c r="O3504" s="48">
        <f t="shared" si="951"/>
        <v>0</v>
      </c>
      <c r="P3504" s="46">
        <v>0</v>
      </c>
      <c r="Q3504" s="46">
        <v>66800</v>
      </c>
      <c r="R3504" s="49">
        <f t="shared" si="952"/>
        <v>1</v>
      </c>
      <c r="S3504" s="50">
        <f t="shared" si="953"/>
        <v>0.01</v>
      </c>
      <c r="T3504" s="49">
        <f t="shared" si="954"/>
        <v>668</v>
      </c>
      <c r="U3504" s="51">
        <f t="shared" si="955"/>
        <v>0</v>
      </c>
      <c r="V3504" s="52">
        <f>IF(0&lt;0.8,0,IF(0&lt;1,Sheet3!L561,1))*IF(G3504&lt;3,0.12 - O3504,0.01) *U3504</f>
        <v>0</v>
      </c>
      <c r="W3504" s="52">
        <f t="shared" si="956"/>
        <v>0</v>
      </c>
      <c r="X3504" s="53">
        <f t="shared" si="957"/>
        <v>0</v>
      </c>
      <c r="Y3504" s="53">
        <f t="shared" si="958"/>
        <v>0</v>
      </c>
      <c r="Z3504" s="54">
        <f t="shared" si="963"/>
        <v>0</v>
      </c>
      <c r="AA3504" s="54">
        <f t="shared" si="959"/>
        <v>0</v>
      </c>
      <c r="AB3504" s="55">
        <f t="shared" si="964"/>
        <v>0</v>
      </c>
      <c r="AC3504" s="55">
        <f t="shared" si="960"/>
        <v>0</v>
      </c>
      <c r="AD3504" s="56">
        <f t="shared" si="961"/>
        <v>668</v>
      </c>
    </row>
    <row r="3505" spans="3:30">
      <c r="C3505" s="43" t="s">
        <v>6510</v>
      </c>
      <c r="D3505" s="44" t="s">
        <v>6511</v>
      </c>
      <c r="E3505" s="44"/>
      <c r="F3505" s="45">
        <v>42860.1403125</v>
      </c>
      <c r="G3505" s="46">
        <v>16</v>
      </c>
      <c r="H3505" s="47">
        <v>43372</v>
      </c>
      <c r="I3505" s="47">
        <v>43392</v>
      </c>
      <c r="J3505" s="46">
        <v>286530</v>
      </c>
      <c r="K3505" s="46">
        <v>0</v>
      </c>
      <c r="L3505" s="46">
        <v>0</v>
      </c>
      <c r="M3505" s="46">
        <f t="shared" si="950"/>
        <v>286530</v>
      </c>
      <c r="N3505" s="46">
        <v>286530</v>
      </c>
      <c r="O3505" s="48">
        <f t="shared" si="951"/>
        <v>0</v>
      </c>
      <c r="P3505" s="46">
        <v>0</v>
      </c>
      <c r="Q3505" s="46">
        <v>286530</v>
      </c>
      <c r="R3505" s="49">
        <f t="shared" si="952"/>
        <v>1</v>
      </c>
      <c r="S3505" s="50">
        <f t="shared" si="953"/>
        <v>0.01</v>
      </c>
      <c r="T3505" s="49">
        <f t="shared" si="954"/>
        <v>2865.3</v>
      </c>
      <c r="U3505" s="51">
        <f t="shared" si="955"/>
        <v>0</v>
      </c>
      <c r="V3505" s="52">
        <f>IF(0&lt;0.8,0,IF(0&lt;1,Sheet3!L561,1))*IF(G3505&lt;3,0.12 - O3505,0.01) *U3505</f>
        <v>0</v>
      </c>
      <c r="W3505" s="52">
        <f t="shared" si="956"/>
        <v>0</v>
      </c>
      <c r="X3505" s="53">
        <f t="shared" si="957"/>
        <v>0</v>
      </c>
      <c r="Y3505" s="53">
        <f t="shared" si="958"/>
        <v>0</v>
      </c>
      <c r="Z3505" s="54">
        <f t="shared" si="963"/>
        <v>0</v>
      </c>
      <c r="AA3505" s="54">
        <f t="shared" si="959"/>
        <v>0</v>
      </c>
      <c r="AB3505" s="55">
        <f t="shared" si="964"/>
        <v>0</v>
      </c>
      <c r="AC3505" s="55">
        <f t="shared" si="960"/>
        <v>0</v>
      </c>
      <c r="AD3505" s="56">
        <f t="shared" si="961"/>
        <v>2865.3</v>
      </c>
    </row>
    <row r="3506" spans="3:30">
      <c r="C3506" s="43" t="s">
        <v>6512</v>
      </c>
      <c r="D3506" s="44" t="s">
        <v>6513</v>
      </c>
      <c r="E3506" s="44"/>
      <c r="F3506" s="45">
        <v>42867.10456018518</v>
      </c>
      <c r="G3506" s="46">
        <v>16</v>
      </c>
      <c r="H3506" s="47">
        <v>43379</v>
      </c>
      <c r="I3506" s="47">
        <v>43383</v>
      </c>
      <c r="J3506" s="46">
        <v>5604245</v>
      </c>
      <c r="K3506" s="46">
        <v>0</v>
      </c>
      <c r="L3506" s="46">
        <v>0</v>
      </c>
      <c r="M3506" s="46">
        <f t="shared" si="950"/>
        <v>5604245</v>
      </c>
      <c r="N3506" s="46">
        <v>5604245</v>
      </c>
      <c r="O3506" s="48">
        <f t="shared" si="951"/>
        <v>0</v>
      </c>
      <c r="P3506" s="46">
        <v>0</v>
      </c>
      <c r="Q3506" s="46">
        <v>5604245</v>
      </c>
      <c r="R3506" s="49">
        <f t="shared" si="952"/>
        <v>1</v>
      </c>
      <c r="S3506" s="50">
        <f t="shared" si="953"/>
        <v>0.01</v>
      </c>
      <c r="T3506" s="49">
        <f t="shared" si="954"/>
        <v>56042.450000000004</v>
      </c>
      <c r="U3506" s="51">
        <f t="shared" si="955"/>
        <v>0</v>
      </c>
      <c r="V3506" s="52">
        <f>IF(0&lt;0.8,0,IF(0&lt;1,Sheet3!L561,1))*IF(G3506&lt;3,0.12 - O3506,0.01) *U3506</f>
        <v>0</v>
      </c>
      <c r="W3506" s="52">
        <f t="shared" si="956"/>
        <v>0</v>
      </c>
      <c r="X3506" s="53">
        <f t="shared" si="957"/>
        <v>0</v>
      </c>
      <c r="Y3506" s="53">
        <f t="shared" si="958"/>
        <v>0</v>
      </c>
      <c r="Z3506" s="54">
        <f t="shared" si="963"/>
        <v>0</v>
      </c>
      <c r="AA3506" s="54">
        <f t="shared" si="959"/>
        <v>0</v>
      </c>
      <c r="AB3506" s="55">
        <f t="shared" si="964"/>
        <v>0</v>
      </c>
      <c r="AC3506" s="55">
        <f t="shared" si="960"/>
        <v>0</v>
      </c>
      <c r="AD3506" s="56">
        <f t="shared" si="961"/>
        <v>56042.450000000004</v>
      </c>
    </row>
    <row r="3507" spans="3:30">
      <c r="C3507" s="43" t="s">
        <v>6514</v>
      </c>
      <c r="D3507" s="44" t="s">
        <v>6515</v>
      </c>
      <c r="E3507" s="44"/>
      <c r="F3507" s="45">
        <v>42879.409097222218</v>
      </c>
      <c r="G3507" s="46">
        <v>16</v>
      </c>
      <c r="H3507" s="47">
        <v>43383</v>
      </c>
      <c r="I3507" s="47">
        <v>43451</v>
      </c>
      <c r="J3507" s="46">
        <v>2319630</v>
      </c>
      <c r="K3507" s="46">
        <v>0</v>
      </c>
      <c r="L3507" s="46">
        <v>0</v>
      </c>
      <c r="M3507" s="46">
        <f t="shared" ref="M3507:M3570" si="965">IFERROR(J3507-K3507-L3507,0)</f>
        <v>2319630</v>
      </c>
      <c r="N3507" s="46">
        <v>2319630</v>
      </c>
      <c r="O3507" s="48">
        <f t="shared" ref="O3507:O3570" si="966">IFERROR(IF(1 - M3507/N3507&lt;0,0,1-M3507/N3507),0)</f>
        <v>0</v>
      </c>
      <c r="P3507" s="46">
        <v>0</v>
      </c>
      <c r="Q3507" s="46">
        <v>2319630</v>
      </c>
      <c r="R3507" s="49">
        <f t="shared" ref="R3507:R3570" si="967">IF(F3507&lt;DATEVALUE("2018-07-01"),1,0)</f>
        <v>1</v>
      </c>
      <c r="S3507" s="50">
        <f t="shared" ref="S3507:S3570" si="968">IF(R3507=1,1%,0)</f>
        <v>0.01</v>
      </c>
      <c r="T3507" s="49">
        <f t="shared" ref="T3507:T3570" si="969">IFERROR(S3507*M3507,0)</f>
        <v>23196.3</v>
      </c>
      <c r="U3507" s="51">
        <f t="shared" ref="U3507:U3570" si="970">IF(O3507&lt;=0.12,1,0)*(1-R3507)*M3507</f>
        <v>0</v>
      </c>
      <c r="V3507" s="52">
        <f>IF(0&lt;0.8,0,IF(0&lt;1,Sheet3!L561,1))*IF(G3507&lt;3,0.12 - O3507,0.01) *U3507</f>
        <v>0</v>
      </c>
      <c r="W3507" s="52">
        <f t="shared" ref="W3507:W3570" si="971">IF(0&gt;1,IF(0&lt;=1.1,1,IF(0&lt;=1.2,2,IF(0&lt;=1.5,3,5))),0) * 1000000</f>
        <v>0</v>
      </c>
      <c r="X3507" s="53">
        <f t="shared" ref="X3507:X3570" si="972">IF(AND(P3507&gt;=150000000,P3507&lt;300000000),5000000,IF(AND(P3507&gt;=300000000,P3507&lt;500000000),10000000,IF(AND(P3507&gt;=300000000,P3507&lt;500000000),15000000,IF(AND(P3507&gt;=500000000,P3507&lt;3000000000),20000000,IF(P3507&gt;=30000000000,35000000,0))))) * (1-R3507)</f>
        <v>0</v>
      </c>
      <c r="Y3507" s="53">
        <f t="shared" ref="Y3507:Y3570" si="973">IFERROR(Q3507 * (1-R3507),0)</f>
        <v>0</v>
      </c>
      <c r="Z3507" s="54">
        <f t="shared" si="963"/>
        <v>0</v>
      </c>
      <c r="AA3507" s="54">
        <f t="shared" ref="AA3507:AA3570" si="974">IFERROR((1-R3507) * Z3507 * 2%,0)</f>
        <v>0</v>
      </c>
      <c r="AB3507" s="55">
        <f t="shared" si="964"/>
        <v>0</v>
      </c>
      <c r="AC3507" s="55">
        <f t="shared" ref="AC3507:AC3570" si="975">IFERROR(AB3507 * (1-R3507) * 2%,0)</f>
        <v>0</v>
      </c>
      <c r="AD3507" s="56">
        <f t="shared" ref="AD3507:AD3570" si="976">T3507+V3507+W3507+X3507+AA3507+AC3507</f>
        <v>23196.3</v>
      </c>
    </row>
    <row r="3508" spans="3:30">
      <c r="C3508" s="43" t="s">
        <v>6516</v>
      </c>
      <c r="D3508" s="44" t="s">
        <v>6517</v>
      </c>
      <c r="E3508" s="44"/>
      <c r="F3508" s="45">
        <v>42902.111261574071</v>
      </c>
      <c r="G3508" s="46">
        <v>15</v>
      </c>
      <c r="H3508" s="47">
        <v>43397</v>
      </c>
      <c r="I3508" s="47">
        <v>43397</v>
      </c>
      <c r="J3508" s="46">
        <v>5653800</v>
      </c>
      <c r="K3508" s="46">
        <v>0</v>
      </c>
      <c r="L3508" s="46">
        <v>0</v>
      </c>
      <c r="M3508" s="46">
        <f t="shared" si="965"/>
        <v>5653800</v>
      </c>
      <c r="N3508" s="46">
        <v>8588360</v>
      </c>
      <c r="O3508" s="48">
        <f t="shared" si="966"/>
        <v>0.34169038093419468</v>
      </c>
      <c r="P3508" s="46">
        <v>0</v>
      </c>
      <c r="Q3508" s="46">
        <v>5653800</v>
      </c>
      <c r="R3508" s="49">
        <f t="shared" si="967"/>
        <v>1</v>
      </c>
      <c r="S3508" s="50">
        <f t="shared" si="968"/>
        <v>0.01</v>
      </c>
      <c r="T3508" s="49">
        <f t="shared" si="969"/>
        <v>56538</v>
      </c>
      <c r="U3508" s="51">
        <f t="shared" si="970"/>
        <v>0</v>
      </c>
      <c r="V3508" s="52">
        <f>IF(0&lt;0.8,0,IF(0&lt;1,Sheet3!L561,1))*IF(G3508&lt;3,0.12 - O3508,0.01) *U3508</f>
        <v>0</v>
      </c>
      <c r="W3508" s="52">
        <f t="shared" si="971"/>
        <v>0</v>
      </c>
      <c r="X3508" s="53">
        <f t="shared" si="972"/>
        <v>0</v>
      </c>
      <c r="Y3508" s="53">
        <f t="shared" si="973"/>
        <v>0</v>
      </c>
      <c r="Z3508" s="54">
        <f t="shared" si="963"/>
        <v>0</v>
      </c>
      <c r="AA3508" s="54">
        <f t="shared" si="974"/>
        <v>0</v>
      </c>
      <c r="AB3508" s="55">
        <f t="shared" si="964"/>
        <v>0</v>
      </c>
      <c r="AC3508" s="55">
        <f t="shared" si="975"/>
        <v>0</v>
      </c>
      <c r="AD3508" s="56">
        <f t="shared" si="976"/>
        <v>56538</v>
      </c>
    </row>
    <row r="3509" spans="3:30">
      <c r="C3509" s="43" t="s">
        <v>6518</v>
      </c>
      <c r="D3509" s="44" t="s">
        <v>6519</v>
      </c>
      <c r="E3509" s="44"/>
      <c r="F3509" s="45">
        <v>42930.156655092593</v>
      </c>
      <c r="G3509" s="46">
        <v>14</v>
      </c>
      <c r="H3509" s="47">
        <v>43372</v>
      </c>
      <c r="I3509" s="47">
        <v>43382</v>
      </c>
      <c r="J3509" s="46">
        <v>5100827</v>
      </c>
      <c r="K3509" s="46">
        <v>0</v>
      </c>
      <c r="L3509" s="46">
        <v>0</v>
      </c>
      <c r="M3509" s="46">
        <f t="shared" si="965"/>
        <v>5100827</v>
      </c>
      <c r="N3509" s="46">
        <v>5062799</v>
      </c>
      <c r="O3509" s="48">
        <f t="shared" si="966"/>
        <v>0</v>
      </c>
      <c r="P3509" s="46">
        <v>0</v>
      </c>
      <c r="Q3509" s="46">
        <v>5100827</v>
      </c>
      <c r="R3509" s="49">
        <f t="shared" si="967"/>
        <v>1</v>
      </c>
      <c r="S3509" s="50">
        <f t="shared" si="968"/>
        <v>0.01</v>
      </c>
      <c r="T3509" s="49">
        <f t="shared" si="969"/>
        <v>51008.270000000004</v>
      </c>
      <c r="U3509" s="51">
        <f t="shared" si="970"/>
        <v>0</v>
      </c>
      <c r="V3509" s="52">
        <f>IF(0&lt;0.8,0,IF(0&lt;1,Sheet3!L561,1))*IF(G3509&lt;3,0.12 - O3509,0.01) *U3509</f>
        <v>0</v>
      </c>
      <c r="W3509" s="52">
        <f t="shared" si="971"/>
        <v>0</v>
      </c>
      <c r="X3509" s="53">
        <f t="shared" si="972"/>
        <v>0</v>
      </c>
      <c r="Y3509" s="53">
        <f t="shared" si="973"/>
        <v>0</v>
      </c>
      <c r="Z3509" s="54">
        <f t="shared" si="963"/>
        <v>0</v>
      </c>
      <c r="AA3509" s="54">
        <f t="shared" si="974"/>
        <v>0</v>
      </c>
      <c r="AB3509" s="55">
        <f t="shared" si="964"/>
        <v>0</v>
      </c>
      <c r="AC3509" s="55">
        <f t="shared" si="975"/>
        <v>0</v>
      </c>
      <c r="AD3509" s="56">
        <f t="shared" si="976"/>
        <v>51008.270000000004</v>
      </c>
    </row>
    <row r="3510" spans="3:30">
      <c r="C3510" s="43" t="s">
        <v>6520</v>
      </c>
      <c r="D3510" s="44" t="s">
        <v>6521</v>
      </c>
      <c r="E3510" s="44"/>
      <c r="F3510" s="45">
        <v>42935.27480324074</v>
      </c>
      <c r="G3510" s="46">
        <v>14</v>
      </c>
      <c r="H3510" s="47">
        <v>43392</v>
      </c>
      <c r="I3510" s="47">
        <v>43399</v>
      </c>
      <c r="J3510" s="46">
        <v>3669946</v>
      </c>
      <c r="K3510" s="46">
        <v>0</v>
      </c>
      <c r="L3510" s="46">
        <v>0</v>
      </c>
      <c r="M3510" s="46">
        <f t="shared" si="965"/>
        <v>3669946</v>
      </c>
      <c r="N3510" s="46">
        <v>3669946</v>
      </c>
      <c r="O3510" s="48">
        <f t="shared" si="966"/>
        <v>0</v>
      </c>
      <c r="P3510" s="46">
        <v>0</v>
      </c>
      <c r="Q3510" s="46">
        <v>3669946</v>
      </c>
      <c r="R3510" s="49">
        <f t="shared" si="967"/>
        <v>1</v>
      </c>
      <c r="S3510" s="50">
        <f t="shared" si="968"/>
        <v>0.01</v>
      </c>
      <c r="T3510" s="49">
        <f t="shared" si="969"/>
        <v>36699.46</v>
      </c>
      <c r="U3510" s="51">
        <f t="shared" si="970"/>
        <v>0</v>
      </c>
      <c r="V3510" s="52">
        <f>IF(0&lt;0.8,0,IF(0&lt;1,Sheet3!L561,1))*IF(G3510&lt;3,0.12 - O3510,0.01) *U3510</f>
        <v>0</v>
      </c>
      <c r="W3510" s="52">
        <f t="shared" si="971"/>
        <v>0</v>
      </c>
      <c r="X3510" s="53">
        <f t="shared" si="972"/>
        <v>0</v>
      </c>
      <c r="Y3510" s="53">
        <f t="shared" si="973"/>
        <v>0</v>
      </c>
      <c r="Z3510" s="54">
        <f t="shared" si="963"/>
        <v>0</v>
      </c>
      <c r="AA3510" s="54">
        <f t="shared" si="974"/>
        <v>0</v>
      </c>
      <c r="AB3510" s="55">
        <f t="shared" si="964"/>
        <v>0</v>
      </c>
      <c r="AC3510" s="55">
        <f t="shared" si="975"/>
        <v>0</v>
      </c>
      <c r="AD3510" s="56">
        <f t="shared" si="976"/>
        <v>36699.46</v>
      </c>
    </row>
    <row r="3511" spans="3:30">
      <c r="C3511" s="43" t="s">
        <v>6522</v>
      </c>
      <c r="D3511" s="44" t="s">
        <v>6523</v>
      </c>
      <c r="E3511" s="44"/>
      <c r="F3511" s="45">
        <v>42954.278078703705</v>
      </c>
      <c r="G3511" s="46">
        <v>13</v>
      </c>
      <c r="H3511" s="47">
        <v>43372</v>
      </c>
      <c r="I3511" s="47">
        <v>43383</v>
      </c>
      <c r="J3511" s="46">
        <v>245260</v>
      </c>
      <c r="K3511" s="46">
        <v>0</v>
      </c>
      <c r="L3511" s="46">
        <v>0</v>
      </c>
      <c r="M3511" s="46">
        <f t="shared" si="965"/>
        <v>245260</v>
      </c>
      <c r="N3511" s="46">
        <v>245260</v>
      </c>
      <c r="O3511" s="48">
        <f t="shared" si="966"/>
        <v>0</v>
      </c>
      <c r="P3511" s="46">
        <v>0</v>
      </c>
      <c r="Q3511" s="46">
        <v>245260</v>
      </c>
      <c r="R3511" s="49">
        <f t="shared" si="967"/>
        <v>1</v>
      </c>
      <c r="S3511" s="50">
        <f t="shared" si="968"/>
        <v>0.01</v>
      </c>
      <c r="T3511" s="49">
        <f t="shared" si="969"/>
        <v>2452.6</v>
      </c>
      <c r="U3511" s="51">
        <f t="shared" si="970"/>
        <v>0</v>
      </c>
      <c r="V3511" s="52">
        <f>IF(0&lt;0.8,0,IF(0&lt;1,Sheet3!L561,1))*IF(G3511&lt;3,0.12 - O3511,0.01) *U3511</f>
        <v>0</v>
      </c>
      <c r="W3511" s="52">
        <f t="shared" si="971"/>
        <v>0</v>
      </c>
      <c r="X3511" s="53">
        <f t="shared" si="972"/>
        <v>0</v>
      </c>
      <c r="Y3511" s="53">
        <f t="shared" si="973"/>
        <v>0</v>
      </c>
      <c r="Z3511" s="54">
        <f t="shared" si="963"/>
        <v>0</v>
      </c>
      <c r="AA3511" s="54">
        <f t="shared" si="974"/>
        <v>0</v>
      </c>
      <c r="AB3511" s="55">
        <f t="shared" si="964"/>
        <v>0</v>
      </c>
      <c r="AC3511" s="55">
        <f t="shared" si="975"/>
        <v>0</v>
      </c>
      <c r="AD3511" s="56">
        <f t="shared" si="976"/>
        <v>2452.6</v>
      </c>
    </row>
    <row r="3512" spans="3:30">
      <c r="C3512" s="43" t="s">
        <v>6524</v>
      </c>
      <c r="D3512" s="44" t="s">
        <v>6525</v>
      </c>
      <c r="E3512" s="44"/>
      <c r="F3512" s="45">
        <v>43007.289814814816</v>
      </c>
      <c r="G3512" s="46">
        <v>12</v>
      </c>
      <c r="H3512" s="47">
        <v>43364</v>
      </c>
      <c r="I3512" s="47">
        <v>43376</v>
      </c>
      <c r="J3512" s="46">
        <v>21000</v>
      </c>
      <c r="K3512" s="46">
        <v>0</v>
      </c>
      <c r="L3512" s="46">
        <v>0</v>
      </c>
      <c r="M3512" s="46">
        <f t="shared" si="965"/>
        <v>21000</v>
      </c>
      <c r="N3512" s="46">
        <v>20534</v>
      </c>
      <c r="O3512" s="48">
        <f t="shared" si="966"/>
        <v>0</v>
      </c>
      <c r="P3512" s="46">
        <v>0</v>
      </c>
      <c r="Q3512" s="46">
        <v>21000</v>
      </c>
      <c r="R3512" s="49">
        <f t="shared" si="967"/>
        <v>1</v>
      </c>
      <c r="S3512" s="50">
        <f t="shared" si="968"/>
        <v>0.01</v>
      </c>
      <c r="T3512" s="49">
        <f t="shared" si="969"/>
        <v>210</v>
      </c>
      <c r="U3512" s="51">
        <f t="shared" si="970"/>
        <v>0</v>
      </c>
      <c r="V3512" s="52">
        <f>IF(0&lt;0.8,0,IF(0&lt;1,Sheet3!L561,1))*IF(G3512&lt;3,0.12 - O3512,0.01) *U3512</f>
        <v>0</v>
      </c>
      <c r="W3512" s="52">
        <f t="shared" si="971"/>
        <v>0</v>
      </c>
      <c r="X3512" s="53">
        <f t="shared" si="972"/>
        <v>0</v>
      </c>
      <c r="Y3512" s="53">
        <f t="shared" si="973"/>
        <v>0</v>
      </c>
      <c r="Z3512" s="54">
        <f t="shared" si="963"/>
        <v>0</v>
      </c>
      <c r="AA3512" s="54">
        <f t="shared" si="974"/>
        <v>0</v>
      </c>
      <c r="AB3512" s="55">
        <f t="shared" si="964"/>
        <v>0</v>
      </c>
      <c r="AC3512" s="55">
        <f t="shared" si="975"/>
        <v>0</v>
      </c>
      <c r="AD3512" s="56">
        <f t="shared" si="976"/>
        <v>210</v>
      </c>
    </row>
    <row r="3513" spans="3:30">
      <c r="C3513" s="43" t="s">
        <v>6526</v>
      </c>
      <c r="D3513" s="44" t="s">
        <v>6527</v>
      </c>
      <c r="E3513" s="44"/>
      <c r="F3513" s="45">
        <v>43035.313472222224</v>
      </c>
      <c r="G3513" s="46">
        <v>11</v>
      </c>
      <c r="H3513" s="47">
        <v>43372</v>
      </c>
      <c r="I3513" s="47">
        <v>43389</v>
      </c>
      <c r="J3513" s="46">
        <v>1030401</v>
      </c>
      <c r="K3513" s="46">
        <v>0</v>
      </c>
      <c r="L3513" s="46">
        <v>0</v>
      </c>
      <c r="M3513" s="46">
        <f t="shared" si="965"/>
        <v>1030401</v>
      </c>
      <c r="N3513" s="46">
        <v>1039664</v>
      </c>
      <c r="O3513" s="48">
        <f t="shared" si="966"/>
        <v>8.9096092583758058E-3</v>
      </c>
      <c r="P3513" s="46">
        <v>0</v>
      </c>
      <c r="Q3513" s="46">
        <v>1030401</v>
      </c>
      <c r="R3513" s="49">
        <f t="shared" si="967"/>
        <v>1</v>
      </c>
      <c r="S3513" s="50">
        <f t="shared" si="968"/>
        <v>0.01</v>
      </c>
      <c r="T3513" s="49">
        <f t="shared" si="969"/>
        <v>10304.01</v>
      </c>
      <c r="U3513" s="51">
        <f t="shared" si="970"/>
        <v>0</v>
      </c>
      <c r="V3513" s="52">
        <f>IF(0&lt;0.8,0,IF(0&lt;1,Sheet3!L561,1))*IF(G3513&lt;3,0.12 - O3513,0.01) *U3513</f>
        <v>0</v>
      </c>
      <c r="W3513" s="52">
        <f t="shared" si="971"/>
        <v>0</v>
      </c>
      <c r="X3513" s="53">
        <f t="shared" si="972"/>
        <v>0</v>
      </c>
      <c r="Y3513" s="53">
        <f t="shared" si="973"/>
        <v>0</v>
      </c>
      <c r="Z3513" s="54">
        <f t="shared" si="963"/>
        <v>0</v>
      </c>
      <c r="AA3513" s="54">
        <f t="shared" si="974"/>
        <v>0</v>
      </c>
      <c r="AB3513" s="55">
        <f t="shared" si="964"/>
        <v>0</v>
      </c>
      <c r="AC3513" s="55">
        <f t="shared" si="975"/>
        <v>0</v>
      </c>
      <c r="AD3513" s="56">
        <f t="shared" si="976"/>
        <v>10304.01</v>
      </c>
    </row>
    <row r="3514" spans="3:30">
      <c r="C3514" s="43" t="s">
        <v>6528</v>
      </c>
      <c r="D3514" s="44" t="s">
        <v>6529</v>
      </c>
      <c r="E3514" s="44"/>
      <c r="F3514" s="45">
        <v>43095.274236111109</v>
      </c>
      <c r="G3514" s="46">
        <v>9</v>
      </c>
      <c r="H3514" s="47" t="s">
        <v>24</v>
      </c>
      <c r="I3514" s="47" t="s">
        <v>24</v>
      </c>
      <c r="J3514" s="46">
        <v>1017000</v>
      </c>
      <c r="K3514" s="46">
        <v>0</v>
      </c>
      <c r="L3514" s="46">
        <v>0</v>
      </c>
      <c r="M3514" s="46">
        <f t="shared" si="965"/>
        <v>1017000</v>
      </c>
      <c r="N3514" s="46">
        <v>1316040</v>
      </c>
      <c r="O3514" s="48">
        <f t="shared" si="966"/>
        <v>0.22722713595331445</v>
      </c>
      <c r="P3514" s="46">
        <v>0</v>
      </c>
      <c r="Q3514" s="46">
        <v>1017000</v>
      </c>
      <c r="R3514" s="49">
        <f t="shared" si="967"/>
        <v>1</v>
      </c>
      <c r="S3514" s="50">
        <f t="shared" si="968"/>
        <v>0.01</v>
      </c>
      <c r="T3514" s="49">
        <f t="shared" si="969"/>
        <v>10170</v>
      </c>
      <c r="U3514" s="51">
        <f t="shared" si="970"/>
        <v>0</v>
      </c>
      <c r="V3514" s="52">
        <f>IF(0&lt;0.8,0,IF(0&lt;1,Sheet3!L561,1))*IF(G3514&lt;3,0.12 - O3514,0.01) *U3514</f>
        <v>0</v>
      </c>
      <c r="W3514" s="52">
        <f t="shared" si="971"/>
        <v>0</v>
      </c>
      <c r="X3514" s="53">
        <f t="shared" si="972"/>
        <v>0</v>
      </c>
      <c r="Y3514" s="53">
        <f t="shared" si="973"/>
        <v>0</v>
      </c>
      <c r="Z3514" s="54">
        <f t="shared" si="963"/>
        <v>0</v>
      </c>
      <c r="AA3514" s="54">
        <f t="shared" si="974"/>
        <v>0</v>
      </c>
      <c r="AB3514" s="55">
        <f t="shared" si="964"/>
        <v>0</v>
      </c>
      <c r="AC3514" s="55">
        <f t="shared" si="975"/>
        <v>0</v>
      </c>
      <c r="AD3514" s="56">
        <f t="shared" si="976"/>
        <v>10170</v>
      </c>
    </row>
    <row r="3515" spans="3:30">
      <c r="C3515" s="43" t="s">
        <v>6530</v>
      </c>
      <c r="D3515" s="44" t="s">
        <v>6531</v>
      </c>
      <c r="E3515" s="44"/>
      <c r="F3515" s="45">
        <v>43119.397847222222</v>
      </c>
      <c r="G3515" s="46">
        <v>8</v>
      </c>
      <c r="H3515" s="47">
        <v>43372</v>
      </c>
      <c r="I3515" s="47">
        <v>43385</v>
      </c>
      <c r="J3515" s="46">
        <v>595000</v>
      </c>
      <c r="K3515" s="46">
        <v>0</v>
      </c>
      <c r="L3515" s="46">
        <v>0</v>
      </c>
      <c r="M3515" s="46">
        <f t="shared" si="965"/>
        <v>595000</v>
      </c>
      <c r="N3515" s="46">
        <v>595000</v>
      </c>
      <c r="O3515" s="48">
        <f t="shared" si="966"/>
        <v>0</v>
      </c>
      <c r="P3515" s="46">
        <v>0</v>
      </c>
      <c r="Q3515" s="46">
        <v>595000</v>
      </c>
      <c r="R3515" s="49">
        <f t="shared" si="967"/>
        <v>1</v>
      </c>
      <c r="S3515" s="50">
        <f t="shared" si="968"/>
        <v>0.01</v>
      </c>
      <c r="T3515" s="49">
        <f t="shared" si="969"/>
        <v>5950</v>
      </c>
      <c r="U3515" s="51">
        <f t="shared" si="970"/>
        <v>0</v>
      </c>
      <c r="V3515" s="52">
        <f>IF(0&lt;0.8,0,IF(0&lt;1,Sheet3!L561,1))*IF(G3515&lt;3,0.12 - O3515,0.01) *U3515</f>
        <v>0</v>
      </c>
      <c r="W3515" s="52">
        <f t="shared" si="971"/>
        <v>0</v>
      </c>
      <c r="X3515" s="53">
        <f t="shared" si="972"/>
        <v>0</v>
      </c>
      <c r="Y3515" s="53">
        <f t="shared" si="973"/>
        <v>0</v>
      </c>
      <c r="Z3515" s="54">
        <f t="shared" si="963"/>
        <v>0</v>
      </c>
      <c r="AA3515" s="54">
        <f t="shared" si="974"/>
        <v>0</v>
      </c>
      <c r="AB3515" s="55">
        <f t="shared" si="964"/>
        <v>0</v>
      </c>
      <c r="AC3515" s="55">
        <f t="shared" si="975"/>
        <v>0</v>
      </c>
      <c r="AD3515" s="56">
        <f t="shared" si="976"/>
        <v>5950</v>
      </c>
    </row>
    <row r="3516" spans="3:30">
      <c r="C3516" s="43" t="s">
        <v>6532</v>
      </c>
      <c r="D3516" s="44" t="s">
        <v>6533</v>
      </c>
      <c r="E3516" s="44"/>
      <c r="F3516" s="45">
        <v>43122.089259259257</v>
      </c>
      <c r="G3516" s="46">
        <v>8</v>
      </c>
      <c r="H3516" s="47">
        <v>43396</v>
      </c>
      <c r="I3516" s="47">
        <v>43403</v>
      </c>
      <c r="J3516" s="46">
        <v>1304831</v>
      </c>
      <c r="K3516" s="46">
        <v>0</v>
      </c>
      <c r="L3516" s="46">
        <v>0</v>
      </c>
      <c r="M3516" s="46">
        <f t="shared" si="965"/>
        <v>1304831</v>
      </c>
      <c r="N3516" s="46">
        <v>1296233</v>
      </c>
      <c r="O3516" s="48">
        <f t="shared" si="966"/>
        <v>0</v>
      </c>
      <c r="P3516" s="46">
        <v>0</v>
      </c>
      <c r="Q3516" s="46">
        <v>1304831</v>
      </c>
      <c r="R3516" s="49">
        <f t="shared" si="967"/>
        <v>1</v>
      </c>
      <c r="S3516" s="50">
        <f t="shared" si="968"/>
        <v>0.01</v>
      </c>
      <c r="T3516" s="49">
        <f t="shared" si="969"/>
        <v>13048.31</v>
      </c>
      <c r="U3516" s="51">
        <f t="shared" si="970"/>
        <v>0</v>
      </c>
      <c r="V3516" s="52">
        <f>IF(0&lt;0.8,0,IF(0&lt;1,Sheet3!L561,1))*IF(G3516&lt;3,0.12 - O3516,0.01) *U3516</f>
        <v>0</v>
      </c>
      <c r="W3516" s="52">
        <f t="shared" si="971"/>
        <v>0</v>
      </c>
      <c r="X3516" s="53">
        <f t="shared" si="972"/>
        <v>0</v>
      </c>
      <c r="Y3516" s="53">
        <f t="shared" si="973"/>
        <v>0</v>
      </c>
      <c r="Z3516" s="54">
        <f t="shared" si="963"/>
        <v>0</v>
      </c>
      <c r="AA3516" s="54">
        <f t="shared" si="974"/>
        <v>0</v>
      </c>
      <c r="AB3516" s="55">
        <f t="shared" si="964"/>
        <v>0</v>
      </c>
      <c r="AC3516" s="55">
        <f t="shared" si="975"/>
        <v>0</v>
      </c>
      <c r="AD3516" s="56">
        <f t="shared" si="976"/>
        <v>13048.31</v>
      </c>
    </row>
    <row r="3517" spans="3:30">
      <c r="C3517" s="43" t="s">
        <v>6534</v>
      </c>
      <c r="D3517" s="44" t="s">
        <v>6535</v>
      </c>
      <c r="E3517" s="44"/>
      <c r="F3517" s="45">
        <v>43131.431724537033</v>
      </c>
      <c r="G3517" s="46">
        <v>8</v>
      </c>
      <c r="H3517" s="47" t="s">
        <v>24</v>
      </c>
      <c r="I3517" s="47" t="s">
        <v>24</v>
      </c>
      <c r="J3517" s="46">
        <v>1736000</v>
      </c>
      <c r="K3517" s="46">
        <v>0</v>
      </c>
      <c r="L3517" s="46">
        <v>0</v>
      </c>
      <c r="M3517" s="46">
        <f t="shared" si="965"/>
        <v>1736000</v>
      </c>
      <c r="N3517" s="46">
        <v>1734920</v>
      </c>
      <c r="O3517" s="48">
        <f t="shared" si="966"/>
        <v>0</v>
      </c>
      <c r="P3517" s="46">
        <v>0</v>
      </c>
      <c r="Q3517" s="46">
        <v>1736000</v>
      </c>
      <c r="R3517" s="49">
        <f t="shared" si="967"/>
        <v>1</v>
      </c>
      <c r="S3517" s="50">
        <f t="shared" si="968"/>
        <v>0.01</v>
      </c>
      <c r="T3517" s="49">
        <f t="shared" si="969"/>
        <v>17360</v>
      </c>
      <c r="U3517" s="51">
        <f t="shared" si="970"/>
        <v>0</v>
      </c>
      <c r="V3517" s="52">
        <f>IF(0&lt;0.8,0,IF(0&lt;1,Sheet3!L561,1))*IF(G3517&lt;3,0.12 - O3517,0.01) *U3517</f>
        <v>0</v>
      </c>
      <c r="W3517" s="52">
        <f t="shared" si="971"/>
        <v>0</v>
      </c>
      <c r="X3517" s="53">
        <f t="shared" si="972"/>
        <v>0</v>
      </c>
      <c r="Y3517" s="53">
        <f t="shared" si="973"/>
        <v>0</v>
      </c>
      <c r="Z3517" s="54">
        <f t="shared" si="963"/>
        <v>0</v>
      </c>
      <c r="AA3517" s="54">
        <f t="shared" si="974"/>
        <v>0</v>
      </c>
      <c r="AB3517" s="55">
        <f t="shared" si="964"/>
        <v>0</v>
      </c>
      <c r="AC3517" s="55">
        <f t="shared" si="975"/>
        <v>0</v>
      </c>
      <c r="AD3517" s="56">
        <f t="shared" si="976"/>
        <v>17360</v>
      </c>
    </row>
    <row r="3518" spans="3:30">
      <c r="C3518" s="43" t="s">
        <v>6536</v>
      </c>
      <c r="D3518" s="44" t="s">
        <v>6537</v>
      </c>
      <c r="E3518" s="44"/>
      <c r="F3518" s="45">
        <v>43134.453263888885</v>
      </c>
      <c r="G3518" s="46">
        <v>7</v>
      </c>
      <c r="H3518" s="47">
        <v>43372</v>
      </c>
      <c r="I3518" s="47">
        <v>43390</v>
      </c>
      <c r="J3518" s="46">
        <v>267701</v>
      </c>
      <c r="K3518" s="46">
        <v>0</v>
      </c>
      <c r="L3518" s="46">
        <v>0</v>
      </c>
      <c r="M3518" s="46">
        <f t="shared" si="965"/>
        <v>267701</v>
      </c>
      <c r="N3518" s="46">
        <v>267701</v>
      </c>
      <c r="O3518" s="48">
        <f t="shared" si="966"/>
        <v>0</v>
      </c>
      <c r="P3518" s="46">
        <v>0</v>
      </c>
      <c r="Q3518" s="46">
        <v>267701</v>
      </c>
      <c r="R3518" s="49">
        <f t="shared" si="967"/>
        <v>1</v>
      </c>
      <c r="S3518" s="50">
        <f t="shared" si="968"/>
        <v>0.01</v>
      </c>
      <c r="T3518" s="49">
        <f t="shared" si="969"/>
        <v>2677.01</v>
      </c>
      <c r="U3518" s="51">
        <f t="shared" si="970"/>
        <v>0</v>
      </c>
      <c r="V3518" s="52">
        <f>IF(0&lt;0.8,0,IF(0&lt;1,Sheet3!L561,1))*IF(G3518&lt;3,0.12 - O3518,0.01) *U3518</f>
        <v>0</v>
      </c>
      <c r="W3518" s="52">
        <f t="shared" si="971"/>
        <v>0</v>
      </c>
      <c r="X3518" s="53">
        <f t="shared" si="972"/>
        <v>0</v>
      </c>
      <c r="Y3518" s="53">
        <f t="shared" si="973"/>
        <v>0</v>
      </c>
      <c r="Z3518" s="54">
        <f t="shared" si="963"/>
        <v>0</v>
      </c>
      <c r="AA3518" s="54">
        <f t="shared" si="974"/>
        <v>0</v>
      </c>
      <c r="AB3518" s="55">
        <f t="shared" si="964"/>
        <v>0</v>
      </c>
      <c r="AC3518" s="55">
        <f t="shared" si="975"/>
        <v>0</v>
      </c>
      <c r="AD3518" s="56">
        <f t="shared" si="976"/>
        <v>2677.01</v>
      </c>
    </row>
    <row r="3519" spans="3:30">
      <c r="C3519" s="43" t="s">
        <v>6538</v>
      </c>
      <c r="D3519" s="44" t="s">
        <v>6539</v>
      </c>
      <c r="E3519" s="44"/>
      <c r="F3519" s="45">
        <v>43160.18204861111</v>
      </c>
      <c r="G3519" s="46">
        <v>6</v>
      </c>
      <c r="H3519" s="47">
        <v>43372</v>
      </c>
      <c r="I3519" s="47">
        <v>43425</v>
      </c>
      <c r="J3519" s="46">
        <v>177000</v>
      </c>
      <c r="K3519" s="46">
        <v>0</v>
      </c>
      <c r="L3519" s="46">
        <v>0</v>
      </c>
      <c r="M3519" s="46">
        <f t="shared" si="965"/>
        <v>177000</v>
      </c>
      <c r="N3519" s="46">
        <v>179200</v>
      </c>
      <c r="O3519" s="48">
        <f t="shared" si="966"/>
        <v>1.2276785714285698E-2</v>
      </c>
      <c r="P3519" s="46">
        <v>0</v>
      </c>
      <c r="Q3519" s="46">
        <v>177000</v>
      </c>
      <c r="R3519" s="49">
        <f t="shared" si="967"/>
        <v>1</v>
      </c>
      <c r="S3519" s="50">
        <f t="shared" si="968"/>
        <v>0.01</v>
      </c>
      <c r="T3519" s="49">
        <f t="shared" si="969"/>
        <v>1770</v>
      </c>
      <c r="U3519" s="51">
        <f t="shared" si="970"/>
        <v>0</v>
      </c>
      <c r="V3519" s="52">
        <f>IF(0&lt;0.8,0,IF(0&lt;1,Sheet3!L561,1))*IF(G3519&lt;3,0.12 - O3519,0.01) *U3519</f>
        <v>0</v>
      </c>
      <c r="W3519" s="52">
        <f t="shared" si="971"/>
        <v>0</v>
      </c>
      <c r="X3519" s="53">
        <f t="shared" si="972"/>
        <v>0</v>
      </c>
      <c r="Y3519" s="53">
        <f t="shared" si="973"/>
        <v>0</v>
      </c>
      <c r="Z3519" s="54">
        <f t="shared" si="963"/>
        <v>0</v>
      </c>
      <c r="AA3519" s="54">
        <f t="shared" si="974"/>
        <v>0</v>
      </c>
      <c r="AB3519" s="55">
        <f t="shared" si="964"/>
        <v>0</v>
      </c>
      <c r="AC3519" s="55">
        <f t="shared" si="975"/>
        <v>0</v>
      </c>
      <c r="AD3519" s="56">
        <f t="shared" si="976"/>
        <v>1770</v>
      </c>
    </row>
    <row r="3520" spans="3:30">
      <c r="C3520" s="43" t="s">
        <v>6540</v>
      </c>
      <c r="D3520" s="44" t="s">
        <v>6541</v>
      </c>
      <c r="E3520" s="44"/>
      <c r="F3520" s="45">
        <v>43171.199386574073</v>
      </c>
      <c r="G3520" s="46">
        <v>6</v>
      </c>
      <c r="H3520" s="47">
        <v>43372</v>
      </c>
      <c r="I3520" s="47">
        <v>43396</v>
      </c>
      <c r="J3520" s="46">
        <v>45400</v>
      </c>
      <c r="K3520" s="46">
        <v>0</v>
      </c>
      <c r="L3520" s="46">
        <v>0</v>
      </c>
      <c r="M3520" s="46">
        <f t="shared" si="965"/>
        <v>45400</v>
      </c>
      <c r="N3520" s="46">
        <v>45400</v>
      </c>
      <c r="O3520" s="48">
        <f t="shared" si="966"/>
        <v>0</v>
      </c>
      <c r="P3520" s="46">
        <v>0</v>
      </c>
      <c r="Q3520" s="46">
        <v>45400</v>
      </c>
      <c r="R3520" s="49">
        <f t="shared" si="967"/>
        <v>1</v>
      </c>
      <c r="S3520" s="50">
        <f t="shared" si="968"/>
        <v>0.01</v>
      </c>
      <c r="T3520" s="49">
        <f t="shared" si="969"/>
        <v>454</v>
      </c>
      <c r="U3520" s="51">
        <f t="shared" si="970"/>
        <v>0</v>
      </c>
      <c r="V3520" s="52">
        <f>IF(0&lt;0.8,0,IF(0&lt;1,Sheet3!L561,1))*IF(G3520&lt;3,0.12 - O3520,0.01) *U3520</f>
        <v>0</v>
      </c>
      <c r="W3520" s="52">
        <f t="shared" si="971"/>
        <v>0</v>
      </c>
      <c r="X3520" s="53">
        <f t="shared" si="972"/>
        <v>0</v>
      </c>
      <c r="Y3520" s="53">
        <f t="shared" si="973"/>
        <v>0</v>
      </c>
      <c r="Z3520" s="54">
        <f t="shared" si="963"/>
        <v>0</v>
      </c>
      <c r="AA3520" s="54">
        <f t="shared" si="974"/>
        <v>0</v>
      </c>
      <c r="AB3520" s="55">
        <f t="shared" si="964"/>
        <v>0</v>
      </c>
      <c r="AC3520" s="55">
        <f t="shared" si="975"/>
        <v>0</v>
      </c>
      <c r="AD3520" s="56">
        <f t="shared" si="976"/>
        <v>454</v>
      </c>
    </row>
    <row r="3521" spans="3:30">
      <c r="C3521" s="43" t="s">
        <v>6542</v>
      </c>
      <c r="D3521" s="44" t="s">
        <v>6543</v>
      </c>
      <c r="E3521" s="44"/>
      <c r="F3521" s="45">
        <v>43179.201956018514</v>
      </c>
      <c r="G3521" s="46">
        <v>6</v>
      </c>
      <c r="H3521" s="47">
        <v>43372</v>
      </c>
      <c r="I3521" s="47">
        <v>43399</v>
      </c>
      <c r="J3521" s="46">
        <v>1530800</v>
      </c>
      <c r="K3521" s="46">
        <v>0</v>
      </c>
      <c r="L3521" s="46">
        <v>0</v>
      </c>
      <c r="M3521" s="46">
        <f t="shared" si="965"/>
        <v>1530800</v>
      </c>
      <c r="N3521" s="46">
        <v>1529718</v>
      </c>
      <c r="O3521" s="48">
        <f t="shared" si="966"/>
        <v>0</v>
      </c>
      <c r="P3521" s="46">
        <v>0</v>
      </c>
      <c r="Q3521" s="46">
        <v>1530800</v>
      </c>
      <c r="R3521" s="49">
        <f t="shared" si="967"/>
        <v>1</v>
      </c>
      <c r="S3521" s="50">
        <f t="shared" si="968"/>
        <v>0.01</v>
      </c>
      <c r="T3521" s="49">
        <f t="shared" si="969"/>
        <v>15308</v>
      </c>
      <c r="U3521" s="51">
        <f t="shared" si="970"/>
        <v>0</v>
      </c>
      <c r="V3521" s="52">
        <f>IF(0&lt;0.8,0,IF(0&lt;1,Sheet3!L561,1))*IF(G3521&lt;3,0.12 - O3521,0.01) *U3521</f>
        <v>0</v>
      </c>
      <c r="W3521" s="52">
        <f t="shared" si="971"/>
        <v>0</v>
      </c>
      <c r="X3521" s="53">
        <f t="shared" si="972"/>
        <v>0</v>
      </c>
      <c r="Y3521" s="53">
        <f t="shared" si="973"/>
        <v>0</v>
      </c>
      <c r="Z3521" s="54">
        <f t="shared" si="963"/>
        <v>0</v>
      </c>
      <c r="AA3521" s="54">
        <f t="shared" si="974"/>
        <v>0</v>
      </c>
      <c r="AB3521" s="55">
        <f t="shared" si="964"/>
        <v>0</v>
      </c>
      <c r="AC3521" s="55">
        <f t="shared" si="975"/>
        <v>0</v>
      </c>
      <c r="AD3521" s="56">
        <f t="shared" si="976"/>
        <v>15308</v>
      </c>
    </row>
    <row r="3522" spans="3:30">
      <c r="C3522" s="43" t="s">
        <v>6544</v>
      </c>
      <c r="D3522" s="44" t="s">
        <v>6545</v>
      </c>
      <c r="E3522" s="44"/>
      <c r="F3522" s="45">
        <v>43180.320740740739</v>
      </c>
      <c r="G3522" s="46">
        <v>6</v>
      </c>
      <c r="H3522" s="47">
        <v>43372</v>
      </c>
      <c r="I3522" s="47">
        <v>43389</v>
      </c>
      <c r="J3522" s="46">
        <v>750260</v>
      </c>
      <c r="K3522" s="46">
        <v>0</v>
      </c>
      <c r="L3522" s="46">
        <v>0</v>
      </c>
      <c r="M3522" s="46">
        <f t="shared" si="965"/>
        <v>750260</v>
      </c>
      <c r="N3522" s="46">
        <v>750260</v>
      </c>
      <c r="O3522" s="48">
        <f t="shared" si="966"/>
        <v>0</v>
      </c>
      <c r="P3522" s="46">
        <v>0</v>
      </c>
      <c r="Q3522" s="46">
        <v>750260</v>
      </c>
      <c r="R3522" s="49">
        <f t="shared" si="967"/>
        <v>1</v>
      </c>
      <c r="S3522" s="50">
        <f t="shared" si="968"/>
        <v>0.01</v>
      </c>
      <c r="T3522" s="49">
        <f t="shared" si="969"/>
        <v>7502.6</v>
      </c>
      <c r="U3522" s="51">
        <f t="shared" si="970"/>
        <v>0</v>
      </c>
      <c r="V3522" s="52">
        <f>IF(0&lt;0.8,0,IF(0&lt;1,Sheet3!L561,1))*IF(G3522&lt;3,0.12 - O3522,0.01) *U3522</f>
        <v>0</v>
      </c>
      <c r="W3522" s="52">
        <f t="shared" si="971"/>
        <v>0</v>
      </c>
      <c r="X3522" s="53">
        <f t="shared" si="972"/>
        <v>0</v>
      </c>
      <c r="Y3522" s="53">
        <f t="shared" si="973"/>
        <v>0</v>
      </c>
      <c r="Z3522" s="54">
        <f t="shared" si="963"/>
        <v>0</v>
      </c>
      <c r="AA3522" s="54">
        <f t="shared" si="974"/>
        <v>0</v>
      </c>
      <c r="AB3522" s="55">
        <f t="shared" si="964"/>
        <v>0</v>
      </c>
      <c r="AC3522" s="55">
        <f t="shared" si="975"/>
        <v>0</v>
      </c>
      <c r="AD3522" s="56">
        <f t="shared" si="976"/>
        <v>7502.6</v>
      </c>
    </row>
    <row r="3523" spans="3:30">
      <c r="C3523" s="43" t="s">
        <v>6546</v>
      </c>
      <c r="D3523" s="44" t="s">
        <v>6547</v>
      </c>
      <c r="E3523" s="44"/>
      <c r="F3523" s="45">
        <v>43180.359710648147</v>
      </c>
      <c r="G3523" s="46">
        <v>6</v>
      </c>
      <c r="H3523" s="47">
        <v>43372</v>
      </c>
      <c r="I3523" s="47">
        <v>43389</v>
      </c>
      <c r="J3523" s="46">
        <v>389521</v>
      </c>
      <c r="K3523" s="46">
        <v>0</v>
      </c>
      <c r="L3523" s="46">
        <v>0</v>
      </c>
      <c r="M3523" s="46">
        <f t="shared" si="965"/>
        <v>389521</v>
      </c>
      <c r="N3523" s="46">
        <v>389521</v>
      </c>
      <c r="O3523" s="48">
        <f t="shared" si="966"/>
        <v>0</v>
      </c>
      <c r="P3523" s="46">
        <v>0</v>
      </c>
      <c r="Q3523" s="46">
        <v>389521</v>
      </c>
      <c r="R3523" s="49">
        <f t="shared" si="967"/>
        <v>1</v>
      </c>
      <c r="S3523" s="50">
        <f t="shared" si="968"/>
        <v>0.01</v>
      </c>
      <c r="T3523" s="49">
        <f t="shared" si="969"/>
        <v>3895.21</v>
      </c>
      <c r="U3523" s="51">
        <f t="shared" si="970"/>
        <v>0</v>
      </c>
      <c r="V3523" s="52">
        <f>IF(0&lt;0.8,0,IF(0&lt;1,Sheet3!L561,1))*IF(G3523&lt;3,0.12 - O3523,0.01) *U3523</f>
        <v>0</v>
      </c>
      <c r="W3523" s="52">
        <f t="shared" si="971"/>
        <v>0</v>
      </c>
      <c r="X3523" s="53">
        <f t="shared" si="972"/>
        <v>0</v>
      </c>
      <c r="Y3523" s="53">
        <f t="shared" si="973"/>
        <v>0</v>
      </c>
      <c r="Z3523" s="54">
        <f t="shared" si="963"/>
        <v>0</v>
      </c>
      <c r="AA3523" s="54">
        <f t="shared" si="974"/>
        <v>0</v>
      </c>
      <c r="AB3523" s="55">
        <f t="shared" si="964"/>
        <v>0</v>
      </c>
      <c r="AC3523" s="55">
        <f t="shared" si="975"/>
        <v>0</v>
      </c>
      <c r="AD3523" s="56">
        <f t="shared" si="976"/>
        <v>3895.21</v>
      </c>
    </row>
    <row r="3524" spans="3:30">
      <c r="C3524" s="43" t="s">
        <v>6548</v>
      </c>
      <c r="D3524" s="44" t="s">
        <v>6549</v>
      </c>
      <c r="E3524" s="44"/>
      <c r="F3524" s="45">
        <v>43181.193101851852</v>
      </c>
      <c r="G3524" s="46">
        <v>6</v>
      </c>
      <c r="H3524" s="47">
        <v>43372</v>
      </c>
      <c r="I3524" s="47">
        <v>43392</v>
      </c>
      <c r="J3524" s="46">
        <v>355503</v>
      </c>
      <c r="K3524" s="46">
        <v>0</v>
      </c>
      <c r="L3524" s="46">
        <v>0</v>
      </c>
      <c r="M3524" s="46">
        <f t="shared" si="965"/>
        <v>355503</v>
      </c>
      <c r="N3524" s="46">
        <v>355503</v>
      </c>
      <c r="O3524" s="48">
        <f t="shared" si="966"/>
        <v>0</v>
      </c>
      <c r="P3524" s="46">
        <v>0</v>
      </c>
      <c r="Q3524" s="46">
        <v>355503</v>
      </c>
      <c r="R3524" s="49">
        <f t="shared" si="967"/>
        <v>1</v>
      </c>
      <c r="S3524" s="50">
        <f t="shared" si="968"/>
        <v>0.01</v>
      </c>
      <c r="T3524" s="49">
        <f t="shared" si="969"/>
        <v>3555.03</v>
      </c>
      <c r="U3524" s="51">
        <f t="shared" si="970"/>
        <v>0</v>
      </c>
      <c r="V3524" s="52">
        <f>IF(0&lt;0.8,0,IF(0&lt;1,Sheet3!L561,1))*IF(G3524&lt;3,0.12 - O3524,0.01) *U3524</f>
        <v>0</v>
      </c>
      <c r="W3524" s="52">
        <f t="shared" si="971"/>
        <v>0</v>
      </c>
      <c r="X3524" s="53">
        <f t="shared" si="972"/>
        <v>0</v>
      </c>
      <c r="Y3524" s="53">
        <f t="shared" si="973"/>
        <v>0</v>
      </c>
      <c r="Z3524" s="54">
        <f t="shared" si="963"/>
        <v>0</v>
      </c>
      <c r="AA3524" s="54">
        <f t="shared" si="974"/>
        <v>0</v>
      </c>
      <c r="AB3524" s="55">
        <f t="shared" si="964"/>
        <v>0</v>
      </c>
      <c r="AC3524" s="55">
        <f t="shared" si="975"/>
        <v>0</v>
      </c>
      <c r="AD3524" s="56">
        <f t="shared" si="976"/>
        <v>3555.03</v>
      </c>
    </row>
    <row r="3525" spans="3:30">
      <c r="C3525" s="43" t="s">
        <v>6550</v>
      </c>
      <c r="D3525" s="44" t="s">
        <v>6551</v>
      </c>
      <c r="E3525" s="44"/>
      <c r="F3525" s="45">
        <v>43190.343981481477</v>
      </c>
      <c r="G3525" s="46">
        <v>6</v>
      </c>
      <c r="H3525" s="47">
        <v>43372</v>
      </c>
      <c r="I3525" s="47">
        <v>43397</v>
      </c>
      <c r="J3525" s="46">
        <v>1182192</v>
      </c>
      <c r="K3525" s="46">
        <v>0</v>
      </c>
      <c r="L3525" s="46">
        <v>0</v>
      </c>
      <c r="M3525" s="46">
        <f t="shared" si="965"/>
        <v>1182192</v>
      </c>
      <c r="N3525" s="46">
        <v>1182192</v>
      </c>
      <c r="O3525" s="48">
        <f t="shared" si="966"/>
        <v>0</v>
      </c>
      <c r="P3525" s="46">
        <v>0</v>
      </c>
      <c r="Q3525" s="46">
        <v>1182192</v>
      </c>
      <c r="R3525" s="49">
        <f t="shared" si="967"/>
        <v>1</v>
      </c>
      <c r="S3525" s="50">
        <f t="shared" si="968"/>
        <v>0.01</v>
      </c>
      <c r="T3525" s="49">
        <f t="shared" si="969"/>
        <v>11821.92</v>
      </c>
      <c r="U3525" s="51">
        <f t="shared" si="970"/>
        <v>0</v>
      </c>
      <c r="V3525" s="52">
        <f>IF(0&lt;0.8,0,IF(0&lt;1,Sheet3!L561,1))*IF(G3525&lt;3,0.12 - O3525,0.01) *U3525</f>
        <v>0</v>
      </c>
      <c r="W3525" s="52">
        <f t="shared" si="971"/>
        <v>0</v>
      </c>
      <c r="X3525" s="53">
        <f t="shared" si="972"/>
        <v>0</v>
      </c>
      <c r="Y3525" s="53">
        <f t="shared" si="973"/>
        <v>0</v>
      </c>
      <c r="Z3525" s="54">
        <f t="shared" si="963"/>
        <v>0</v>
      </c>
      <c r="AA3525" s="54">
        <f t="shared" si="974"/>
        <v>0</v>
      </c>
      <c r="AB3525" s="55">
        <f t="shared" si="964"/>
        <v>0</v>
      </c>
      <c r="AC3525" s="55">
        <f t="shared" si="975"/>
        <v>0</v>
      </c>
      <c r="AD3525" s="56">
        <f t="shared" si="976"/>
        <v>11821.92</v>
      </c>
    </row>
    <row r="3526" spans="3:30">
      <c r="C3526" s="43" t="s">
        <v>6552</v>
      </c>
      <c r="D3526" s="44" t="s">
        <v>6553</v>
      </c>
      <c r="E3526" s="44"/>
      <c r="F3526" s="45">
        <v>43223.175520833334</v>
      </c>
      <c r="G3526" s="46">
        <v>4</v>
      </c>
      <c r="H3526" s="47">
        <v>43372</v>
      </c>
      <c r="I3526" s="47">
        <v>43382</v>
      </c>
      <c r="J3526" s="46">
        <v>1143360</v>
      </c>
      <c r="K3526" s="46">
        <v>0</v>
      </c>
      <c r="L3526" s="46">
        <v>0</v>
      </c>
      <c r="M3526" s="46">
        <f t="shared" si="965"/>
        <v>1143360</v>
      </c>
      <c r="N3526" s="46">
        <v>1143360</v>
      </c>
      <c r="O3526" s="48">
        <f t="shared" si="966"/>
        <v>0</v>
      </c>
      <c r="P3526" s="46">
        <v>0</v>
      </c>
      <c r="Q3526" s="46">
        <v>1143360</v>
      </c>
      <c r="R3526" s="49">
        <f t="shared" si="967"/>
        <v>1</v>
      </c>
      <c r="S3526" s="50">
        <f t="shared" si="968"/>
        <v>0.01</v>
      </c>
      <c r="T3526" s="49">
        <f t="shared" si="969"/>
        <v>11433.6</v>
      </c>
      <c r="U3526" s="51">
        <f t="shared" si="970"/>
        <v>0</v>
      </c>
      <c r="V3526" s="52">
        <f>IF(0&lt;0.8,0,IF(0&lt;1,Sheet3!L561,1))*IF(G3526&lt;3,0.12 - O3526,0.01) *U3526</f>
        <v>0</v>
      </c>
      <c r="W3526" s="52">
        <f t="shared" si="971"/>
        <v>0</v>
      </c>
      <c r="X3526" s="53">
        <f t="shared" si="972"/>
        <v>0</v>
      </c>
      <c r="Y3526" s="53">
        <f t="shared" si="973"/>
        <v>0</v>
      </c>
      <c r="Z3526" s="54">
        <f t="shared" si="963"/>
        <v>0</v>
      </c>
      <c r="AA3526" s="54">
        <f t="shared" si="974"/>
        <v>0</v>
      </c>
      <c r="AB3526" s="55">
        <f t="shared" si="964"/>
        <v>0</v>
      </c>
      <c r="AC3526" s="55">
        <f t="shared" si="975"/>
        <v>0</v>
      </c>
      <c r="AD3526" s="56">
        <f t="shared" si="976"/>
        <v>11433.6</v>
      </c>
    </row>
    <row r="3527" spans="3:30">
      <c r="C3527" s="43" t="s">
        <v>6554</v>
      </c>
      <c r="D3527" s="44" t="s">
        <v>6555</v>
      </c>
      <c r="E3527" s="44"/>
      <c r="F3527" s="45">
        <v>43229.314282407402</v>
      </c>
      <c r="G3527" s="46">
        <v>4</v>
      </c>
      <c r="H3527" s="47">
        <v>43416</v>
      </c>
      <c r="I3527" s="47">
        <v>43420</v>
      </c>
      <c r="J3527" s="46">
        <v>283300</v>
      </c>
      <c r="K3527" s="46">
        <v>0</v>
      </c>
      <c r="L3527" s="46">
        <v>0</v>
      </c>
      <c r="M3527" s="46">
        <f t="shared" si="965"/>
        <v>283300</v>
      </c>
      <c r="N3527" s="46">
        <v>283300</v>
      </c>
      <c r="O3527" s="48">
        <f t="shared" si="966"/>
        <v>0</v>
      </c>
      <c r="P3527" s="46">
        <v>0</v>
      </c>
      <c r="Q3527" s="46">
        <v>283300</v>
      </c>
      <c r="R3527" s="49">
        <f t="shared" si="967"/>
        <v>1</v>
      </c>
      <c r="S3527" s="50">
        <f t="shared" si="968"/>
        <v>0.01</v>
      </c>
      <c r="T3527" s="49">
        <f t="shared" si="969"/>
        <v>2833</v>
      </c>
      <c r="U3527" s="51">
        <f t="shared" si="970"/>
        <v>0</v>
      </c>
      <c r="V3527" s="52">
        <f>IF(0&lt;0.8,0,IF(0&lt;1,Sheet3!L561,1))*IF(G3527&lt;3,0.12 - O3527,0.01) *U3527</f>
        <v>0</v>
      </c>
      <c r="W3527" s="52">
        <f t="shared" si="971"/>
        <v>0</v>
      </c>
      <c r="X3527" s="53">
        <f t="shared" si="972"/>
        <v>0</v>
      </c>
      <c r="Y3527" s="53">
        <f t="shared" si="973"/>
        <v>0</v>
      </c>
      <c r="Z3527" s="54">
        <f t="shared" si="963"/>
        <v>0</v>
      </c>
      <c r="AA3527" s="54">
        <f t="shared" si="974"/>
        <v>0</v>
      </c>
      <c r="AB3527" s="55">
        <f t="shared" si="964"/>
        <v>0</v>
      </c>
      <c r="AC3527" s="55">
        <f t="shared" si="975"/>
        <v>0</v>
      </c>
      <c r="AD3527" s="56">
        <f t="shared" si="976"/>
        <v>2833</v>
      </c>
    </row>
    <row r="3528" spans="3:30">
      <c r="C3528" s="43" t="s">
        <v>6556</v>
      </c>
      <c r="D3528" s="44" t="s">
        <v>2677</v>
      </c>
      <c r="E3528" s="44"/>
      <c r="F3528" s="45">
        <v>43231.359710648147</v>
      </c>
      <c r="G3528" s="46">
        <v>4</v>
      </c>
      <c r="H3528" s="47">
        <v>43404</v>
      </c>
      <c r="I3528" s="47">
        <v>43420</v>
      </c>
      <c r="J3528" s="46">
        <v>944900</v>
      </c>
      <c r="K3528" s="46">
        <v>0</v>
      </c>
      <c r="L3528" s="46">
        <v>0</v>
      </c>
      <c r="M3528" s="46">
        <f t="shared" si="965"/>
        <v>944900</v>
      </c>
      <c r="N3528" s="46">
        <v>495990</v>
      </c>
      <c r="O3528" s="48">
        <f t="shared" si="966"/>
        <v>0</v>
      </c>
      <c r="P3528" s="46">
        <v>0</v>
      </c>
      <c r="Q3528" s="46">
        <v>944900</v>
      </c>
      <c r="R3528" s="49">
        <f t="shared" si="967"/>
        <v>1</v>
      </c>
      <c r="S3528" s="50">
        <f t="shared" si="968"/>
        <v>0.01</v>
      </c>
      <c r="T3528" s="49">
        <f t="shared" si="969"/>
        <v>9449</v>
      </c>
      <c r="U3528" s="51">
        <f t="shared" si="970"/>
        <v>0</v>
      </c>
      <c r="V3528" s="52">
        <f>IF(0&lt;0.8,0,IF(0&lt;1,Sheet3!L561,1))*IF(G3528&lt;3,0.12 - O3528,0.01) *U3528</f>
        <v>0</v>
      </c>
      <c r="W3528" s="52">
        <f t="shared" si="971"/>
        <v>0</v>
      </c>
      <c r="X3528" s="53">
        <f t="shared" si="972"/>
        <v>0</v>
      </c>
      <c r="Y3528" s="53">
        <f t="shared" si="973"/>
        <v>0</v>
      </c>
      <c r="Z3528" s="54">
        <f t="shared" si="963"/>
        <v>0</v>
      </c>
      <c r="AA3528" s="54">
        <f t="shared" si="974"/>
        <v>0</v>
      </c>
      <c r="AB3528" s="55">
        <f t="shared" si="964"/>
        <v>0</v>
      </c>
      <c r="AC3528" s="55">
        <f t="shared" si="975"/>
        <v>0</v>
      </c>
      <c r="AD3528" s="56">
        <f t="shared" si="976"/>
        <v>9449</v>
      </c>
    </row>
    <row r="3529" spans="3:30">
      <c r="C3529" s="43" t="s">
        <v>6557</v>
      </c>
      <c r="D3529" s="44" t="s">
        <v>6558</v>
      </c>
      <c r="E3529" s="44"/>
      <c r="F3529" s="45">
        <v>43238.331261574072</v>
      </c>
      <c r="G3529" s="46">
        <v>4</v>
      </c>
      <c r="H3529" s="47">
        <v>43389</v>
      </c>
      <c r="I3529" s="47">
        <v>43391</v>
      </c>
      <c r="J3529" s="46">
        <v>2806102</v>
      </c>
      <c r="K3529" s="46">
        <v>0</v>
      </c>
      <c r="L3529" s="46">
        <v>0</v>
      </c>
      <c r="M3529" s="46">
        <f t="shared" si="965"/>
        <v>2806102</v>
      </c>
      <c r="N3529" s="46">
        <v>2912580</v>
      </c>
      <c r="O3529" s="48">
        <f t="shared" si="966"/>
        <v>3.6557965789780877E-2</v>
      </c>
      <c r="P3529" s="46">
        <v>0</v>
      </c>
      <c r="Q3529" s="46">
        <v>2806102</v>
      </c>
      <c r="R3529" s="49">
        <f t="shared" si="967"/>
        <v>1</v>
      </c>
      <c r="S3529" s="50">
        <f t="shared" si="968"/>
        <v>0.01</v>
      </c>
      <c r="T3529" s="49">
        <f t="shared" si="969"/>
        <v>28061.02</v>
      </c>
      <c r="U3529" s="51">
        <f t="shared" si="970"/>
        <v>0</v>
      </c>
      <c r="V3529" s="52">
        <f>IF(0&lt;0.8,0,IF(0&lt;1,Sheet3!L561,1))*IF(G3529&lt;3,0.12 - O3529,0.01) *U3529</f>
        <v>0</v>
      </c>
      <c r="W3529" s="52">
        <f t="shared" si="971"/>
        <v>0</v>
      </c>
      <c r="X3529" s="53">
        <f t="shared" si="972"/>
        <v>0</v>
      </c>
      <c r="Y3529" s="53">
        <f t="shared" si="973"/>
        <v>0</v>
      </c>
      <c r="Z3529" s="54">
        <f t="shared" si="963"/>
        <v>0</v>
      </c>
      <c r="AA3529" s="54">
        <f t="shared" si="974"/>
        <v>0</v>
      </c>
      <c r="AB3529" s="55">
        <f t="shared" si="964"/>
        <v>0</v>
      </c>
      <c r="AC3529" s="55">
        <f t="shared" si="975"/>
        <v>0</v>
      </c>
      <c r="AD3529" s="56">
        <f t="shared" si="976"/>
        <v>28061.02</v>
      </c>
    </row>
    <row r="3530" spans="3:30">
      <c r="C3530" s="43" t="s">
        <v>6559</v>
      </c>
      <c r="D3530" s="44" t="s">
        <v>6560</v>
      </c>
      <c r="E3530" s="44"/>
      <c r="F3530" s="45">
        <v>43271.142361111109</v>
      </c>
      <c r="G3530" s="46">
        <v>3</v>
      </c>
      <c r="H3530" s="47">
        <v>43404</v>
      </c>
      <c r="I3530" s="47">
        <v>43425</v>
      </c>
      <c r="J3530" s="46">
        <v>14000</v>
      </c>
      <c r="K3530" s="46">
        <v>0</v>
      </c>
      <c r="L3530" s="46">
        <v>0</v>
      </c>
      <c r="M3530" s="46">
        <f t="shared" si="965"/>
        <v>14000</v>
      </c>
      <c r="N3530" s="46">
        <v>14000</v>
      </c>
      <c r="O3530" s="48">
        <f t="shared" si="966"/>
        <v>0</v>
      </c>
      <c r="P3530" s="46">
        <v>0</v>
      </c>
      <c r="Q3530" s="46">
        <v>0</v>
      </c>
      <c r="R3530" s="49">
        <f t="shared" si="967"/>
        <v>1</v>
      </c>
      <c r="S3530" s="50">
        <f t="shared" si="968"/>
        <v>0.01</v>
      </c>
      <c r="T3530" s="49">
        <f t="shared" si="969"/>
        <v>140</v>
      </c>
      <c r="U3530" s="51">
        <f t="shared" si="970"/>
        <v>0</v>
      </c>
      <c r="V3530" s="52">
        <f>IF(0&lt;0.8,0,IF(0&lt;1,Sheet3!L561,1))*IF(G3530&lt;3,0.12 - O3530,0.01) *U3530</f>
        <v>0</v>
      </c>
      <c r="W3530" s="52">
        <f t="shared" si="971"/>
        <v>0</v>
      </c>
      <c r="X3530" s="53">
        <f t="shared" si="972"/>
        <v>0</v>
      </c>
      <c r="Y3530" s="53">
        <f t="shared" si="973"/>
        <v>0</v>
      </c>
      <c r="Z3530" s="54">
        <f t="shared" si="963"/>
        <v>0</v>
      </c>
      <c r="AA3530" s="54">
        <f t="shared" si="974"/>
        <v>0</v>
      </c>
      <c r="AB3530" s="55">
        <f t="shared" si="964"/>
        <v>0</v>
      </c>
      <c r="AC3530" s="55">
        <f t="shared" si="975"/>
        <v>0</v>
      </c>
      <c r="AD3530" s="56">
        <f t="shared" si="976"/>
        <v>140</v>
      </c>
    </row>
    <row r="3531" spans="3:30">
      <c r="C3531" s="43" t="s">
        <v>6561</v>
      </c>
      <c r="D3531" s="44" t="s">
        <v>6562</v>
      </c>
      <c r="E3531" s="44"/>
      <c r="F3531" s="45">
        <v>43271.153055555551</v>
      </c>
      <c r="G3531" s="46">
        <v>3</v>
      </c>
      <c r="H3531" s="47">
        <v>43372</v>
      </c>
      <c r="I3531" s="47">
        <v>43392</v>
      </c>
      <c r="J3531" s="46">
        <v>5646219</v>
      </c>
      <c r="K3531" s="46">
        <v>0</v>
      </c>
      <c r="L3531" s="46">
        <v>0</v>
      </c>
      <c r="M3531" s="46">
        <f t="shared" si="965"/>
        <v>5646219</v>
      </c>
      <c r="N3531" s="46">
        <v>481556</v>
      </c>
      <c r="O3531" s="48">
        <f t="shared" si="966"/>
        <v>0</v>
      </c>
      <c r="P3531" s="46">
        <v>0</v>
      </c>
      <c r="Q3531" s="46">
        <v>0</v>
      </c>
      <c r="R3531" s="49">
        <f t="shared" si="967"/>
        <v>1</v>
      </c>
      <c r="S3531" s="50">
        <f t="shared" si="968"/>
        <v>0.01</v>
      </c>
      <c r="T3531" s="49">
        <f t="shared" si="969"/>
        <v>56462.19</v>
      </c>
      <c r="U3531" s="51">
        <f t="shared" si="970"/>
        <v>0</v>
      </c>
      <c r="V3531" s="52">
        <f>IF(0&lt;0.8,0,IF(0&lt;1,Sheet3!L561,1))*IF(G3531&lt;3,0.12 - O3531,0.01) *U3531</f>
        <v>0</v>
      </c>
      <c r="W3531" s="52">
        <f t="shared" si="971"/>
        <v>0</v>
      </c>
      <c r="X3531" s="53">
        <f t="shared" si="972"/>
        <v>0</v>
      </c>
      <c r="Y3531" s="53">
        <f t="shared" si="973"/>
        <v>0</v>
      </c>
      <c r="Z3531" s="54">
        <f t="shared" si="963"/>
        <v>0</v>
      </c>
      <c r="AA3531" s="54">
        <f t="shared" si="974"/>
        <v>0</v>
      </c>
      <c r="AB3531" s="55">
        <f>IF(R3531=0,5166859,0)</f>
        <v>0</v>
      </c>
      <c r="AC3531" s="55">
        <f t="shared" si="975"/>
        <v>0</v>
      </c>
      <c r="AD3531" s="56">
        <f t="shared" si="976"/>
        <v>56462.19</v>
      </c>
    </row>
    <row r="3532" spans="3:30">
      <c r="C3532" s="43" t="s">
        <v>6563</v>
      </c>
      <c r="D3532" s="44" t="s">
        <v>6564</v>
      </c>
      <c r="E3532" s="44"/>
      <c r="F3532" s="45">
        <v>43271.157453703701</v>
      </c>
      <c r="G3532" s="46">
        <v>3</v>
      </c>
      <c r="H3532" s="47">
        <v>43372</v>
      </c>
      <c r="I3532" s="47">
        <v>43389</v>
      </c>
      <c r="J3532" s="46">
        <v>225014</v>
      </c>
      <c r="K3532" s="46">
        <v>0</v>
      </c>
      <c r="L3532" s="46">
        <v>0</v>
      </c>
      <c r="M3532" s="46">
        <f t="shared" si="965"/>
        <v>225014</v>
      </c>
      <c r="N3532" s="46">
        <v>222843</v>
      </c>
      <c r="O3532" s="48">
        <f t="shared" si="966"/>
        <v>0</v>
      </c>
      <c r="P3532" s="46">
        <v>0</v>
      </c>
      <c r="Q3532" s="46">
        <v>0</v>
      </c>
      <c r="R3532" s="49">
        <f t="shared" si="967"/>
        <v>1</v>
      </c>
      <c r="S3532" s="50">
        <f t="shared" si="968"/>
        <v>0.01</v>
      </c>
      <c r="T3532" s="49">
        <f t="shared" si="969"/>
        <v>2250.14</v>
      </c>
      <c r="U3532" s="51">
        <f t="shared" si="970"/>
        <v>0</v>
      </c>
      <c r="V3532" s="52">
        <f>IF(0&lt;0.8,0,IF(0&lt;1,Sheet3!L561,1))*IF(G3532&lt;3,0.12 - O3532,0.01) *U3532</f>
        <v>0</v>
      </c>
      <c r="W3532" s="52">
        <f t="shared" si="971"/>
        <v>0</v>
      </c>
      <c r="X3532" s="53">
        <f t="shared" si="972"/>
        <v>0</v>
      </c>
      <c r="Y3532" s="53">
        <f t="shared" si="973"/>
        <v>0</v>
      </c>
      <c r="Z3532" s="54">
        <f t="shared" si="963"/>
        <v>0</v>
      </c>
      <c r="AA3532" s="54">
        <f t="shared" si="974"/>
        <v>0</v>
      </c>
      <c r="AB3532" s="55">
        <f t="shared" ref="AB3532:AB3553" si="977">IF(R3532=0,0,0)</f>
        <v>0</v>
      </c>
      <c r="AC3532" s="55">
        <f t="shared" si="975"/>
        <v>0</v>
      </c>
      <c r="AD3532" s="56">
        <f t="shared" si="976"/>
        <v>2250.14</v>
      </c>
    </row>
    <row r="3533" spans="3:30">
      <c r="C3533" s="43" t="s">
        <v>6565</v>
      </c>
      <c r="D3533" s="44" t="s">
        <v>6566</v>
      </c>
      <c r="E3533" s="44"/>
      <c r="F3533" s="45">
        <v>43279.123530092591</v>
      </c>
      <c r="G3533" s="46">
        <v>3</v>
      </c>
      <c r="H3533" s="47">
        <v>43383</v>
      </c>
      <c r="I3533" s="47">
        <v>43391</v>
      </c>
      <c r="J3533" s="46">
        <v>4062740</v>
      </c>
      <c r="K3533" s="46">
        <v>914512</v>
      </c>
      <c r="L3533" s="46">
        <v>0</v>
      </c>
      <c r="M3533" s="46">
        <f t="shared" si="965"/>
        <v>3148228</v>
      </c>
      <c r="N3533" s="46">
        <v>4196300</v>
      </c>
      <c r="O3533" s="48">
        <f t="shared" si="966"/>
        <v>0.24976097991087387</v>
      </c>
      <c r="P3533" s="46">
        <v>0</v>
      </c>
      <c r="Q3533" s="46">
        <v>0</v>
      </c>
      <c r="R3533" s="49">
        <f t="shared" si="967"/>
        <v>1</v>
      </c>
      <c r="S3533" s="50">
        <f t="shared" si="968"/>
        <v>0.01</v>
      </c>
      <c r="T3533" s="49">
        <f t="shared" si="969"/>
        <v>31482.28</v>
      </c>
      <c r="U3533" s="51">
        <f t="shared" si="970"/>
        <v>0</v>
      </c>
      <c r="V3533" s="52">
        <f>IF(0&lt;0.8,0,IF(0&lt;1,Sheet3!L561,1))*IF(G3533&lt;3,0.12 - O3533,0.01) *U3533</f>
        <v>0</v>
      </c>
      <c r="W3533" s="52">
        <f t="shared" si="971"/>
        <v>0</v>
      </c>
      <c r="X3533" s="53">
        <f t="shared" si="972"/>
        <v>0</v>
      </c>
      <c r="Y3533" s="53">
        <f t="shared" si="973"/>
        <v>0</v>
      </c>
      <c r="Z3533" s="54">
        <f t="shared" si="963"/>
        <v>0</v>
      </c>
      <c r="AA3533" s="54">
        <f t="shared" si="974"/>
        <v>0</v>
      </c>
      <c r="AB3533" s="55">
        <f t="shared" si="977"/>
        <v>0</v>
      </c>
      <c r="AC3533" s="55">
        <f t="shared" si="975"/>
        <v>0</v>
      </c>
      <c r="AD3533" s="56">
        <f t="shared" si="976"/>
        <v>31482.28</v>
      </c>
    </row>
    <row r="3534" spans="3:30">
      <c r="C3534" s="43" t="s">
        <v>6567</v>
      </c>
      <c r="D3534" s="44" t="s">
        <v>6568</v>
      </c>
      <c r="E3534" s="44"/>
      <c r="F3534" s="45">
        <v>43279.1252662037</v>
      </c>
      <c r="G3534" s="46">
        <v>3</v>
      </c>
      <c r="H3534" s="47">
        <v>43372</v>
      </c>
      <c r="I3534" s="47">
        <v>43391</v>
      </c>
      <c r="J3534" s="46">
        <v>41888</v>
      </c>
      <c r="K3534" s="46">
        <v>0</v>
      </c>
      <c r="L3534" s="46">
        <v>0</v>
      </c>
      <c r="M3534" s="46">
        <f t="shared" si="965"/>
        <v>41888</v>
      </c>
      <c r="N3534" s="46">
        <v>33000</v>
      </c>
      <c r="O3534" s="48">
        <f t="shared" si="966"/>
        <v>0</v>
      </c>
      <c r="P3534" s="46">
        <v>0</v>
      </c>
      <c r="Q3534" s="46">
        <v>0</v>
      </c>
      <c r="R3534" s="49">
        <f t="shared" si="967"/>
        <v>1</v>
      </c>
      <c r="S3534" s="50">
        <f t="shared" si="968"/>
        <v>0.01</v>
      </c>
      <c r="T3534" s="49">
        <f t="shared" si="969"/>
        <v>418.88</v>
      </c>
      <c r="U3534" s="51">
        <f t="shared" si="970"/>
        <v>0</v>
      </c>
      <c r="V3534" s="52">
        <f>IF(0&lt;0.8,0,IF(0&lt;1,Sheet3!L561,1))*IF(G3534&lt;3,0.12 - O3534,0.01) *U3534</f>
        <v>0</v>
      </c>
      <c r="W3534" s="52">
        <f t="shared" si="971"/>
        <v>0</v>
      </c>
      <c r="X3534" s="53">
        <f t="shared" si="972"/>
        <v>0</v>
      </c>
      <c r="Y3534" s="53">
        <f t="shared" si="973"/>
        <v>0</v>
      </c>
      <c r="Z3534" s="54">
        <f t="shared" si="963"/>
        <v>0</v>
      </c>
      <c r="AA3534" s="54">
        <f t="shared" si="974"/>
        <v>0</v>
      </c>
      <c r="AB3534" s="55">
        <f t="shared" si="977"/>
        <v>0</v>
      </c>
      <c r="AC3534" s="55">
        <f t="shared" si="975"/>
        <v>0</v>
      </c>
      <c r="AD3534" s="56">
        <f t="shared" si="976"/>
        <v>418.88</v>
      </c>
    </row>
    <row r="3535" spans="3:30">
      <c r="C3535" s="43" t="s">
        <v>6569</v>
      </c>
      <c r="D3535" s="44" t="s">
        <v>6570</v>
      </c>
      <c r="E3535" s="44"/>
      <c r="F3535" s="45">
        <v>43279.129108796296</v>
      </c>
      <c r="G3535" s="46">
        <v>3</v>
      </c>
      <c r="H3535" s="47">
        <v>43372</v>
      </c>
      <c r="I3535" s="47">
        <v>43385</v>
      </c>
      <c r="J3535" s="46">
        <v>273295</v>
      </c>
      <c r="K3535" s="46">
        <v>0</v>
      </c>
      <c r="L3535" s="46">
        <v>0</v>
      </c>
      <c r="M3535" s="46">
        <f t="shared" si="965"/>
        <v>273295</v>
      </c>
      <c r="N3535" s="46">
        <v>295847</v>
      </c>
      <c r="O3535" s="48">
        <f t="shared" si="966"/>
        <v>7.6228591129874568E-2</v>
      </c>
      <c r="P3535" s="46">
        <v>0</v>
      </c>
      <c r="Q3535" s="46">
        <v>0</v>
      </c>
      <c r="R3535" s="49">
        <f t="shared" si="967"/>
        <v>1</v>
      </c>
      <c r="S3535" s="50">
        <f t="shared" si="968"/>
        <v>0.01</v>
      </c>
      <c r="T3535" s="49">
        <f t="shared" si="969"/>
        <v>2732.9500000000003</v>
      </c>
      <c r="U3535" s="51">
        <f t="shared" si="970"/>
        <v>0</v>
      </c>
      <c r="V3535" s="52">
        <f>IF(0&lt;0.8,0,IF(0&lt;1,Sheet3!L561,1))*IF(G3535&lt;3,0.12 - O3535,0.01) *U3535</f>
        <v>0</v>
      </c>
      <c r="W3535" s="52">
        <f t="shared" si="971"/>
        <v>0</v>
      </c>
      <c r="X3535" s="53">
        <f t="shared" si="972"/>
        <v>0</v>
      </c>
      <c r="Y3535" s="53">
        <f t="shared" si="973"/>
        <v>0</v>
      </c>
      <c r="Z3535" s="54">
        <f t="shared" si="963"/>
        <v>0</v>
      </c>
      <c r="AA3535" s="54">
        <f t="shared" si="974"/>
        <v>0</v>
      </c>
      <c r="AB3535" s="55">
        <f t="shared" si="977"/>
        <v>0</v>
      </c>
      <c r="AC3535" s="55">
        <f t="shared" si="975"/>
        <v>0</v>
      </c>
      <c r="AD3535" s="56">
        <f t="shared" si="976"/>
        <v>2732.9500000000003</v>
      </c>
    </row>
    <row r="3536" spans="3:30">
      <c r="C3536" s="43" t="s">
        <v>6571</v>
      </c>
      <c r="D3536" s="44" t="s">
        <v>6572</v>
      </c>
      <c r="E3536" s="44"/>
      <c r="F3536" s="45">
        <v>43279.130150462959</v>
      </c>
      <c r="G3536" s="46">
        <v>3</v>
      </c>
      <c r="H3536" s="47">
        <v>43403</v>
      </c>
      <c r="I3536" s="47">
        <v>43405</v>
      </c>
      <c r="J3536" s="46">
        <v>1293170</v>
      </c>
      <c r="K3536" s="46">
        <v>0</v>
      </c>
      <c r="L3536" s="46">
        <v>0</v>
      </c>
      <c r="M3536" s="46">
        <f t="shared" si="965"/>
        <v>1293170</v>
      </c>
      <c r="N3536" s="46">
        <v>1293170</v>
      </c>
      <c r="O3536" s="48">
        <f t="shared" si="966"/>
        <v>0</v>
      </c>
      <c r="P3536" s="46">
        <v>0</v>
      </c>
      <c r="Q3536" s="46">
        <v>0</v>
      </c>
      <c r="R3536" s="49">
        <f t="shared" si="967"/>
        <v>1</v>
      </c>
      <c r="S3536" s="50">
        <f t="shared" si="968"/>
        <v>0.01</v>
      </c>
      <c r="T3536" s="49">
        <f t="shared" si="969"/>
        <v>12931.7</v>
      </c>
      <c r="U3536" s="51">
        <f t="shared" si="970"/>
        <v>0</v>
      </c>
      <c r="V3536" s="52">
        <f>IF(0&lt;0.8,0,IF(0&lt;1,Sheet3!L561,1))*IF(G3536&lt;3,0.12 - O3536,0.01) *U3536</f>
        <v>0</v>
      </c>
      <c r="W3536" s="52">
        <f t="shared" si="971"/>
        <v>0</v>
      </c>
      <c r="X3536" s="53">
        <f t="shared" si="972"/>
        <v>0</v>
      </c>
      <c r="Y3536" s="53">
        <f t="shared" si="973"/>
        <v>0</v>
      </c>
      <c r="Z3536" s="54">
        <f t="shared" si="963"/>
        <v>0</v>
      </c>
      <c r="AA3536" s="54">
        <f t="shared" si="974"/>
        <v>0</v>
      </c>
      <c r="AB3536" s="55">
        <f t="shared" si="977"/>
        <v>0</v>
      </c>
      <c r="AC3536" s="55">
        <f t="shared" si="975"/>
        <v>0</v>
      </c>
      <c r="AD3536" s="56">
        <f t="shared" si="976"/>
        <v>12931.7</v>
      </c>
    </row>
    <row r="3537" spans="3:30">
      <c r="C3537" s="43" t="s">
        <v>6573</v>
      </c>
      <c r="D3537" s="44" t="s">
        <v>6574</v>
      </c>
      <c r="E3537" s="44"/>
      <c r="F3537" s="45">
        <v>43279.13175925926</v>
      </c>
      <c r="G3537" s="46">
        <v>3</v>
      </c>
      <c r="H3537" s="47">
        <v>43383</v>
      </c>
      <c r="I3537" s="47">
        <v>43389</v>
      </c>
      <c r="J3537" s="46">
        <v>4931082</v>
      </c>
      <c r="K3537" s="46">
        <v>0</v>
      </c>
      <c r="L3537" s="46">
        <v>0</v>
      </c>
      <c r="M3537" s="46">
        <f t="shared" si="965"/>
        <v>4931082</v>
      </c>
      <c r="N3537" s="46">
        <v>5307551</v>
      </c>
      <c r="O3537" s="48">
        <f t="shared" si="966"/>
        <v>7.0930830433847958E-2</v>
      </c>
      <c r="P3537" s="46">
        <v>0</v>
      </c>
      <c r="Q3537" s="46">
        <v>0</v>
      </c>
      <c r="R3537" s="49">
        <f t="shared" si="967"/>
        <v>1</v>
      </c>
      <c r="S3537" s="50">
        <f t="shared" si="968"/>
        <v>0.01</v>
      </c>
      <c r="T3537" s="49">
        <f t="shared" si="969"/>
        <v>49310.82</v>
      </c>
      <c r="U3537" s="51">
        <f t="shared" si="970"/>
        <v>0</v>
      </c>
      <c r="V3537" s="52">
        <f>IF(0&lt;0.8,0,IF(0&lt;1,Sheet3!L561,1))*IF(G3537&lt;3,0.12 - O3537,0.01) *U3537</f>
        <v>0</v>
      </c>
      <c r="W3537" s="52">
        <f t="shared" si="971"/>
        <v>0</v>
      </c>
      <c r="X3537" s="53">
        <f t="shared" si="972"/>
        <v>0</v>
      </c>
      <c r="Y3537" s="53">
        <f t="shared" si="973"/>
        <v>0</v>
      </c>
      <c r="Z3537" s="54">
        <f t="shared" si="963"/>
        <v>0</v>
      </c>
      <c r="AA3537" s="54">
        <f t="shared" si="974"/>
        <v>0</v>
      </c>
      <c r="AB3537" s="55">
        <f t="shared" si="977"/>
        <v>0</v>
      </c>
      <c r="AC3537" s="55">
        <f t="shared" si="975"/>
        <v>0</v>
      </c>
      <c r="AD3537" s="56">
        <f t="shared" si="976"/>
        <v>49310.82</v>
      </c>
    </row>
    <row r="3538" spans="3:30">
      <c r="C3538" s="43" t="s">
        <v>6575</v>
      </c>
      <c r="D3538" s="44" t="s">
        <v>6576</v>
      </c>
      <c r="E3538" s="44"/>
      <c r="F3538" s="45">
        <v>43279.136296296296</v>
      </c>
      <c r="G3538" s="46">
        <v>3</v>
      </c>
      <c r="H3538" s="47">
        <v>43390</v>
      </c>
      <c r="I3538" s="47">
        <v>43392</v>
      </c>
      <c r="J3538" s="46">
        <v>344420</v>
      </c>
      <c r="K3538" s="46">
        <v>0</v>
      </c>
      <c r="L3538" s="46">
        <v>0</v>
      </c>
      <c r="M3538" s="46">
        <f t="shared" si="965"/>
        <v>344420</v>
      </c>
      <c r="N3538" s="46">
        <v>320350</v>
      </c>
      <c r="O3538" s="48">
        <f t="shared" si="966"/>
        <v>0</v>
      </c>
      <c r="P3538" s="46">
        <v>0</v>
      </c>
      <c r="Q3538" s="46">
        <v>0</v>
      </c>
      <c r="R3538" s="49">
        <f t="shared" si="967"/>
        <v>1</v>
      </c>
      <c r="S3538" s="50">
        <f t="shared" si="968"/>
        <v>0.01</v>
      </c>
      <c r="T3538" s="49">
        <f t="shared" si="969"/>
        <v>3444.2000000000003</v>
      </c>
      <c r="U3538" s="51">
        <f t="shared" si="970"/>
        <v>0</v>
      </c>
      <c r="V3538" s="52">
        <f>IF(0&lt;0.8,0,IF(0&lt;1,Sheet3!L561,1))*IF(G3538&lt;3,0.12 - O3538,0.01) *U3538</f>
        <v>0</v>
      </c>
      <c r="W3538" s="52">
        <f t="shared" si="971"/>
        <v>0</v>
      </c>
      <c r="X3538" s="53">
        <f t="shared" si="972"/>
        <v>0</v>
      </c>
      <c r="Y3538" s="53">
        <f t="shared" si="973"/>
        <v>0</v>
      </c>
      <c r="Z3538" s="54">
        <f t="shared" si="963"/>
        <v>0</v>
      </c>
      <c r="AA3538" s="54">
        <f t="shared" si="974"/>
        <v>0</v>
      </c>
      <c r="AB3538" s="55">
        <f t="shared" si="977"/>
        <v>0</v>
      </c>
      <c r="AC3538" s="55">
        <f t="shared" si="975"/>
        <v>0</v>
      </c>
      <c r="AD3538" s="56">
        <f t="shared" si="976"/>
        <v>3444.2000000000003</v>
      </c>
    </row>
    <row r="3539" spans="3:30">
      <c r="C3539" s="43" t="s">
        <v>6577</v>
      </c>
      <c r="D3539" s="44" t="s">
        <v>6578</v>
      </c>
      <c r="E3539" s="44"/>
      <c r="F3539" s="45">
        <v>43290.177835648145</v>
      </c>
      <c r="G3539" s="46">
        <v>2</v>
      </c>
      <c r="H3539" s="47">
        <v>43372</v>
      </c>
      <c r="I3539" s="47">
        <v>43399</v>
      </c>
      <c r="J3539" s="46">
        <v>299503</v>
      </c>
      <c r="K3539" s="46">
        <v>0</v>
      </c>
      <c r="L3539" s="46">
        <v>0</v>
      </c>
      <c r="M3539" s="46">
        <f t="shared" si="965"/>
        <v>299503</v>
      </c>
      <c r="N3539" s="46">
        <v>299503</v>
      </c>
      <c r="O3539" s="48">
        <f t="shared" si="966"/>
        <v>0</v>
      </c>
      <c r="P3539" s="46">
        <v>299503</v>
      </c>
      <c r="Q3539" s="46">
        <v>0</v>
      </c>
      <c r="R3539" s="49">
        <f t="shared" si="967"/>
        <v>0</v>
      </c>
      <c r="S3539" s="50">
        <f t="shared" si="968"/>
        <v>0</v>
      </c>
      <c r="T3539" s="49">
        <f t="shared" si="969"/>
        <v>0</v>
      </c>
      <c r="U3539" s="51">
        <f t="shared" si="970"/>
        <v>299503</v>
      </c>
      <c r="V3539" s="52">
        <f>IF(0&lt;0.8,0,IF(0&lt;1,Sheet3!L561,1))*IF(G3539&lt;3,0.12 - O3539,0.01) *U3539</f>
        <v>0</v>
      </c>
      <c r="W3539" s="52">
        <f t="shared" si="971"/>
        <v>0</v>
      </c>
      <c r="X3539" s="53">
        <f t="shared" si="972"/>
        <v>0</v>
      </c>
      <c r="Y3539" s="53">
        <f t="shared" si="973"/>
        <v>0</v>
      </c>
      <c r="Z3539" s="54">
        <f t="shared" si="963"/>
        <v>0</v>
      </c>
      <c r="AA3539" s="54">
        <f t="shared" si="974"/>
        <v>0</v>
      </c>
      <c r="AB3539" s="55">
        <f t="shared" si="977"/>
        <v>0</v>
      </c>
      <c r="AC3539" s="55">
        <f t="shared" si="975"/>
        <v>0</v>
      </c>
      <c r="AD3539" s="56">
        <f t="shared" si="976"/>
        <v>0</v>
      </c>
    </row>
    <row r="3540" spans="3:30">
      <c r="C3540" s="43" t="s">
        <v>6579</v>
      </c>
      <c r="D3540" s="44" t="s">
        <v>6580</v>
      </c>
      <c r="E3540" s="44"/>
      <c r="F3540" s="45">
        <v>43290.181874999995</v>
      </c>
      <c r="G3540" s="46">
        <v>2</v>
      </c>
      <c r="H3540" s="47">
        <v>43372</v>
      </c>
      <c r="I3540" s="47">
        <v>43399</v>
      </c>
      <c r="J3540" s="46">
        <v>424660</v>
      </c>
      <c r="K3540" s="46">
        <v>0</v>
      </c>
      <c r="L3540" s="46">
        <v>0</v>
      </c>
      <c r="M3540" s="46">
        <f t="shared" si="965"/>
        <v>424660</v>
      </c>
      <c r="N3540" s="46">
        <v>424660</v>
      </c>
      <c r="O3540" s="48">
        <f t="shared" si="966"/>
        <v>0</v>
      </c>
      <c r="P3540" s="46">
        <v>424660</v>
      </c>
      <c r="Q3540" s="46">
        <v>0</v>
      </c>
      <c r="R3540" s="49">
        <f t="shared" si="967"/>
        <v>0</v>
      </c>
      <c r="S3540" s="50">
        <f t="shared" si="968"/>
        <v>0</v>
      </c>
      <c r="T3540" s="49">
        <f t="shared" si="969"/>
        <v>0</v>
      </c>
      <c r="U3540" s="51">
        <f t="shared" si="970"/>
        <v>424660</v>
      </c>
      <c r="V3540" s="52">
        <f>IF(0&lt;0.8,0,IF(0&lt;1,Sheet3!L561,1))*IF(G3540&lt;3,0.12 - O3540,0.01) *U3540</f>
        <v>0</v>
      </c>
      <c r="W3540" s="52">
        <f t="shared" si="971"/>
        <v>0</v>
      </c>
      <c r="X3540" s="53">
        <f t="shared" si="972"/>
        <v>0</v>
      </c>
      <c r="Y3540" s="53">
        <f t="shared" si="973"/>
        <v>0</v>
      </c>
      <c r="Z3540" s="54">
        <f t="shared" si="963"/>
        <v>0</v>
      </c>
      <c r="AA3540" s="54">
        <f t="shared" si="974"/>
        <v>0</v>
      </c>
      <c r="AB3540" s="55">
        <f t="shared" si="977"/>
        <v>0</v>
      </c>
      <c r="AC3540" s="55">
        <f t="shared" si="975"/>
        <v>0</v>
      </c>
      <c r="AD3540" s="56">
        <f t="shared" si="976"/>
        <v>0</v>
      </c>
    </row>
    <row r="3541" spans="3:30">
      <c r="C3541" s="43" t="s">
        <v>6581</v>
      </c>
      <c r="D3541" s="44" t="s">
        <v>6582</v>
      </c>
      <c r="E3541" s="44"/>
      <c r="F3541" s="45">
        <v>43290.180509259255</v>
      </c>
      <c r="G3541" s="46">
        <v>2</v>
      </c>
      <c r="H3541" s="47">
        <v>43372</v>
      </c>
      <c r="I3541" s="47">
        <v>43399</v>
      </c>
      <c r="J3541" s="46">
        <v>506600</v>
      </c>
      <c r="K3541" s="46">
        <v>0</v>
      </c>
      <c r="L3541" s="46">
        <v>0</v>
      </c>
      <c r="M3541" s="46">
        <f t="shared" si="965"/>
        <v>506600</v>
      </c>
      <c r="N3541" s="46">
        <v>506600</v>
      </c>
      <c r="O3541" s="48">
        <f t="shared" si="966"/>
        <v>0</v>
      </c>
      <c r="P3541" s="46">
        <v>506600</v>
      </c>
      <c r="Q3541" s="46">
        <v>0</v>
      </c>
      <c r="R3541" s="49">
        <f t="shared" si="967"/>
        <v>0</v>
      </c>
      <c r="S3541" s="50">
        <f t="shared" si="968"/>
        <v>0</v>
      </c>
      <c r="T3541" s="49">
        <f t="shared" si="969"/>
        <v>0</v>
      </c>
      <c r="U3541" s="51">
        <f t="shared" si="970"/>
        <v>506600</v>
      </c>
      <c r="V3541" s="52">
        <f>IF(0&lt;0.8,0,IF(0&lt;1,Sheet3!L561,1))*IF(G3541&lt;3,0.12 - O3541,0.01) *U3541</f>
        <v>0</v>
      </c>
      <c r="W3541" s="52">
        <f t="shared" si="971"/>
        <v>0</v>
      </c>
      <c r="X3541" s="53">
        <f t="shared" si="972"/>
        <v>0</v>
      </c>
      <c r="Y3541" s="53">
        <f t="shared" si="973"/>
        <v>0</v>
      </c>
      <c r="Z3541" s="54">
        <f t="shared" si="963"/>
        <v>0</v>
      </c>
      <c r="AA3541" s="54">
        <f t="shared" si="974"/>
        <v>0</v>
      </c>
      <c r="AB3541" s="55">
        <f t="shared" si="977"/>
        <v>0</v>
      </c>
      <c r="AC3541" s="55">
        <f t="shared" si="975"/>
        <v>0</v>
      </c>
      <c r="AD3541" s="56">
        <f t="shared" si="976"/>
        <v>0</v>
      </c>
    </row>
    <row r="3542" spans="3:30">
      <c r="C3542" s="43" t="s">
        <v>6583</v>
      </c>
      <c r="D3542" s="44" t="s">
        <v>6584</v>
      </c>
      <c r="E3542" s="44"/>
      <c r="F3542" s="45">
        <v>43307.091307870367</v>
      </c>
      <c r="G3542" s="46">
        <v>2</v>
      </c>
      <c r="H3542" s="47">
        <v>43388</v>
      </c>
      <c r="I3542" s="47">
        <v>43389</v>
      </c>
      <c r="J3542" s="46">
        <v>36960</v>
      </c>
      <c r="K3542" s="46">
        <v>0</v>
      </c>
      <c r="L3542" s="46">
        <v>0</v>
      </c>
      <c r="M3542" s="46">
        <f t="shared" si="965"/>
        <v>36960</v>
      </c>
      <c r="N3542" s="46">
        <v>33000</v>
      </c>
      <c r="O3542" s="48">
        <f t="shared" si="966"/>
        <v>0</v>
      </c>
      <c r="P3542" s="46">
        <v>36960</v>
      </c>
      <c r="Q3542" s="46">
        <v>0</v>
      </c>
      <c r="R3542" s="49">
        <f t="shared" si="967"/>
        <v>0</v>
      </c>
      <c r="S3542" s="50">
        <f t="shared" si="968"/>
        <v>0</v>
      </c>
      <c r="T3542" s="49">
        <f t="shared" si="969"/>
        <v>0</v>
      </c>
      <c r="U3542" s="51">
        <f t="shared" si="970"/>
        <v>36960</v>
      </c>
      <c r="V3542" s="52">
        <f>IF(0&lt;0.8,0,IF(0&lt;1,Sheet3!L561,1))*IF(G3542&lt;3,0.12 - O3542,0.01) *U3542</f>
        <v>0</v>
      </c>
      <c r="W3542" s="52">
        <f t="shared" si="971"/>
        <v>0</v>
      </c>
      <c r="X3542" s="53">
        <f t="shared" si="972"/>
        <v>0</v>
      </c>
      <c r="Y3542" s="53">
        <f t="shared" si="973"/>
        <v>0</v>
      </c>
      <c r="Z3542" s="54">
        <f t="shared" si="963"/>
        <v>0</v>
      </c>
      <c r="AA3542" s="54">
        <f t="shared" si="974"/>
        <v>0</v>
      </c>
      <c r="AB3542" s="55">
        <f t="shared" si="977"/>
        <v>0</v>
      </c>
      <c r="AC3542" s="55">
        <f t="shared" si="975"/>
        <v>0</v>
      </c>
      <c r="AD3542" s="56">
        <f t="shared" si="976"/>
        <v>0</v>
      </c>
    </row>
    <row r="3543" spans="3:30">
      <c r="C3543" s="43" t="s">
        <v>6585</v>
      </c>
      <c r="D3543" s="44" t="s">
        <v>6586</v>
      </c>
      <c r="E3543" s="44"/>
      <c r="F3543" s="45">
        <v>43307.093043981477</v>
      </c>
      <c r="G3543" s="46">
        <v>2</v>
      </c>
      <c r="H3543" s="47">
        <v>43372</v>
      </c>
      <c r="I3543" s="47">
        <v>43385</v>
      </c>
      <c r="J3543" s="46">
        <v>2349357</v>
      </c>
      <c r="K3543" s="46">
        <v>0</v>
      </c>
      <c r="L3543" s="46">
        <v>0</v>
      </c>
      <c r="M3543" s="46">
        <f t="shared" si="965"/>
        <v>2349357</v>
      </c>
      <c r="N3543" s="46">
        <v>2525595</v>
      </c>
      <c r="O3543" s="48">
        <f t="shared" si="966"/>
        <v>6.9780784330029211E-2</v>
      </c>
      <c r="P3543" s="46">
        <v>2349357</v>
      </c>
      <c r="Q3543" s="46">
        <v>0</v>
      </c>
      <c r="R3543" s="49">
        <f t="shared" si="967"/>
        <v>0</v>
      </c>
      <c r="S3543" s="50">
        <f t="shared" si="968"/>
        <v>0</v>
      </c>
      <c r="T3543" s="49">
        <f t="shared" si="969"/>
        <v>0</v>
      </c>
      <c r="U3543" s="51">
        <f t="shared" si="970"/>
        <v>2349357</v>
      </c>
      <c r="V3543" s="52">
        <f>IF(0&lt;0.8,0,IF(0&lt;1,Sheet3!L561,1))*IF(G3543&lt;3,0.12 - O3543,0.01) *U3543</f>
        <v>0</v>
      </c>
      <c r="W3543" s="52">
        <f t="shared" si="971"/>
        <v>0</v>
      </c>
      <c r="X3543" s="53">
        <f t="shared" si="972"/>
        <v>0</v>
      </c>
      <c r="Y3543" s="53">
        <f t="shared" si="973"/>
        <v>0</v>
      </c>
      <c r="Z3543" s="54">
        <f t="shared" si="963"/>
        <v>0</v>
      </c>
      <c r="AA3543" s="54">
        <f t="shared" si="974"/>
        <v>0</v>
      </c>
      <c r="AB3543" s="55">
        <f t="shared" si="977"/>
        <v>0</v>
      </c>
      <c r="AC3543" s="55">
        <f t="shared" si="975"/>
        <v>0</v>
      </c>
      <c r="AD3543" s="56">
        <f t="shared" si="976"/>
        <v>0</v>
      </c>
    </row>
    <row r="3544" spans="3:30">
      <c r="C3544" s="43" t="s">
        <v>6587</v>
      </c>
      <c r="D3544" s="44" t="s">
        <v>6588</v>
      </c>
      <c r="E3544" s="44"/>
      <c r="F3544" s="45">
        <v>43308.417199074072</v>
      </c>
      <c r="G3544" s="46">
        <v>2</v>
      </c>
      <c r="H3544" s="47">
        <v>43389</v>
      </c>
      <c r="I3544" s="47">
        <v>43406</v>
      </c>
      <c r="J3544" s="46">
        <v>726144</v>
      </c>
      <c r="K3544" s="46">
        <v>0</v>
      </c>
      <c r="L3544" s="46">
        <v>0</v>
      </c>
      <c r="M3544" s="46">
        <f t="shared" si="965"/>
        <v>726144</v>
      </c>
      <c r="N3544" s="46">
        <v>774500</v>
      </c>
      <c r="O3544" s="48">
        <f t="shared" si="966"/>
        <v>6.2435119431891506E-2</v>
      </c>
      <c r="P3544" s="46">
        <v>726144</v>
      </c>
      <c r="Q3544" s="46">
        <v>0</v>
      </c>
      <c r="R3544" s="49">
        <f t="shared" si="967"/>
        <v>0</v>
      </c>
      <c r="S3544" s="50">
        <f t="shared" si="968"/>
        <v>0</v>
      </c>
      <c r="T3544" s="49">
        <f t="shared" si="969"/>
        <v>0</v>
      </c>
      <c r="U3544" s="51">
        <f t="shared" si="970"/>
        <v>726144</v>
      </c>
      <c r="V3544" s="52">
        <f>IF(0&lt;0.8,0,IF(0&lt;1,Sheet3!L561,1))*IF(G3544&lt;3,0.12 - O3544,0.01) *U3544</f>
        <v>0</v>
      </c>
      <c r="W3544" s="52">
        <f t="shared" si="971"/>
        <v>0</v>
      </c>
      <c r="X3544" s="53">
        <f t="shared" si="972"/>
        <v>0</v>
      </c>
      <c r="Y3544" s="53">
        <f t="shared" si="973"/>
        <v>0</v>
      </c>
      <c r="Z3544" s="54">
        <f t="shared" ref="Z3544:Z3553" si="978">IF(R3544=1,0,0)</f>
        <v>0</v>
      </c>
      <c r="AA3544" s="54">
        <f t="shared" si="974"/>
        <v>0</v>
      </c>
      <c r="AB3544" s="55">
        <f t="shared" si="977"/>
        <v>0</v>
      </c>
      <c r="AC3544" s="55">
        <f t="shared" si="975"/>
        <v>0</v>
      </c>
      <c r="AD3544" s="56">
        <f t="shared" si="976"/>
        <v>0</v>
      </c>
    </row>
    <row r="3545" spans="3:30">
      <c r="C3545" s="43" t="s">
        <v>6589</v>
      </c>
      <c r="D3545" s="44" t="s">
        <v>6590</v>
      </c>
      <c r="E3545" s="44"/>
      <c r="F3545" s="45">
        <v>43314.155925925923</v>
      </c>
      <c r="G3545" s="46">
        <v>1</v>
      </c>
      <c r="H3545" s="47">
        <v>43379</v>
      </c>
      <c r="I3545" s="47">
        <v>43453</v>
      </c>
      <c r="J3545" s="46">
        <v>385370</v>
      </c>
      <c r="K3545" s="46">
        <v>0</v>
      </c>
      <c r="L3545" s="46">
        <v>0</v>
      </c>
      <c r="M3545" s="46">
        <f t="shared" si="965"/>
        <v>385370</v>
      </c>
      <c r="N3545" s="46">
        <v>364702</v>
      </c>
      <c r="O3545" s="48">
        <f t="shared" si="966"/>
        <v>0</v>
      </c>
      <c r="P3545" s="46">
        <v>0</v>
      </c>
      <c r="Q3545" s="46">
        <v>0</v>
      </c>
      <c r="R3545" s="49">
        <f t="shared" si="967"/>
        <v>0</v>
      </c>
      <c r="S3545" s="50">
        <f t="shared" si="968"/>
        <v>0</v>
      </c>
      <c r="T3545" s="49">
        <f t="shared" si="969"/>
        <v>0</v>
      </c>
      <c r="U3545" s="51">
        <f t="shared" si="970"/>
        <v>385370</v>
      </c>
      <c r="V3545" s="52">
        <f>IF(0&lt;0.8,0,IF(0&lt;1,Sheet3!L561,1))*IF(G3545&lt;3,0.12 - O3545,0.01) *U3545</f>
        <v>0</v>
      </c>
      <c r="W3545" s="52">
        <f t="shared" si="971"/>
        <v>0</v>
      </c>
      <c r="X3545" s="53">
        <f t="shared" si="972"/>
        <v>0</v>
      </c>
      <c r="Y3545" s="53">
        <f t="shared" si="973"/>
        <v>0</v>
      </c>
      <c r="Z3545" s="54">
        <f t="shared" si="978"/>
        <v>0</v>
      </c>
      <c r="AA3545" s="54">
        <f t="shared" si="974"/>
        <v>0</v>
      </c>
      <c r="AB3545" s="55">
        <f t="shared" si="977"/>
        <v>0</v>
      </c>
      <c r="AC3545" s="55">
        <f t="shared" si="975"/>
        <v>0</v>
      </c>
      <c r="AD3545" s="56">
        <f t="shared" si="976"/>
        <v>0</v>
      </c>
    </row>
    <row r="3546" spans="3:30">
      <c r="C3546" s="43" t="s">
        <v>6591</v>
      </c>
      <c r="D3546" s="44" t="s">
        <v>6592</v>
      </c>
      <c r="E3546" s="44"/>
      <c r="F3546" s="45">
        <v>43314.159143518518</v>
      </c>
      <c r="G3546" s="46">
        <v>1</v>
      </c>
      <c r="H3546" s="47">
        <v>43372</v>
      </c>
      <c r="I3546" s="47">
        <v>43389</v>
      </c>
      <c r="J3546" s="46">
        <v>405900</v>
      </c>
      <c r="K3546" s="46">
        <v>0</v>
      </c>
      <c r="L3546" s="46">
        <v>0</v>
      </c>
      <c r="M3546" s="46">
        <f t="shared" si="965"/>
        <v>405900</v>
      </c>
      <c r="N3546" s="46">
        <v>405900</v>
      </c>
      <c r="O3546" s="48">
        <f t="shared" si="966"/>
        <v>0</v>
      </c>
      <c r="P3546" s="46">
        <v>0</v>
      </c>
      <c r="Q3546" s="46">
        <v>0</v>
      </c>
      <c r="R3546" s="49">
        <f t="shared" si="967"/>
        <v>0</v>
      </c>
      <c r="S3546" s="50">
        <f t="shared" si="968"/>
        <v>0</v>
      </c>
      <c r="T3546" s="49">
        <f t="shared" si="969"/>
        <v>0</v>
      </c>
      <c r="U3546" s="51">
        <f t="shared" si="970"/>
        <v>405900</v>
      </c>
      <c r="V3546" s="52">
        <f>IF(0&lt;0.8,0,IF(0&lt;1,Sheet3!L561,1))*IF(G3546&lt;3,0.12 - O3546,0.01) *U3546</f>
        <v>0</v>
      </c>
      <c r="W3546" s="52">
        <f t="shared" si="971"/>
        <v>0</v>
      </c>
      <c r="X3546" s="53">
        <f t="shared" si="972"/>
        <v>0</v>
      </c>
      <c r="Y3546" s="53">
        <f t="shared" si="973"/>
        <v>0</v>
      </c>
      <c r="Z3546" s="54">
        <f t="shared" si="978"/>
        <v>0</v>
      </c>
      <c r="AA3546" s="54">
        <f t="shared" si="974"/>
        <v>0</v>
      </c>
      <c r="AB3546" s="55">
        <f t="shared" si="977"/>
        <v>0</v>
      </c>
      <c r="AC3546" s="55">
        <f t="shared" si="975"/>
        <v>0</v>
      </c>
      <c r="AD3546" s="56">
        <f t="shared" si="976"/>
        <v>0</v>
      </c>
    </row>
    <row r="3547" spans="3:30">
      <c r="C3547" s="43" t="s">
        <v>6593</v>
      </c>
      <c r="D3547" s="44" t="s">
        <v>6594</v>
      </c>
      <c r="E3547" s="44"/>
      <c r="F3547" s="45">
        <v>43314.161319444444</v>
      </c>
      <c r="G3547" s="46">
        <v>1</v>
      </c>
      <c r="H3547" s="47">
        <v>43372</v>
      </c>
      <c r="I3547" s="47">
        <v>43383</v>
      </c>
      <c r="J3547" s="46">
        <v>721668</v>
      </c>
      <c r="K3547" s="46">
        <v>0</v>
      </c>
      <c r="L3547" s="46">
        <v>0</v>
      </c>
      <c r="M3547" s="46">
        <f t="shared" si="965"/>
        <v>721668</v>
      </c>
      <c r="N3547" s="46">
        <v>675056</v>
      </c>
      <c r="O3547" s="48">
        <f t="shared" si="966"/>
        <v>0</v>
      </c>
      <c r="P3547" s="46">
        <v>0</v>
      </c>
      <c r="Q3547" s="46">
        <v>0</v>
      </c>
      <c r="R3547" s="49">
        <f t="shared" si="967"/>
        <v>0</v>
      </c>
      <c r="S3547" s="50">
        <f t="shared" si="968"/>
        <v>0</v>
      </c>
      <c r="T3547" s="49">
        <f t="shared" si="969"/>
        <v>0</v>
      </c>
      <c r="U3547" s="51">
        <f t="shared" si="970"/>
        <v>721668</v>
      </c>
      <c r="V3547" s="52">
        <f>IF(0&lt;0.8,0,IF(0&lt;1,Sheet3!L561,1))*IF(G3547&lt;3,0.12 - O3547,0.01) *U3547</f>
        <v>0</v>
      </c>
      <c r="W3547" s="52">
        <f t="shared" si="971"/>
        <v>0</v>
      </c>
      <c r="X3547" s="53">
        <f t="shared" si="972"/>
        <v>0</v>
      </c>
      <c r="Y3547" s="53">
        <f t="shared" si="973"/>
        <v>0</v>
      </c>
      <c r="Z3547" s="54">
        <f t="shared" si="978"/>
        <v>0</v>
      </c>
      <c r="AA3547" s="54">
        <f t="shared" si="974"/>
        <v>0</v>
      </c>
      <c r="AB3547" s="55">
        <f t="shared" si="977"/>
        <v>0</v>
      </c>
      <c r="AC3547" s="55">
        <f t="shared" si="975"/>
        <v>0</v>
      </c>
      <c r="AD3547" s="56">
        <f t="shared" si="976"/>
        <v>0</v>
      </c>
    </row>
    <row r="3548" spans="3:30">
      <c r="C3548" s="43" t="s">
        <v>6595</v>
      </c>
      <c r="D3548" s="44" t="s">
        <v>6596</v>
      </c>
      <c r="E3548" s="44"/>
      <c r="F3548" s="45">
        <v>43314.162395833329</v>
      </c>
      <c r="G3548" s="46">
        <v>1</v>
      </c>
      <c r="H3548" s="47">
        <v>43372</v>
      </c>
      <c r="I3548" s="47">
        <v>43405</v>
      </c>
      <c r="J3548" s="46">
        <v>3772789</v>
      </c>
      <c r="K3548" s="46">
        <v>0</v>
      </c>
      <c r="L3548" s="46">
        <v>0</v>
      </c>
      <c r="M3548" s="46">
        <f t="shared" si="965"/>
        <v>3772789</v>
      </c>
      <c r="N3548" s="46">
        <v>4048931</v>
      </c>
      <c r="O3548" s="48">
        <f t="shared" si="966"/>
        <v>6.8201211628452052E-2</v>
      </c>
      <c r="P3548" s="46">
        <v>0</v>
      </c>
      <c r="Q3548" s="46">
        <v>0</v>
      </c>
      <c r="R3548" s="49">
        <f t="shared" si="967"/>
        <v>0</v>
      </c>
      <c r="S3548" s="50">
        <f t="shared" si="968"/>
        <v>0</v>
      </c>
      <c r="T3548" s="49">
        <f t="shared" si="969"/>
        <v>0</v>
      </c>
      <c r="U3548" s="51">
        <f t="shared" si="970"/>
        <v>3772789</v>
      </c>
      <c r="V3548" s="52">
        <f>IF(0&lt;0.8,0,IF(0&lt;1,Sheet3!L561,1))*IF(G3548&lt;3,0.12 - O3548,0.01) *U3548</f>
        <v>0</v>
      </c>
      <c r="W3548" s="52">
        <f t="shared" si="971"/>
        <v>0</v>
      </c>
      <c r="X3548" s="53">
        <f t="shared" si="972"/>
        <v>0</v>
      </c>
      <c r="Y3548" s="53">
        <f t="shared" si="973"/>
        <v>0</v>
      </c>
      <c r="Z3548" s="54">
        <f t="shared" si="978"/>
        <v>0</v>
      </c>
      <c r="AA3548" s="54">
        <f t="shared" si="974"/>
        <v>0</v>
      </c>
      <c r="AB3548" s="55">
        <f t="shared" si="977"/>
        <v>0</v>
      </c>
      <c r="AC3548" s="55">
        <f t="shared" si="975"/>
        <v>0</v>
      </c>
      <c r="AD3548" s="56">
        <f t="shared" si="976"/>
        <v>0</v>
      </c>
    </row>
    <row r="3549" spans="3:30">
      <c r="C3549" s="43" t="s">
        <v>6597</v>
      </c>
      <c r="D3549" s="44" t="s">
        <v>6598</v>
      </c>
      <c r="E3549" s="44"/>
      <c r="F3549" s="45">
        <v>43333.336875000001</v>
      </c>
      <c r="G3549" s="46">
        <v>1</v>
      </c>
      <c r="H3549" s="47">
        <v>43383</v>
      </c>
      <c r="I3549" s="47">
        <v>43400</v>
      </c>
      <c r="J3549" s="46">
        <v>348660</v>
      </c>
      <c r="K3549" s="46">
        <v>0</v>
      </c>
      <c r="L3549" s="46">
        <v>0</v>
      </c>
      <c r="M3549" s="46">
        <f t="shared" si="965"/>
        <v>348660</v>
      </c>
      <c r="N3549" s="46">
        <v>310084</v>
      </c>
      <c r="O3549" s="48">
        <f t="shared" si="966"/>
        <v>0</v>
      </c>
      <c r="P3549" s="46">
        <v>0</v>
      </c>
      <c r="Q3549" s="46">
        <v>0</v>
      </c>
      <c r="R3549" s="49">
        <f t="shared" si="967"/>
        <v>0</v>
      </c>
      <c r="S3549" s="50">
        <f t="shared" si="968"/>
        <v>0</v>
      </c>
      <c r="T3549" s="49">
        <f t="shared" si="969"/>
        <v>0</v>
      </c>
      <c r="U3549" s="51">
        <f t="shared" si="970"/>
        <v>348660</v>
      </c>
      <c r="V3549" s="52">
        <f>IF(0&lt;0.8,0,IF(0&lt;1,Sheet3!L561,1))*IF(G3549&lt;3,0.12 - O3549,0.01) *U3549</f>
        <v>0</v>
      </c>
      <c r="W3549" s="52">
        <f t="shared" si="971"/>
        <v>0</v>
      </c>
      <c r="X3549" s="53">
        <f t="shared" si="972"/>
        <v>0</v>
      </c>
      <c r="Y3549" s="53">
        <f t="shared" si="973"/>
        <v>0</v>
      </c>
      <c r="Z3549" s="54">
        <f t="shared" si="978"/>
        <v>0</v>
      </c>
      <c r="AA3549" s="54">
        <f t="shared" si="974"/>
        <v>0</v>
      </c>
      <c r="AB3549" s="55">
        <f t="shared" si="977"/>
        <v>0</v>
      </c>
      <c r="AC3549" s="55">
        <f t="shared" si="975"/>
        <v>0</v>
      </c>
      <c r="AD3549" s="56">
        <f t="shared" si="976"/>
        <v>0</v>
      </c>
    </row>
    <row r="3550" spans="3:30">
      <c r="C3550" s="43" t="s">
        <v>6599</v>
      </c>
      <c r="D3550" s="44" t="s">
        <v>6600</v>
      </c>
      <c r="E3550" s="44"/>
      <c r="F3550" s="45">
        <v>43333.33861111111</v>
      </c>
      <c r="G3550" s="46">
        <v>1</v>
      </c>
      <c r="H3550" s="47">
        <v>43385</v>
      </c>
      <c r="I3550" s="47">
        <v>43391</v>
      </c>
      <c r="J3550" s="46">
        <v>313500</v>
      </c>
      <c r="K3550" s="46">
        <v>0</v>
      </c>
      <c r="L3550" s="46">
        <v>0</v>
      </c>
      <c r="M3550" s="46">
        <f t="shared" si="965"/>
        <v>313500</v>
      </c>
      <c r="N3550" s="46">
        <v>313500</v>
      </c>
      <c r="O3550" s="48">
        <f t="shared" si="966"/>
        <v>0</v>
      </c>
      <c r="P3550" s="46">
        <v>0</v>
      </c>
      <c r="Q3550" s="46">
        <v>0</v>
      </c>
      <c r="R3550" s="49">
        <f t="shared" si="967"/>
        <v>0</v>
      </c>
      <c r="S3550" s="50">
        <f t="shared" si="968"/>
        <v>0</v>
      </c>
      <c r="T3550" s="49">
        <f t="shared" si="969"/>
        <v>0</v>
      </c>
      <c r="U3550" s="51">
        <f t="shared" si="970"/>
        <v>313500</v>
      </c>
      <c r="V3550" s="52">
        <f>IF(0&lt;0.8,0,IF(0&lt;1,Sheet3!L561,1))*IF(G3550&lt;3,0.12 - O3550,0.01) *U3550</f>
        <v>0</v>
      </c>
      <c r="W3550" s="52">
        <f t="shared" si="971"/>
        <v>0</v>
      </c>
      <c r="X3550" s="53">
        <f t="shared" si="972"/>
        <v>0</v>
      </c>
      <c r="Y3550" s="53">
        <f t="shared" si="973"/>
        <v>0</v>
      </c>
      <c r="Z3550" s="54">
        <f t="shared" si="978"/>
        <v>0</v>
      </c>
      <c r="AA3550" s="54">
        <f t="shared" si="974"/>
        <v>0</v>
      </c>
      <c r="AB3550" s="55">
        <f t="shared" si="977"/>
        <v>0</v>
      </c>
      <c r="AC3550" s="55">
        <f t="shared" si="975"/>
        <v>0</v>
      </c>
      <c r="AD3550" s="56">
        <f t="shared" si="976"/>
        <v>0</v>
      </c>
    </row>
    <row r="3551" spans="3:30">
      <c r="C3551" s="43" t="s">
        <v>6601</v>
      </c>
      <c r="D3551" s="44" t="s">
        <v>6602</v>
      </c>
      <c r="E3551" s="44"/>
      <c r="F3551" s="45">
        <v>43339.216585648144</v>
      </c>
      <c r="G3551" s="46">
        <v>1</v>
      </c>
      <c r="H3551" s="47">
        <v>43379</v>
      </c>
      <c r="I3551" s="47">
        <v>43437</v>
      </c>
      <c r="J3551" s="46">
        <v>511528</v>
      </c>
      <c r="K3551" s="46">
        <v>0</v>
      </c>
      <c r="L3551" s="46">
        <v>0</v>
      </c>
      <c r="M3551" s="46">
        <f t="shared" si="965"/>
        <v>511528</v>
      </c>
      <c r="N3551" s="46">
        <v>216920</v>
      </c>
      <c r="O3551" s="48">
        <f t="shared" si="966"/>
        <v>0</v>
      </c>
      <c r="P3551" s="46">
        <v>0</v>
      </c>
      <c r="Q3551" s="46">
        <v>0</v>
      </c>
      <c r="R3551" s="49">
        <f t="shared" si="967"/>
        <v>0</v>
      </c>
      <c r="S3551" s="50">
        <f t="shared" si="968"/>
        <v>0</v>
      </c>
      <c r="T3551" s="49">
        <f t="shared" si="969"/>
        <v>0</v>
      </c>
      <c r="U3551" s="51">
        <f t="shared" si="970"/>
        <v>511528</v>
      </c>
      <c r="V3551" s="52">
        <f>IF(0&lt;0.8,0,IF(0&lt;1,Sheet3!L561,1))*IF(G3551&lt;3,0.12 - O3551,0.01) *U3551</f>
        <v>0</v>
      </c>
      <c r="W3551" s="52">
        <f t="shared" si="971"/>
        <v>0</v>
      </c>
      <c r="X3551" s="53">
        <f t="shared" si="972"/>
        <v>0</v>
      </c>
      <c r="Y3551" s="53">
        <f t="shared" si="973"/>
        <v>0</v>
      </c>
      <c r="Z3551" s="54">
        <f t="shared" si="978"/>
        <v>0</v>
      </c>
      <c r="AA3551" s="54">
        <f t="shared" si="974"/>
        <v>0</v>
      </c>
      <c r="AB3551" s="55">
        <f t="shared" si="977"/>
        <v>0</v>
      </c>
      <c r="AC3551" s="55">
        <f t="shared" si="975"/>
        <v>0</v>
      </c>
      <c r="AD3551" s="56">
        <f t="shared" si="976"/>
        <v>0</v>
      </c>
    </row>
    <row r="3552" spans="3:30">
      <c r="C3552" s="43" t="s">
        <v>6603</v>
      </c>
      <c r="D3552" s="44" t="s">
        <v>6604</v>
      </c>
      <c r="E3552" s="44"/>
      <c r="F3552" s="45">
        <v>43365.123124999998</v>
      </c>
      <c r="G3552" s="46">
        <v>0</v>
      </c>
      <c r="H3552" s="47">
        <v>43383</v>
      </c>
      <c r="I3552" s="47">
        <v>43398</v>
      </c>
      <c r="J3552" s="46">
        <v>194656</v>
      </c>
      <c r="K3552" s="46">
        <v>0</v>
      </c>
      <c r="L3552" s="46">
        <v>0</v>
      </c>
      <c r="M3552" s="46">
        <f t="shared" si="965"/>
        <v>194656</v>
      </c>
      <c r="N3552" s="46">
        <v>239060</v>
      </c>
      <c r="O3552" s="48">
        <f t="shared" si="966"/>
        <v>0.18574416464485899</v>
      </c>
      <c r="P3552" s="46">
        <v>0</v>
      </c>
      <c r="Q3552" s="46">
        <v>0</v>
      </c>
      <c r="R3552" s="49">
        <f t="shared" si="967"/>
        <v>0</v>
      </c>
      <c r="S3552" s="50">
        <f t="shared" si="968"/>
        <v>0</v>
      </c>
      <c r="T3552" s="49">
        <f t="shared" si="969"/>
        <v>0</v>
      </c>
      <c r="U3552" s="51">
        <f t="shared" si="970"/>
        <v>0</v>
      </c>
      <c r="V3552" s="52">
        <f>IF(0&lt;0.8,0,IF(0&lt;1,Sheet3!L561,1))*IF(G3552&lt;3,0.12 - O3552,0.01) *U3552</f>
        <v>0</v>
      </c>
      <c r="W3552" s="52">
        <f t="shared" si="971"/>
        <v>0</v>
      </c>
      <c r="X3552" s="53">
        <f t="shared" si="972"/>
        <v>0</v>
      </c>
      <c r="Y3552" s="53">
        <f t="shared" si="973"/>
        <v>0</v>
      </c>
      <c r="Z3552" s="54">
        <f t="shared" si="978"/>
        <v>0</v>
      </c>
      <c r="AA3552" s="54">
        <f t="shared" si="974"/>
        <v>0</v>
      </c>
      <c r="AB3552" s="55">
        <f t="shared" si="977"/>
        <v>0</v>
      </c>
      <c r="AC3552" s="55">
        <f t="shared" si="975"/>
        <v>0</v>
      </c>
      <c r="AD3552" s="56">
        <f t="shared" si="976"/>
        <v>0</v>
      </c>
    </row>
    <row r="3553" spans="3:30">
      <c r="C3553" s="43" t="s">
        <v>6605</v>
      </c>
      <c r="D3553" s="44" t="s">
        <v>6606</v>
      </c>
      <c r="E3553" s="44"/>
      <c r="F3553" s="45">
        <v>43369.403032407405</v>
      </c>
      <c r="G3553" s="46">
        <v>0</v>
      </c>
      <c r="H3553" s="47">
        <v>43379</v>
      </c>
      <c r="I3553" s="47">
        <v>43391</v>
      </c>
      <c r="J3553" s="46">
        <v>1164200</v>
      </c>
      <c r="K3553" s="46">
        <v>0</v>
      </c>
      <c r="L3553" s="46">
        <v>0</v>
      </c>
      <c r="M3553" s="46">
        <f t="shared" si="965"/>
        <v>1164200</v>
      </c>
      <c r="N3553" s="46">
        <v>1164200</v>
      </c>
      <c r="O3553" s="48">
        <f t="shared" si="966"/>
        <v>0</v>
      </c>
      <c r="P3553" s="46">
        <v>0</v>
      </c>
      <c r="Q3553" s="46">
        <v>0</v>
      </c>
      <c r="R3553" s="49">
        <f t="shared" si="967"/>
        <v>0</v>
      </c>
      <c r="S3553" s="50">
        <f t="shared" si="968"/>
        <v>0</v>
      </c>
      <c r="T3553" s="49">
        <f t="shared" si="969"/>
        <v>0</v>
      </c>
      <c r="U3553" s="51">
        <f t="shared" si="970"/>
        <v>1164200</v>
      </c>
      <c r="V3553" s="52">
        <f>IF(0&lt;0.8,0,IF(0&lt;1,Sheet3!L561,1))*IF(G3553&lt;3,0.12 - O3553,0.01) *U3553</f>
        <v>0</v>
      </c>
      <c r="W3553" s="52">
        <f t="shared" si="971"/>
        <v>0</v>
      </c>
      <c r="X3553" s="53">
        <f t="shared" si="972"/>
        <v>0</v>
      </c>
      <c r="Y3553" s="53">
        <f t="shared" si="973"/>
        <v>0</v>
      </c>
      <c r="Z3553" s="54">
        <f t="shared" si="978"/>
        <v>0</v>
      </c>
      <c r="AA3553" s="54">
        <f t="shared" si="974"/>
        <v>0</v>
      </c>
      <c r="AB3553" s="55">
        <f t="shared" si="977"/>
        <v>0</v>
      </c>
      <c r="AC3553" s="55">
        <f t="shared" si="975"/>
        <v>0</v>
      </c>
      <c r="AD3553" s="56">
        <f t="shared" si="976"/>
        <v>0</v>
      </c>
    </row>
    <row r="3554" spans="3:30">
      <c r="C3554" s="43" t="s">
        <v>6607</v>
      </c>
      <c r="D3554" s="44" t="s">
        <v>6608</v>
      </c>
      <c r="E3554" s="44"/>
      <c r="F3554" s="45">
        <v>42522.122199074074</v>
      </c>
      <c r="G3554" s="46">
        <v>27</v>
      </c>
      <c r="H3554" s="47" t="s">
        <v>24</v>
      </c>
      <c r="I3554" s="47" t="s">
        <v>24</v>
      </c>
      <c r="J3554" s="46">
        <v>0</v>
      </c>
      <c r="K3554" s="46">
        <v>0</v>
      </c>
      <c r="L3554" s="46">
        <v>0</v>
      </c>
      <c r="M3554" s="46">
        <f t="shared" si="965"/>
        <v>0</v>
      </c>
      <c r="N3554" s="46">
        <v>7321150</v>
      </c>
      <c r="O3554" s="48">
        <f t="shared" si="966"/>
        <v>1</v>
      </c>
      <c r="P3554" s="46">
        <v>0</v>
      </c>
      <c r="Q3554" s="46">
        <v>0</v>
      </c>
      <c r="R3554" s="49">
        <f t="shared" si="967"/>
        <v>1</v>
      </c>
      <c r="S3554" s="50">
        <f t="shared" si="968"/>
        <v>0.01</v>
      </c>
      <c r="T3554" s="49">
        <f t="shared" si="969"/>
        <v>0</v>
      </c>
      <c r="U3554" s="51">
        <f t="shared" si="970"/>
        <v>0</v>
      </c>
      <c r="V3554" s="52">
        <f>IF(0&lt;0.8,0,IF(0&lt;1,Sheet3!L561,1))*IF(G3554&lt;3,0.12 - O3554,0.01) *U3554</f>
        <v>0</v>
      </c>
      <c r="W3554" s="52">
        <f t="shared" si="971"/>
        <v>0</v>
      </c>
      <c r="X3554" s="53">
        <f t="shared" si="972"/>
        <v>0</v>
      </c>
      <c r="Y3554" s="53">
        <f t="shared" si="973"/>
        <v>0</v>
      </c>
      <c r="Z3554" s="54">
        <f>IF(R3554=1,0,"")</f>
        <v>0</v>
      </c>
      <c r="AA3554" s="54">
        <f t="shared" si="974"/>
        <v>0</v>
      </c>
      <c r="AB3554" s="55">
        <f>IF(R3554=0,"",0)</f>
        <v>0</v>
      </c>
      <c r="AC3554" s="55">
        <f t="shared" si="975"/>
        <v>0</v>
      </c>
      <c r="AD3554" s="56">
        <f t="shared" si="976"/>
        <v>0</v>
      </c>
    </row>
    <row r="3555" spans="3:30">
      <c r="C3555" s="43" t="s">
        <v>6609</v>
      </c>
      <c r="D3555" s="44" t="s">
        <v>995</v>
      </c>
      <c r="E3555" s="44"/>
      <c r="F3555" s="45">
        <v>43316.675034722219</v>
      </c>
      <c r="G3555" s="46">
        <v>1</v>
      </c>
      <c r="H3555" s="47">
        <v>43459</v>
      </c>
      <c r="I3555" s="47">
        <v>43487</v>
      </c>
      <c r="J3555" s="46">
        <v>1970228</v>
      </c>
      <c r="K3555" s="46">
        <v>0</v>
      </c>
      <c r="L3555" s="46">
        <v>0</v>
      </c>
      <c r="M3555" s="46">
        <f t="shared" si="965"/>
        <v>1970228</v>
      </c>
      <c r="N3555" s="46">
        <v>2178804</v>
      </c>
      <c r="O3555" s="48">
        <f t="shared" si="966"/>
        <v>9.572958375328855E-2</v>
      </c>
      <c r="P3555" s="46">
        <v>0</v>
      </c>
      <c r="Q3555" s="46">
        <v>0</v>
      </c>
      <c r="R3555" s="49">
        <f t="shared" si="967"/>
        <v>0</v>
      </c>
      <c r="S3555" s="50">
        <f t="shared" si="968"/>
        <v>0</v>
      </c>
      <c r="T3555" s="49">
        <f t="shared" si="969"/>
        <v>0</v>
      </c>
      <c r="U3555" s="51">
        <f t="shared" si="970"/>
        <v>1970228</v>
      </c>
      <c r="V3555" s="52">
        <f>IF(0&lt;0.8,0,IF(0&lt;1,Sheet3!L561,1))*IF(G3555&lt;3,0.12 - O3555,0.01) *U3555</f>
        <v>0</v>
      </c>
      <c r="W3555" s="52">
        <f t="shared" si="971"/>
        <v>0</v>
      </c>
      <c r="X3555" s="53">
        <f t="shared" si="972"/>
        <v>0</v>
      </c>
      <c r="Y3555" s="53">
        <f t="shared" si="973"/>
        <v>0</v>
      </c>
      <c r="Z3555" s="54">
        <f t="shared" ref="Z3555:Z3566" si="979">IF(R3555=1,0,0)</f>
        <v>0</v>
      </c>
      <c r="AA3555" s="54">
        <f t="shared" si="974"/>
        <v>0</v>
      </c>
      <c r="AB3555" s="55">
        <f t="shared" ref="AB3555:AB3566" si="980">IF(R3555=0,0,0)</f>
        <v>0</v>
      </c>
      <c r="AC3555" s="55">
        <f t="shared" si="975"/>
        <v>0</v>
      </c>
      <c r="AD3555" s="56">
        <f t="shared" si="976"/>
        <v>0</v>
      </c>
    </row>
    <row r="3556" spans="3:30">
      <c r="C3556" s="43" t="s">
        <v>6610</v>
      </c>
      <c r="D3556" s="44" t="s">
        <v>995</v>
      </c>
      <c r="E3556" s="44"/>
      <c r="F3556" s="45">
        <v>43316.675578703704</v>
      </c>
      <c r="G3556" s="46">
        <v>1</v>
      </c>
      <c r="H3556" s="47">
        <v>43459</v>
      </c>
      <c r="I3556" s="47">
        <v>43487</v>
      </c>
      <c r="J3556" s="46">
        <v>1186649</v>
      </c>
      <c r="K3556" s="46">
        <v>0</v>
      </c>
      <c r="L3556" s="46">
        <v>0</v>
      </c>
      <c r="M3556" s="46">
        <f t="shared" si="965"/>
        <v>1186649</v>
      </c>
      <c r="N3556" s="46">
        <v>1339681</v>
      </c>
      <c r="O3556" s="48">
        <f t="shared" si="966"/>
        <v>0.11423017867686414</v>
      </c>
      <c r="P3556" s="46">
        <v>0</v>
      </c>
      <c r="Q3556" s="46">
        <v>0</v>
      </c>
      <c r="R3556" s="49">
        <f t="shared" si="967"/>
        <v>0</v>
      </c>
      <c r="S3556" s="50">
        <f t="shared" si="968"/>
        <v>0</v>
      </c>
      <c r="T3556" s="49">
        <f t="shared" si="969"/>
        <v>0</v>
      </c>
      <c r="U3556" s="51">
        <f t="shared" si="970"/>
        <v>1186649</v>
      </c>
      <c r="V3556" s="52">
        <f>IF(0&lt;0.8,0,IF(0&lt;1,Sheet3!L561,1))*IF(G3556&lt;3,0.12 - O3556,0.01) *U3556</f>
        <v>0</v>
      </c>
      <c r="W3556" s="52">
        <f t="shared" si="971"/>
        <v>0</v>
      </c>
      <c r="X3556" s="53">
        <f t="shared" si="972"/>
        <v>0</v>
      </c>
      <c r="Y3556" s="53">
        <f t="shared" si="973"/>
        <v>0</v>
      </c>
      <c r="Z3556" s="54">
        <f t="shared" si="979"/>
        <v>0</v>
      </c>
      <c r="AA3556" s="54">
        <f t="shared" si="974"/>
        <v>0</v>
      </c>
      <c r="AB3556" s="55">
        <f t="shared" si="980"/>
        <v>0</v>
      </c>
      <c r="AC3556" s="55">
        <f t="shared" si="975"/>
        <v>0</v>
      </c>
      <c r="AD3556" s="56">
        <f t="shared" si="976"/>
        <v>0</v>
      </c>
    </row>
    <row r="3557" spans="3:30">
      <c r="C3557" s="43" t="s">
        <v>6611</v>
      </c>
      <c r="D3557" s="44" t="s">
        <v>995</v>
      </c>
      <c r="E3557" s="44"/>
      <c r="F3557" s="45">
        <v>43316.676076388889</v>
      </c>
      <c r="G3557" s="46">
        <v>1</v>
      </c>
      <c r="H3557" s="47">
        <v>43431</v>
      </c>
      <c r="I3557" s="47">
        <v>43460</v>
      </c>
      <c r="J3557" s="46">
        <v>798441</v>
      </c>
      <c r="K3557" s="46">
        <v>0</v>
      </c>
      <c r="L3557" s="46">
        <v>0</v>
      </c>
      <c r="M3557" s="46">
        <f t="shared" si="965"/>
        <v>798441</v>
      </c>
      <c r="N3557" s="46">
        <v>835628</v>
      </c>
      <c r="O3557" s="48">
        <f t="shared" si="966"/>
        <v>4.4501859679187405E-2</v>
      </c>
      <c r="P3557" s="46">
        <v>0</v>
      </c>
      <c r="Q3557" s="46">
        <v>0</v>
      </c>
      <c r="R3557" s="49">
        <f t="shared" si="967"/>
        <v>0</v>
      </c>
      <c r="S3557" s="50">
        <f t="shared" si="968"/>
        <v>0</v>
      </c>
      <c r="T3557" s="49">
        <f t="shared" si="969"/>
        <v>0</v>
      </c>
      <c r="U3557" s="51">
        <f t="shared" si="970"/>
        <v>798441</v>
      </c>
      <c r="V3557" s="52">
        <f>IF(0&lt;0.8,0,IF(0&lt;1,Sheet3!L561,1))*IF(G3557&lt;3,0.12 - O3557,0.01) *U3557</f>
        <v>0</v>
      </c>
      <c r="W3557" s="52">
        <f t="shared" si="971"/>
        <v>0</v>
      </c>
      <c r="X3557" s="53">
        <f t="shared" si="972"/>
        <v>0</v>
      </c>
      <c r="Y3557" s="53">
        <f t="shared" si="973"/>
        <v>0</v>
      </c>
      <c r="Z3557" s="54">
        <f t="shared" si="979"/>
        <v>0</v>
      </c>
      <c r="AA3557" s="54">
        <f t="shared" si="974"/>
        <v>0</v>
      </c>
      <c r="AB3557" s="55">
        <f t="shared" si="980"/>
        <v>0</v>
      </c>
      <c r="AC3557" s="55">
        <f t="shared" si="975"/>
        <v>0</v>
      </c>
      <c r="AD3557" s="56">
        <f t="shared" si="976"/>
        <v>0</v>
      </c>
    </row>
    <row r="3558" spans="3:30">
      <c r="C3558" s="43" t="s">
        <v>6612</v>
      </c>
      <c r="D3558" s="44" t="s">
        <v>995</v>
      </c>
      <c r="E3558" s="44"/>
      <c r="F3558" s="45">
        <v>43316.676574074074</v>
      </c>
      <c r="G3558" s="46">
        <v>1</v>
      </c>
      <c r="H3558" s="47">
        <v>43431</v>
      </c>
      <c r="I3558" s="47">
        <v>43460</v>
      </c>
      <c r="J3558" s="46">
        <v>1135590</v>
      </c>
      <c r="K3558" s="46">
        <v>0</v>
      </c>
      <c r="L3558" s="46">
        <v>0</v>
      </c>
      <c r="M3558" s="46">
        <f t="shared" si="965"/>
        <v>1135590</v>
      </c>
      <c r="N3558" s="46">
        <v>1271749</v>
      </c>
      <c r="O3558" s="48">
        <f t="shared" si="966"/>
        <v>0.10706436568851241</v>
      </c>
      <c r="P3558" s="46">
        <v>0</v>
      </c>
      <c r="Q3558" s="46">
        <v>0</v>
      </c>
      <c r="R3558" s="49">
        <f t="shared" si="967"/>
        <v>0</v>
      </c>
      <c r="S3558" s="50">
        <f t="shared" si="968"/>
        <v>0</v>
      </c>
      <c r="T3558" s="49">
        <f t="shared" si="969"/>
        <v>0</v>
      </c>
      <c r="U3558" s="51">
        <f t="shared" si="970"/>
        <v>1135590</v>
      </c>
      <c r="V3558" s="52">
        <f>IF(0&lt;0.8,0,IF(0&lt;1,Sheet3!L561,1))*IF(G3558&lt;3,0.12 - O3558,0.01) *U3558</f>
        <v>0</v>
      </c>
      <c r="W3558" s="52">
        <f t="shared" si="971"/>
        <v>0</v>
      </c>
      <c r="X3558" s="53">
        <f t="shared" si="972"/>
        <v>0</v>
      </c>
      <c r="Y3558" s="53">
        <f t="shared" si="973"/>
        <v>0</v>
      </c>
      <c r="Z3558" s="54">
        <f t="shared" si="979"/>
        <v>0</v>
      </c>
      <c r="AA3558" s="54">
        <f t="shared" si="974"/>
        <v>0</v>
      </c>
      <c r="AB3558" s="55">
        <f t="shared" si="980"/>
        <v>0</v>
      </c>
      <c r="AC3558" s="55">
        <f t="shared" si="975"/>
        <v>0</v>
      </c>
      <c r="AD3558" s="56">
        <f t="shared" si="976"/>
        <v>0</v>
      </c>
    </row>
    <row r="3559" spans="3:30">
      <c r="C3559" s="43" t="s">
        <v>6613</v>
      </c>
      <c r="D3559" s="44" t="s">
        <v>995</v>
      </c>
      <c r="E3559" s="44"/>
      <c r="F3559" s="45">
        <v>43316.677210648144</v>
      </c>
      <c r="G3559" s="46">
        <v>1</v>
      </c>
      <c r="H3559" s="47">
        <v>43431</v>
      </c>
      <c r="I3559" s="47">
        <v>43460</v>
      </c>
      <c r="J3559" s="46">
        <v>848500</v>
      </c>
      <c r="K3559" s="46">
        <v>0</v>
      </c>
      <c r="L3559" s="46">
        <v>0</v>
      </c>
      <c r="M3559" s="46">
        <f t="shared" si="965"/>
        <v>848500</v>
      </c>
      <c r="N3559" s="46">
        <v>1014903</v>
      </c>
      <c r="O3559" s="48">
        <f t="shared" si="966"/>
        <v>0.16395951140158227</v>
      </c>
      <c r="P3559" s="46">
        <v>0</v>
      </c>
      <c r="Q3559" s="46">
        <v>0</v>
      </c>
      <c r="R3559" s="49">
        <f t="shared" si="967"/>
        <v>0</v>
      </c>
      <c r="S3559" s="50">
        <f t="shared" si="968"/>
        <v>0</v>
      </c>
      <c r="T3559" s="49">
        <f t="shared" si="969"/>
        <v>0</v>
      </c>
      <c r="U3559" s="51">
        <f t="shared" si="970"/>
        <v>0</v>
      </c>
      <c r="V3559" s="52">
        <f>IF(0&lt;0.8,0,IF(0&lt;1,Sheet3!L561,1))*IF(G3559&lt;3,0.12 - O3559,0.01) *U3559</f>
        <v>0</v>
      </c>
      <c r="W3559" s="52">
        <f t="shared" si="971"/>
        <v>0</v>
      </c>
      <c r="X3559" s="53">
        <f t="shared" si="972"/>
        <v>0</v>
      </c>
      <c r="Y3559" s="53">
        <f t="shared" si="973"/>
        <v>0</v>
      </c>
      <c r="Z3559" s="54">
        <f t="shared" si="979"/>
        <v>0</v>
      </c>
      <c r="AA3559" s="54">
        <f t="shared" si="974"/>
        <v>0</v>
      </c>
      <c r="AB3559" s="55">
        <f t="shared" si="980"/>
        <v>0</v>
      </c>
      <c r="AC3559" s="55">
        <f t="shared" si="975"/>
        <v>0</v>
      </c>
      <c r="AD3559" s="56">
        <f t="shared" si="976"/>
        <v>0</v>
      </c>
    </row>
    <row r="3560" spans="3:30">
      <c r="C3560" s="43" t="s">
        <v>6614</v>
      </c>
      <c r="D3560" s="44" t="s">
        <v>3939</v>
      </c>
      <c r="E3560" s="44"/>
      <c r="F3560" s="45">
        <v>41148.704270833332</v>
      </c>
      <c r="G3560" s="46">
        <v>73</v>
      </c>
      <c r="H3560" s="47">
        <v>43404</v>
      </c>
      <c r="I3560" s="47">
        <v>43418</v>
      </c>
      <c r="J3560" s="46">
        <v>3639187</v>
      </c>
      <c r="K3560" s="46">
        <v>172050</v>
      </c>
      <c r="L3560" s="46">
        <v>0</v>
      </c>
      <c r="M3560" s="46">
        <f t="shared" si="965"/>
        <v>3467137</v>
      </c>
      <c r="N3560" s="46">
        <v>5553978</v>
      </c>
      <c r="O3560" s="48">
        <f t="shared" si="966"/>
        <v>0.37573807458365882</v>
      </c>
      <c r="P3560" s="46">
        <v>0</v>
      </c>
      <c r="Q3560" s="46">
        <v>3639187</v>
      </c>
      <c r="R3560" s="49">
        <f t="shared" si="967"/>
        <v>1</v>
      </c>
      <c r="S3560" s="50">
        <f t="shared" si="968"/>
        <v>0.01</v>
      </c>
      <c r="T3560" s="49">
        <f t="shared" si="969"/>
        <v>34671.370000000003</v>
      </c>
      <c r="U3560" s="51">
        <f t="shared" si="970"/>
        <v>0</v>
      </c>
      <c r="V3560" s="52">
        <f>IF(0&lt;0.8,0,IF(0&lt;1,Sheet3!L561,1))*IF(G3560&lt;3,0.12 - O3560,0.01) *U3560</f>
        <v>0</v>
      </c>
      <c r="W3560" s="52">
        <f t="shared" si="971"/>
        <v>0</v>
      </c>
      <c r="X3560" s="53">
        <f t="shared" si="972"/>
        <v>0</v>
      </c>
      <c r="Y3560" s="53">
        <f t="shared" si="973"/>
        <v>0</v>
      </c>
      <c r="Z3560" s="54">
        <f t="shared" si="979"/>
        <v>0</v>
      </c>
      <c r="AA3560" s="54">
        <f t="shared" si="974"/>
        <v>0</v>
      </c>
      <c r="AB3560" s="55">
        <f t="shared" si="980"/>
        <v>0</v>
      </c>
      <c r="AC3560" s="55">
        <f t="shared" si="975"/>
        <v>0</v>
      </c>
      <c r="AD3560" s="56">
        <f t="shared" si="976"/>
        <v>34671.370000000003</v>
      </c>
    </row>
    <row r="3561" spans="3:30">
      <c r="C3561" s="43" t="s">
        <v>6615</v>
      </c>
      <c r="D3561" s="44" t="s">
        <v>6616</v>
      </c>
      <c r="E3561" s="44"/>
      <c r="F3561" s="45">
        <v>41563.577696759261</v>
      </c>
      <c r="G3561" s="46">
        <v>59</v>
      </c>
      <c r="H3561" s="47">
        <v>43381</v>
      </c>
      <c r="I3561" s="47">
        <v>43397</v>
      </c>
      <c r="J3561" s="46">
        <v>4286787</v>
      </c>
      <c r="K3561" s="46">
        <v>0</v>
      </c>
      <c r="L3561" s="46">
        <v>0</v>
      </c>
      <c r="M3561" s="46">
        <f t="shared" si="965"/>
        <v>4286787</v>
      </c>
      <c r="N3561" s="46">
        <v>4606843</v>
      </c>
      <c r="O3561" s="48">
        <f t="shared" si="966"/>
        <v>6.9474041116660556E-2</v>
      </c>
      <c r="P3561" s="46">
        <v>0</v>
      </c>
      <c r="Q3561" s="46">
        <v>4286787</v>
      </c>
      <c r="R3561" s="49">
        <f t="shared" si="967"/>
        <v>1</v>
      </c>
      <c r="S3561" s="50">
        <f t="shared" si="968"/>
        <v>0.01</v>
      </c>
      <c r="T3561" s="49">
        <f t="shared" si="969"/>
        <v>42867.87</v>
      </c>
      <c r="U3561" s="51">
        <f t="shared" si="970"/>
        <v>0</v>
      </c>
      <c r="V3561" s="52">
        <f>IF(0&lt;0.8,0,IF(0&lt;1,Sheet3!L561,1))*IF(G3561&lt;3,0.12 - O3561,0.01) *U3561</f>
        <v>0</v>
      </c>
      <c r="W3561" s="52">
        <f t="shared" si="971"/>
        <v>0</v>
      </c>
      <c r="X3561" s="53">
        <f t="shared" si="972"/>
        <v>0</v>
      </c>
      <c r="Y3561" s="53">
        <f t="shared" si="973"/>
        <v>0</v>
      </c>
      <c r="Z3561" s="54">
        <f t="shared" si="979"/>
        <v>0</v>
      </c>
      <c r="AA3561" s="54">
        <f t="shared" si="974"/>
        <v>0</v>
      </c>
      <c r="AB3561" s="55">
        <f t="shared" si="980"/>
        <v>0</v>
      </c>
      <c r="AC3561" s="55">
        <f t="shared" si="975"/>
        <v>0</v>
      </c>
      <c r="AD3561" s="56">
        <f t="shared" si="976"/>
        <v>42867.87</v>
      </c>
    </row>
    <row r="3562" spans="3:30">
      <c r="C3562" s="43" t="s">
        <v>6617</v>
      </c>
      <c r="D3562" s="44" t="s">
        <v>6618</v>
      </c>
      <c r="E3562" s="44"/>
      <c r="F3562" s="45">
        <v>42208.653333333328</v>
      </c>
      <c r="G3562" s="46">
        <v>38</v>
      </c>
      <c r="H3562" s="47">
        <v>43373</v>
      </c>
      <c r="I3562" s="47">
        <v>43388</v>
      </c>
      <c r="J3562" s="46">
        <v>1733227</v>
      </c>
      <c r="K3562" s="46">
        <v>0</v>
      </c>
      <c r="L3562" s="46">
        <v>0</v>
      </c>
      <c r="M3562" s="46">
        <f t="shared" si="965"/>
        <v>1733227</v>
      </c>
      <c r="N3562" s="46">
        <v>1733227</v>
      </c>
      <c r="O3562" s="48">
        <f t="shared" si="966"/>
        <v>0</v>
      </c>
      <c r="P3562" s="46">
        <v>0</v>
      </c>
      <c r="Q3562" s="46">
        <v>1733227</v>
      </c>
      <c r="R3562" s="49">
        <f t="shared" si="967"/>
        <v>1</v>
      </c>
      <c r="S3562" s="50">
        <f t="shared" si="968"/>
        <v>0.01</v>
      </c>
      <c r="T3562" s="49">
        <f t="shared" si="969"/>
        <v>17332.27</v>
      </c>
      <c r="U3562" s="51">
        <f t="shared" si="970"/>
        <v>0</v>
      </c>
      <c r="V3562" s="52">
        <f>IF(0&lt;0.8,0,IF(0&lt;1,Sheet3!L561,1))*IF(G3562&lt;3,0.12 - O3562,0.01) *U3562</f>
        <v>0</v>
      </c>
      <c r="W3562" s="52">
        <f t="shared" si="971"/>
        <v>0</v>
      </c>
      <c r="X3562" s="53">
        <f t="shared" si="972"/>
        <v>0</v>
      </c>
      <c r="Y3562" s="53">
        <f t="shared" si="973"/>
        <v>0</v>
      </c>
      <c r="Z3562" s="54">
        <f t="shared" si="979"/>
        <v>0</v>
      </c>
      <c r="AA3562" s="54">
        <f t="shared" si="974"/>
        <v>0</v>
      </c>
      <c r="AB3562" s="55">
        <f t="shared" si="980"/>
        <v>0</v>
      </c>
      <c r="AC3562" s="55">
        <f t="shared" si="975"/>
        <v>0</v>
      </c>
      <c r="AD3562" s="56">
        <f t="shared" si="976"/>
        <v>17332.27</v>
      </c>
    </row>
    <row r="3563" spans="3:30">
      <c r="C3563" s="43" t="s">
        <v>6619</v>
      </c>
      <c r="D3563" s="44" t="s">
        <v>6620</v>
      </c>
      <c r="E3563" s="44"/>
      <c r="F3563" s="45">
        <v>42233.573344907403</v>
      </c>
      <c r="G3563" s="46">
        <v>37</v>
      </c>
      <c r="H3563" s="47">
        <v>43404</v>
      </c>
      <c r="I3563" s="47">
        <v>43418</v>
      </c>
      <c r="J3563" s="46">
        <v>2995809</v>
      </c>
      <c r="K3563" s="46">
        <v>218082</v>
      </c>
      <c r="L3563" s="46">
        <v>0</v>
      </c>
      <c r="M3563" s="46">
        <f t="shared" si="965"/>
        <v>2777727</v>
      </c>
      <c r="N3563" s="46">
        <v>4443396</v>
      </c>
      <c r="O3563" s="48">
        <f t="shared" si="966"/>
        <v>0.37486395540708051</v>
      </c>
      <c r="P3563" s="46">
        <v>0</v>
      </c>
      <c r="Q3563" s="46">
        <v>2995809</v>
      </c>
      <c r="R3563" s="49">
        <f t="shared" si="967"/>
        <v>1</v>
      </c>
      <c r="S3563" s="50">
        <f t="shared" si="968"/>
        <v>0.01</v>
      </c>
      <c r="T3563" s="49">
        <f t="shared" si="969"/>
        <v>27777.27</v>
      </c>
      <c r="U3563" s="51">
        <f t="shared" si="970"/>
        <v>0</v>
      </c>
      <c r="V3563" s="52">
        <f>IF(0&lt;0.8,0,IF(0&lt;1,Sheet3!L561,1))*IF(G3563&lt;3,0.12 - O3563,0.01) *U3563</f>
        <v>0</v>
      </c>
      <c r="W3563" s="52">
        <f t="shared" si="971"/>
        <v>0</v>
      </c>
      <c r="X3563" s="53">
        <f t="shared" si="972"/>
        <v>0</v>
      </c>
      <c r="Y3563" s="53">
        <f t="shared" si="973"/>
        <v>0</v>
      </c>
      <c r="Z3563" s="54">
        <f t="shared" si="979"/>
        <v>0</v>
      </c>
      <c r="AA3563" s="54">
        <f t="shared" si="974"/>
        <v>0</v>
      </c>
      <c r="AB3563" s="55">
        <f t="shared" si="980"/>
        <v>0</v>
      </c>
      <c r="AC3563" s="55">
        <f t="shared" si="975"/>
        <v>0</v>
      </c>
      <c r="AD3563" s="56">
        <f t="shared" si="976"/>
        <v>27777.27</v>
      </c>
    </row>
    <row r="3564" spans="3:30">
      <c r="C3564" s="43" t="s">
        <v>6621</v>
      </c>
      <c r="D3564" s="44" t="s">
        <v>2079</v>
      </c>
      <c r="E3564" s="44"/>
      <c r="F3564" s="45">
        <v>42957.259525462963</v>
      </c>
      <c r="G3564" s="46">
        <v>13</v>
      </c>
      <c r="H3564" s="47">
        <v>43404</v>
      </c>
      <c r="I3564" s="47">
        <v>43418</v>
      </c>
      <c r="J3564" s="46">
        <v>1191289</v>
      </c>
      <c r="K3564" s="46">
        <v>96164</v>
      </c>
      <c r="L3564" s="46">
        <v>0</v>
      </c>
      <c r="M3564" s="46">
        <f t="shared" si="965"/>
        <v>1095125</v>
      </c>
      <c r="N3564" s="46">
        <v>1365250</v>
      </c>
      <c r="O3564" s="48">
        <f t="shared" si="966"/>
        <v>0.1978575352499542</v>
      </c>
      <c r="P3564" s="46">
        <v>0</v>
      </c>
      <c r="Q3564" s="46">
        <v>1191289</v>
      </c>
      <c r="R3564" s="49">
        <f t="shared" si="967"/>
        <v>1</v>
      </c>
      <c r="S3564" s="50">
        <f t="shared" si="968"/>
        <v>0.01</v>
      </c>
      <c r="T3564" s="49">
        <f t="shared" si="969"/>
        <v>10951.25</v>
      </c>
      <c r="U3564" s="51">
        <f t="shared" si="970"/>
        <v>0</v>
      </c>
      <c r="V3564" s="52">
        <f>IF(0&lt;0.8,0,IF(0&lt;1,Sheet3!L561,1))*IF(G3564&lt;3,0.12 - O3564,0.01) *U3564</f>
        <v>0</v>
      </c>
      <c r="W3564" s="52">
        <f t="shared" si="971"/>
        <v>0</v>
      </c>
      <c r="X3564" s="53">
        <f t="shared" si="972"/>
        <v>0</v>
      </c>
      <c r="Y3564" s="53">
        <f t="shared" si="973"/>
        <v>0</v>
      </c>
      <c r="Z3564" s="54">
        <f t="shared" si="979"/>
        <v>0</v>
      </c>
      <c r="AA3564" s="54">
        <f t="shared" si="974"/>
        <v>0</v>
      </c>
      <c r="AB3564" s="55">
        <f t="shared" si="980"/>
        <v>0</v>
      </c>
      <c r="AC3564" s="55">
        <f t="shared" si="975"/>
        <v>0</v>
      </c>
      <c r="AD3564" s="56">
        <f t="shared" si="976"/>
        <v>10951.25</v>
      </c>
    </row>
    <row r="3565" spans="3:30">
      <c r="C3565" s="43" t="s">
        <v>6622</v>
      </c>
      <c r="D3565" s="44" t="s">
        <v>2079</v>
      </c>
      <c r="E3565" s="44"/>
      <c r="F3565" s="45">
        <v>43094.112326388888</v>
      </c>
      <c r="G3565" s="46">
        <v>9</v>
      </c>
      <c r="H3565" s="47">
        <v>43404</v>
      </c>
      <c r="I3565" s="47">
        <v>43418</v>
      </c>
      <c r="J3565" s="46">
        <v>800470</v>
      </c>
      <c r="K3565" s="46">
        <v>20219</v>
      </c>
      <c r="L3565" s="46">
        <v>0</v>
      </c>
      <c r="M3565" s="46">
        <f t="shared" si="965"/>
        <v>780251</v>
      </c>
      <c r="N3565" s="46">
        <v>1216531</v>
      </c>
      <c r="O3565" s="48">
        <f t="shared" si="966"/>
        <v>0.35862629065761575</v>
      </c>
      <c r="P3565" s="46">
        <v>0</v>
      </c>
      <c r="Q3565" s="46">
        <v>800470</v>
      </c>
      <c r="R3565" s="49">
        <f t="shared" si="967"/>
        <v>1</v>
      </c>
      <c r="S3565" s="50">
        <f t="shared" si="968"/>
        <v>0.01</v>
      </c>
      <c r="T3565" s="49">
        <f t="shared" si="969"/>
        <v>7802.51</v>
      </c>
      <c r="U3565" s="51">
        <f t="shared" si="970"/>
        <v>0</v>
      </c>
      <c r="V3565" s="52">
        <f>IF(0&lt;0.8,0,IF(0&lt;1,Sheet3!L561,1))*IF(G3565&lt;3,0.12 - O3565,0.01) *U3565</f>
        <v>0</v>
      </c>
      <c r="W3565" s="52">
        <f t="shared" si="971"/>
        <v>0</v>
      </c>
      <c r="X3565" s="53">
        <f t="shared" si="972"/>
        <v>0</v>
      </c>
      <c r="Y3565" s="53">
        <f t="shared" si="973"/>
        <v>0</v>
      </c>
      <c r="Z3565" s="54">
        <f t="shared" si="979"/>
        <v>0</v>
      </c>
      <c r="AA3565" s="54">
        <f t="shared" si="974"/>
        <v>0</v>
      </c>
      <c r="AB3565" s="55">
        <f t="shared" si="980"/>
        <v>0</v>
      </c>
      <c r="AC3565" s="55">
        <f t="shared" si="975"/>
        <v>0</v>
      </c>
      <c r="AD3565" s="56">
        <f t="shared" si="976"/>
        <v>7802.51</v>
      </c>
    </row>
    <row r="3566" spans="3:30">
      <c r="C3566" s="43" t="s">
        <v>6623</v>
      </c>
      <c r="D3566" s="44" t="s">
        <v>2079</v>
      </c>
      <c r="E3566" s="44"/>
      <c r="F3566" s="45">
        <v>43307.417592592588</v>
      </c>
      <c r="G3566" s="46">
        <v>2</v>
      </c>
      <c r="H3566" s="47">
        <v>43404</v>
      </c>
      <c r="I3566" s="47">
        <v>43418</v>
      </c>
      <c r="J3566" s="46">
        <v>663355</v>
      </c>
      <c r="K3566" s="46">
        <v>0</v>
      </c>
      <c r="L3566" s="46">
        <v>0</v>
      </c>
      <c r="M3566" s="46">
        <f t="shared" si="965"/>
        <v>663355</v>
      </c>
      <c r="N3566" s="46">
        <v>740127</v>
      </c>
      <c r="O3566" s="48">
        <f t="shared" si="966"/>
        <v>0.1037281439536728</v>
      </c>
      <c r="P3566" s="46">
        <v>663355</v>
      </c>
      <c r="Q3566" s="46">
        <v>0</v>
      </c>
      <c r="R3566" s="49">
        <f t="shared" si="967"/>
        <v>0</v>
      </c>
      <c r="S3566" s="50">
        <f t="shared" si="968"/>
        <v>0</v>
      </c>
      <c r="T3566" s="49">
        <f t="shared" si="969"/>
        <v>0</v>
      </c>
      <c r="U3566" s="51">
        <f t="shared" si="970"/>
        <v>663355</v>
      </c>
      <c r="V3566" s="52">
        <f>IF(0&lt;0.8,0,IF(0&lt;1,Sheet3!L561,1))*IF(G3566&lt;3,0.12 - O3566,0.01) *U3566</f>
        <v>0</v>
      </c>
      <c r="W3566" s="52">
        <f t="shared" si="971"/>
        <v>0</v>
      </c>
      <c r="X3566" s="53">
        <f t="shared" si="972"/>
        <v>0</v>
      </c>
      <c r="Y3566" s="53">
        <f t="shared" si="973"/>
        <v>0</v>
      </c>
      <c r="Z3566" s="54">
        <f t="shared" si="979"/>
        <v>0</v>
      </c>
      <c r="AA3566" s="54">
        <f t="shared" si="974"/>
        <v>0</v>
      </c>
      <c r="AB3566" s="55">
        <f t="shared" si="980"/>
        <v>0</v>
      </c>
      <c r="AC3566" s="55">
        <f t="shared" si="975"/>
        <v>0</v>
      </c>
      <c r="AD3566" s="56">
        <f t="shared" si="976"/>
        <v>0</v>
      </c>
    </row>
    <row r="3567" spans="3:30">
      <c r="C3567" s="43" t="s">
        <v>6624</v>
      </c>
      <c r="D3567" s="44" t="s">
        <v>6625</v>
      </c>
      <c r="E3567" s="44"/>
      <c r="F3567" s="45">
        <v>42521.379548611112</v>
      </c>
      <c r="G3567" s="46">
        <v>28</v>
      </c>
      <c r="H3567" s="47" t="s">
        <v>24</v>
      </c>
      <c r="I3567" s="47" t="s">
        <v>24</v>
      </c>
      <c r="J3567" s="46">
        <v>0</v>
      </c>
      <c r="K3567" s="46">
        <v>0</v>
      </c>
      <c r="L3567" s="46">
        <v>0</v>
      </c>
      <c r="M3567" s="46">
        <f t="shared" si="965"/>
        <v>0</v>
      </c>
      <c r="N3567" s="46">
        <v>565554</v>
      </c>
      <c r="O3567" s="48">
        <f t="shared" si="966"/>
        <v>1</v>
      </c>
      <c r="P3567" s="46">
        <v>0</v>
      </c>
      <c r="Q3567" s="46">
        <v>0</v>
      </c>
      <c r="R3567" s="49">
        <f t="shared" si="967"/>
        <v>1</v>
      </c>
      <c r="S3567" s="50">
        <f t="shared" si="968"/>
        <v>0.01</v>
      </c>
      <c r="T3567" s="49">
        <f t="shared" si="969"/>
        <v>0</v>
      </c>
      <c r="U3567" s="51">
        <f t="shared" si="970"/>
        <v>0</v>
      </c>
      <c r="V3567" s="52">
        <f>IF(0&lt;0.8,0,IF(0&lt;1,Sheet3!L561,1))*IF(G3567&lt;3,0.12 - O3567,0.01) *U3567</f>
        <v>0</v>
      </c>
      <c r="W3567" s="52">
        <f t="shared" si="971"/>
        <v>0</v>
      </c>
      <c r="X3567" s="53">
        <f t="shared" si="972"/>
        <v>0</v>
      </c>
      <c r="Y3567" s="53">
        <f t="shared" si="973"/>
        <v>0</v>
      </c>
      <c r="Z3567" s="54">
        <f>IF(R3567=1,0,"")</f>
        <v>0</v>
      </c>
      <c r="AA3567" s="54">
        <f t="shared" si="974"/>
        <v>0</v>
      </c>
      <c r="AB3567" s="55">
        <f>IF(R3567=0,"",0)</f>
        <v>0</v>
      </c>
      <c r="AC3567" s="55">
        <f t="shared" si="975"/>
        <v>0</v>
      </c>
      <c r="AD3567" s="56">
        <f t="shared" si="976"/>
        <v>0</v>
      </c>
    </row>
    <row r="3568" spans="3:30">
      <c r="C3568" s="43" t="s">
        <v>6626</v>
      </c>
      <c r="D3568" s="44" t="s">
        <v>995</v>
      </c>
      <c r="E3568" s="44"/>
      <c r="F3568" s="45">
        <v>43316.21638888889</v>
      </c>
      <c r="G3568" s="46">
        <v>1</v>
      </c>
      <c r="H3568" s="47">
        <v>43431</v>
      </c>
      <c r="I3568" s="47">
        <v>43462</v>
      </c>
      <c r="J3568" s="46">
        <v>1290169</v>
      </c>
      <c r="K3568" s="46">
        <v>0</v>
      </c>
      <c r="L3568" s="46">
        <v>0</v>
      </c>
      <c r="M3568" s="46">
        <f t="shared" si="965"/>
        <v>1290169</v>
      </c>
      <c r="N3568" s="46">
        <v>1628338</v>
      </c>
      <c r="O3568" s="48">
        <f t="shared" si="966"/>
        <v>0.20767739867275714</v>
      </c>
      <c r="P3568" s="46">
        <v>0</v>
      </c>
      <c r="Q3568" s="46">
        <v>0</v>
      </c>
      <c r="R3568" s="49">
        <f t="shared" si="967"/>
        <v>0</v>
      </c>
      <c r="S3568" s="50">
        <f t="shared" si="968"/>
        <v>0</v>
      </c>
      <c r="T3568" s="49">
        <f t="shared" si="969"/>
        <v>0</v>
      </c>
      <c r="U3568" s="51">
        <f t="shared" si="970"/>
        <v>0</v>
      </c>
      <c r="V3568" s="52">
        <f>IF(0&lt;0.8,0,IF(0&lt;1,Sheet3!L561,1))*IF(G3568&lt;3,0.12 - O3568,0.01) *U3568</f>
        <v>0</v>
      </c>
      <c r="W3568" s="52">
        <f t="shared" si="971"/>
        <v>0</v>
      </c>
      <c r="X3568" s="53">
        <f t="shared" si="972"/>
        <v>0</v>
      </c>
      <c r="Y3568" s="53">
        <f t="shared" si="973"/>
        <v>0</v>
      </c>
      <c r="Z3568" s="54">
        <f>IF(R3568=1,0,0)</f>
        <v>0</v>
      </c>
      <c r="AA3568" s="54">
        <f t="shared" si="974"/>
        <v>0</v>
      </c>
      <c r="AB3568" s="55">
        <f>IF(R3568=0,0,0)</f>
        <v>0</v>
      </c>
      <c r="AC3568" s="55">
        <f t="shared" si="975"/>
        <v>0</v>
      </c>
      <c r="AD3568" s="56">
        <f t="shared" si="976"/>
        <v>0</v>
      </c>
    </row>
    <row r="3569" spans="3:30">
      <c r="C3569" s="43" t="s">
        <v>6627</v>
      </c>
      <c r="D3569" s="44" t="s">
        <v>995</v>
      </c>
      <c r="E3569" s="44"/>
      <c r="F3569" s="45">
        <v>43316.217013888891</v>
      </c>
      <c r="G3569" s="46">
        <v>1</v>
      </c>
      <c r="H3569" s="47">
        <v>43459</v>
      </c>
      <c r="I3569" s="47">
        <v>43487</v>
      </c>
      <c r="J3569" s="46">
        <v>669282</v>
      </c>
      <c r="K3569" s="46">
        <v>0</v>
      </c>
      <c r="L3569" s="46">
        <v>0</v>
      </c>
      <c r="M3569" s="46">
        <f t="shared" si="965"/>
        <v>669282</v>
      </c>
      <c r="N3569" s="46">
        <v>843952</v>
      </c>
      <c r="O3569" s="48">
        <f t="shared" si="966"/>
        <v>0.20696674692399564</v>
      </c>
      <c r="P3569" s="46">
        <v>0</v>
      </c>
      <c r="Q3569" s="46">
        <v>0</v>
      </c>
      <c r="R3569" s="49">
        <f t="shared" si="967"/>
        <v>0</v>
      </c>
      <c r="S3569" s="50">
        <f t="shared" si="968"/>
        <v>0</v>
      </c>
      <c r="T3569" s="49">
        <f t="shared" si="969"/>
        <v>0</v>
      </c>
      <c r="U3569" s="51">
        <f t="shared" si="970"/>
        <v>0</v>
      </c>
      <c r="V3569" s="52">
        <f>IF(0&lt;0.8,0,IF(0&lt;1,Sheet3!L561,1))*IF(G3569&lt;3,0.12 - O3569,0.01) *U3569</f>
        <v>0</v>
      </c>
      <c r="W3569" s="52">
        <f t="shared" si="971"/>
        <v>0</v>
      </c>
      <c r="X3569" s="53">
        <f t="shared" si="972"/>
        <v>0</v>
      </c>
      <c r="Y3569" s="53">
        <f t="shared" si="973"/>
        <v>0</v>
      </c>
      <c r="Z3569" s="54">
        <f>IF(R3569=1,0,0)</f>
        <v>0</v>
      </c>
      <c r="AA3569" s="54">
        <f t="shared" si="974"/>
        <v>0</v>
      </c>
      <c r="AB3569" s="55">
        <f>IF(R3569=0,0,0)</f>
        <v>0</v>
      </c>
      <c r="AC3569" s="55">
        <f t="shared" si="975"/>
        <v>0</v>
      </c>
      <c r="AD3569" s="56">
        <f t="shared" si="976"/>
        <v>0</v>
      </c>
    </row>
    <row r="3570" spans="3:30">
      <c r="C3570" s="43" t="s">
        <v>6628</v>
      </c>
      <c r="D3570" s="44" t="s">
        <v>995</v>
      </c>
      <c r="E3570" s="44"/>
      <c r="F3570" s="45">
        <v>43316.217858796292</v>
      </c>
      <c r="G3570" s="46">
        <v>1</v>
      </c>
      <c r="H3570" s="47">
        <v>43431</v>
      </c>
      <c r="I3570" s="47">
        <v>43462</v>
      </c>
      <c r="J3570" s="46">
        <v>1182584</v>
      </c>
      <c r="K3570" s="46">
        <v>0</v>
      </c>
      <c r="L3570" s="46">
        <v>0</v>
      </c>
      <c r="M3570" s="46">
        <f t="shared" si="965"/>
        <v>1182584</v>
      </c>
      <c r="N3570" s="46">
        <v>1423922</v>
      </c>
      <c r="O3570" s="48">
        <f t="shared" si="966"/>
        <v>0.16948821634892919</v>
      </c>
      <c r="P3570" s="46">
        <v>0</v>
      </c>
      <c r="Q3570" s="46">
        <v>0</v>
      </c>
      <c r="R3570" s="49">
        <f t="shared" si="967"/>
        <v>0</v>
      </c>
      <c r="S3570" s="50">
        <f t="shared" si="968"/>
        <v>0</v>
      </c>
      <c r="T3570" s="49">
        <f t="shared" si="969"/>
        <v>0</v>
      </c>
      <c r="U3570" s="51">
        <f t="shared" si="970"/>
        <v>0</v>
      </c>
      <c r="V3570" s="52">
        <f>IF(0&lt;0.8,0,IF(0&lt;1,Sheet3!L561,1))*IF(G3570&lt;3,0.12 - O3570,0.01) *U3570</f>
        <v>0</v>
      </c>
      <c r="W3570" s="52">
        <f t="shared" si="971"/>
        <v>0</v>
      </c>
      <c r="X3570" s="53">
        <f t="shared" si="972"/>
        <v>0</v>
      </c>
      <c r="Y3570" s="53">
        <f t="shared" si="973"/>
        <v>0</v>
      </c>
      <c r="Z3570" s="54">
        <f>IF(R3570=1,0,0)</f>
        <v>0</v>
      </c>
      <c r="AA3570" s="54">
        <f t="shared" si="974"/>
        <v>0</v>
      </c>
      <c r="AB3570" s="55">
        <f>IF(R3570=0,0,0)</f>
        <v>0</v>
      </c>
      <c r="AC3570" s="55">
        <f t="shared" si="975"/>
        <v>0</v>
      </c>
      <c r="AD3570" s="56">
        <f t="shared" si="976"/>
        <v>0</v>
      </c>
    </row>
    <row r="3571" spans="3:30">
      <c r="C3571" s="43" t="s">
        <v>6629</v>
      </c>
      <c r="D3571" s="44" t="s">
        <v>995</v>
      </c>
      <c r="E3571" s="44"/>
      <c r="F3571" s="45">
        <v>43316.234826388885</v>
      </c>
      <c r="G3571" s="46">
        <v>1</v>
      </c>
      <c r="H3571" s="47">
        <v>43431</v>
      </c>
      <c r="I3571" s="47">
        <v>43462</v>
      </c>
      <c r="J3571" s="46">
        <v>994350</v>
      </c>
      <c r="K3571" s="46">
        <v>0</v>
      </c>
      <c r="L3571" s="46">
        <v>0</v>
      </c>
      <c r="M3571" s="46">
        <f t="shared" ref="M3571:M3634" si="981">IFERROR(J3571-K3571-L3571,0)</f>
        <v>994350</v>
      </c>
      <c r="N3571" s="46">
        <v>1316697</v>
      </c>
      <c r="O3571" s="48">
        <f t="shared" ref="O3571:O3634" si="982">IFERROR(IF(1 - M3571/N3571&lt;0,0,1-M3571/N3571),0)</f>
        <v>0.24481486629042215</v>
      </c>
      <c r="P3571" s="46">
        <v>0</v>
      </c>
      <c r="Q3571" s="46">
        <v>0</v>
      </c>
      <c r="R3571" s="49">
        <f t="shared" ref="R3571:R3634" si="983">IF(F3571&lt;DATEVALUE("2018-07-01"),1,0)</f>
        <v>0</v>
      </c>
      <c r="S3571" s="50">
        <f t="shared" ref="S3571:S3634" si="984">IF(R3571=1,1%,0)</f>
        <v>0</v>
      </c>
      <c r="T3571" s="49">
        <f t="shared" ref="T3571:T3634" si="985">IFERROR(S3571*M3571,0)</f>
        <v>0</v>
      </c>
      <c r="U3571" s="51">
        <f t="shared" ref="U3571:U3634" si="986">IF(O3571&lt;=0.12,1,0)*(1-R3571)*M3571</f>
        <v>0</v>
      </c>
      <c r="V3571" s="52">
        <f>IF(0&lt;0.8,0,IF(0&lt;1,Sheet3!L561,1))*IF(G3571&lt;3,0.12 - O3571,0.01) *U3571</f>
        <v>0</v>
      </c>
      <c r="W3571" s="52">
        <f t="shared" ref="W3571:W3634" si="987">IF(0&gt;1,IF(0&lt;=1.1,1,IF(0&lt;=1.2,2,IF(0&lt;=1.5,3,5))),0) * 1000000</f>
        <v>0</v>
      </c>
      <c r="X3571" s="53">
        <f t="shared" ref="X3571:X3634" si="988">IF(AND(P3571&gt;=150000000,P3571&lt;300000000),5000000,IF(AND(P3571&gt;=300000000,P3571&lt;500000000),10000000,IF(AND(P3571&gt;=300000000,P3571&lt;500000000),15000000,IF(AND(P3571&gt;=500000000,P3571&lt;3000000000),20000000,IF(P3571&gt;=30000000000,35000000,0))))) * (1-R3571)</f>
        <v>0</v>
      </c>
      <c r="Y3571" s="53">
        <f t="shared" ref="Y3571:Y3634" si="989">IFERROR(Q3571 * (1-R3571),0)</f>
        <v>0</v>
      </c>
      <c r="Z3571" s="54">
        <f>IF(R3571=1,0,0)</f>
        <v>0</v>
      </c>
      <c r="AA3571" s="54">
        <f t="shared" ref="AA3571:AA3634" si="990">IFERROR((1-R3571) * Z3571 * 2%,0)</f>
        <v>0</v>
      </c>
      <c r="AB3571" s="55">
        <f>IF(R3571=0,0,0)</f>
        <v>0</v>
      </c>
      <c r="AC3571" s="55">
        <f t="shared" ref="AC3571:AC3634" si="991">IFERROR(AB3571 * (1-R3571) * 2%,0)</f>
        <v>0</v>
      </c>
      <c r="AD3571" s="56">
        <f t="shared" ref="AD3571:AD3634" si="992">T3571+V3571+W3571+X3571+AA3571+AC3571</f>
        <v>0</v>
      </c>
    </row>
    <row r="3572" spans="3:30">
      <c r="C3572" s="43" t="s">
        <v>6630</v>
      </c>
      <c r="D3572" s="44" t="s">
        <v>6631</v>
      </c>
      <c r="E3572" s="44"/>
      <c r="F3572" s="45">
        <v>41636.452002314814</v>
      </c>
      <c r="G3572" s="46">
        <v>57</v>
      </c>
      <c r="H3572" s="47">
        <v>43404</v>
      </c>
      <c r="I3572" s="47">
        <v>43390</v>
      </c>
      <c r="J3572" s="46">
        <v>2749377</v>
      </c>
      <c r="K3572" s="46">
        <v>373633</v>
      </c>
      <c r="L3572" s="46">
        <v>0</v>
      </c>
      <c r="M3572" s="46">
        <f t="shared" si="981"/>
        <v>2375744</v>
      </c>
      <c r="N3572" s="46">
        <v>4353363</v>
      </c>
      <c r="O3572" s="48">
        <f t="shared" si="982"/>
        <v>0.45427385678612142</v>
      </c>
      <c r="P3572" s="46">
        <v>0</v>
      </c>
      <c r="Q3572" s="46">
        <v>2749377</v>
      </c>
      <c r="R3572" s="49">
        <f t="shared" si="983"/>
        <v>1</v>
      </c>
      <c r="S3572" s="50">
        <f t="shared" si="984"/>
        <v>0.01</v>
      </c>
      <c r="T3572" s="49">
        <f t="shared" si="985"/>
        <v>23757.439999999999</v>
      </c>
      <c r="U3572" s="51">
        <f t="shared" si="986"/>
        <v>0</v>
      </c>
      <c r="V3572" s="52">
        <f>IF(0&lt;0.8,0,IF(0&lt;1,Sheet3!L561,1))*IF(G3572&lt;3,0.12 - O3572,0.01) *U3572</f>
        <v>0</v>
      </c>
      <c r="W3572" s="52">
        <f t="shared" si="987"/>
        <v>0</v>
      </c>
      <c r="X3572" s="53">
        <f t="shared" si="988"/>
        <v>0</v>
      </c>
      <c r="Y3572" s="53">
        <f t="shared" si="989"/>
        <v>0</v>
      </c>
      <c r="Z3572" s="54">
        <f>IF(R3572=1,0,0)</f>
        <v>0</v>
      </c>
      <c r="AA3572" s="54">
        <f t="shared" si="990"/>
        <v>0</v>
      </c>
      <c r="AB3572" s="55">
        <f>IF(R3572=0,0,0)</f>
        <v>0</v>
      </c>
      <c r="AC3572" s="55">
        <f t="shared" si="991"/>
        <v>0</v>
      </c>
      <c r="AD3572" s="56">
        <f t="shared" si="992"/>
        <v>23757.439999999999</v>
      </c>
    </row>
    <row r="3573" spans="3:30">
      <c r="C3573" s="43" t="s">
        <v>6632</v>
      </c>
      <c r="D3573" s="44" t="s">
        <v>6633</v>
      </c>
      <c r="E3573" s="44"/>
      <c r="F3573" s="45">
        <v>42521.379131944443</v>
      </c>
      <c r="G3573" s="46">
        <v>28</v>
      </c>
      <c r="H3573" s="47" t="s">
        <v>24</v>
      </c>
      <c r="I3573" s="47" t="s">
        <v>24</v>
      </c>
      <c r="J3573" s="46">
        <v>0</v>
      </c>
      <c r="K3573" s="46">
        <v>0</v>
      </c>
      <c r="L3573" s="46">
        <v>0</v>
      </c>
      <c r="M3573" s="46">
        <f t="shared" si="981"/>
        <v>0</v>
      </c>
      <c r="N3573" s="46">
        <v>372075</v>
      </c>
      <c r="O3573" s="48">
        <f t="shared" si="982"/>
        <v>1</v>
      </c>
      <c r="P3573" s="46">
        <v>0</v>
      </c>
      <c r="Q3573" s="46">
        <v>0</v>
      </c>
      <c r="R3573" s="49">
        <f t="shared" si="983"/>
        <v>1</v>
      </c>
      <c r="S3573" s="50">
        <f t="shared" si="984"/>
        <v>0.01</v>
      </c>
      <c r="T3573" s="49">
        <f t="shared" si="985"/>
        <v>0</v>
      </c>
      <c r="U3573" s="51">
        <f t="shared" si="986"/>
        <v>0</v>
      </c>
      <c r="V3573" s="52">
        <f>IF(0&lt;0.8,0,IF(0&lt;1,Sheet3!L561,1))*IF(G3573&lt;3,0.12 - O3573,0.01) *U3573</f>
        <v>0</v>
      </c>
      <c r="W3573" s="52">
        <f t="shared" si="987"/>
        <v>0</v>
      </c>
      <c r="X3573" s="53">
        <f t="shared" si="988"/>
        <v>0</v>
      </c>
      <c r="Y3573" s="53">
        <f t="shared" si="989"/>
        <v>0</v>
      </c>
      <c r="Z3573" s="54">
        <f>IF(R3573=1,0,"")</f>
        <v>0</v>
      </c>
      <c r="AA3573" s="54">
        <f t="shared" si="990"/>
        <v>0</v>
      </c>
      <c r="AB3573" s="55">
        <f>IF(R3573=0,"",0)</f>
        <v>0</v>
      </c>
      <c r="AC3573" s="55">
        <f t="shared" si="991"/>
        <v>0</v>
      </c>
      <c r="AD3573" s="56">
        <f t="shared" si="992"/>
        <v>0</v>
      </c>
    </row>
    <row r="3574" spans="3:30">
      <c r="C3574" s="43" t="s">
        <v>6634</v>
      </c>
      <c r="D3574" s="44" t="s">
        <v>995</v>
      </c>
      <c r="E3574" s="44"/>
      <c r="F3574" s="45">
        <v>43316.218472222223</v>
      </c>
      <c r="G3574" s="46">
        <v>1</v>
      </c>
      <c r="H3574" s="47">
        <v>43459</v>
      </c>
      <c r="I3574" s="47">
        <v>43487</v>
      </c>
      <c r="J3574" s="46">
        <v>1193467</v>
      </c>
      <c r="K3574" s="46">
        <v>0</v>
      </c>
      <c r="L3574" s="46">
        <v>0</v>
      </c>
      <c r="M3574" s="46">
        <f t="shared" si="981"/>
        <v>1193467</v>
      </c>
      <c r="N3574" s="46">
        <v>1455362</v>
      </c>
      <c r="O3574" s="48">
        <f t="shared" si="982"/>
        <v>0.17995179206273082</v>
      </c>
      <c r="P3574" s="46">
        <v>0</v>
      </c>
      <c r="Q3574" s="46">
        <v>0</v>
      </c>
      <c r="R3574" s="49">
        <f t="shared" si="983"/>
        <v>0</v>
      </c>
      <c r="S3574" s="50">
        <f t="shared" si="984"/>
        <v>0</v>
      </c>
      <c r="T3574" s="49">
        <f t="shared" si="985"/>
        <v>0</v>
      </c>
      <c r="U3574" s="51">
        <f t="shared" si="986"/>
        <v>0</v>
      </c>
      <c r="V3574" s="52">
        <f>IF(0&lt;0.8,0,IF(0&lt;1,Sheet3!L561,1))*IF(G3574&lt;3,0.12 - O3574,0.01) *U3574</f>
        <v>0</v>
      </c>
      <c r="W3574" s="52">
        <f t="shared" si="987"/>
        <v>0</v>
      </c>
      <c r="X3574" s="53">
        <f t="shared" si="988"/>
        <v>0</v>
      </c>
      <c r="Y3574" s="53">
        <f t="shared" si="989"/>
        <v>0</v>
      </c>
      <c r="Z3574" s="54">
        <f t="shared" ref="Z3574:Z3581" si="993">IF(R3574=1,0,0)</f>
        <v>0</v>
      </c>
      <c r="AA3574" s="54">
        <f t="shared" si="990"/>
        <v>0</v>
      </c>
      <c r="AB3574" s="55">
        <f t="shared" ref="AB3574:AB3581" si="994">IF(R3574=0,0,0)</f>
        <v>0</v>
      </c>
      <c r="AC3574" s="55">
        <f t="shared" si="991"/>
        <v>0</v>
      </c>
      <c r="AD3574" s="56">
        <f t="shared" si="992"/>
        <v>0</v>
      </c>
    </row>
    <row r="3575" spans="3:30">
      <c r="C3575" s="43" t="s">
        <v>6635</v>
      </c>
      <c r="D3575" s="44" t="s">
        <v>6636</v>
      </c>
      <c r="E3575" s="44"/>
      <c r="F3575" s="45">
        <v>41226.377430555556</v>
      </c>
      <c r="G3575" s="46">
        <v>70</v>
      </c>
      <c r="H3575" s="47">
        <v>43404</v>
      </c>
      <c r="I3575" s="47">
        <v>43413</v>
      </c>
      <c r="J3575" s="46">
        <v>1832657</v>
      </c>
      <c r="K3575" s="46">
        <v>2090</v>
      </c>
      <c r="L3575" s="46">
        <v>0</v>
      </c>
      <c r="M3575" s="46">
        <f t="shared" si="981"/>
        <v>1830567</v>
      </c>
      <c r="N3575" s="46">
        <v>2455211</v>
      </c>
      <c r="O3575" s="48">
        <f t="shared" si="982"/>
        <v>0.25441560827154974</v>
      </c>
      <c r="P3575" s="46">
        <v>0</v>
      </c>
      <c r="Q3575" s="46">
        <v>1832657</v>
      </c>
      <c r="R3575" s="49">
        <f t="shared" si="983"/>
        <v>1</v>
      </c>
      <c r="S3575" s="50">
        <f t="shared" si="984"/>
        <v>0.01</v>
      </c>
      <c r="T3575" s="49">
        <f t="shared" si="985"/>
        <v>18305.670000000002</v>
      </c>
      <c r="U3575" s="51">
        <f t="shared" si="986"/>
        <v>0</v>
      </c>
      <c r="V3575" s="52">
        <f>IF(0&lt;0.8,0,IF(0&lt;1,Sheet3!L561,1))*IF(G3575&lt;3,0.12 - O3575,0.01) *U3575</f>
        <v>0</v>
      </c>
      <c r="W3575" s="52">
        <f t="shared" si="987"/>
        <v>0</v>
      </c>
      <c r="X3575" s="53">
        <f t="shared" si="988"/>
        <v>0</v>
      </c>
      <c r="Y3575" s="53">
        <f t="shared" si="989"/>
        <v>0</v>
      </c>
      <c r="Z3575" s="54">
        <f t="shared" si="993"/>
        <v>0</v>
      </c>
      <c r="AA3575" s="54">
        <f t="shared" si="990"/>
        <v>0</v>
      </c>
      <c r="AB3575" s="55">
        <f t="shared" si="994"/>
        <v>0</v>
      </c>
      <c r="AC3575" s="55">
        <f t="shared" si="991"/>
        <v>0</v>
      </c>
      <c r="AD3575" s="56">
        <f t="shared" si="992"/>
        <v>18305.670000000002</v>
      </c>
    </row>
    <row r="3576" spans="3:30">
      <c r="C3576" s="43" t="s">
        <v>6637</v>
      </c>
      <c r="D3576" s="44" t="s">
        <v>6638</v>
      </c>
      <c r="E3576" s="44"/>
      <c r="F3576" s="45">
        <v>41437.663078703699</v>
      </c>
      <c r="G3576" s="46">
        <v>63</v>
      </c>
      <c r="H3576" s="47">
        <v>43404</v>
      </c>
      <c r="I3576" s="47">
        <v>43404</v>
      </c>
      <c r="J3576" s="46">
        <v>4127000</v>
      </c>
      <c r="K3576" s="46">
        <v>0</v>
      </c>
      <c r="L3576" s="46">
        <v>0</v>
      </c>
      <c r="M3576" s="46">
        <f t="shared" si="981"/>
        <v>4127000</v>
      </c>
      <c r="N3576" s="46">
        <v>6370614</v>
      </c>
      <c r="O3576" s="48">
        <f t="shared" si="982"/>
        <v>0.35218175202578594</v>
      </c>
      <c r="P3576" s="46">
        <v>0</v>
      </c>
      <c r="Q3576" s="46">
        <v>4127000</v>
      </c>
      <c r="R3576" s="49">
        <f t="shared" si="983"/>
        <v>1</v>
      </c>
      <c r="S3576" s="50">
        <f t="shared" si="984"/>
        <v>0.01</v>
      </c>
      <c r="T3576" s="49">
        <f t="shared" si="985"/>
        <v>41270</v>
      </c>
      <c r="U3576" s="51">
        <f t="shared" si="986"/>
        <v>0</v>
      </c>
      <c r="V3576" s="52">
        <f>IF(0&lt;0.8,0,IF(0&lt;1,Sheet3!L561,1))*IF(G3576&lt;3,0.12 - O3576,0.01) *U3576</f>
        <v>0</v>
      </c>
      <c r="W3576" s="52">
        <f t="shared" si="987"/>
        <v>0</v>
      </c>
      <c r="X3576" s="53">
        <f t="shared" si="988"/>
        <v>0</v>
      </c>
      <c r="Y3576" s="53">
        <f t="shared" si="989"/>
        <v>0</v>
      </c>
      <c r="Z3576" s="54">
        <f t="shared" si="993"/>
        <v>0</v>
      </c>
      <c r="AA3576" s="54">
        <f t="shared" si="990"/>
        <v>0</v>
      </c>
      <c r="AB3576" s="55">
        <f t="shared" si="994"/>
        <v>0</v>
      </c>
      <c r="AC3576" s="55">
        <f t="shared" si="991"/>
        <v>0</v>
      </c>
      <c r="AD3576" s="56">
        <f t="shared" si="992"/>
        <v>41270</v>
      </c>
    </row>
    <row r="3577" spans="3:30">
      <c r="C3577" s="43" t="s">
        <v>6639</v>
      </c>
      <c r="D3577" s="44" t="s">
        <v>6640</v>
      </c>
      <c r="E3577" s="44"/>
      <c r="F3577" s="45">
        <v>42262.45275462963</v>
      </c>
      <c r="G3577" s="46">
        <v>36</v>
      </c>
      <c r="H3577" s="47">
        <v>43381</v>
      </c>
      <c r="I3577" s="47">
        <v>43399</v>
      </c>
      <c r="J3577" s="46">
        <v>8282290</v>
      </c>
      <c r="K3577" s="46">
        <v>0</v>
      </c>
      <c r="L3577" s="46">
        <v>0</v>
      </c>
      <c r="M3577" s="46">
        <f t="shared" si="981"/>
        <v>8282290</v>
      </c>
      <c r="N3577" s="46">
        <v>11117740</v>
      </c>
      <c r="O3577" s="48">
        <f t="shared" si="982"/>
        <v>0.2550383441238957</v>
      </c>
      <c r="P3577" s="46">
        <v>0</v>
      </c>
      <c r="Q3577" s="46">
        <v>8282290</v>
      </c>
      <c r="R3577" s="49">
        <f t="shared" si="983"/>
        <v>1</v>
      </c>
      <c r="S3577" s="50">
        <f t="shared" si="984"/>
        <v>0.01</v>
      </c>
      <c r="T3577" s="49">
        <f t="shared" si="985"/>
        <v>82822.900000000009</v>
      </c>
      <c r="U3577" s="51">
        <f t="shared" si="986"/>
        <v>0</v>
      </c>
      <c r="V3577" s="52">
        <f>IF(0&lt;0.8,0,IF(0&lt;1,Sheet3!L561,1))*IF(G3577&lt;3,0.12 - O3577,0.01) *U3577</f>
        <v>0</v>
      </c>
      <c r="W3577" s="52">
        <f t="shared" si="987"/>
        <v>0</v>
      </c>
      <c r="X3577" s="53">
        <f t="shared" si="988"/>
        <v>0</v>
      </c>
      <c r="Y3577" s="53">
        <f t="shared" si="989"/>
        <v>0</v>
      </c>
      <c r="Z3577" s="54">
        <f t="shared" si="993"/>
        <v>0</v>
      </c>
      <c r="AA3577" s="54">
        <f t="shared" si="990"/>
        <v>0</v>
      </c>
      <c r="AB3577" s="55">
        <f t="shared" si="994"/>
        <v>0</v>
      </c>
      <c r="AC3577" s="55">
        <f t="shared" si="991"/>
        <v>0</v>
      </c>
      <c r="AD3577" s="56">
        <f t="shared" si="992"/>
        <v>82822.900000000009</v>
      </c>
    </row>
    <row r="3578" spans="3:30">
      <c r="C3578" s="43" t="s">
        <v>6641</v>
      </c>
      <c r="D3578" s="44" t="s">
        <v>6642</v>
      </c>
      <c r="E3578" s="44"/>
      <c r="F3578" s="45">
        <v>42522.110671296294</v>
      </c>
      <c r="G3578" s="46">
        <v>27</v>
      </c>
      <c r="H3578" s="47">
        <v>43397</v>
      </c>
      <c r="I3578" s="47">
        <v>43398</v>
      </c>
      <c r="J3578" s="46">
        <v>719000</v>
      </c>
      <c r="K3578" s="46">
        <v>0</v>
      </c>
      <c r="L3578" s="46">
        <v>0</v>
      </c>
      <c r="M3578" s="46">
        <f t="shared" si="981"/>
        <v>719000</v>
      </c>
      <c r="N3578" s="46">
        <v>650375</v>
      </c>
      <c r="O3578" s="48">
        <f t="shared" si="982"/>
        <v>0</v>
      </c>
      <c r="P3578" s="46">
        <v>0</v>
      </c>
      <c r="Q3578" s="46">
        <v>719000</v>
      </c>
      <c r="R3578" s="49">
        <f t="shared" si="983"/>
        <v>1</v>
      </c>
      <c r="S3578" s="50">
        <f t="shared" si="984"/>
        <v>0.01</v>
      </c>
      <c r="T3578" s="49">
        <f t="shared" si="985"/>
        <v>7190</v>
      </c>
      <c r="U3578" s="51">
        <f t="shared" si="986"/>
        <v>0</v>
      </c>
      <c r="V3578" s="52">
        <f>IF(0&lt;0.8,0,IF(0&lt;1,Sheet3!L561,1))*IF(G3578&lt;3,0.12 - O3578,0.01) *U3578</f>
        <v>0</v>
      </c>
      <c r="W3578" s="52">
        <f t="shared" si="987"/>
        <v>0</v>
      </c>
      <c r="X3578" s="53">
        <f t="shared" si="988"/>
        <v>0</v>
      </c>
      <c r="Y3578" s="53">
        <f t="shared" si="989"/>
        <v>0</v>
      </c>
      <c r="Z3578" s="54">
        <f t="shared" si="993"/>
        <v>0</v>
      </c>
      <c r="AA3578" s="54">
        <f t="shared" si="990"/>
        <v>0</v>
      </c>
      <c r="AB3578" s="55">
        <f t="shared" si="994"/>
        <v>0</v>
      </c>
      <c r="AC3578" s="55">
        <f t="shared" si="991"/>
        <v>0</v>
      </c>
      <c r="AD3578" s="56">
        <f t="shared" si="992"/>
        <v>7190</v>
      </c>
    </row>
    <row r="3579" spans="3:30">
      <c r="C3579" s="43" t="s">
        <v>6643</v>
      </c>
      <c r="D3579" s="44" t="s">
        <v>6644</v>
      </c>
      <c r="E3579" s="44"/>
      <c r="F3579" s="45">
        <v>42928.266793981478</v>
      </c>
      <c r="G3579" s="46">
        <v>14</v>
      </c>
      <c r="H3579" s="47">
        <v>43404</v>
      </c>
      <c r="I3579" s="47">
        <v>43400</v>
      </c>
      <c r="J3579" s="46">
        <v>6049000</v>
      </c>
      <c r="K3579" s="46">
        <v>0</v>
      </c>
      <c r="L3579" s="46">
        <v>0</v>
      </c>
      <c r="M3579" s="46">
        <f t="shared" si="981"/>
        <v>6049000</v>
      </c>
      <c r="N3579" s="46">
        <v>6853440</v>
      </c>
      <c r="O3579" s="48">
        <f t="shared" si="982"/>
        <v>0.11737755054396037</v>
      </c>
      <c r="P3579" s="46">
        <v>0</v>
      </c>
      <c r="Q3579" s="46">
        <v>6049000</v>
      </c>
      <c r="R3579" s="49">
        <f t="shared" si="983"/>
        <v>1</v>
      </c>
      <c r="S3579" s="50">
        <f t="shared" si="984"/>
        <v>0.01</v>
      </c>
      <c r="T3579" s="49">
        <f t="shared" si="985"/>
        <v>60490</v>
      </c>
      <c r="U3579" s="51">
        <f t="shared" si="986"/>
        <v>0</v>
      </c>
      <c r="V3579" s="52">
        <f>IF(0&lt;0.8,0,IF(0&lt;1,Sheet3!L561,1))*IF(G3579&lt;3,0.12 - O3579,0.01) *U3579</f>
        <v>0</v>
      </c>
      <c r="W3579" s="52">
        <f t="shared" si="987"/>
        <v>0</v>
      </c>
      <c r="X3579" s="53">
        <f t="shared" si="988"/>
        <v>0</v>
      </c>
      <c r="Y3579" s="53">
        <f t="shared" si="989"/>
        <v>0</v>
      </c>
      <c r="Z3579" s="54">
        <f t="shared" si="993"/>
        <v>0</v>
      </c>
      <c r="AA3579" s="54">
        <f t="shared" si="990"/>
        <v>0</v>
      </c>
      <c r="AB3579" s="55">
        <f t="shared" si="994"/>
        <v>0</v>
      </c>
      <c r="AC3579" s="55">
        <f t="shared" si="991"/>
        <v>0</v>
      </c>
      <c r="AD3579" s="56">
        <f t="shared" si="992"/>
        <v>60490</v>
      </c>
    </row>
    <row r="3580" spans="3:30">
      <c r="C3580" s="43" t="s">
        <v>6645</v>
      </c>
      <c r="D3580" s="44" t="s">
        <v>6646</v>
      </c>
      <c r="E3580" s="44"/>
      <c r="F3580" s="45">
        <v>43112.137129629627</v>
      </c>
      <c r="G3580" s="46">
        <v>8</v>
      </c>
      <c r="H3580" s="47">
        <v>43404</v>
      </c>
      <c r="I3580" s="47">
        <v>43413</v>
      </c>
      <c r="J3580" s="46">
        <v>811085</v>
      </c>
      <c r="K3580" s="46">
        <v>320534</v>
      </c>
      <c r="L3580" s="46">
        <v>0</v>
      </c>
      <c r="M3580" s="46">
        <f t="shared" si="981"/>
        <v>490551</v>
      </c>
      <c r="N3580" s="46">
        <v>924440</v>
      </c>
      <c r="O3580" s="48">
        <f t="shared" si="982"/>
        <v>0.46935333823720304</v>
      </c>
      <c r="P3580" s="46">
        <v>0</v>
      </c>
      <c r="Q3580" s="46">
        <v>811085</v>
      </c>
      <c r="R3580" s="49">
        <f t="shared" si="983"/>
        <v>1</v>
      </c>
      <c r="S3580" s="50">
        <f t="shared" si="984"/>
        <v>0.01</v>
      </c>
      <c r="T3580" s="49">
        <f t="shared" si="985"/>
        <v>4905.51</v>
      </c>
      <c r="U3580" s="51">
        <f t="shared" si="986"/>
        <v>0</v>
      </c>
      <c r="V3580" s="52">
        <f>IF(0&lt;0.8,0,IF(0&lt;1,Sheet3!L561,1))*IF(G3580&lt;3,0.12 - O3580,0.01) *U3580</f>
        <v>0</v>
      </c>
      <c r="W3580" s="52">
        <f t="shared" si="987"/>
        <v>0</v>
      </c>
      <c r="X3580" s="53">
        <f t="shared" si="988"/>
        <v>0</v>
      </c>
      <c r="Y3580" s="53">
        <f t="shared" si="989"/>
        <v>0</v>
      </c>
      <c r="Z3580" s="54">
        <f t="shared" si="993"/>
        <v>0</v>
      </c>
      <c r="AA3580" s="54">
        <f t="shared" si="990"/>
        <v>0</v>
      </c>
      <c r="AB3580" s="55">
        <f t="shared" si="994"/>
        <v>0</v>
      </c>
      <c r="AC3580" s="55">
        <f t="shared" si="991"/>
        <v>0</v>
      </c>
      <c r="AD3580" s="56">
        <f t="shared" si="992"/>
        <v>4905.51</v>
      </c>
    </row>
    <row r="3581" spans="3:30">
      <c r="C3581" s="43" t="s">
        <v>6647</v>
      </c>
      <c r="D3581" s="44" t="s">
        <v>6648</v>
      </c>
      <c r="E3581" s="44"/>
      <c r="F3581" s="45">
        <v>43206.331643518519</v>
      </c>
      <c r="G3581" s="46">
        <v>5</v>
      </c>
      <c r="H3581" s="47">
        <v>43381</v>
      </c>
      <c r="I3581" s="47">
        <v>43397</v>
      </c>
      <c r="J3581" s="46">
        <v>8961000</v>
      </c>
      <c r="K3581" s="46">
        <v>0</v>
      </c>
      <c r="L3581" s="46">
        <v>0</v>
      </c>
      <c r="M3581" s="46">
        <f t="shared" si="981"/>
        <v>8961000</v>
      </c>
      <c r="N3581" s="46">
        <v>8950249</v>
      </c>
      <c r="O3581" s="48">
        <f t="shared" si="982"/>
        <v>0</v>
      </c>
      <c r="P3581" s="46">
        <v>0</v>
      </c>
      <c r="Q3581" s="46">
        <v>8961000</v>
      </c>
      <c r="R3581" s="49">
        <f t="shared" si="983"/>
        <v>1</v>
      </c>
      <c r="S3581" s="50">
        <f t="shared" si="984"/>
        <v>0.01</v>
      </c>
      <c r="T3581" s="49">
        <f t="shared" si="985"/>
        <v>89610</v>
      </c>
      <c r="U3581" s="51">
        <f t="shared" si="986"/>
        <v>0</v>
      </c>
      <c r="V3581" s="52">
        <f>IF(0&lt;0.8,0,IF(0&lt;1,Sheet3!L561,1))*IF(G3581&lt;3,0.12 - O3581,0.01) *U3581</f>
        <v>0</v>
      </c>
      <c r="W3581" s="52">
        <f t="shared" si="987"/>
        <v>0</v>
      </c>
      <c r="X3581" s="53">
        <f t="shared" si="988"/>
        <v>0</v>
      </c>
      <c r="Y3581" s="53">
        <f t="shared" si="989"/>
        <v>0</v>
      </c>
      <c r="Z3581" s="54">
        <f t="shared" si="993"/>
        <v>0</v>
      </c>
      <c r="AA3581" s="54">
        <f t="shared" si="990"/>
        <v>0</v>
      </c>
      <c r="AB3581" s="55">
        <f t="shared" si="994"/>
        <v>0</v>
      </c>
      <c r="AC3581" s="55">
        <f t="shared" si="991"/>
        <v>0</v>
      </c>
      <c r="AD3581" s="56">
        <f t="shared" si="992"/>
        <v>89610</v>
      </c>
    </row>
    <row r="3582" spans="3:30">
      <c r="C3582" s="43" t="s">
        <v>6649</v>
      </c>
      <c r="D3582" s="44" t="s">
        <v>6650</v>
      </c>
      <c r="E3582" s="44"/>
      <c r="F3582" s="45">
        <v>42521.273541666662</v>
      </c>
      <c r="G3582" s="46">
        <v>28</v>
      </c>
      <c r="H3582" s="47" t="s">
        <v>24</v>
      </c>
      <c r="I3582" s="47" t="s">
        <v>24</v>
      </c>
      <c r="J3582" s="46">
        <v>0</v>
      </c>
      <c r="K3582" s="46">
        <v>0</v>
      </c>
      <c r="L3582" s="46">
        <v>0</v>
      </c>
      <c r="M3582" s="46">
        <f t="shared" si="981"/>
        <v>0</v>
      </c>
      <c r="N3582" s="46">
        <v>798600</v>
      </c>
      <c r="O3582" s="48">
        <f t="shared" si="982"/>
        <v>1</v>
      </c>
      <c r="P3582" s="46">
        <v>0</v>
      </c>
      <c r="Q3582" s="46">
        <v>0</v>
      </c>
      <c r="R3582" s="49">
        <f t="shared" si="983"/>
        <v>1</v>
      </c>
      <c r="S3582" s="50">
        <f t="shared" si="984"/>
        <v>0.01</v>
      </c>
      <c r="T3582" s="49">
        <f t="shared" si="985"/>
        <v>0</v>
      </c>
      <c r="U3582" s="51">
        <f t="shared" si="986"/>
        <v>0</v>
      </c>
      <c r="V3582" s="52">
        <f>IF(0&lt;0.8,0,IF(0&lt;1,Sheet3!L561,1))*IF(G3582&lt;3,0.12 - O3582,0.01) *U3582</f>
        <v>0</v>
      </c>
      <c r="W3582" s="52">
        <f t="shared" si="987"/>
        <v>0</v>
      </c>
      <c r="X3582" s="53">
        <f t="shared" si="988"/>
        <v>0</v>
      </c>
      <c r="Y3582" s="53">
        <f t="shared" si="989"/>
        <v>0</v>
      </c>
      <c r="Z3582" s="54">
        <f>IF(R3582=1,0,"")</f>
        <v>0</v>
      </c>
      <c r="AA3582" s="54">
        <f t="shared" si="990"/>
        <v>0</v>
      </c>
      <c r="AB3582" s="55">
        <f>IF(R3582=0,"",0)</f>
        <v>0</v>
      </c>
      <c r="AC3582" s="55">
        <f t="shared" si="991"/>
        <v>0</v>
      </c>
      <c r="AD3582" s="56">
        <f t="shared" si="992"/>
        <v>0</v>
      </c>
    </row>
    <row r="3583" spans="3:30">
      <c r="C3583" s="43" t="s">
        <v>6651</v>
      </c>
      <c r="D3583" s="44" t="s">
        <v>995</v>
      </c>
      <c r="E3583" s="44"/>
      <c r="F3583" s="45">
        <v>43316.68550925926</v>
      </c>
      <c r="G3583" s="46">
        <v>1</v>
      </c>
      <c r="H3583" s="47">
        <v>43431</v>
      </c>
      <c r="I3583" s="47">
        <v>43460</v>
      </c>
      <c r="J3583" s="46">
        <v>733198</v>
      </c>
      <c r="K3583" s="46">
        <v>0</v>
      </c>
      <c r="L3583" s="46">
        <v>0</v>
      </c>
      <c r="M3583" s="46">
        <f t="shared" si="981"/>
        <v>733198</v>
      </c>
      <c r="N3583" s="46">
        <v>855782</v>
      </c>
      <c r="O3583" s="48">
        <f t="shared" si="982"/>
        <v>0.14324208735402244</v>
      </c>
      <c r="P3583" s="46">
        <v>0</v>
      </c>
      <c r="Q3583" s="46">
        <v>0</v>
      </c>
      <c r="R3583" s="49">
        <f t="shared" si="983"/>
        <v>0</v>
      </c>
      <c r="S3583" s="50">
        <f t="shared" si="984"/>
        <v>0</v>
      </c>
      <c r="T3583" s="49">
        <f t="shared" si="985"/>
        <v>0</v>
      </c>
      <c r="U3583" s="51">
        <f t="shared" si="986"/>
        <v>0</v>
      </c>
      <c r="V3583" s="52">
        <f>IF(0&lt;0.8,0,IF(0&lt;1,Sheet3!L561,1))*IF(G3583&lt;3,0.12 - O3583,0.01) *U3583</f>
        <v>0</v>
      </c>
      <c r="W3583" s="52">
        <f t="shared" si="987"/>
        <v>0</v>
      </c>
      <c r="X3583" s="53">
        <f t="shared" si="988"/>
        <v>0</v>
      </c>
      <c r="Y3583" s="53">
        <f t="shared" si="989"/>
        <v>0</v>
      </c>
      <c r="Z3583" s="54">
        <f>IF(R3583=1,0,0)</f>
        <v>0</v>
      </c>
      <c r="AA3583" s="54">
        <f t="shared" si="990"/>
        <v>0</v>
      </c>
      <c r="AB3583" s="55">
        <f>IF(R3583=0,0,0)</f>
        <v>0</v>
      </c>
      <c r="AC3583" s="55">
        <f t="shared" si="991"/>
        <v>0</v>
      </c>
      <c r="AD3583" s="56">
        <f t="shared" si="992"/>
        <v>0</v>
      </c>
    </row>
    <row r="3584" spans="3:30">
      <c r="C3584" s="43" t="s">
        <v>6652</v>
      </c>
      <c r="D3584" s="44" t="s">
        <v>6653</v>
      </c>
      <c r="E3584" s="44"/>
      <c r="F3584" s="45">
        <v>41564.475601851853</v>
      </c>
      <c r="G3584" s="46">
        <v>59</v>
      </c>
      <c r="H3584" s="47">
        <v>43404</v>
      </c>
      <c r="I3584" s="47">
        <v>43413</v>
      </c>
      <c r="J3584" s="46">
        <v>203940</v>
      </c>
      <c r="K3584" s="46">
        <v>0</v>
      </c>
      <c r="L3584" s="46">
        <v>0</v>
      </c>
      <c r="M3584" s="46">
        <f t="shared" si="981"/>
        <v>203940</v>
      </c>
      <c r="N3584" s="46">
        <v>227843</v>
      </c>
      <c r="O3584" s="48">
        <f t="shared" si="982"/>
        <v>0.10490995992854724</v>
      </c>
      <c r="P3584" s="46">
        <v>0</v>
      </c>
      <c r="Q3584" s="46">
        <v>203940</v>
      </c>
      <c r="R3584" s="49">
        <f t="shared" si="983"/>
        <v>1</v>
      </c>
      <c r="S3584" s="50">
        <f t="shared" si="984"/>
        <v>0.01</v>
      </c>
      <c r="T3584" s="49">
        <f t="shared" si="985"/>
        <v>2039.4</v>
      </c>
      <c r="U3584" s="51">
        <f t="shared" si="986"/>
        <v>0</v>
      </c>
      <c r="V3584" s="52">
        <f>IF(0&lt;0.8,0,IF(0&lt;1,Sheet3!L561,1))*IF(G3584&lt;3,0.12 - O3584,0.01) *U3584</f>
        <v>0</v>
      </c>
      <c r="W3584" s="52">
        <f t="shared" si="987"/>
        <v>0</v>
      </c>
      <c r="X3584" s="53">
        <f t="shared" si="988"/>
        <v>0</v>
      </c>
      <c r="Y3584" s="53">
        <f t="shared" si="989"/>
        <v>0</v>
      </c>
      <c r="Z3584" s="54">
        <f>IF(R3584=1,0,0)</f>
        <v>0</v>
      </c>
      <c r="AA3584" s="54">
        <f t="shared" si="990"/>
        <v>0</v>
      </c>
      <c r="AB3584" s="55">
        <f>IF(R3584=0,0,0)</f>
        <v>0</v>
      </c>
      <c r="AC3584" s="55">
        <f t="shared" si="991"/>
        <v>0</v>
      </c>
      <c r="AD3584" s="56">
        <f t="shared" si="992"/>
        <v>2039.4</v>
      </c>
    </row>
    <row r="3585" spans="3:30">
      <c r="C3585" s="43" t="s">
        <v>6654</v>
      </c>
      <c r="D3585" s="44" t="s">
        <v>6655</v>
      </c>
      <c r="E3585" s="44"/>
      <c r="F3585" s="45">
        <v>41814.427199074074</v>
      </c>
      <c r="G3585" s="46">
        <v>51</v>
      </c>
      <c r="H3585" s="47">
        <v>43372</v>
      </c>
      <c r="I3585" s="47">
        <v>43389</v>
      </c>
      <c r="J3585" s="46">
        <v>2207863</v>
      </c>
      <c r="K3585" s="46">
        <v>0</v>
      </c>
      <c r="L3585" s="46">
        <v>0</v>
      </c>
      <c r="M3585" s="46">
        <f t="shared" si="981"/>
        <v>2207863</v>
      </c>
      <c r="N3585" s="46">
        <v>1715417</v>
      </c>
      <c r="O3585" s="48">
        <f t="shared" si="982"/>
        <v>0</v>
      </c>
      <c r="P3585" s="46">
        <v>0</v>
      </c>
      <c r="Q3585" s="46">
        <v>2207863</v>
      </c>
      <c r="R3585" s="49">
        <f t="shared" si="983"/>
        <v>1</v>
      </c>
      <c r="S3585" s="50">
        <f t="shared" si="984"/>
        <v>0.01</v>
      </c>
      <c r="T3585" s="49">
        <f t="shared" si="985"/>
        <v>22078.63</v>
      </c>
      <c r="U3585" s="51">
        <f t="shared" si="986"/>
        <v>0</v>
      </c>
      <c r="V3585" s="52">
        <f>IF(0&lt;0.8,0,IF(0&lt;1,Sheet3!L561,1))*IF(G3585&lt;3,0.12 - O3585,0.01) *U3585</f>
        <v>0</v>
      </c>
      <c r="W3585" s="52">
        <f t="shared" si="987"/>
        <v>0</v>
      </c>
      <c r="X3585" s="53">
        <f t="shared" si="988"/>
        <v>0</v>
      </c>
      <c r="Y3585" s="53">
        <f t="shared" si="989"/>
        <v>0</v>
      </c>
      <c r="Z3585" s="54">
        <f>IF(R3585=1,0,0)</f>
        <v>0</v>
      </c>
      <c r="AA3585" s="54">
        <f t="shared" si="990"/>
        <v>0</v>
      </c>
      <c r="AB3585" s="55">
        <f>IF(R3585=0,0,0)</f>
        <v>0</v>
      </c>
      <c r="AC3585" s="55">
        <f t="shared" si="991"/>
        <v>0</v>
      </c>
      <c r="AD3585" s="56">
        <f t="shared" si="992"/>
        <v>22078.63</v>
      </c>
    </row>
    <row r="3586" spans="3:30">
      <c r="C3586" s="43" t="s">
        <v>6656</v>
      </c>
      <c r="D3586" s="44" t="s">
        <v>6657</v>
      </c>
      <c r="E3586" s="44"/>
      <c r="F3586" s="45">
        <v>42482.415081018517</v>
      </c>
      <c r="G3586" s="46">
        <v>29</v>
      </c>
      <c r="H3586" s="47">
        <v>43404</v>
      </c>
      <c r="I3586" s="47">
        <v>43413</v>
      </c>
      <c r="J3586" s="46">
        <v>2644650</v>
      </c>
      <c r="K3586" s="46">
        <v>179308</v>
      </c>
      <c r="L3586" s="46">
        <v>0</v>
      </c>
      <c r="M3586" s="46">
        <f t="shared" si="981"/>
        <v>2465342</v>
      </c>
      <c r="N3586" s="46">
        <v>3426658</v>
      </c>
      <c r="O3586" s="48">
        <f t="shared" si="982"/>
        <v>0.28054039825392552</v>
      </c>
      <c r="P3586" s="46">
        <v>0</v>
      </c>
      <c r="Q3586" s="46">
        <v>2644650</v>
      </c>
      <c r="R3586" s="49">
        <f t="shared" si="983"/>
        <v>1</v>
      </c>
      <c r="S3586" s="50">
        <f t="shared" si="984"/>
        <v>0.01</v>
      </c>
      <c r="T3586" s="49">
        <f t="shared" si="985"/>
        <v>24653.420000000002</v>
      </c>
      <c r="U3586" s="51">
        <f t="shared" si="986"/>
        <v>0</v>
      </c>
      <c r="V3586" s="52">
        <f>IF(0&lt;0.8,0,IF(0&lt;1,Sheet3!L561,1))*IF(G3586&lt;3,0.12 - O3586,0.01) *U3586</f>
        <v>0</v>
      </c>
      <c r="W3586" s="52">
        <f t="shared" si="987"/>
        <v>0</v>
      </c>
      <c r="X3586" s="53">
        <f t="shared" si="988"/>
        <v>0</v>
      </c>
      <c r="Y3586" s="53">
        <f t="shared" si="989"/>
        <v>0</v>
      </c>
      <c r="Z3586" s="54">
        <f>IF(R3586=1,0,0)</f>
        <v>0</v>
      </c>
      <c r="AA3586" s="54">
        <f t="shared" si="990"/>
        <v>0</v>
      </c>
      <c r="AB3586" s="55">
        <f>IF(R3586=0,0,0)</f>
        <v>0</v>
      </c>
      <c r="AC3586" s="55">
        <f t="shared" si="991"/>
        <v>0</v>
      </c>
      <c r="AD3586" s="56">
        <f t="shared" si="992"/>
        <v>24653.420000000002</v>
      </c>
    </row>
    <row r="3587" spans="3:30">
      <c r="C3587" s="43" t="s">
        <v>6658</v>
      </c>
      <c r="D3587" s="44" t="s">
        <v>6659</v>
      </c>
      <c r="E3587" s="44"/>
      <c r="F3587" s="45">
        <v>42521.274062500001</v>
      </c>
      <c r="G3587" s="46">
        <v>28</v>
      </c>
      <c r="H3587" s="47" t="s">
        <v>24</v>
      </c>
      <c r="I3587" s="47" t="s">
        <v>24</v>
      </c>
      <c r="J3587" s="46">
        <v>0</v>
      </c>
      <c r="K3587" s="46">
        <v>0</v>
      </c>
      <c r="L3587" s="46">
        <v>0</v>
      </c>
      <c r="M3587" s="46">
        <f t="shared" si="981"/>
        <v>0</v>
      </c>
      <c r="N3587" s="46">
        <v>727089</v>
      </c>
      <c r="O3587" s="48">
        <f t="shared" si="982"/>
        <v>1</v>
      </c>
      <c r="P3587" s="46">
        <v>0</v>
      </c>
      <c r="Q3587" s="46">
        <v>0</v>
      </c>
      <c r="R3587" s="49">
        <f t="shared" si="983"/>
        <v>1</v>
      </c>
      <c r="S3587" s="50">
        <f t="shared" si="984"/>
        <v>0.01</v>
      </c>
      <c r="T3587" s="49">
        <f t="shared" si="985"/>
        <v>0</v>
      </c>
      <c r="U3587" s="51">
        <f t="shared" si="986"/>
        <v>0</v>
      </c>
      <c r="V3587" s="52">
        <f>IF(0&lt;0.8,0,IF(0&lt;1,Sheet3!L561,1))*IF(G3587&lt;3,0.12 - O3587,0.01) *U3587</f>
        <v>0</v>
      </c>
      <c r="W3587" s="52">
        <f t="shared" si="987"/>
        <v>0</v>
      </c>
      <c r="X3587" s="53">
        <f t="shared" si="988"/>
        <v>0</v>
      </c>
      <c r="Y3587" s="53">
        <f t="shared" si="989"/>
        <v>0</v>
      </c>
      <c r="Z3587" s="54">
        <f>IF(R3587=1,0,"")</f>
        <v>0</v>
      </c>
      <c r="AA3587" s="54">
        <f t="shared" si="990"/>
        <v>0</v>
      </c>
      <c r="AB3587" s="55">
        <f>IF(R3587=0,"",0)</f>
        <v>0</v>
      </c>
      <c r="AC3587" s="55">
        <f t="shared" si="991"/>
        <v>0</v>
      </c>
      <c r="AD3587" s="56">
        <f t="shared" si="992"/>
        <v>0</v>
      </c>
    </row>
    <row r="3588" spans="3:30">
      <c r="C3588" s="43" t="s">
        <v>6660</v>
      </c>
      <c r="D3588" s="44" t="s">
        <v>995</v>
      </c>
      <c r="E3588" s="44"/>
      <c r="F3588" s="45">
        <v>43316.689687499995</v>
      </c>
      <c r="G3588" s="46">
        <v>1</v>
      </c>
      <c r="H3588" s="47">
        <v>43431</v>
      </c>
      <c r="I3588" s="47">
        <v>43462</v>
      </c>
      <c r="J3588" s="46">
        <v>1252478</v>
      </c>
      <c r="K3588" s="46">
        <v>0</v>
      </c>
      <c r="L3588" s="46">
        <v>0</v>
      </c>
      <c r="M3588" s="46">
        <f t="shared" si="981"/>
        <v>1252478</v>
      </c>
      <c r="N3588" s="46">
        <v>1425278</v>
      </c>
      <c r="O3588" s="48">
        <f t="shared" si="982"/>
        <v>0.12123950555610907</v>
      </c>
      <c r="P3588" s="46">
        <v>0</v>
      </c>
      <c r="Q3588" s="46">
        <v>0</v>
      </c>
      <c r="R3588" s="49">
        <f t="shared" si="983"/>
        <v>0</v>
      </c>
      <c r="S3588" s="50">
        <f t="shared" si="984"/>
        <v>0</v>
      </c>
      <c r="T3588" s="49">
        <f t="shared" si="985"/>
        <v>0</v>
      </c>
      <c r="U3588" s="51">
        <f t="shared" si="986"/>
        <v>0</v>
      </c>
      <c r="V3588" s="52">
        <f>IF(0&lt;0.8,0,IF(0&lt;1,Sheet3!L561,1))*IF(G3588&lt;3,0.12 - O3588,0.01) *U3588</f>
        <v>0</v>
      </c>
      <c r="W3588" s="52">
        <f t="shared" si="987"/>
        <v>0</v>
      </c>
      <c r="X3588" s="53">
        <f t="shared" si="988"/>
        <v>0</v>
      </c>
      <c r="Y3588" s="53">
        <f t="shared" si="989"/>
        <v>0</v>
      </c>
      <c r="Z3588" s="54">
        <f t="shared" ref="Z3588:Z3597" si="995">IF(R3588=1,0,0)</f>
        <v>0</v>
      </c>
      <c r="AA3588" s="54">
        <f t="shared" si="990"/>
        <v>0</v>
      </c>
      <c r="AB3588" s="55">
        <f t="shared" ref="AB3588:AB3597" si="996">IF(R3588=0,0,0)</f>
        <v>0</v>
      </c>
      <c r="AC3588" s="55">
        <f t="shared" si="991"/>
        <v>0</v>
      </c>
      <c r="AD3588" s="56">
        <f t="shared" si="992"/>
        <v>0</v>
      </c>
    </row>
    <row r="3589" spans="3:30">
      <c r="C3589" s="43" t="s">
        <v>6661</v>
      </c>
      <c r="D3589" s="44" t="s">
        <v>6662</v>
      </c>
      <c r="E3589" s="44"/>
      <c r="F3589" s="45">
        <v>41832.75981481481</v>
      </c>
      <c r="G3589" s="46">
        <v>50</v>
      </c>
      <c r="H3589" s="47">
        <v>43404</v>
      </c>
      <c r="I3589" s="47">
        <v>43409</v>
      </c>
      <c r="J3589" s="46">
        <v>5717080</v>
      </c>
      <c r="K3589" s="46">
        <v>563082</v>
      </c>
      <c r="L3589" s="46">
        <v>0</v>
      </c>
      <c r="M3589" s="46">
        <f t="shared" si="981"/>
        <v>5153998</v>
      </c>
      <c r="N3589" s="46">
        <v>7943980</v>
      </c>
      <c r="O3589" s="48">
        <f t="shared" si="982"/>
        <v>0.3512070775606182</v>
      </c>
      <c r="P3589" s="46">
        <v>0</v>
      </c>
      <c r="Q3589" s="46">
        <v>5717080</v>
      </c>
      <c r="R3589" s="49">
        <f t="shared" si="983"/>
        <v>1</v>
      </c>
      <c r="S3589" s="50">
        <f t="shared" si="984"/>
        <v>0.01</v>
      </c>
      <c r="T3589" s="49">
        <f t="shared" si="985"/>
        <v>51539.98</v>
      </c>
      <c r="U3589" s="51">
        <f t="shared" si="986"/>
        <v>0</v>
      </c>
      <c r="V3589" s="52">
        <f>IF(0&lt;0.8,0,IF(0&lt;1,Sheet3!L561,1))*IF(G3589&lt;3,0.12 - O3589,0.01) *U3589</f>
        <v>0</v>
      </c>
      <c r="W3589" s="52">
        <f t="shared" si="987"/>
        <v>0</v>
      </c>
      <c r="X3589" s="53">
        <f t="shared" si="988"/>
        <v>0</v>
      </c>
      <c r="Y3589" s="53">
        <f t="shared" si="989"/>
        <v>0</v>
      </c>
      <c r="Z3589" s="54">
        <f t="shared" si="995"/>
        <v>0</v>
      </c>
      <c r="AA3589" s="54">
        <f t="shared" si="990"/>
        <v>0</v>
      </c>
      <c r="AB3589" s="55">
        <f t="shared" si="996"/>
        <v>0</v>
      </c>
      <c r="AC3589" s="55">
        <f t="shared" si="991"/>
        <v>0</v>
      </c>
      <c r="AD3589" s="56">
        <f t="shared" si="992"/>
        <v>51539.98</v>
      </c>
    </row>
    <row r="3590" spans="3:30">
      <c r="C3590" s="43" t="s">
        <v>6663</v>
      </c>
      <c r="D3590" s="44" t="s">
        <v>6664</v>
      </c>
      <c r="E3590" s="44"/>
      <c r="F3590" s="45">
        <v>42374.398194444446</v>
      </c>
      <c r="G3590" s="46">
        <v>32</v>
      </c>
      <c r="H3590" s="47">
        <v>43404</v>
      </c>
      <c r="I3590" s="47">
        <v>43409</v>
      </c>
      <c r="J3590" s="46">
        <v>2247658</v>
      </c>
      <c r="K3590" s="46">
        <v>224774</v>
      </c>
      <c r="L3590" s="46">
        <v>0</v>
      </c>
      <c r="M3590" s="46">
        <f t="shared" si="981"/>
        <v>2022884</v>
      </c>
      <c r="N3590" s="46">
        <v>3251064</v>
      </c>
      <c r="O3590" s="48">
        <f t="shared" si="982"/>
        <v>0.37777785980220624</v>
      </c>
      <c r="P3590" s="46">
        <v>0</v>
      </c>
      <c r="Q3590" s="46">
        <v>2247658</v>
      </c>
      <c r="R3590" s="49">
        <f t="shared" si="983"/>
        <v>1</v>
      </c>
      <c r="S3590" s="50">
        <f t="shared" si="984"/>
        <v>0.01</v>
      </c>
      <c r="T3590" s="49">
        <f t="shared" si="985"/>
        <v>20228.84</v>
      </c>
      <c r="U3590" s="51">
        <f t="shared" si="986"/>
        <v>0</v>
      </c>
      <c r="V3590" s="52">
        <f>IF(0&lt;0.8,0,IF(0&lt;1,Sheet3!L561,1))*IF(G3590&lt;3,0.12 - O3590,0.01) *U3590</f>
        <v>0</v>
      </c>
      <c r="W3590" s="52">
        <f t="shared" si="987"/>
        <v>0</v>
      </c>
      <c r="X3590" s="53">
        <f t="shared" si="988"/>
        <v>0</v>
      </c>
      <c r="Y3590" s="53">
        <f t="shared" si="989"/>
        <v>0</v>
      </c>
      <c r="Z3590" s="54">
        <f t="shared" si="995"/>
        <v>0</v>
      </c>
      <c r="AA3590" s="54">
        <f t="shared" si="990"/>
        <v>0</v>
      </c>
      <c r="AB3590" s="55">
        <f t="shared" si="996"/>
        <v>0</v>
      </c>
      <c r="AC3590" s="55">
        <f t="shared" si="991"/>
        <v>0</v>
      </c>
      <c r="AD3590" s="56">
        <f t="shared" si="992"/>
        <v>20228.84</v>
      </c>
    </row>
    <row r="3591" spans="3:30">
      <c r="C3591" s="43" t="s">
        <v>6665</v>
      </c>
      <c r="D3591" s="44" t="s">
        <v>6666</v>
      </c>
      <c r="E3591" s="44"/>
      <c r="F3591" s="45">
        <v>42374.399675925924</v>
      </c>
      <c r="G3591" s="46">
        <v>32</v>
      </c>
      <c r="H3591" s="47">
        <v>43404</v>
      </c>
      <c r="I3591" s="47">
        <v>43409</v>
      </c>
      <c r="J3591" s="46">
        <v>1916365</v>
      </c>
      <c r="K3591" s="46">
        <v>172471</v>
      </c>
      <c r="L3591" s="46">
        <v>0</v>
      </c>
      <c r="M3591" s="46">
        <f t="shared" si="981"/>
        <v>1743894</v>
      </c>
      <c r="N3591" s="46">
        <v>2870711</v>
      </c>
      <c r="O3591" s="48">
        <f t="shared" si="982"/>
        <v>0.39252192226943083</v>
      </c>
      <c r="P3591" s="46">
        <v>0</v>
      </c>
      <c r="Q3591" s="46">
        <v>1916365</v>
      </c>
      <c r="R3591" s="49">
        <f t="shared" si="983"/>
        <v>1</v>
      </c>
      <c r="S3591" s="50">
        <f t="shared" si="984"/>
        <v>0.01</v>
      </c>
      <c r="T3591" s="49">
        <f t="shared" si="985"/>
        <v>17438.939999999999</v>
      </c>
      <c r="U3591" s="51">
        <f t="shared" si="986"/>
        <v>0</v>
      </c>
      <c r="V3591" s="52">
        <f>IF(0&lt;0.8,0,IF(0&lt;1,Sheet3!L561,1))*IF(G3591&lt;3,0.12 - O3591,0.01) *U3591</f>
        <v>0</v>
      </c>
      <c r="W3591" s="52">
        <f t="shared" si="987"/>
        <v>0</v>
      </c>
      <c r="X3591" s="53">
        <f t="shared" si="988"/>
        <v>0</v>
      </c>
      <c r="Y3591" s="53">
        <f t="shared" si="989"/>
        <v>0</v>
      </c>
      <c r="Z3591" s="54">
        <f t="shared" si="995"/>
        <v>0</v>
      </c>
      <c r="AA3591" s="54">
        <f t="shared" si="990"/>
        <v>0</v>
      </c>
      <c r="AB3591" s="55">
        <f t="shared" si="996"/>
        <v>0</v>
      </c>
      <c r="AC3591" s="55">
        <f t="shared" si="991"/>
        <v>0</v>
      </c>
      <c r="AD3591" s="56">
        <f t="shared" si="992"/>
        <v>17438.939999999999</v>
      </c>
    </row>
    <row r="3592" spans="3:30">
      <c r="C3592" s="43" t="s">
        <v>6667</v>
      </c>
      <c r="D3592" s="44" t="s">
        <v>6668</v>
      </c>
      <c r="E3592" s="44"/>
      <c r="F3592" s="45">
        <v>42884.07430555555</v>
      </c>
      <c r="G3592" s="46">
        <v>16</v>
      </c>
      <c r="H3592" s="47">
        <v>43372</v>
      </c>
      <c r="I3592" s="47">
        <v>43391</v>
      </c>
      <c r="J3592" s="46">
        <v>2073296</v>
      </c>
      <c r="K3592" s="46">
        <v>0</v>
      </c>
      <c r="L3592" s="46">
        <v>0</v>
      </c>
      <c r="M3592" s="46">
        <f t="shared" si="981"/>
        <v>2073296</v>
      </c>
      <c r="N3592" s="46">
        <v>2074358</v>
      </c>
      <c r="O3592" s="48">
        <f t="shared" si="982"/>
        <v>5.1196562984789917E-4</v>
      </c>
      <c r="P3592" s="46">
        <v>0</v>
      </c>
      <c r="Q3592" s="46">
        <v>2073296</v>
      </c>
      <c r="R3592" s="49">
        <f t="shared" si="983"/>
        <v>1</v>
      </c>
      <c r="S3592" s="50">
        <f t="shared" si="984"/>
        <v>0.01</v>
      </c>
      <c r="T3592" s="49">
        <f t="shared" si="985"/>
        <v>20732.96</v>
      </c>
      <c r="U3592" s="51">
        <f t="shared" si="986"/>
        <v>0</v>
      </c>
      <c r="V3592" s="52">
        <f>IF(0&lt;0.8,0,IF(0&lt;1,Sheet3!L561,1))*IF(G3592&lt;3,0.12 - O3592,0.01) *U3592</f>
        <v>0</v>
      </c>
      <c r="W3592" s="52">
        <f t="shared" si="987"/>
        <v>0</v>
      </c>
      <c r="X3592" s="53">
        <f t="shared" si="988"/>
        <v>0</v>
      </c>
      <c r="Y3592" s="53">
        <f t="shared" si="989"/>
        <v>0</v>
      </c>
      <c r="Z3592" s="54">
        <f t="shared" si="995"/>
        <v>0</v>
      </c>
      <c r="AA3592" s="54">
        <f t="shared" si="990"/>
        <v>0</v>
      </c>
      <c r="AB3592" s="55">
        <f t="shared" si="996"/>
        <v>0</v>
      </c>
      <c r="AC3592" s="55">
        <f t="shared" si="991"/>
        <v>0</v>
      </c>
      <c r="AD3592" s="56">
        <f t="shared" si="992"/>
        <v>20732.96</v>
      </c>
    </row>
    <row r="3593" spans="3:30">
      <c r="C3593" s="43" t="s">
        <v>6669</v>
      </c>
      <c r="D3593" s="44" t="s">
        <v>6670</v>
      </c>
      <c r="E3593" s="44"/>
      <c r="F3593" s="45">
        <v>43001.107141203705</v>
      </c>
      <c r="G3593" s="46">
        <v>12</v>
      </c>
      <c r="H3593" s="47">
        <v>43420</v>
      </c>
      <c r="I3593" s="47">
        <v>43430</v>
      </c>
      <c r="J3593" s="46">
        <v>324280</v>
      </c>
      <c r="K3593" s="46">
        <v>0</v>
      </c>
      <c r="L3593" s="46">
        <v>0</v>
      </c>
      <c r="M3593" s="46">
        <f t="shared" si="981"/>
        <v>324280</v>
      </c>
      <c r="N3593" s="46">
        <v>351801</v>
      </c>
      <c r="O3593" s="48">
        <f t="shared" si="982"/>
        <v>7.8228885079917321E-2</v>
      </c>
      <c r="P3593" s="46">
        <v>0</v>
      </c>
      <c r="Q3593" s="46">
        <v>324280</v>
      </c>
      <c r="R3593" s="49">
        <f t="shared" si="983"/>
        <v>1</v>
      </c>
      <c r="S3593" s="50">
        <f t="shared" si="984"/>
        <v>0.01</v>
      </c>
      <c r="T3593" s="49">
        <f t="shared" si="985"/>
        <v>3242.8</v>
      </c>
      <c r="U3593" s="51">
        <f t="shared" si="986"/>
        <v>0</v>
      </c>
      <c r="V3593" s="52">
        <f>IF(0&lt;0.8,0,IF(0&lt;1,Sheet3!L561,1))*IF(G3593&lt;3,0.12 - O3593,0.01) *U3593</f>
        <v>0</v>
      </c>
      <c r="W3593" s="52">
        <f t="shared" si="987"/>
        <v>0</v>
      </c>
      <c r="X3593" s="53">
        <f t="shared" si="988"/>
        <v>0</v>
      </c>
      <c r="Y3593" s="53">
        <f t="shared" si="989"/>
        <v>0</v>
      </c>
      <c r="Z3593" s="54">
        <f t="shared" si="995"/>
        <v>0</v>
      </c>
      <c r="AA3593" s="54">
        <f t="shared" si="990"/>
        <v>0</v>
      </c>
      <c r="AB3593" s="55">
        <f t="shared" si="996"/>
        <v>0</v>
      </c>
      <c r="AC3593" s="55">
        <f t="shared" si="991"/>
        <v>0</v>
      </c>
      <c r="AD3593" s="56">
        <f t="shared" si="992"/>
        <v>3242.8</v>
      </c>
    </row>
    <row r="3594" spans="3:30">
      <c r="C3594" s="43" t="s">
        <v>6671</v>
      </c>
      <c r="D3594" s="44" t="s">
        <v>6672</v>
      </c>
      <c r="E3594" s="44"/>
      <c r="F3594" s="45">
        <v>43180.362361111111</v>
      </c>
      <c r="G3594" s="46">
        <v>6</v>
      </c>
      <c r="H3594" s="47">
        <v>43372</v>
      </c>
      <c r="I3594" s="47">
        <v>43424</v>
      </c>
      <c r="J3594" s="46">
        <v>458073</v>
      </c>
      <c r="K3594" s="46">
        <v>0</v>
      </c>
      <c r="L3594" s="46">
        <v>0</v>
      </c>
      <c r="M3594" s="46">
        <f t="shared" si="981"/>
        <v>458073</v>
      </c>
      <c r="N3594" s="46">
        <v>458073</v>
      </c>
      <c r="O3594" s="48">
        <f t="shared" si="982"/>
        <v>0</v>
      </c>
      <c r="P3594" s="46">
        <v>0</v>
      </c>
      <c r="Q3594" s="46">
        <v>458073</v>
      </c>
      <c r="R3594" s="49">
        <f t="shared" si="983"/>
        <v>1</v>
      </c>
      <c r="S3594" s="50">
        <f t="shared" si="984"/>
        <v>0.01</v>
      </c>
      <c r="T3594" s="49">
        <f t="shared" si="985"/>
        <v>4580.7300000000005</v>
      </c>
      <c r="U3594" s="51">
        <f t="shared" si="986"/>
        <v>0</v>
      </c>
      <c r="V3594" s="52">
        <f>IF(0&lt;0.8,0,IF(0&lt;1,Sheet3!L561,1))*IF(G3594&lt;3,0.12 - O3594,0.01) *U3594</f>
        <v>0</v>
      </c>
      <c r="W3594" s="52">
        <f t="shared" si="987"/>
        <v>0</v>
      </c>
      <c r="X3594" s="53">
        <f t="shared" si="988"/>
        <v>0</v>
      </c>
      <c r="Y3594" s="53">
        <f t="shared" si="989"/>
        <v>0</v>
      </c>
      <c r="Z3594" s="54">
        <f t="shared" si="995"/>
        <v>0</v>
      </c>
      <c r="AA3594" s="54">
        <f t="shared" si="990"/>
        <v>0</v>
      </c>
      <c r="AB3594" s="55">
        <f t="shared" si="996"/>
        <v>0</v>
      </c>
      <c r="AC3594" s="55">
        <f t="shared" si="991"/>
        <v>0</v>
      </c>
      <c r="AD3594" s="56">
        <f t="shared" si="992"/>
        <v>4580.7300000000005</v>
      </c>
    </row>
    <row r="3595" spans="3:30">
      <c r="C3595" s="43" t="s">
        <v>6673</v>
      </c>
      <c r="D3595" s="44" t="s">
        <v>6674</v>
      </c>
      <c r="E3595" s="44"/>
      <c r="F3595" s="45">
        <v>43188.396851851852</v>
      </c>
      <c r="G3595" s="46">
        <v>6</v>
      </c>
      <c r="H3595" s="47">
        <v>43404</v>
      </c>
      <c r="I3595" s="47">
        <v>43409</v>
      </c>
      <c r="J3595" s="46">
        <v>1219763</v>
      </c>
      <c r="K3595" s="46">
        <v>115487</v>
      </c>
      <c r="L3595" s="46">
        <v>0</v>
      </c>
      <c r="M3595" s="46">
        <f t="shared" si="981"/>
        <v>1104276</v>
      </c>
      <c r="N3595" s="46">
        <v>1750289</v>
      </c>
      <c r="O3595" s="48">
        <f t="shared" si="982"/>
        <v>0.36908933324725235</v>
      </c>
      <c r="P3595" s="46">
        <v>0</v>
      </c>
      <c r="Q3595" s="46">
        <v>1219763</v>
      </c>
      <c r="R3595" s="49">
        <f t="shared" si="983"/>
        <v>1</v>
      </c>
      <c r="S3595" s="50">
        <f t="shared" si="984"/>
        <v>0.01</v>
      </c>
      <c r="T3595" s="49">
        <f t="shared" si="985"/>
        <v>11042.76</v>
      </c>
      <c r="U3595" s="51">
        <f t="shared" si="986"/>
        <v>0</v>
      </c>
      <c r="V3595" s="52">
        <f>IF(0&lt;0.8,0,IF(0&lt;1,Sheet3!L561,1))*IF(G3595&lt;3,0.12 - O3595,0.01) *U3595</f>
        <v>0</v>
      </c>
      <c r="W3595" s="52">
        <f t="shared" si="987"/>
        <v>0</v>
      </c>
      <c r="X3595" s="53">
        <f t="shared" si="988"/>
        <v>0</v>
      </c>
      <c r="Y3595" s="53">
        <f t="shared" si="989"/>
        <v>0</v>
      </c>
      <c r="Z3595" s="54">
        <f t="shared" si="995"/>
        <v>0</v>
      </c>
      <c r="AA3595" s="54">
        <f t="shared" si="990"/>
        <v>0</v>
      </c>
      <c r="AB3595" s="55">
        <f t="shared" si="996"/>
        <v>0</v>
      </c>
      <c r="AC3595" s="55">
        <f t="shared" si="991"/>
        <v>0</v>
      </c>
      <c r="AD3595" s="56">
        <f t="shared" si="992"/>
        <v>11042.76</v>
      </c>
    </row>
    <row r="3596" spans="3:30">
      <c r="C3596" s="43" t="s">
        <v>6675</v>
      </c>
      <c r="D3596" s="44" t="s">
        <v>6676</v>
      </c>
      <c r="E3596" s="44"/>
      <c r="F3596" s="45">
        <v>43227.143333333333</v>
      </c>
      <c r="G3596" s="46">
        <v>4</v>
      </c>
      <c r="H3596" s="47">
        <v>43372</v>
      </c>
      <c r="I3596" s="47">
        <v>43424</v>
      </c>
      <c r="J3596" s="46">
        <v>818060</v>
      </c>
      <c r="K3596" s="46">
        <v>0</v>
      </c>
      <c r="L3596" s="46">
        <v>0</v>
      </c>
      <c r="M3596" s="46">
        <f t="shared" si="981"/>
        <v>818060</v>
      </c>
      <c r="N3596" s="46">
        <v>818060</v>
      </c>
      <c r="O3596" s="48">
        <f t="shared" si="982"/>
        <v>0</v>
      </c>
      <c r="P3596" s="46">
        <v>0</v>
      </c>
      <c r="Q3596" s="46">
        <v>818060</v>
      </c>
      <c r="R3596" s="49">
        <f t="shared" si="983"/>
        <v>1</v>
      </c>
      <c r="S3596" s="50">
        <f t="shared" si="984"/>
        <v>0.01</v>
      </c>
      <c r="T3596" s="49">
        <f t="shared" si="985"/>
        <v>8180.6</v>
      </c>
      <c r="U3596" s="51">
        <f t="shared" si="986"/>
        <v>0</v>
      </c>
      <c r="V3596" s="52">
        <f>IF(0&lt;0.8,0,IF(0&lt;1,Sheet3!L561,1))*IF(G3596&lt;3,0.12 - O3596,0.01) *U3596</f>
        <v>0</v>
      </c>
      <c r="W3596" s="52">
        <f t="shared" si="987"/>
        <v>0</v>
      </c>
      <c r="X3596" s="53">
        <f t="shared" si="988"/>
        <v>0</v>
      </c>
      <c r="Y3596" s="53">
        <f t="shared" si="989"/>
        <v>0</v>
      </c>
      <c r="Z3596" s="54">
        <f t="shared" si="995"/>
        <v>0</v>
      </c>
      <c r="AA3596" s="54">
        <f t="shared" si="990"/>
        <v>0</v>
      </c>
      <c r="AB3596" s="55">
        <f t="shared" si="996"/>
        <v>0</v>
      </c>
      <c r="AC3596" s="55">
        <f t="shared" si="991"/>
        <v>0</v>
      </c>
      <c r="AD3596" s="56">
        <f t="shared" si="992"/>
        <v>8180.6</v>
      </c>
    </row>
    <row r="3597" spans="3:30">
      <c r="C3597" s="43" t="s">
        <v>6677</v>
      </c>
      <c r="D3597" s="44" t="s">
        <v>6678</v>
      </c>
      <c r="E3597" s="44"/>
      <c r="F3597" s="45">
        <v>43298.403414351851</v>
      </c>
      <c r="G3597" s="46">
        <v>2</v>
      </c>
      <c r="H3597" s="47">
        <v>43402</v>
      </c>
      <c r="I3597" s="47">
        <v>43424</v>
      </c>
      <c r="J3597" s="46">
        <v>15047720</v>
      </c>
      <c r="K3597" s="46">
        <v>0</v>
      </c>
      <c r="L3597" s="46">
        <v>0</v>
      </c>
      <c r="M3597" s="46">
        <f t="shared" si="981"/>
        <v>15047720</v>
      </c>
      <c r="N3597" s="46">
        <v>14918860</v>
      </c>
      <c r="O3597" s="48">
        <f t="shared" si="982"/>
        <v>0</v>
      </c>
      <c r="P3597" s="46">
        <v>15047720</v>
      </c>
      <c r="Q3597" s="46">
        <v>0</v>
      </c>
      <c r="R3597" s="49">
        <f t="shared" si="983"/>
        <v>0</v>
      </c>
      <c r="S3597" s="50">
        <f t="shared" si="984"/>
        <v>0</v>
      </c>
      <c r="T3597" s="49">
        <f t="shared" si="985"/>
        <v>0</v>
      </c>
      <c r="U3597" s="51">
        <f t="shared" si="986"/>
        <v>15047720</v>
      </c>
      <c r="V3597" s="52">
        <f>IF(0&lt;0.8,0,IF(0&lt;1,Sheet3!L561,1))*IF(G3597&lt;3,0.12 - O3597,0.01) *U3597</f>
        <v>0</v>
      </c>
      <c r="W3597" s="52">
        <f t="shared" si="987"/>
        <v>0</v>
      </c>
      <c r="X3597" s="53">
        <f t="shared" si="988"/>
        <v>0</v>
      </c>
      <c r="Y3597" s="53">
        <f t="shared" si="989"/>
        <v>0</v>
      </c>
      <c r="Z3597" s="54">
        <f t="shared" si="995"/>
        <v>0</v>
      </c>
      <c r="AA3597" s="54">
        <f t="shared" si="990"/>
        <v>0</v>
      </c>
      <c r="AB3597" s="55">
        <f t="shared" si="996"/>
        <v>0</v>
      </c>
      <c r="AC3597" s="55">
        <f t="shared" si="991"/>
        <v>0</v>
      </c>
      <c r="AD3597" s="56">
        <f t="shared" si="992"/>
        <v>0</v>
      </c>
    </row>
    <row r="3598" spans="3:30">
      <c r="C3598" s="43" t="s">
        <v>6679</v>
      </c>
      <c r="D3598" s="44" t="s">
        <v>6680</v>
      </c>
      <c r="E3598" s="44"/>
      <c r="F3598" s="45">
        <v>42521.302037037036</v>
      </c>
      <c r="G3598" s="46">
        <v>28</v>
      </c>
      <c r="H3598" s="47" t="s">
        <v>24</v>
      </c>
      <c r="I3598" s="47" t="s">
        <v>24</v>
      </c>
      <c r="J3598" s="46">
        <v>0</v>
      </c>
      <c r="K3598" s="46">
        <v>0</v>
      </c>
      <c r="L3598" s="46">
        <v>0</v>
      </c>
      <c r="M3598" s="46">
        <f t="shared" si="981"/>
        <v>0</v>
      </c>
      <c r="N3598" s="46">
        <v>509000</v>
      </c>
      <c r="O3598" s="48">
        <f t="shared" si="982"/>
        <v>1</v>
      </c>
      <c r="P3598" s="46">
        <v>0</v>
      </c>
      <c r="Q3598" s="46">
        <v>0</v>
      </c>
      <c r="R3598" s="49">
        <f t="shared" si="983"/>
        <v>1</v>
      </c>
      <c r="S3598" s="50">
        <f t="shared" si="984"/>
        <v>0.01</v>
      </c>
      <c r="T3598" s="49">
        <f t="shared" si="985"/>
        <v>0</v>
      </c>
      <c r="U3598" s="51">
        <f t="shared" si="986"/>
        <v>0</v>
      </c>
      <c r="V3598" s="52">
        <f>IF(0&lt;0.8,0,IF(0&lt;1,Sheet3!L561,1))*IF(G3598&lt;3,0.12 - O3598,0.01) *U3598</f>
        <v>0</v>
      </c>
      <c r="W3598" s="52">
        <f t="shared" si="987"/>
        <v>0</v>
      </c>
      <c r="X3598" s="53">
        <f t="shared" si="988"/>
        <v>0</v>
      </c>
      <c r="Y3598" s="53">
        <f t="shared" si="989"/>
        <v>0</v>
      </c>
      <c r="Z3598" s="54">
        <f>IF(R3598=1,0,"")</f>
        <v>0</v>
      </c>
      <c r="AA3598" s="54">
        <f t="shared" si="990"/>
        <v>0</v>
      </c>
      <c r="AB3598" s="55">
        <f>IF(R3598=0,"",0)</f>
        <v>0</v>
      </c>
      <c r="AC3598" s="55">
        <f t="shared" si="991"/>
        <v>0</v>
      </c>
      <c r="AD3598" s="56">
        <f t="shared" si="992"/>
        <v>0</v>
      </c>
    </row>
    <row r="3599" spans="3:30">
      <c r="C3599" s="43" t="s">
        <v>6681</v>
      </c>
      <c r="D3599" s="44" t="s">
        <v>995</v>
      </c>
      <c r="E3599" s="44"/>
      <c r="F3599" s="45">
        <v>43316.684999999998</v>
      </c>
      <c r="G3599" s="46">
        <v>1</v>
      </c>
      <c r="H3599" s="47">
        <v>43431</v>
      </c>
      <c r="I3599" s="47">
        <v>43460</v>
      </c>
      <c r="J3599" s="46">
        <v>1236666</v>
      </c>
      <c r="K3599" s="46">
        <v>0</v>
      </c>
      <c r="L3599" s="46">
        <v>0</v>
      </c>
      <c r="M3599" s="46">
        <f t="shared" si="981"/>
        <v>1236666</v>
      </c>
      <c r="N3599" s="46">
        <v>1314031</v>
      </c>
      <c r="O3599" s="48">
        <f t="shared" si="982"/>
        <v>5.8876084354174241E-2</v>
      </c>
      <c r="P3599" s="46">
        <v>0</v>
      </c>
      <c r="Q3599" s="46">
        <v>0</v>
      </c>
      <c r="R3599" s="49">
        <f t="shared" si="983"/>
        <v>0</v>
      </c>
      <c r="S3599" s="50">
        <f t="shared" si="984"/>
        <v>0</v>
      </c>
      <c r="T3599" s="49">
        <f t="shared" si="985"/>
        <v>0</v>
      </c>
      <c r="U3599" s="51">
        <f t="shared" si="986"/>
        <v>1236666</v>
      </c>
      <c r="V3599" s="52">
        <f>IF(0&lt;0.8,0,IF(0&lt;1,Sheet3!L561,1))*IF(G3599&lt;3,0.12 - O3599,0.01) *U3599</f>
        <v>0</v>
      </c>
      <c r="W3599" s="52">
        <f t="shared" si="987"/>
        <v>0</v>
      </c>
      <c r="X3599" s="53">
        <f t="shared" si="988"/>
        <v>0</v>
      </c>
      <c r="Y3599" s="53">
        <f t="shared" si="989"/>
        <v>0</v>
      </c>
      <c r="Z3599" s="54">
        <f t="shared" ref="Z3599:Z3611" si="997">IF(R3599=1,0,0)</f>
        <v>0</v>
      </c>
      <c r="AA3599" s="54">
        <f t="shared" si="990"/>
        <v>0</v>
      </c>
      <c r="AB3599" s="55">
        <f t="shared" ref="AB3599:AB3611" si="998">IF(R3599=0,0,0)</f>
        <v>0</v>
      </c>
      <c r="AC3599" s="55">
        <f t="shared" si="991"/>
        <v>0</v>
      </c>
      <c r="AD3599" s="56">
        <f t="shared" si="992"/>
        <v>0</v>
      </c>
    </row>
    <row r="3600" spans="3:30">
      <c r="C3600" s="43" t="s">
        <v>6682</v>
      </c>
      <c r="D3600" s="44" t="s">
        <v>6683</v>
      </c>
      <c r="E3600" s="44"/>
      <c r="F3600" s="45">
        <v>40618.904942129629</v>
      </c>
      <c r="G3600" s="46">
        <v>90</v>
      </c>
      <c r="H3600" s="47">
        <v>43383</v>
      </c>
      <c r="I3600" s="47">
        <v>43412</v>
      </c>
      <c r="J3600" s="46">
        <v>1432688</v>
      </c>
      <c r="K3600" s="46">
        <v>0</v>
      </c>
      <c r="L3600" s="46">
        <v>0</v>
      </c>
      <c r="M3600" s="46">
        <f t="shared" si="981"/>
        <v>1432688</v>
      </c>
      <c r="N3600" s="46">
        <v>1432688</v>
      </c>
      <c r="O3600" s="48">
        <f t="shared" si="982"/>
        <v>0</v>
      </c>
      <c r="P3600" s="46">
        <v>0</v>
      </c>
      <c r="Q3600" s="46">
        <v>1432688</v>
      </c>
      <c r="R3600" s="49">
        <f t="shared" si="983"/>
        <v>1</v>
      </c>
      <c r="S3600" s="50">
        <f t="shared" si="984"/>
        <v>0.01</v>
      </c>
      <c r="T3600" s="49">
        <f t="shared" si="985"/>
        <v>14326.880000000001</v>
      </c>
      <c r="U3600" s="51">
        <f t="shared" si="986"/>
        <v>0</v>
      </c>
      <c r="V3600" s="52">
        <f>IF(0&lt;0.8,0,IF(0&lt;1,Sheet3!L561,1))*IF(G3600&lt;3,0.12 - O3600,0.01) *U3600</f>
        <v>0</v>
      </c>
      <c r="W3600" s="52">
        <f t="shared" si="987"/>
        <v>0</v>
      </c>
      <c r="X3600" s="53">
        <f t="shared" si="988"/>
        <v>0</v>
      </c>
      <c r="Y3600" s="53">
        <f t="shared" si="989"/>
        <v>0</v>
      </c>
      <c r="Z3600" s="54">
        <f t="shared" si="997"/>
        <v>0</v>
      </c>
      <c r="AA3600" s="54">
        <f t="shared" si="990"/>
        <v>0</v>
      </c>
      <c r="AB3600" s="55">
        <f t="shared" si="998"/>
        <v>0</v>
      </c>
      <c r="AC3600" s="55">
        <f t="shared" si="991"/>
        <v>0</v>
      </c>
      <c r="AD3600" s="56">
        <f t="shared" si="992"/>
        <v>14326.880000000001</v>
      </c>
    </row>
    <row r="3601" spans="3:30">
      <c r="C3601" s="43" t="s">
        <v>6684</v>
      </c>
      <c r="D3601" s="44" t="s">
        <v>6685</v>
      </c>
      <c r="E3601" s="44"/>
      <c r="F3601" s="45">
        <v>41169.612858796296</v>
      </c>
      <c r="G3601" s="46">
        <v>72</v>
      </c>
      <c r="H3601" s="47">
        <v>43399</v>
      </c>
      <c r="I3601" s="47">
        <v>43413</v>
      </c>
      <c r="J3601" s="46">
        <v>1931133</v>
      </c>
      <c r="K3601" s="46">
        <v>149448</v>
      </c>
      <c r="L3601" s="46">
        <v>0</v>
      </c>
      <c r="M3601" s="46">
        <f t="shared" si="981"/>
        <v>1781685</v>
      </c>
      <c r="N3601" s="46">
        <v>3095758</v>
      </c>
      <c r="O3601" s="48">
        <f t="shared" si="982"/>
        <v>0.42447536273830189</v>
      </c>
      <c r="P3601" s="46">
        <v>0</v>
      </c>
      <c r="Q3601" s="46">
        <v>1931133</v>
      </c>
      <c r="R3601" s="49">
        <f t="shared" si="983"/>
        <v>1</v>
      </c>
      <c r="S3601" s="50">
        <f t="shared" si="984"/>
        <v>0.01</v>
      </c>
      <c r="T3601" s="49">
        <f t="shared" si="985"/>
        <v>17816.850000000002</v>
      </c>
      <c r="U3601" s="51">
        <f t="shared" si="986"/>
        <v>0</v>
      </c>
      <c r="V3601" s="52">
        <f>IF(0&lt;0.8,0,IF(0&lt;1,Sheet3!L561,1))*IF(G3601&lt;3,0.12 - O3601,0.01) *U3601</f>
        <v>0</v>
      </c>
      <c r="W3601" s="52">
        <f t="shared" si="987"/>
        <v>0</v>
      </c>
      <c r="X3601" s="53">
        <f t="shared" si="988"/>
        <v>0</v>
      </c>
      <c r="Y3601" s="53">
        <f t="shared" si="989"/>
        <v>0</v>
      </c>
      <c r="Z3601" s="54">
        <f t="shared" si="997"/>
        <v>0</v>
      </c>
      <c r="AA3601" s="54">
        <f t="shared" si="990"/>
        <v>0</v>
      </c>
      <c r="AB3601" s="55">
        <f t="shared" si="998"/>
        <v>0</v>
      </c>
      <c r="AC3601" s="55">
        <f t="shared" si="991"/>
        <v>0</v>
      </c>
      <c r="AD3601" s="56">
        <f t="shared" si="992"/>
        <v>17816.850000000002</v>
      </c>
    </row>
    <row r="3602" spans="3:30">
      <c r="C3602" s="43" t="s">
        <v>6686</v>
      </c>
      <c r="D3602" s="44" t="s">
        <v>6687</v>
      </c>
      <c r="E3602" s="44"/>
      <c r="F3602" s="45">
        <v>41541.390601851854</v>
      </c>
      <c r="G3602" s="46">
        <v>60</v>
      </c>
      <c r="H3602" s="47">
        <v>43371</v>
      </c>
      <c r="I3602" s="47">
        <v>43452</v>
      </c>
      <c r="J3602" s="46">
        <v>2200528</v>
      </c>
      <c r="K3602" s="46">
        <v>0</v>
      </c>
      <c r="L3602" s="46">
        <v>0</v>
      </c>
      <c r="M3602" s="46">
        <f t="shared" si="981"/>
        <v>2200528</v>
      </c>
      <c r="N3602" s="46">
        <v>2637558</v>
      </c>
      <c r="O3602" s="48">
        <f t="shared" si="982"/>
        <v>0.16569493448106165</v>
      </c>
      <c r="P3602" s="46">
        <v>0</v>
      </c>
      <c r="Q3602" s="46">
        <v>2200528</v>
      </c>
      <c r="R3602" s="49">
        <f t="shared" si="983"/>
        <v>1</v>
      </c>
      <c r="S3602" s="50">
        <f t="shared" si="984"/>
        <v>0.01</v>
      </c>
      <c r="T3602" s="49">
        <f t="shared" si="985"/>
        <v>22005.279999999999</v>
      </c>
      <c r="U3602" s="51">
        <f t="shared" si="986"/>
        <v>0</v>
      </c>
      <c r="V3602" s="52">
        <f>IF(0&lt;0.8,0,IF(0&lt;1,Sheet3!L561,1))*IF(G3602&lt;3,0.12 - O3602,0.01) *U3602</f>
        <v>0</v>
      </c>
      <c r="W3602" s="52">
        <f t="shared" si="987"/>
        <v>0</v>
      </c>
      <c r="X3602" s="53">
        <f t="shared" si="988"/>
        <v>0</v>
      </c>
      <c r="Y3602" s="53">
        <f t="shared" si="989"/>
        <v>0</v>
      </c>
      <c r="Z3602" s="54">
        <f t="shared" si="997"/>
        <v>0</v>
      </c>
      <c r="AA3602" s="54">
        <f t="shared" si="990"/>
        <v>0</v>
      </c>
      <c r="AB3602" s="55">
        <f t="shared" si="998"/>
        <v>0</v>
      </c>
      <c r="AC3602" s="55">
        <f t="shared" si="991"/>
        <v>0</v>
      </c>
      <c r="AD3602" s="56">
        <f t="shared" si="992"/>
        <v>22005.279999999999</v>
      </c>
    </row>
    <row r="3603" spans="3:30">
      <c r="C3603" s="43" t="s">
        <v>6688</v>
      </c>
      <c r="D3603" s="44" t="s">
        <v>5407</v>
      </c>
      <c r="E3603" s="44"/>
      <c r="F3603" s="45">
        <v>42033.562280092592</v>
      </c>
      <c r="G3603" s="46">
        <v>44</v>
      </c>
      <c r="H3603" s="47">
        <v>43399</v>
      </c>
      <c r="I3603" s="47">
        <v>43413</v>
      </c>
      <c r="J3603" s="46">
        <v>3066682</v>
      </c>
      <c r="K3603" s="46">
        <v>237344</v>
      </c>
      <c r="L3603" s="46">
        <v>0</v>
      </c>
      <c r="M3603" s="46">
        <f t="shared" si="981"/>
        <v>2829338</v>
      </c>
      <c r="N3603" s="46">
        <v>3560337</v>
      </c>
      <c r="O3603" s="48">
        <f t="shared" si="982"/>
        <v>0.20531736181153637</v>
      </c>
      <c r="P3603" s="46">
        <v>0</v>
      </c>
      <c r="Q3603" s="46">
        <v>3066682</v>
      </c>
      <c r="R3603" s="49">
        <f t="shared" si="983"/>
        <v>1</v>
      </c>
      <c r="S3603" s="50">
        <f t="shared" si="984"/>
        <v>0.01</v>
      </c>
      <c r="T3603" s="49">
        <f t="shared" si="985"/>
        <v>28293.38</v>
      </c>
      <c r="U3603" s="51">
        <f t="shared" si="986"/>
        <v>0</v>
      </c>
      <c r="V3603" s="52">
        <f>IF(0&lt;0.8,0,IF(0&lt;1,Sheet3!L561,1))*IF(G3603&lt;3,0.12 - O3603,0.01) *U3603</f>
        <v>0</v>
      </c>
      <c r="W3603" s="52">
        <f t="shared" si="987"/>
        <v>0</v>
      </c>
      <c r="X3603" s="53">
        <f t="shared" si="988"/>
        <v>0</v>
      </c>
      <c r="Y3603" s="53">
        <f t="shared" si="989"/>
        <v>0</v>
      </c>
      <c r="Z3603" s="54">
        <f t="shared" si="997"/>
        <v>0</v>
      </c>
      <c r="AA3603" s="54">
        <f t="shared" si="990"/>
        <v>0</v>
      </c>
      <c r="AB3603" s="55">
        <f t="shared" si="998"/>
        <v>0</v>
      </c>
      <c r="AC3603" s="55">
        <f t="shared" si="991"/>
        <v>0</v>
      </c>
      <c r="AD3603" s="56">
        <f t="shared" si="992"/>
        <v>28293.38</v>
      </c>
    </row>
    <row r="3604" spans="3:30">
      <c r="C3604" s="43" t="s">
        <v>6689</v>
      </c>
      <c r="D3604" s="44" t="s">
        <v>6690</v>
      </c>
      <c r="E3604" s="44"/>
      <c r="F3604" s="45">
        <v>42242.572083333333</v>
      </c>
      <c r="G3604" s="46">
        <v>37</v>
      </c>
      <c r="H3604" s="47">
        <v>43399</v>
      </c>
      <c r="I3604" s="47">
        <v>43413</v>
      </c>
      <c r="J3604" s="46">
        <v>2005604</v>
      </c>
      <c r="K3604" s="46">
        <v>155217</v>
      </c>
      <c r="L3604" s="46">
        <v>0</v>
      </c>
      <c r="M3604" s="46">
        <f t="shared" si="981"/>
        <v>1850387</v>
      </c>
      <c r="N3604" s="46">
        <v>3070394</v>
      </c>
      <c r="O3604" s="48">
        <f t="shared" si="982"/>
        <v>0.39734542211846424</v>
      </c>
      <c r="P3604" s="46">
        <v>0</v>
      </c>
      <c r="Q3604" s="46">
        <v>2005604</v>
      </c>
      <c r="R3604" s="49">
        <f t="shared" si="983"/>
        <v>1</v>
      </c>
      <c r="S3604" s="50">
        <f t="shared" si="984"/>
        <v>0.01</v>
      </c>
      <c r="T3604" s="49">
        <f t="shared" si="985"/>
        <v>18503.87</v>
      </c>
      <c r="U3604" s="51">
        <f t="shared" si="986"/>
        <v>0</v>
      </c>
      <c r="V3604" s="52">
        <f>IF(0&lt;0.8,0,IF(0&lt;1,Sheet3!L561,1))*IF(G3604&lt;3,0.12 - O3604,0.01) *U3604</f>
        <v>0</v>
      </c>
      <c r="W3604" s="52">
        <f t="shared" si="987"/>
        <v>0</v>
      </c>
      <c r="X3604" s="53">
        <f t="shared" si="988"/>
        <v>0</v>
      </c>
      <c r="Y3604" s="53">
        <f t="shared" si="989"/>
        <v>0</v>
      </c>
      <c r="Z3604" s="54">
        <f t="shared" si="997"/>
        <v>0</v>
      </c>
      <c r="AA3604" s="54">
        <f t="shared" si="990"/>
        <v>0</v>
      </c>
      <c r="AB3604" s="55">
        <f t="shared" si="998"/>
        <v>0</v>
      </c>
      <c r="AC3604" s="55">
        <f t="shared" si="991"/>
        <v>0</v>
      </c>
      <c r="AD3604" s="56">
        <f t="shared" si="992"/>
        <v>18503.87</v>
      </c>
    </row>
    <row r="3605" spans="3:30">
      <c r="C3605" s="43" t="s">
        <v>6691</v>
      </c>
      <c r="D3605" s="44" t="s">
        <v>6690</v>
      </c>
      <c r="E3605" s="44"/>
      <c r="F3605" s="45">
        <v>42269.669490740736</v>
      </c>
      <c r="G3605" s="46">
        <v>36</v>
      </c>
      <c r="H3605" s="47">
        <v>43399</v>
      </c>
      <c r="I3605" s="47">
        <v>43413</v>
      </c>
      <c r="J3605" s="46">
        <v>1662898</v>
      </c>
      <c r="K3605" s="46">
        <v>128690</v>
      </c>
      <c r="L3605" s="46">
        <v>0</v>
      </c>
      <c r="M3605" s="46">
        <f t="shared" si="981"/>
        <v>1534208</v>
      </c>
      <c r="N3605" s="46">
        <v>2721949</v>
      </c>
      <c r="O3605" s="48">
        <f t="shared" si="982"/>
        <v>0.43635681638414237</v>
      </c>
      <c r="P3605" s="46">
        <v>0</v>
      </c>
      <c r="Q3605" s="46">
        <v>1662898</v>
      </c>
      <c r="R3605" s="49">
        <f t="shared" si="983"/>
        <v>1</v>
      </c>
      <c r="S3605" s="50">
        <f t="shared" si="984"/>
        <v>0.01</v>
      </c>
      <c r="T3605" s="49">
        <f t="shared" si="985"/>
        <v>15342.08</v>
      </c>
      <c r="U3605" s="51">
        <f t="shared" si="986"/>
        <v>0</v>
      </c>
      <c r="V3605" s="52">
        <f>IF(0&lt;0.8,0,IF(0&lt;1,Sheet3!L561,1))*IF(G3605&lt;3,0.12 - O3605,0.01) *U3605</f>
        <v>0</v>
      </c>
      <c r="W3605" s="52">
        <f t="shared" si="987"/>
        <v>0</v>
      </c>
      <c r="X3605" s="53">
        <f t="shared" si="988"/>
        <v>0</v>
      </c>
      <c r="Y3605" s="53">
        <f t="shared" si="989"/>
        <v>0</v>
      </c>
      <c r="Z3605" s="54">
        <f t="shared" si="997"/>
        <v>0</v>
      </c>
      <c r="AA3605" s="54">
        <f t="shared" si="990"/>
        <v>0</v>
      </c>
      <c r="AB3605" s="55">
        <f t="shared" si="998"/>
        <v>0</v>
      </c>
      <c r="AC3605" s="55">
        <f t="shared" si="991"/>
        <v>0</v>
      </c>
      <c r="AD3605" s="56">
        <f t="shared" si="992"/>
        <v>15342.08</v>
      </c>
    </row>
    <row r="3606" spans="3:30">
      <c r="C3606" s="43" t="s">
        <v>6692</v>
      </c>
      <c r="D3606" s="44" t="s">
        <v>6693</v>
      </c>
      <c r="E3606" s="44"/>
      <c r="F3606" s="45">
        <v>42388.621550925927</v>
      </c>
      <c r="G3606" s="46">
        <v>32</v>
      </c>
      <c r="H3606" s="47">
        <v>43371</v>
      </c>
      <c r="I3606" s="47">
        <v>43425</v>
      </c>
      <c r="J3606" s="46">
        <v>803550</v>
      </c>
      <c r="K3606" s="46">
        <v>0</v>
      </c>
      <c r="L3606" s="46">
        <v>0</v>
      </c>
      <c r="M3606" s="46">
        <f t="shared" si="981"/>
        <v>803550</v>
      </c>
      <c r="N3606" s="46">
        <v>1205765</v>
      </c>
      <c r="O3606" s="48">
        <f t="shared" si="982"/>
        <v>0.3335766090407335</v>
      </c>
      <c r="P3606" s="46">
        <v>0</v>
      </c>
      <c r="Q3606" s="46">
        <v>803550</v>
      </c>
      <c r="R3606" s="49">
        <f t="shared" si="983"/>
        <v>1</v>
      </c>
      <c r="S3606" s="50">
        <f t="shared" si="984"/>
        <v>0.01</v>
      </c>
      <c r="T3606" s="49">
        <f t="shared" si="985"/>
        <v>8035.5</v>
      </c>
      <c r="U3606" s="51">
        <f t="shared" si="986"/>
        <v>0</v>
      </c>
      <c r="V3606" s="52">
        <f>IF(0&lt;0.8,0,IF(0&lt;1,Sheet3!L561,1))*IF(G3606&lt;3,0.12 - O3606,0.01) *U3606</f>
        <v>0</v>
      </c>
      <c r="W3606" s="52">
        <f t="shared" si="987"/>
        <v>0</v>
      </c>
      <c r="X3606" s="53">
        <f t="shared" si="988"/>
        <v>0</v>
      </c>
      <c r="Y3606" s="53">
        <f t="shared" si="989"/>
        <v>0</v>
      </c>
      <c r="Z3606" s="54">
        <f t="shared" si="997"/>
        <v>0</v>
      </c>
      <c r="AA3606" s="54">
        <f t="shared" si="990"/>
        <v>0</v>
      </c>
      <c r="AB3606" s="55">
        <f t="shared" si="998"/>
        <v>0</v>
      </c>
      <c r="AC3606" s="55">
        <f t="shared" si="991"/>
        <v>0</v>
      </c>
      <c r="AD3606" s="56">
        <f t="shared" si="992"/>
        <v>8035.5</v>
      </c>
    </row>
    <row r="3607" spans="3:30">
      <c r="C3607" s="43" t="s">
        <v>6694</v>
      </c>
      <c r="D3607" s="44" t="s">
        <v>6695</v>
      </c>
      <c r="E3607" s="44"/>
      <c r="F3607" s="45">
        <v>42595.273738425924</v>
      </c>
      <c r="G3607" s="46">
        <v>25</v>
      </c>
      <c r="H3607" s="47">
        <v>43399</v>
      </c>
      <c r="I3607" s="47">
        <v>43413</v>
      </c>
      <c r="J3607" s="46">
        <v>657800</v>
      </c>
      <c r="K3607" s="46">
        <v>50907</v>
      </c>
      <c r="L3607" s="46">
        <v>0</v>
      </c>
      <c r="M3607" s="46">
        <f t="shared" si="981"/>
        <v>606893</v>
      </c>
      <c r="N3607" s="46">
        <v>884301</v>
      </c>
      <c r="O3607" s="48">
        <f t="shared" si="982"/>
        <v>0.3137031395418528</v>
      </c>
      <c r="P3607" s="46">
        <v>0</v>
      </c>
      <c r="Q3607" s="46">
        <v>657800</v>
      </c>
      <c r="R3607" s="49">
        <f t="shared" si="983"/>
        <v>1</v>
      </c>
      <c r="S3607" s="50">
        <f t="shared" si="984"/>
        <v>0.01</v>
      </c>
      <c r="T3607" s="49">
        <f t="shared" si="985"/>
        <v>6068.93</v>
      </c>
      <c r="U3607" s="51">
        <f t="shared" si="986"/>
        <v>0</v>
      </c>
      <c r="V3607" s="52">
        <f>IF(0&lt;0.8,0,IF(0&lt;1,Sheet3!L561,1))*IF(G3607&lt;3,0.12 - O3607,0.01) *U3607</f>
        <v>0</v>
      </c>
      <c r="W3607" s="52">
        <f t="shared" si="987"/>
        <v>0</v>
      </c>
      <c r="X3607" s="53">
        <f t="shared" si="988"/>
        <v>0</v>
      </c>
      <c r="Y3607" s="53">
        <f t="shared" si="989"/>
        <v>0</v>
      </c>
      <c r="Z3607" s="54">
        <f t="shared" si="997"/>
        <v>0</v>
      </c>
      <c r="AA3607" s="54">
        <f t="shared" si="990"/>
        <v>0</v>
      </c>
      <c r="AB3607" s="55">
        <f t="shared" si="998"/>
        <v>0</v>
      </c>
      <c r="AC3607" s="55">
        <f t="shared" si="991"/>
        <v>0</v>
      </c>
      <c r="AD3607" s="56">
        <f t="shared" si="992"/>
        <v>6068.93</v>
      </c>
    </row>
    <row r="3608" spans="3:30">
      <c r="C3608" s="43" t="s">
        <v>6696</v>
      </c>
      <c r="D3608" s="44" t="s">
        <v>6695</v>
      </c>
      <c r="E3608" s="44"/>
      <c r="F3608" s="45">
        <v>42606.166412037033</v>
      </c>
      <c r="G3608" s="46">
        <v>25</v>
      </c>
      <c r="H3608" s="47">
        <v>43399</v>
      </c>
      <c r="I3608" s="47">
        <v>43413</v>
      </c>
      <c r="J3608" s="46">
        <v>4287323</v>
      </c>
      <c r="K3608" s="46">
        <v>331823</v>
      </c>
      <c r="L3608" s="46">
        <v>0</v>
      </c>
      <c r="M3608" s="46">
        <f t="shared" si="981"/>
        <v>3955500</v>
      </c>
      <c r="N3608" s="46">
        <v>5257906</v>
      </c>
      <c r="O3608" s="48">
        <f t="shared" si="982"/>
        <v>0.24770431422699457</v>
      </c>
      <c r="P3608" s="46">
        <v>0</v>
      </c>
      <c r="Q3608" s="46">
        <v>4287323</v>
      </c>
      <c r="R3608" s="49">
        <f t="shared" si="983"/>
        <v>1</v>
      </c>
      <c r="S3608" s="50">
        <f t="shared" si="984"/>
        <v>0.01</v>
      </c>
      <c r="T3608" s="49">
        <f t="shared" si="985"/>
        <v>39555</v>
      </c>
      <c r="U3608" s="51">
        <f t="shared" si="986"/>
        <v>0</v>
      </c>
      <c r="V3608" s="52">
        <f>IF(0&lt;0.8,0,IF(0&lt;1,Sheet3!L561,1))*IF(G3608&lt;3,0.12 - O3608,0.01) *U3608</f>
        <v>0</v>
      </c>
      <c r="W3608" s="52">
        <f t="shared" si="987"/>
        <v>0</v>
      </c>
      <c r="X3608" s="53">
        <f t="shared" si="988"/>
        <v>0</v>
      </c>
      <c r="Y3608" s="53">
        <f t="shared" si="989"/>
        <v>0</v>
      </c>
      <c r="Z3608" s="54">
        <f t="shared" si="997"/>
        <v>0</v>
      </c>
      <c r="AA3608" s="54">
        <f t="shared" si="990"/>
        <v>0</v>
      </c>
      <c r="AB3608" s="55">
        <f t="shared" si="998"/>
        <v>0</v>
      </c>
      <c r="AC3608" s="55">
        <f t="shared" si="991"/>
        <v>0</v>
      </c>
      <c r="AD3608" s="56">
        <f t="shared" si="992"/>
        <v>39555</v>
      </c>
    </row>
    <row r="3609" spans="3:30">
      <c r="C3609" s="43" t="s">
        <v>6697</v>
      </c>
      <c r="D3609" s="44" t="s">
        <v>6698</v>
      </c>
      <c r="E3609" s="44"/>
      <c r="F3609" s="45">
        <v>43000.149525462963</v>
      </c>
      <c r="G3609" s="46">
        <v>12</v>
      </c>
      <c r="H3609" s="47">
        <v>43420</v>
      </c>
      <c r="I3609" s="47">
        <v>43430</v>
      </c>
      <c r="J3609" s="46">
        <v>258698</v>
      </c>
      <c r="K3609" s="46">
        <v>0</v>
      </c>
      <c r="L3609" s="46">
        <v>0</v>
      </c>
      <c r="M3609" s="46">
        <f t="shared" si="981"/>
        <v>258698</v>
      </c>
      <c r="N3609" s="46">
        <v>314237</v>
      </c>
      <c r="O3609" s="48">
        <f t="shared" si="982"/>
        <v>0.17674239507123601</v>
      </c>
      <c r="P3609" s="46">
        <v>0</v>
      </c>
      <c r="Q3609" s="46">
        <v>258698</v>
      </c>
      <c r="R3609" s="49">
        <f t="shared" si="983"/>
        <v>1</v>
      </c>
      <c r="S3609" s="50">
        <f t="shared" si="984"/>
        <v>0.01</v>
      </c>
      <c r="T3609" s="49">
        <f t="shared" si="985"/>
        <v>2586.98</v>
      </c>
      <c r="U3609" s="51">
        <f t="shared" si="986"/>
        <v>0</v>
      </c>
      <c r="V3609" s="52">
        <f>IF(0&lt;0.8,0,IF(0&lt;1,Sheet3!L561,1))*IF(G3609&lt;3,0.12 - O3609,0.01) *U3609</f>
        <v>0</v>
      </c>
      <c r="W3609" s="52">
        <f t="shared" si="987"/>
        <v>0</v>
      </c>
      <c r="X3609" s="53">
        <f t="shared" si="988"/>
        <v>0</v>
      </c>
      <c r="Y3609" s="53">
        <f t="shared" si="989"/>
        <v>0</v>
      </c>
      <c r="Z3609" s="54">
        <f t="shared" si="997"/>
        <v>0</v>
      </c>
      <c r="AA3609" s="54">
        <f t="shared" si="990"/>
        <v>0</v>
      </c>
      <c r="AB3609" s="55">
        <f t="shared" si="998"/>
        <v>0</v>
      </c>
      <c r="AC3609" s="55">
        <f t="shared" si="991"/>
        <v>0</v>
      </c>
      <c r="AD3609" s="56">
        <f t="shared" si="992"/>
        <v>2586.98</v>
      </c>
    </row>
    <row r="3610" spans="3:30">
      <c r="C3610" s="43" t="s">
        <v>6699</v>
      </c>
      <c r="D3610" s="44" t="s">
        <v>6700</v>
      </c>
      <c r="E3610" s="44"/>
      <c r="F3610" s="45">
        <v>43203.151354166665</v>
      </c>
      <c r="G3610" s="46">
        <v>5</v>
      </c>
      <c r="H3610" s="47">
        <v>43399</v>
      </c>
      <c r="I3610" s="47">
        <v>43413</v>
      </c>
      <c r="J3610" s="46">
        <v>711590</v>
      </c>
      <c r="K3610" s="46">
        <v>55070</v>
      </c>
      <c r="L3610" s="46">
        <v>0</v>
      </c>
      <c r="M3610" s="46">
        <f t="shared" si="981"/>
        <v>656520</v>
      </c>
      <c r="N3610" s="46">
        <v>1083532</v>
      </c>
      <c r="O3610" s="48">
        <f t="shared" si="982"/>
        <v>0.39409265254740977</v>
      </c>
      <c r="P3610" s="46">
        <v>0</v>
      </c>
      <c r="Q3610" s="46">
        <v>711590</v>
      </c>
      <c r="R3610" s="49">
        <f t="shared" si="983"/>
        <v>1</v>
      </c>
      <c r="S3610" s="50">
        <f t="shared" si="984"/>
        <v>0.01</v>
      </c>
      <c r="T3610" s="49">
        <f t="shared" si="985"/>
        <v>6565.2</v>
      </c>
      <c r="U3610" s="51">
        <f t="shared" si="986"/>
        <v>0</v>
      </c>
      <c r="V3610" s="52">
        <f>IF(0&lt;0.8,0,IF(0&lt;1,Sheet3!L561,1))*IF(G3610&lt;3,0.12 - O3610,0.01) *U3610</f>
        <v>0</v>
      </c>
      <c r="W3610" s="52">
        <f t="shared" si="987"/>
        <v>0</v>
      </c>
      <c r="X3610" s="53">
        <f t="shared" si="988"/>
        <v>0</v>
      </c>
      <c r="Y3610" s="53">
        <f t="shared" si="989"/>
        <v>0</v>
      </c>
      <c r="Z3610" s="54">
        <f t="shared" si="997"/>
        <v>0</v>
      </c>
      <c r="AA3610" s="54">
        <f t="shared" si="990"/>
        <v>0</v>
      </c>
      <c r="AB3610" s="55">
        <f t="shared" si="998"/>
        <v>0</v>
      </c>
      <c r="AC3610" s="55">
        <f t="shared" si="991"/>
        <v>0</v>
      </c>
      <c r="AD3610" s="56">
        <f t="shared" si="992"/>
        <v>6565.2</v>
      </c>
    </row>
    <row r="3611" spans="3:30">
      <c r="C3611" s="43" t="s">
        <v>6701</v>
      </c>
      <c r="D3611" s="44" t="s">
        <v>6702</v>
      </c>
      <c r="E3611" s="44"/>
      <c r="F3611" s="45">
        <v>43235.412962962961</v>
      </c>
      <c r="G3611" s="46">
        <v>4</v>
      </c>
      <c r="H3611" s="47">
        <v>43399</v>
      </c>
      <c r="I3611" s="47">
        <v>43413</v>
      </c>
      <c r="J3611" s="46">
        <v>1005263</v>
      </c>
      <c r="K3611" s="46">
        <v>77832</v>
      </c>
      <c r="L3611" s="46">
        <v>0</v>
      </c>
      <c r="M3611" s="46">
        <f t="shared" si="981"/>
        <v>927431</v>
      </c>
      <c r="N3611" s="46">
        <v>1467543</v>
      </c>
      <c r="O3611" s="48">
        <f t="shared" si="982"/>
        <v>0.36803827894651131</v>
      </c>
      <c r="P3611" s="46">
        <v>0</v>
      </c>
      <c r="Q3611" s="46">
        <v>1005263</v>
      </c>
      <c r="R3611" s="49">
        <f t="shared" si="983"/>
        <v>1</v>
      </c>
      <c r="S3611" s="50">
        <f t="shared" si="984"/>
        <v>0.01</v>
      </c>
      <c r="T3611" s="49">
        <f t="shared" si="985"/>
        <v>9274.31</v>
      </c>
      <c r="U3611" s="51">
        <f t="shared" si="986"/>
        <v>0</v>
      </c>
      <c r="V3611" s="52">
        <f>IF(0&lt;0.8,0,IF(0&lt;1,Sheet3!L561,1))*IF(G3611&lt;3,0.12 - O3611,0.01) *U3611</f>
        <v>0</v>
      </c>
      <c r="W3611" s="52">
        <f t="shared" si="987"/>
        <v>0</v>
      </c>
      <c r="X3611" s="53">
        <f t="shared" si="988"/>
        <v>0</v>
      </c>
      <c r="Y3611" s="53">
        <f t="shared" si="989"/>
        <v>0</v>
      </c>
      <c r="Z3611" s="54">
        <f t="shared" si="997"/>
        <v>0</v>
      </c>
      <c r="AA3611" s="54">
        <f t="shared" si="990"/>
        <v>0</v>
      </c>
      <c r="AB3611" s="55">
        <f t="shared" si="998"/>
        <v>0</v>
      </c>
      <c r="AC3611" s="55">
        <f t="shared" si="991"/>
        <v>0</v>
      </c>
      <c r="AD3611" s="56">
        <f t="shared" si="992"/>
        <v>9274.31</v>
      </c>
    </row>
    <row r="3612" spans="3:30">
      <c r="C3612" s="43" t="s">
        <v>6703</v>
      </c>
      <c r="D3612" s="44" t="s">
        <v>6704</v>
      </c>
      <c r="E3612" s="44"/>
      <c r="F3612" s="45">
        <v>42521.378668981481</v>
      </c>
      <c r="G3612" s="46">
        <v>28</v>
      </c>
      <c r="H3612" s="47" t="s">
        <v>24</v>
      </c>
      <c r="I3612" s="47" t="s">
        <v>24</v>
      </c>
      <c r="J3612" s="46">
        <v>0</v>
      </c>
      <c r="K3612" s="46">
        <v>0</v>
      </c>
      <c r="L3612" s="46">
        <v>0</v>
      </c>
      <c r="M3612" s="46">
        <f t="shared" si="981"/>
        <v>0</v>
      </c>
      <c r="N3612" s="46">
        <v>1032241</v>
      </c>
      <c r="O3612" s="48">
        <f t="shared" si="982"/>
        <v>1</v>
      </c>
      <c r="P3612" s="46">
        <v>0</v>
      </c>
      <c r="Q3612" s="46">
        <v>0</v>
      </c>
      <c r="R3612" s="49">
        <f t="shared" si="983"/>
        <v>1</v>
      </c>
      <c r="S3612" s="50">
        <f t="shared" si="984"/>
        <v>0.01</v>
      </c>
      <c r="T3612" s="49">
        <f t="shared" si="985"/>
        <v>0</v>
      </c>
      <c r="U3612" s="51">
        <f t="shared" si="986"/>
        <v>0</v>
      </c>
      <c r="V3612" s="52">
        <f>IF(0&lt;0.8,0,IF(0&lt;1,Sheet3!L561,1))*IF(G3612&lt;3,0.12 - O3612,0.01) *U3612</f>
        <v>0</v>
      </c>
      <c r="W3612" s="52">
        <f t="shared" si="987"/>
        <v>0</v>
      </c>
      <c r="X3612" s="53">
        <f t="shared" si="988"/>
        <v>0</v>
      </c>
      <c r="Y3612" s="53">
        <f t="shared" si="989"/>
        <v>0</v>
      </c>
      <c r="Z3612" s="54">
        <f>IF(R3612=1,0,"")</f>
        <v>0</v>
      </c>
      <c r="AA3612" s="54">
        <f t="shared" si="990"/>
        <v>0</v>
      </c>
      <c r="AB3612" s="55">
        <f>IF(R3612=0,"",0)</f>
        <v>0</v>
      </c>
      <c r="AC3612" s="55">
        <f t="shared" si="991"/>
        <v>0</v>
      </c>
      <c r="AD3612" s="56">
        <f t="shared" si="992"/>
        <v>0</v>
      </c>
    </row>
    <row r="3613" spans="3:30">
      <c r="C3613" s="43" t="s">
        <v>6705</v>
      </c>
      <c r="D3613" s="44" t="s">
        <v>995</v>
      </c>
      <c r="E3613" s="44"/>
      <c r="F3613" s="45">
        <v>43316.250671296293</v>
      </c>
      <c r="G3613" s="46">
        <v>1</v>
      </c>
      <c r="H3613" s="47">
        <v>43431</v>
      </c>
      <c r="I3613" s="47">
        <v>43462</v>
      </c>
      <c r="J3613" s="46">
        <v>1411301</v>
      </c>
      <c r="K3613" s="46">
        <v>0</v>
      </c>
      <c r="L3613" s="46">
        <v>0</v>
      </c>
      <c r="M3613" s="46">
        <f t="shared" si="981"/>
        <v>1411301</v>
      </c>
      <c r="N3613" s="46">
        <v>1456169</v>
      </c>
      <c r="O3613" s="48">
        <f t="shared" si="982"/>
        <v>3.081235763156609E-2</v>
      </c>
      <c r="P3613" s="46">
        <v>0</v>
      </c>
      <c r="Q3613" s="46">
        <v>0</v>
      </c>
      <c r="R3613" s="49">
        <f t="shared" si="983"/>
        <v>0</v>
      </c>
      <c r="S3613" s="50">
        <f t="shared" si="984"/>
        <v>0</v>
      </c>
      <c r="T3613" s="49">
        <f t="shared" si="985"/>
        <v>0</v>
      </c>
      <c r="U3613" s="51">
        <f t="shared" si="986"/>
        <v>1411301</v>
      </c>
      <c r="V3613" s="52">
        <f>IF(0&lt;0.8,0,IF(0&lt;1,Sheet3!L561,1))*IF(G3613&lt;3,0.12 - O3613,0.01) *U3613</f>
        <v>0</v>
      </c>
      <c r="W3613" s="52">
        <f t="shared" si="987"/>
        <v>0</v>
      </c>
      <c r="X3613" s="53">
        <f t="shared" si="988"/>
        <v>0</v>
      </c>
      <c r="Y3613" s="53">
        <f t="shared" si="989"/>
        <v>0</v>
      </c>
      <c r="Z3613" s="54">
        <f t="shared" ref="Z3613:Z3631" si="999">IF(R3613=1,0,0)</f>
        <v>0</v>
      </c>
      <c r="AA3613" s="54">
        <f t="shared" si="990"/>
        <v>0</v>
      </c>
      <c r="AB3613" s="55">
        <f t="shared" ref="AB3613:AB3631" si="1000">IF(R3613=0,0,0)</f>
        <v>0</v>
      </c>
      <c r="AC3613" s="55">
        <f t="shared" si="991"/>
        <v>0</v>
      </c>
      <c r="AD3613" s="56">
        <f t="shared" si="992"/>
        <v>0</v>
      </c>
    </row>
    <row r="3614" spans="3:30">
      <c r="C3614" s="43" t="s">
        <v>6706</v>
      </c>
      <c r="D3614" s="44" t="s">
        <v>995</v>
      </c>
      <c r="E3614" s="44"/>
      <c r="F3614" s="45">
        <v>43316.252164351848</v>
      </c>
      <c r="G3614" s="46">
        <v>1</v>
      </c>
      <c r="H3614" s="47">
        <v>43431</v>
      </c>
      <c r="I3614" s="47">
        <v>43462</v>
      </c>
      <c r="J3614" s="46">
        <v>646954</v>
      </c>
      <c r="K3614" s="46">
        <v>0</v>
      </c>
      <c r="L3614" s="46">
        <v>0</v>
      </c>
      <c r="M3614" s="46">
        <f t="shared" si="981"/>
        <v>646954</v>
      </c>
      <c r="N3614" s="46">
        <v>701679</v>
      </c>
      <c r="O3614" s="48">
        <f t="shared" si="982"/>
        <v>7.7991503237235249E-2</v>
      </c>
      <c r="P3614" s="46">
        <v>0</v>
      </c>
      <c r="Q3614" s="46">
        <v>0</v>
      </c>
      <c r="R3614" s="49">
        <f t="shared" si="983"/>
        <v>0</v>
      </c>
      <c r="S3614" s="50">
        <f t="shared" si="984"/>
        <v>0</v>
      </c>
      <c r="T3614" s="49">
        <f t="shared" si="985"/>
        <v>0</v>
      </c>
      <c r="U3614" s="51">
        <f t="shared" si="986"/>
        <v>646954</v>
      </c>
      <c r="V3614" s="52">
        <f>IF(0&lt;0.8,0,IF(0&lt;1,Sheet3!L561,1))*IF(G3614&lt;3,0.12 - O3614,0.01) *U3614</f>
        <v>0</v>
      </c>
      <c r="W3614" s="52">
        <f t="shared" si="987"/>
        <v>0</v>
      </c>
      <c r="X3614" s="53">
        <f t="shared" si="988"/>
        <v>0</v>
      </c>
      <c r="Y3614" s="53">
        <f t="shared" si="989"/>
        <v>0</v>
      </c>
      <c r="Z3614" s="54">
        <f t="shared" si="999"/>
        <v>0</v>
      </c>
      <c r="AA3614" s="54">
        <f t="shared" si="990"/>
        <v>0</v>
      </c>
      <c r="AB3614" s="55">
        <f t="shared" si="1000"/>
        <v>0</v>
      </c>
      <c r="AC3614" s="55">
        <f t="shared" si="991"/>
        <v>0</v>
      </c>
      <c r="AD3614" s="56">
        <f t="shared" si="992"/>
        <v>0</v>
      </c>
    </row>
    <row r="3615" spans="3:30">
      <c r="C3615" s="43" t="s">
        <v>6707</v>
      </c>
      <c r="D3615" s="44" t="s">
        <v>995</v>
      </c>
      <c r="E3615" s="44"/>
      <c r="F3615" s="45">
        <v>43316.691342592589</v>
      </c>
      <c r="G3615" s="46">
        <v>1</v>
      </c>
      <c r="H3615" s="47">
        <v>43431</v>
      </c>
      <c r="I3615" s="47">
        <v>43462</v>
      </c>
      <c r="J3615" s="46">
        <v>922656</v>
      </c>
      <c r="K3615" s="46">
        <v>0</v>
      </c>
      <c r="L3615" s="46">
        <v>0</v>
      </c>
      <c r="M3615" s="46">
        <f t="shared" si="981"/>
        <v>922656</v>
      </c>
      <c r="N3615" s="46">
        <v>1027710</v>
      </c>
      <c r="O3615" s="48">
        <f t="shared" si="982"/>
        <v>0.10222144379250953</v>
      </c>
      <c r="P3615" s="46">
        <v>0</v>
      </c>
      <c r="Q3615" s="46">
        <v>0</v>
      </c>
      <c r="R3615" s="49">
        <f t="shared" si="983"/>
        <v>0</v>
      </c>
      <c r="S3615" s="50">
        <f t="shared" si="984"/>
        <v>0</v>
      </c>
      <c r="T3615" s="49">
        <f t="shared" si="985"/>
        <v>0</v>
      </c>
      <c r="U3615" s="51">
        <f t="shared" si="986"/>
        <v>922656</v>
      </c>
      <c r="V3615" s="52">
        <f>IF(0&lt;0.8,0,IF(0&lt;1,Sheet3!L561,1))*IF(G3615&lt;3,0.12 - O3615,0.01) *U3615</f>
        <v>0</v>
      </c>
      <c r="W3615" s="52">
        <f t="shared" si="987"/>
        <v>0</v>
      </c>
      <c r="X3615" s="53">
        <f t="shared" si="988"/>
        <v>0</v>
      </c>
      <c r="Y3615" s="53">
        <f t="shared" si="989"/>
        <v>0</v>
      </c>
      <c r="Z3615" s="54">
        <f t="shared" si="999"/>
        <v>0</v>
      </c>
      <c r="AA3615" s="54">
        <f t="shared" si="990"/>
        <v>0</v>
      </c>
      <c r="AB3615" s="55">
        <f t="shared" si="1000"/>
        <v>0</v>
      </c>
      <c r="AC3615" s="55">
        <f t="shared" si="991"/>
        <v>0</v>
      </c>
      <c r="AD3615" s="56">
        <f t="shared" si="992"/>
        <v>0</v>
      </c>
    </row>
    <row r="3616" spans="3:30">
      <c r="C3616" s="43" t="s">
        <v>6708</v>
      </c>
      <c r="D3616" s="44" t="s">
        <v>6709</v>
      </c>
      <c r="E3616" s="44"/>
      <c r="F3616" s="45">
        <v>41709.683159722219</v>
      </c>
      <c r="G3616" s="46">
        <v>54</v>
      </c>
      <c r="H3616" s="47">
        <v>43396</v>
      </c>
      <c r="I3616" s="47">
        <v>43412</v>
      </c>
      <c r="J3616" s="46">
        <v>815883</v>
      </c>
      <c r="K3616" s="46">
        <v>0</v>
      </c>
      <c r="L3616" s="46">
        <v>0</v>
      </c>
      <c r="M3616" s="46">
        <f t="shared" si="981"/>
        <v>815883</v>
      </c>
      <c r="N3616" s="46">
        <v>1147562</v>
      </c>
      <c r="O3616" s="48">
        <f t="shared" si="982"/>
        <v>0.28902926377834048</v>
      </c>
      <c r="P3616" s="46">
        <v>0</v>
      </c>
      <c r="Q3616" s="46">
        <v>815883</v>
      </c>
      <c r="R3616" s="49">
        <f t="shared" si="983"/>
        <v>1</v>
      </c>
      <c r="S3616" s="50">
        <f t="shared" si="984"/>
        <v>0.01</v>
      </c>
      <c r="T3616" s="49">
        <f t="shared" si="985"/>
        <v>8158.83</v>
      </c>
      <c r="U3616" s="51">
        <f t="shared" si="986"/>
        <v>0</v>
      </c>
      <c r="V3616" s="52">
        <f>IF(0&lt;0.8,0,IF(0&lt;1,Sheet3!L561,1))*IF(G3616&lt;3,0.12 - O3616,0.01) *U3616</f>
        <v>0</v>
      </c>
      <c r="W3616" s="52">
        <f t="shared" si="987"/>
        <v>0</v>
      </c>
      <c r="X3616" s="53">
        <f t="shared" si="988"/>
        <v>0</v>
      </c>
      <c r="Y3616" s="53">
        <f t="shared" si="989"/>
        <v>0</v>
      </c>
      <c r="Z3616" s="54">
        <f t="shared" si="999"/>
        <v>0</v>
      </c>
      <c r="AA3616" s="54">
        <f t="shared" si="990"/>
        <v>0</v>
      </c>
      <c r="AB3616" s="55">
        <f t="shared" si="1000"/>
        <v>0</v>
      </c>
      <c r="AC3616" s="55">
        <f t="shared" si="991"/>
        <v>0</v>
      </c>
      <c r="AD3616" s="56">
        <f t="shared" si="992"/>
        <v>8158.83</v>
      </c>
    </row>
    <row r="3617" spans="3:30">
      <c r="C3617" s="43" t="s">
        <v>6710</v>
      </c>
      <c r="D3617" s="44" t="s">
        <v>6711</v>
      </c>
      <c r="E3617" s="44"/>
      <c r="F3617" s="45">
        <v>42013.432928240742</v>
      </c>
      <c r="G3617" s="46">
        <v>44</v>
      </c>
      <c r="H3617" s="47">
        <v>43427</v>
      </c>
      <c r="I3617" s="47">
        <v>43447</v>
      </c>
      <c r="J3617" s="46">
        <v>947701</v>
      </c>
      <c r="K3617" s="46">
        <v>0</v>
      </c>
      <c r="L3617" s="46">
        <v>0</v>
      </c>
      <c r="M3617" s="46">
        <f t="shared" si="981"/>
        <v>947701</v>
      </c>
      <c r="N3617" s="46">
        <v>1265767</v>
      </c>
      <c r="O3617" s="48">
        <f t="shared" si="982"/>
        <v>0.25128321405124321</v>
      </c>
      <c r="P3617" s="46">
        <v>0</v>
      </c>
      <c r="Q3617" s="46">
        <v>967501</v>
      </c>
      <c r="R3617" s="49">
        <f t="shared" si="983"/>
        <v>1</v>
      </c>
      <c r="S3617" s="50">
        <f t="shared" si="984"/>
        <v>0.01</v>
      </c>
      <c r="T3617" s="49">
        <f t="shared" si="985"/>
        <v>9477.01</v>
      </c>
      <c r="U3617" s="51">
        <f t="shared" si="986"/>
        <v>0</v>
      </c>
      <c r="V3617" s="52">
        <f>IF(0&lt;0.8,0,IF(0&lt;1,Sheet3!L561,1))*IF(G3617&lt;3,0.12 - O3617,0.01) *U3617</f>
        <v>0</v>
      </c>
      <c r="W3617" s="52">
        <f t="shared" si="987"/>
        <v>0</v>
      </c>
      <c r="X3617" s="53">
        <f t="shared" si="988"/>
        <v>0</v>
      </c>
      <c r="Y3617" s="53">
        <f t="shared" si="989"/>
        <v>0</v>
      </c>
      <c r="Z3617" s="54">
        <f t="shared" si="999"/>
        <v>0</v>
      </c>
      <c r="AA3617" s="54">
        <f t="shared" si="990"/>
        <v>0</v>
      </c>
      <c r="AB3617" s="55">
        <f t="shared" si="1000"/>
        <v>0</v>
      </c>
      <c r="AC3617" s="55">
        <f t="shared" si="991"/>
        <v>0</v>
      </c>
      <c r="AD3617" s="56">
        <f t="shared" si="992"/>
        <v>9477.01</v>
      </c>
    </row>
    <row r="3618" spans="3:30">
      <c r="C3618" s="43" t="s">
        <v>6712</v>
      </c>
      <c r="D3618" s="44" t="s">
        <v>6713</v>
      </c>
      <c r="E3618" s="44"/>
      <c r="F3618" s="45">
        <v>42016.634780092594</v>
      </c>
      <c r="G3618" s="46">
        <v>44</v>
      </c>
      <c r="H3618" s="47">
        <v>43372</v>
      </c>
      <c r="I3618" s="47">
        <v>43397</v>
      </c>
      <c r="J3618" s="46">
        <v>413820</v>
      </c>
      <c r="K3618" s="46">
        <v>0</v>
      </c>
      <c r="L3618" s="46">
        <v>0</v>
      </c>
      <c r="M3618" s="46">
        <f t="shared" si="981"/>
        <v>413820</v>
      </c>
      <c r="N3618" s="46">
        <v>413820</v>
      </c>
      <c r="O3618" s="48">
        <f t="shared" si="982"/>
        <v>0</v>
      </c>
      <c r="P3618" s="46">
        <v>0</v>
      </c>
      <c r="Q3618" s="46">
        <v>413820</v>
      </c>
      <c r="R3618" s="49">
        <f t="shared" si="983"/>
        <v>1</v>
      </c>
      <c r="S3618" s="50">
        <f t="shared" si="984"/>
        <v>0.01</v>
      </c>
      <c r="T3618" s="49">
        <f t="shared" si="985"/>
        <v>4138.2</v>
      </c>
      <c r="U3618" s="51">
        <f t="shared" si="986"/>
        <v>0</v>
      </c>
      <c r="V3618" s="52">
        <f>IF(0&lt;0.8,0,IF(0&lt;1,Sheet3!L561,1))*IF(G3618&lt;3,0.12 - O3618,0.01) *U3618</f>
        <v>0</v>
      </c>
      <c r="W3618" s="52">
        <f t="shared" si="987"/>
        <v>0</v>
      </c>
      <c r="X3618" s="53">
        <f t="shared" si="988"/>
        <v>0</v>
      </c>
      <c r="Y3618" s="53">
        <f t="shared" si="989"/>
        <v>0</v>
      </c>
      <c r="Z3618" s="54">
        <f t="shared" si="999"/>
        <v>0</v>
      </c>
      <c r="AA3618" s="54">
        <f t="shared" si="990"/>
        <v>0</v>
      </c>
      <c r="AB3618" s="55">
        <f t="shared" si="1000"/>
        <v>0</v>
      </c>
      <c r="AC3618" s="55">
        <f t="shared" si="991"/>
        <v>0</v>
      </c>
      <c r="AD3618" s="56">
        <f t="shared" si="992"/>
        <v>4138.2</v>
      </c>
    </row>
    <row r="3619" spans="3:30">
      <c r="C3619" s="43" t="s">
        <v>6714</v>
      </c>
      <c r="D3619" s="44" t="s">
        <v>6715</v>
      </c>
      <c r="E3619" s="44"/>
      <c r="F3619" s="45">
        <v>42105.397696759261</v>
      </c>
      <c r="G3619" s="46">
        <v>41</v>
      </c>
      <c r="H3619" s="47">
        <v>43396</v>
      </c>
      <c r="I3619" s="47">
        <v>43412</v>
      </c>
      <c r="J3619" s="46">
        <v>271590</v>
      </c>
      <c r="K3619" s="46">
        <v>0</v>
      </c>
      <c r="L3619" s="46">
        <v>0</v>
      </c>
      <c r="M3619" s="46">
        <f t="shared" si="981"/>
        <v>271590</v>
      </c>
      <c r="N3619" s="46">
        <v>424437</v>
      </c>
      <c r="O3619" s="48">
        <f t="shared" si="982"/>
        <v>0.3601170491733755</v>
      </c>
      <c r="P3619" s="46">
        <v>0</v>
      </c>
      <c r="Q3619" s="46">
        <v>271590</v>
      </c>
      <c r="R3619" s="49">
        <f t="shared" si="983"/>
        <v>1</v>
      </c>
      <c r="S3619" s="50">
        <f t="shared" si="984"/>
        <v>0.01</v>
      </c>
      <c r="T3619" s="49">
        <f t="shared" si="985"/>
        <v>2715.9</v>
      </c>
      <c r="U3619" s="51">
        <f t="shared" si="986"/>
        <v>0</v>
      </c>
      <c r="V3619" s="52">
        <f>IF(0&lt;0.8,0,IF(0&lt;1,Sheet3!L561,1))*IF(G3619&lt;3,0.12 - O3619,0.01) *U3619</f>
        <v>0</v>
      </c>
      <c r="W3619" s="52">
        <f t="shared" si="987"/>
        <v>0</v>
      </c>
      <c r="X3619" s="53">
        <f t="shared" si="988"/>
        <v>0</v>
      </c>
      <c r="Y3619" s="53">
        <f t="shared" si="989"/>
        <v>0</v>
      </c>
      <c r="Z3619" s="54">
        <f t="shared" si="999"/>
        <v>0</v>
      </c>
      <c r="AA3619" s="54">
        <f t="shared" si="990"/>
        <v>0</v>
      </c>
      <c r="AB3619" s="55">
        <f t="shared" si="1000"/>
        <v>0</v>
      </c>
      <c r="AC3619" s="55">
        <f t="shared" si="991"/>
        <v>0</v>
      </c>
      <c r="AD3619" s="56">
        <f t="shared" si="992"/>
        <v>2715.9</v>
      </c>
    </row>
    <row r="3620" spans="3:30">
      <c r="C3620" s="43" t="s">
        <v>6716</v>
      </c>
      <c r="D3620" s="44" t="s">
        <v>6717</v>
      </c>
      <c r="E3620" s="44"/>
      <c r="F3620" s="45">
        <v>42563.144131944442</v>
      </c>
      <c r="G3620" s="46">
        <v>26</v>
      </c>
      <c r="H3620" s="47">
        <v>43376</v>
      </c>
      <c r="I3620" s="47">
        <v>43382</v>
      </c>
      <c r="J3620" s="46">
        <v>399003</v>
      </c>
      <c r="K3620" s="46">
        <v>0</v>
      </c>
      <c r="L3620" s="46">
        <v>0</v>
      </c>
      <c r="M3620" s="46">
        <f t="shared" si="981"/>
        <v>399003</v>
      </c>
      <c r="N3620" s="46">
        <v>399003</v>
      </c>
      <c r="O3620" s="48">
        <f t="shared" si="982"/>
        <v>0</v>
      </c>
      <c r="P3620" s="46">
        <v>0</v>
      </c>
      <c r="Q3620" s="46">
        <v>399003</v>
      </c>
      <c r="R3620" s="49">
        <f t="shared" si="983"/>
        <v>1</v>
      </c>
      <c r="S3620" s="50">
        <f t="shared" si="984"/>
        <v>0.01</v>
      </c>
      <c r="T3620" s="49">
        <f t="shared" si="985"/>
        <v>3990.03</v>
      </c>
      <c r="U3620" s="51">
        <f t="shared" si="986"/>
        <v>0</v>
      </c>
      <c r="V3620" s="52">
        <f>IF(0&lt;0.8,0,IF(0&lt;1,Sheet3!L561,1))*IF(G3620&lt;3,0.12 - O3620,0.01) *U3620</f>
        <v>0</v>
      </c>
      <c r="W3620" s="52">
        <f t="shared" si="987"/>
        <v>0</v>
      </c>
      <c r="X3620" s="53">
        <f t="shared" si="988"/>
        <v>0</v>
      </c>
      <c r="Y3620" s="53">
        <f t="shared" si="989"/>
        <v>0</v>
      </c>
      <c r="Z3620" s="54">
        <f t="shared" si="999"/>
        <v>0</v>
      </c>
      <c r="AA3620" s="54">
        <f t="shared" si="990"/>
        <v>0</v>
      </c>
      <c r="AB3620" s="55">
        <f t="shared" si="1000"/>
        <v>0</v>
      </c>
      <c r="AC3620" s="55">
        <f t="shared" si="991"/>
        <v>0</v>
      </c>
      <c r="AD3620" s="56">
        <f t="shared" si="992"/>
        <v>3990.03</v>
      </c>
    </row>
    <row r="3621" spans="3:30">
      <c r="C3621" s="43" t="s">
        <v>6718</v>
      </c>
      <c r="D3621" s="44" t="s">
        <v>6719</v>
      </c>
      <c r="E3621" s="44"/>
      <c r="F3621" s="45">
        <v>42661.381562499999</v>
      </c>
      <c r="G3621" s="46">
        <v>23</v>
      </c>
      <c r="H3621" s="47">
        <v>43396</v>
      </c>
      <c r="I3621" s="47">
        <v>43412</v>
      </c>
      <c r="J3621" s="46">
        <v>4888000</v>
      </c>
      <c r="K3621" s="46">
        <v>1237554</v>
      </c>
      <c r="L3621" s="46">
        <v>0</v>
      </c>
      <c r="M3621" s="46">
        <f t="shared" si="981"/>
        <v>3650446</v>
      </c>
      <c r="N3621" s="46">
        <v>6422680</v>
      </c>
      <c r="O3621" s="48">
        <f t="shared" si="982"/>
        <v>0.43163196671794324</v>
      </c>
      <c r="P3621" s="46">
        <v>0</v>
      </c>
      <c r="Q3621" s="46">
        <v>4888000</v>
      </c>
      <c r="R3621" s="49">
        <f t="shared" si="983"/>
        <v>1</v>
      </c>
      <c r="S3621" s="50">
        <f t="shared" si="984"/>
        <v>0.01</v>
      </c>
      <c r="T3621" s="49">
        <f t="shared" si="985"/>
        <v>36504.46</v>
      </c>
      <c r="U3621" s="51">
        <f t="shared" si="986"/>
        <v>0</v>
      </c>
      <c r="V3621" s="52">
        <f>IF(0&lt;0.8,0,IF(0&lt;1,Sheet3!L561,1))*IF(G3621&lt;3,0.12 - O3621,0.01) *U3621</f>
        <v>0</v>
      </c>
      <c r="W3621" s="52">
        <f t="shared" si="987"/>
        <v>0</v>
      </c>
      <c r="X3621" s="53">
        <f t="shared" si="988"/>
        <v>0</v>
      </c>
      <c r="Y3621" s="53">
        <f t="shared" si="989"/>
        <v>0</v>
      </c>
      <c r="Z3621" s="54">
        <f t="shared" si="999"/>
        <v>0</v>
      </c>
      <c r="AA3621" s="54">
        <f t="shared" si="990"/>
        <v>0</v>
      </c>
      <c r="AB3621" s="55">
        <f t="shared" si="1000"/>
        <v>0</v>
      </c>
      <c r="AC3621" s="55">
        <f t="shared" si="991"/>
        <v>0</v>
      </c>
      <c r="AD3621" s="56">
        <f t="shared" si="992"/>
        <v>36504.46</v>
      </c>
    </row>
    <row r="3622" spans="3:30">
      <c r="C3622" s="43" t="s">
        <v>6720</v>
      </c>
      <c r="D3622" s="44" t="s">
        <v>6721</v>
      </c>
      <c r="E3622" s="44"/>
      <c r="F3622" s="45">
        <v>42678.363240740742</v>
      </c>
      <c r="G3622" s="46">
        <v>22</v>
      </c>
      <c r="H3622" s="47">
        <v>43372</v>
      </c>
      <c r="I3622" s="47">
        <v>43404</v>
      </c>
      <c r="J3622" s="46">
        <v>833360</v>
      </c>
      <c r="K3622" s="46">
        <v>0</v>
      </c>
      <c r="L3622" s="46">
        <v>0</v>
      </c>
      <c r="M3622" s="46">
        <f t="shared" si="981"/>
        <v>833360</v>
      </c>
      <c r="N3622" s="46">
        <v>916696</v>
      </c>
      <c r="O3622" s="48">
        <f t="shared" si="982"/>
        <v>9.0909090909090939E-2</v>
      </c>
      <c r="P3622" s="46">
        <v>0</v>
      </c>
      <c r="Q3622" s="46">
        <v>833360</v>
      </c>
      <c r="R3622" s="49">
        <f t="shared" si="983"/>
        <v>1</v>
      </c>
      <c r="S3622" s="50">
        <f t="shared" si="984"/>
        <v>0.01</v>
      </c>
      <c r="T3622" s="49">
        <f t="shared" si="985"/>
        <v>8333.6</v>
      </c>
      <c r="U3622" s="51">
        <f t="shared" si="986"/>
        <v>0</v>
      </c>
      <c r="V3622" s="52">
        <f>IF(0&lt;0.8,0,IF(0&lt;1,Sheet3!L561,1))*IF(G3622&lt;3,0.12 - O3622,0.01) *U3622</f>
        <v>0</v>
      </c>
      <c r="W3622" s="52">
        <f t="shared" si="987"/>
        <v>0</v>
      </c>
      <c r="X3622" s="53">
        <f t="shared" si="988"/>
        <v>0</v>
      </c>
      <c r="Y3622" s="53">
        <f t="shared" si="989"/>
        <v>0</v>
      </c>
      <c r="Z3622" s="54">
        <f t="shared" si="999"/>
        <v>0</v>
      </c>
      <c r="AA3622" s="54">
        <f t="shared" si="990"/>
        <v>0</v>
      </c>
      <c r="AB3622" s="55">
        <f t="shared" si="1000"/>
        <v>0</v>
      </c>
      <c r="AC3622" s="55">
        <f t="shared" si="991"/>
        <v>0</v>
      </c>
      <c r="AD3622" s="56">
        <f t="shared" si="992"/>
        <v>8333.6</v>
      </c>
    </row>
    <row r="3623" spans="3:30">
      <c r="C3623" s="43" t="s">
        <v>6722</v>
      </c>
      <c r="D3623" s="44" t="s">
        <v>6723</v>
      </c>
      <c r="E3623" s="44"/>
      <c r="F3623" s="45">
        <v>42714.065196759257</v>
      </c>
      <c r="G3623" s="46">
        <v>21</v>
      </c>
      <c r="H3623" s="47">
        <v>43372</v>
      </c>
      <c r="I3623" s="47">
        <v>43431</v>
      </c>
      <c r="J3623" s="46">
        <v>15982938</v>
      </c>
      <c r="K3623" s="46">
        <v>0</v>
      </c>
      <c r="L3623" s="46">
        <v>0</v>
      </c>
      <c r="M3623" s="46">
        <f t="shared" si="981"/>
        <v>15982938</v>
      </c>
      <c r="N3623" s="46">
        <v>18060675</v>
      </c>
      <c r="O3623" s="48">
        <f t="shared" si="982"/>
        <v>0.11504204577071453</v>
      </c>
      <c r="P3623" s="46">
        <v>0</v>
      </c>
      <c r="Q3623" s="46">
        <v>15982938</v>
      </c>
      <c r="R3623" s="49">
        <f t="shared" si="983"/>
        <v>1</v>
      </c>
      <c r="S3623" s="50">
        <f t="shared" si="984"/>
        <v>0.01</v>
      </c>
      <c r="T3623" s="49">
        <f t="shared" si="985"/>
        <v>159829.38</v>
      </c>
      <c r="U3623" s="51">
        <f t="shared" si="986"/>
        <v>0</v>
      </c>
      <c r="V3623" s="52">
        <f>IF(0&lt;0.8,0,IF(0&lt;1,Sheet3!L561,1))*IF(G3623&lt;3,0.12 - O3623,0.01) *U3623</f>
        <v>0</v>
      </c>
      <c r="W3623" s="52">
        <f t="shared" si="987"/>
        <v>0</v>
      </c>
      <c r="X3623" s="53">
        <f t="shared" si="988"/>
        <v>0</v>
      </c>
      <c r="Y3623" s="53">
        <f t="shared" si="989"/>
        <v>0</v>
      </c>
      <c r="Z3623" s="54">
        <f t="shared" si="999"/>
        <v>0</v>
      </c>
      <c r="AA3623" s="54">
        <f t="shared" si="990"/>
        <v>0</v>
      </c>
      <c r="AB3623" s="55">
        <f t="shared" si="1000"/>
        <v>0</v>
      </c>
      <c r="AC3623" s="55">
        <f t="shared" si="991"/>
        <v>0</v>
      </c>
      <c r="AD3623" s="56">
        <f t="shared" si="992"/>
        <v>159829.38</v>
      </c>
    </row>
    <row r="3624" spans="3:30">
      <c r="C3624" s="43" t="s">
        <v>6724</v>
      </c>
      <c r="D3624" s="44" t="s">
        <v>6725</v>
      </c>
      <c r="E3624" s="44"/>
      <c r="F3624" s="45">
        <v>42914.068182870367</v>
      </c>
      <c r="G3624" s="46">
        <v>15</v>
      </c>
      <c r="H3624" s="47">
        <v>43427</v>
      </c>
      <c r="I3624" s="47">
        <v>43447</v>
      </c>
      <c r="J3624" s="46">
        <v>2580192</v>
      </c>
      <c r="K3624" s="46">
        <v>0</v>
      </c>
      <c r="L3624" s="46">
        <v>0</v>
      </c>
      <c r="M3624" s="46">
        <f t="shared" si="981"/>
        <v>2580192</v>
      </c>
      <c r="N3624" s="46">
        <v>2580192</v>
      </c>
      <c r="O3624" s="48">
        <f t="shared" si="982"/>
        <v>0</v>
      </c>
      <c r="P3624" s="46">
        <v>0</v>
      </c>
      <c r="Q3624" s="46">
        <v>3253864</v>
      </c>
      <c r="R3624" s="49">
        <f t="shared" si="983"/>
        <v>1</v>
      </c>
      <c r="S3624" s="50">
        <f t="shared" si="984"/>
        <v>0.01</v>
      </c>
      <c r="T3624" s="49">
        <f t="shared" si="985"/>
        <v>25801.920000000002</v>
      </c>
      <c r="U3624" s="51">
        <f t="shared" si="986"/>
        <v>0</v>
      </c>
      <c r="V3624" s="52">
        <f>IF(0&lt;0.8,0,IF(0&lt;1,Sheet3!L561,1))*IF(G3624&lt;3,0.12 - O3624,0.01) *U3624</f>
        <v>0</v>
      </c>
      <c r="W3624" s="52">
        <f t="shared" si="987"/>
        <v>0</v>
      </c>
      <c r="X3624" s="53">
        <f t="shared" si="988"/>
        <v>0</v>
      </c>
      <c r="Y3624" s="53">
        <f t="shared" si="989"/>
        <v>0</v>
      </c>
      <c r="Z3624" s="54">
        <f t="shared" si="999"/>
        <v>0</v>
      </c>
      <c r="AA3624" s="54">
        <f t="shared" si="990"/>
        <v>0</v>
      </c>
      <c r="AB3624" s="55">
        <f t="shared" si="1000"/>
        <v>0</v>
      </c>
      <c r="AC3624" s="55">
        <f t="shared" si="991"/>
        <v>0</v>
      </c>
      <c r="AD3624" s="56">
        <f t="shared" si="992"/>
        <v>25801.920000000002</v>
      </c>
    </row>
    <row r="3625" spans="3:30">
      <c r="C3625" s="43" t="s">
        <v>6726</v>
      </c>
      <c r="D3625" s="44" t="s">
        <v>6727</v>
      </c>
      <c r="E3625" s="44"/>
      <c r="F3625" s="45">
        <v>42916.376493055555</v>
      </c>
      <c r="G3625" s="46">
        <v>15</v>
      </c>
      <c r="H3625" s="47">
        <v>43396</v>
      </c>
      <c r="I3625" s="47">
        <v>43412</v>
      </c>
      <c r="J3625" s="46">
        <v>1615272</v>
      </c>
      <c r="K3625" s="46">
        <v>0</v>
      </c>
      <c r="L3625" s="46">
        <v>0</v>
      </c>
      <c r="M3625" s="46">
        <f t="shared" si="981"/>
        <v>1615272</v>
      </c>
      <c r="N3625" s="46">
        <v>2131458</v>
      </c>
      <c r="O3625" s="48">
        <f t="shared" si="982"/>
        <v>0.24217507452645093</v>
      </c>
      <c r="P3625" s="46">
        <v>0</v>
      </c>
      <c r="Q3625" s="46">
        <v>1615272</v>
      </c>
      <c r="R3625" s="49">
        <f t="shared" si="983"/>
        <v>1</v>
      </c>
      <c r="S3625" s="50">
        <f t="shared" si="984"/>
        <v>0.01</v>
      </c>
      <c r="T3625" s="49">
        <f t="shared" si="985"/>
        <v>16152.720000000001</v>
      </c>
      <c r="U3625" s="51">
        <f t="shared" si="986"/>
        <v>0</v>
      </c>
      <c r="V3625" s="52">
        <f>IF(0&lt;0.8,0,IF(0&lt;1,Sheet3!L561,1))*IF(G3625&lt;3,0.12 - O3625,0.01) *U3625</f>
        <v>0</v>
      </c>
      <c r="W3625" s="52">
        <f t="shared" si="987"/>
        <v>0</v>
      </c>
      <c r="X3625" s="53">
        <f t="shared" si="988"/>
        <v>0</v>
      </c>
      <c r="Y3625" s="53">
        <f t="shared" si="989"/>
        <v>0</v>
      </c>
      <c r="Z3625" s="54">
        <f t="shared" si="999"/>
        <v>0</v>
      </c>
      <c r="AA3625" s="54">
        <f t="shared" si="990"/>
        <v>0</v>
      </c>
      <c r="AB3625" s="55">
        <f t="shared" si="1000"/>
        <v>0</v>
      </c>
      <c r="AC3625" s="55">
        <f t="shared" si="991"/>
        <v>0</v>
      </c>
      <c r="AD3625" s="56">
        <f t="shared" si="992"/>
        <v>16152.720000000001</v>
      </c>
    </row>
    <row r="3626" spans="3:30">
      <c r="C3626" s="43" t="s">
        <v>6728</v>
      </c>
      <c r="D3626" s="44" t="s">
        <v>6729</v>
      </c>
      <c r="E3626" s="44"/>
      <c r="F3626" s="45">
        <v>42924.404039351852</v>
      </c>
      <c r="G3626" s="46">
        <v>14</v>
      </c>
      <c r="H3626" s="47">
        <v>43372</v>
      </c>
      <c r="I3626" s="47">
        <v>43426</v>
      </c>
      <c r="J3626" s="46">
        <v>660660</v>
      </c>
      <c r="K3626" s="46">
        <v>0</v>
      </c>
      <c r="L3626" s="46">
        <v>0</v>
      </c>
      <c r="M3626" s="46">
        <f t="shared" si="981"/>
        <v>660660</v>
      </c>
      <c r="N3626" s="46">
        <v>660660</v>
      </c>
      <c r="O3626" s="48">
        <f t="shared" si="982"/>
        <v>0</v>
      </c>
      <c r="P3626" s="46">
        <v>0</v>
      </c>
      <c r="Q3626" s="46">
        <v>660660</v>
      </c>
      <c r="R3626" s="49">
        <f t="shared" si="983"/>
        <v>1</v>
      </c>
      <c r="S3626" s="50">
        <f t="shared" si="984"/>
        <v>0.01</v>
      </c>
      <c r="T3626" s="49">
        <f t="shared" si="985"/>
        <v>6606.6</v>
      </c>
      <c r="U3626" s="51">
        <f t="shared" si="986"/>
        <v>0</v>
      </c>
      <c r="V3626" s="52">
        <f>IF(0&lt;0.8,0,IF(0&lt;1,Sheet3!L561,1))*IF(G3626&lt;3,0.12 - O3626,0.01) *U3626</f>
        <v>0</v>
      </c>
      <c r="W3626" s="52">
        <f t="shared" si="987"/>
        <v>0</v>
      </c>
      <c r="X3626" s="53">
        <f t="shared" si="988"/>
        <v>0</v>
      </c>
      <c r="Y3626" s="53">
        <f t="shared" si="989"/>
        <v>0</v>
      </c>
      <c r="Z3626" s="54">
        <f t="shared" si="999"/>
        <v>0</v>
      </c>
      <c r="AA3626" s="54">
        <f t="shared" si="990"/>
        <v>0</v>
      </c>
      <c r="AB3626" s="55">
        <f t="shared" si="1000"/>
        <v>0</v>
      </c>
      <c r="AC3626" s="55">
        <f t="shared" si="991"/>
        <v>0</v>
      </c>
      <c r="AD3626" s="56">
        <f t="shared" si="992"/>
        <v>6606.6</v>
      </c>
    </row>
    <row r="3627" spans="3:30">
      <c r="C3627" s="43" t="s">
        <v>6730</v>
      </c>
      <c r="D3627" s="44" t="s">
        <v>6731</v>
      </c>
      <c r="E3627" s="44"/>
      <c r="F3627" s="45">
        <v>42937.105324074073</v>
      </c>
      <c r="G3627" s="46">
        <v>14</v>
      </c>
      <c r="H3627" s="47">
        <v>43376</v>
      </c>
      <c r="I3627" s="47">
        <v>43453</v>
      </c>
      <c r="J3627" s="46">
        <v>795575</v>
      </c>
      <c r="K3627" s="46">
        <v>0</v>
      </c>
      <c r="L3627" s="46">
        <v>0</v>
      </c>
      <c r="M3627" s="46">
        <f t="shared" si="981"/>
        <v>795575</v>
      </c>
      <c r="N3627" s="46">
        <v>795575</v>
      </c>
      <c r="O3627" s="48">
        <f t="shared" si="982"/>
        <v>0</v>
      </c>
      <c r="P3627" s="46">
        <v>0</v>
      </c>
      <c r="Q3627" s="46">
        <v>795575</v>
      </c>
      <c r="R3627" s="49">
        <f t="shared" si="983"/>
        <v>1</v>
      </c>
      <c r="S3627" s="50">
        <f t="shared" si="984"/>
        <v>0.01</v>
      </c>
      <c r="T3627" s="49">
        <f t="shared" si="985"/>
        <v>7955.75</v>
      </c>
      <c r="U3627" s="51">
        <f t="shared" si="986"/>
        <v>0</v>
      </c>
      <c r="V3627" s="52">
        <f>IF(0&lt;0.8,0,IF(0&lt;1,Sheet3!L561,1))*IF(G3627&lt;3,0.12 - O3627,0.01) *U3627</f>
        <v>0</v>
      </c>
      <c r="W3627" s="52">
        <f t="shared" si="987"/>
        <v>0</v>
      </c>
      <c r="X3627" s="53">
        <f t="shared" si="988"/>
        <v>0</v>
      </c>
      <c r="Y3627" s="53">
        <f t="shared" si="989"/>
        <v>0</v>
      </c>
      <c r="Z3627" s="54">
        <f t="shared" si="999"/>
        <v>0</v>
      </c>
      <c r="AA3627" s="54">
        <f t="shared" si="990"/>
        <v>0</v>
      </c>
      <c r="AB3627" s="55">
        <f t="shared" si="1000"/>
        <v>0</v>
      </c>
      <c r="AC3627" s="55">
        <f t="shared" si="991"/>
        <v>0</v>
      </c>
      <c r="AD3627" s="56">
        <f t="shared" si="992"/>
        <v>7955.75</v>
      </c>
    </row>
    <row r="3628" spans="3:30">
      <c r="C3628" s="43" t="s">
        <v>6732</v>
      </c>
      <c r="D3628" s="44" t="s">
        <v>6733</v>
      </c>
      <c r="E3628" s="44"/>
      <c r="F3628" s="45">
        <v>43018.06653935185</v>
      </c>
      <c r="G3628" s="46">
        <v>11</v>
      </c>
      <c r="H3628" s="47">
        <v>43372</v>
      </c>
      <c r="I3628" s="47">
        <v>43462</v>
      </c>
      <c r="J3628" s="46">
        <v>287500</v>
      </c>
      <c r="K3628" s="46">
        <v>0</v>
      </c>
      <c r="L3628" s="46">
        <v>0</v>
      </c>
      <c r="M3628" s="46">
        <f t="shared" si="981"/>
        <v>287500</v>
      </c>
      <c r="N3628" s="46">
        <v>287500</v>
      </c>
      <c r="O3628" s="48">
        <f t="shared" si="982"/>
        <v>0</v>
      </c>
      <c r="P3628" s="46">
        <v>0</v>
      </c>
      <c r="Q3628" s="46">
        <v>287500</v>
      </c>
      <c r="R3628" s="49">
        <f t="shared" si="983"/>
        <v>1</v>
      </c>
      <c r="S3628" s="50">
        <f t="shared" si="984"/>
        <v>0.01</v>
      </c>
      <c r="T3628" s="49">
        <f t="shared" si="985"/>
        <v>2875</v>
      </c>
      <c r="U3628" s="51">
        <f t="shared" si="986"/>
        <v>0</v>
      </c>
      <c r="V3628" s="52">
        <f>IF(0&lt;0.8,0,IF(0&lt;1,Sheet3!L561,1))*IF(G3628&lt;3,0.12 - O3628,0.01) *U3628</f>
        <v>0</v>
      </c>
      <c r="W3628" s="52">
        <f t="shared" si="987"/>
        <v>0</v>
      </c>
      <c r="X3628" s="53">
        <f t="shared" si="988"/>
        <v>0</v>
      </c>
      <c r="Y3628" s="53">
        <f t="shared" si="989"/>
        <v>0</v>
      </c>
      <c r="Z3628" s="54">
        <f t="shared" si="999"/>
        <v>0</v>
      </c>
      <c r="AA3628" s="54">
        <f t="shared" si="990"/>
        <v>0</v>
      </c>
      <c r="AB3628" s="55">
        <f t="shared" si="1000"/>
        <v>0</v>
      </c>
      <c r="AC3628" s="55">
        <f t="shared" si="991"/>
        <v>0</v>
      </c>
      <c r="AD3628" s="56">
        <f t="shared" si="992"/>
        <v>2875</v>
      </c>
    </row>
    <row r="3629" spans="3:30">
      <c r="C3629" s="43" t="s">
        <v>6734</v>
      </c>
      <c r="D3629" s="44" t="s">
        <v>6735</v>
      </c>
      <c r="E3629" s="44"/>
      <c r="F3629" s="45">
        <v>43112.302187499998</v>
      </c>
      <c r="G3629" s="46">
        <v>8</v>
      </c>
      <c r="H3629" s="47">
        <v>43372</v>
      </c>
      <c r="I3629" s="47">
        <v>43385</v>
      </c>
      <c r="J3629" s="46">
        <v>586810</v>
      </c>
      <c r="K3629" s="46">
        <v>0</v>
      </c>
      <c r="L3629" s="46">
        <v>0</v>
      </c>
      <c r="M3629" s="46">
        <f t="shared" si="981"/>
        <v>586810</v>
      </c>
      <c r="N3629" s="46">
        <v>586810</v>
      </c>
      <c r="O3629" s="48">
        <f t="shared" si="982"/>
        <v>0</v>
      </c>
      <c r="P3629" s="46">
        <v>0</v>
      </c>
      <c r="Q3629" s="46">
        <v>586810</v>
      </c>
      <c r="R3629" s="49">
        <f t="shared" si="983"/>
        <v>1</v>
      </c>
      <c r="S3629" s="50">
        <f t="shared" si="984"/>
        <v>0.01</v>
      </c>
      <c r="T3629" s="49">
        <f t="shared" si="985"/>
        <v>5868.1</v>
      </c>
      <c r="U3629" s="51">
        <f t="shared" si="986"/>
        <v>0</v>
      </c>
      <c r="V3629" s="52">
        <f>IF(0&lt;0.8,0,IF(0&lt;1,Sheet3!L561,1))*IF(G3629&lt;3,0.12 - O3629,0.01) *U3629</f>
        <v>0</v>
      </c>
      <c r="W3629" s="52">
        <f t="shared" si="987"/>
        <v>0</v>
      </c>
      <c r="X3629" s="53">
        <f t="shared" si="988"/>
        <v>0</v>
      </c>
      <c r="Y3629" s="53">
        <f t="shared" si="989"/>
        <v>0</v>
      </c>
      <c r="Z3629" s="54">
        <f t="shared" si="999"/>
        <v>0</v>
      </c>
      <c r="AA3629" s="54">
        <f t="shared" si="990"/>
        <v>0</v>
      </c>
      <c r="AB3629" s="55">
        <f t="shared" si="1000"/>
        <v>0</v>
      </c>
      <c r="AC3629" s="55">
        <f t="shared" si="991"/>
        <v>0</v>
      </c>
      <c r="AD3629" s="56">
        <f t="shared" si="992"/>
        <v>5868.1</v>
      </c>
    </row>
    <row r="3630" spans="3:30">
      <c r="C3630" s="43" t="s">
        <v>6736</v>
      </c>
      <c r="D3630" s="44" t="s">
        <v>6737</v>
      </c>
      <c r="E3630" s="44"/>
      <c r="F3630" s="45">
        <v>43236.075868055552</v>
      </c>
      <c r="G3630" s="46">
        <v>4</v>
      </c>
      <c r="H3630" s="47">
        <v>43404</v>
      </c>
      <c r="I3630" s="47">
        <v>43431</v>
      </c>
      <c r="J3630" s="46">
        <v>1243396</v>
      </c>
      <c r="K3630" s="46">
        <v>0</v>
      </c>
      <c r="L3630" s="46">
        <v>0</v>
      </c>
      <c r="M3630" s="46">
        <f t="shared" si="981"/>
        <v>1243396</v>
      </c>
      <c r="N3630" s="46">
        <v>1243396</v>
      </c>
      <c r="O3630" s="48">
        <f t="shared" si="982"/>
        <v>0</v>
      </c>
      <c r="P3630" s="46">
        <v>0</v>
      </c>
      <c r="Q3630" s="46">
        <v>1393436</v>
      </c>
      <c r="R3630" s="49">
        <f t="shared" si="983"/>
        <v>1</v>
      </c>
      <c r="S3630" s="50">
        <f t="shared" si="984"/>
        <v>0.01</v>
      </c>
      <c r="T3630" s="49">
        <f t="shared" si="985"/>
        <v>12433.960000000001</v>
      </c>
      <c r="U3630" s="51">
        <f t="shared" si="986"/>
        <v>0</v>
      </c>
      <c r="V3630" s="52">
        <f>IF(0&lt;0.8,0,IF(0&lt;1,Sheet3!L561,1))*IF(G3630&lt;3,0.12 - O3630,0.01) *U3630</f>
        <v>0</v>
      </c>
      <c r="W3630" s="52">
        <f t="shared" si="987"/>
        <v>0</v>
      </c>
      <c r="X3630" s="53">
        <f t="shared" si="988"/>
        <v>0</v>
      </c>
      <c r="Y3630" s="53">
        <f t="shared" si="989"/>
        <v>0</v>
      </c>
      <c r="Z3630" s="54">
        <f t="shared" si="999"/>
        <v>0</v>
      </c>
      <c r="AA3630" s="54">
        <f t="shared" si="990"/>
        <v>0</v>
      </c>
      <c r="AB3630" s="55">
        <f t="shared" si="1000"/>
        <v>0</v>
      </c>
      <c r="AC3630" s="55">
        <f t="shared" si="991"/>
        <v>0</v>
      </c>
      <c r="AD3630" s="56">
        <f t="shared" si="992"/>
        <v>12433.960000000001</v>
      </c>
    </row>
    <row r="3631" spans="3:30">
      <c r="C3631" s="43" t="s">
        <v>6738</v>
      </c>
      <c r="D3631" s="44" t="s">
        <v>6739</v>
      </c>
      <c r="E3631" s="44"/>
      <c r="F3631" s="45">
        <v>43328.344398148147</v>
      </c>
      <c r="G3631" s="46">
        <v>1</v>
      </c>
      <c r="H3631" s="47">
        <v>43388</v>
      </c>
      <c r="I3631" s="47">
        <v>43391</v>
      </c>
      <c r="J3631" s="46">
        <v>1090540</v>
      </c>
      <c r="K3631" s="46">
        <v>0</v>
      </c>
      <c r="L3631" s="46">
        <v>0</v>
      </c>
      <c r="M3631" s="46">
        <f t="shared" si="981"/>
        <v>1090540</v>
      </c>
      <c r="N3631" s="46">
        <v>1199594</v>
      </c>
      <c r="O3631" s="48">
        <f t="shared" si="982"/>
        <v>9.0909090909090939E-2</v>
      </c>
      <c r="P3631" s="46">
        <v>0</v>
      </c>
      <c r="Q3631" s="46">
        <v>0</v>
      </c>
      <c r="R3631" s="49">
        <f t="shared" si="983"/>
        <v>0</v>
      </c>
      <c r="S3631" s="50">
        <f t="shared" si="984"/>
        <v>0</v>
      </c>
      <c r="T3631" s="49">
        <f t="shared" si="985"/>
        <v>0</v>
      </c>
      <c r="U3631" s="51">
        <f t="shared" si="986"/>
        <v>1090540</v>
      </c>
      <c r="V3631" s="52">
        <f>IF(0&lt;0.8,0,IF(0&lt;1,Sheet3!L561,1))*IF(G3631&lt;3,0.12 - O3631,0.01) *U3631</f>
        <v>0</v>
      </c>
      <c r="W3631" s="52">
        <f t="shared" si="987"/>
        <v>0</v>
      </c>
      <c r="X3631" s="53">
        <f t="shared" si="988"/>
        <v>0</v>
      </c>
      <c r="Y3631" s="53">
        <f t="shared" si="989"/>
        <v>0</v>
      </c>
      <c r="Z3631" s="54">
        <f t="shared" si="999"/>
        <v>0</v>
      </c>
      <c r="AA3631" s="54">
        <f t="shared" si="990"/>
        <v>0</v>
      </c>
      <c r="AB3631" s="55">
        <f t="shared" si="1000"/>
        <v>0</v>
      </c>
      <c r="AC3631" s="55">
        <f t="shared" si="991"/>
        <v>0</v>
      </c>
      <c r="AD3631" s="56">
        <f t="shared" si="992"/>
        <v>0</v>
      </c>
    </row>
    <row r="3632" spans="3:30">
      <c r="C3632" s="43" t="s">
        <v>6740</v>
      </c>
      <c r="D3632" s="44" t="s">
        <v>6741</v>
      </c>
      <c r="E3632" s="44"/>
      <c r="F3632" s="45">
        <v>43245.285752314812</v>
      </c>
      <c r="G3632" s="46">
        <v>4</v>
      </c>
      <c r="H3632" s="47" t="s">
        <v>24</v>
      </c>
      <c r="I3632" s="47" t="s">
        <v>24</v>
      </c>
      <c r="J3632" s="46">
        <v>0</v>
      </c>
      <c r="K3632" s="46">
        <v>0</v>
      </c>
      <c r="L3632" s="46">
        <v>0</v>
      </c>
      <c r="M3632" s="46">
        <f t="shared" si="981"/>
        <v>0</v>
      </c>
      <c r="N3632" s="46">
        <v>2485613</v>
      </c>
      <c r="O3632" s="48">
        <f t="shared" si="982"/>
        <v>1</v>
      </c>
      <c r="P3632" s="46">
        <v>0</v>
      </c>
      <c r="Q3632" s="46">
        <v>0</v>
      </c>
      <c r="R3632" s="49">
        <f t="shared" si="983"/>
        <v>1</v>
      </c>
      <c r="S3632" s="50">
        <f t="shared" si="984"/>
        <v>0.01</v>
      </c>
      <c r="T3632" s="49">
        <f t="shared" si="985"/>
        <v>0</v>
      </c>
      <c r="U3632" s="51">
        <f t="shared" si="986"/>
        <v>0</v>
      </c>
      <c r="V3632" s="52">
        <f>IF(0&lt;0.8,0,IF(0&lt;1,Sheet3!L561,1))*IF(G3632&lt;3,0.12 - O3632,0.01) *U3632</f>
        <v>0</v>
      </c>
      <c r="W3632" s="52">
        <f t="shared" si="987"/>
        <v>0</v>
      </c>
      <c r="X3632" s="53">
        <f t="shared" si="988"/>
        <v>0</v>
      </c>
      <c r="Y3632" s="53">
        <f t="shared" si="989"/>
        <v>0</v>
      </c>
      <c r="Z3632" s="54">
        <f>IF(R3632=1,0,"")</f>
        <v>0</v>
      </c>
      <c r="AA3632" s="54">
        <f t="shared" si="990"/>
        <v>0</v>
      </c>
      <c r="AB3632" s="55">
        <f>IF(R3632=0,"",0)</f>
        <v>0</v>
      </c>
      <c r="AC3632" s="55">
        <f t="shared" si="991"/>
        <v>0</v>
      </c>
      <c r="AD3632" s="56">
        <f t="shared" si="992"/>
        <v>0</v>
      </c>
    </row>
    <row r="3633" spans="3:30">
      <c r="C3633" s="43" t="s">
        <v>6742</v>
      </c>
      <c r="D3633" s="44" t="s">
        <v>995</v>
      </c>
      <c r="E3633" s="44"/>
      <c r="F3633" s="45">
        <v>43316.379803240736</v>
      </c>
      <c r="G3633" s="46">
        <v>1</v>
      </c>
      <c r="H3633" s="47">
        <v>43404</v>
      </c>
      <c r="I3633" s="47">
        <v>43430</v>
      </c>
      <c r="J3633" s="46">
        <v>1608810</v>
      </c>
      <c r="K3633" s="46">
        <v>0</v>
      </c>
      <c r="L3633" s="46">
        <v>0</v>
      </c>
      <c r="M3633" s="46">
        <f t="shared" si="981"/>
        <v>1608810</v>
      </c>
      <c r="N3633" s="46">
        <v>1893597</v>
      </c>
      <c r="O3633" s="48">
        <f t="shared" si="982"/>
        <v>0.1503947249599572</v>
      </c>
      <c r="P3633" s="46">
        <v>0</v>
      </c>
      <c r="Q3633" s="46">
        <v>0</v>
      </c>
      <c r="R3633" s="49">
        <f t="shared" si="983"/>
        <v>0</v>
      </c>
      <c r="S3633" s="50">
        <f t="shared" si="984"/>
        <v>0</v>
      </c>
      <c r="T3633" s="49">
        <f t="shared" si="985"/>
        <v>0</v>
      </c>
      <c r="U3633" s="51">
        <f t="shared" si="986"/>
        <v>0</v>
      </c>
      <c r="V3633" s="52">
        <f>IF(0&lt;0.8,0,IF(0&lt;1,Sheet3!L561,1))*IF(G3633&lt;3,0.12 - O3633,0.01) *U3633</f>
        <v>0</v>
      </c>
      <c r="W3633" s="52">
        <f t="shared" si="987"/>
        <v>0</v>
      </c>
      <c r="X3633" s="53">
        <f t="shared" si="988"/>
        <v>0</v>
      </c>
      <c r="Y3633" s="53">
        <f t="shared" si="989"/>
        <v>0</v>
      </c>
      <c r="Z3633" s="54">
        <f t="shared" ref="Z3633:Z3647" si="1001">IF(R3633=1,0,0)</f>
        <v>0</v>
      </c>
      <c r="AA3633" s="54">
        <f t="shared" si="990"/>
        <v>0</v>
      </c>
      <c r="AB3633" s="55">
        <f t="shared" ref="AB3633:AB3663" si="1002">IF(R3633=0,0,0)</f>
        <v>0</v>
      </c>
      <c r="AC3633" s="55">
        <f t="shared" si="991"/>
        <v>0</v>
      </c>
      <c r="AD3633" s="56">
        <f t="shared" si="992"/>
        <v>0</v>
      </c>
    </row>
    <row r="3634" spans="3:30">
      <c r="C3634" s="43" t="s">
        <v>6743</v>
      </c>
      <c r="D3634" s="44" t="s">
        <v>995</v>
      </c>
      <c r="E3634" s="44"/>
      <c r="F3634" s="45">
        <v>43316.380381944444</v>
      </c>
      <c r="G3634" s="46">
        <v>1</v>
      </c>
      <c r="H3634" s="47">
        <v>43404</v>
      </c>
      <c r="I3634" s="47">
        <v>43430</v>
      </c>
      <c r="J3634" s="46">
        <v>2431015</v>
      </c>
      <c r="K3634" s="46">
        <v>0</v>
      </c>
      <c r="L3634" s="46">
        <v>0</v>
      </c>
      <c r="M3634" s="46">
        <f t="shared" si="981"/>
        <v>2431015</v>
      </c>
      <c r="N3634" s="46">
        <v>2725814</v>
      </c>
      <c r="O3634" s="48">
        <f t="shared" si="982"/>
        <v>0.10815081293147666</v>
      </c>
      <c r="P3634" s="46">
        <v>0</v>
      </c>
      <c r="Q3634" s="46">
        <v>0</v>
      </c>
      <c r="R3634" s="49">
        <f t="shared" si="983"/>
        <v>0</v>
      </c>
      <c r="S3634" s="50">
        <f t="shared" si="984"/>
        <v>0</v>
      </c>
      <c r="T3634" s="49">
        <f t="shared" si="985"/>
        <v>0</v>
      </c>
      <c r="U3634" s="51">
        <f t="shared" si="986"/>
        <v>2431015</v>
      </c>
      <c r="V3634" s="52">
        <f>IF(0&lt;0.8,0,IF(0&lt;1,Sheet3!L561,1))*IF(G3634&lt;3,0.12 - O3634,0.01) *U3634</f>
        <v>0</v>
      </c>
      <c r="W3634" s="52">
        <f t="shared" si="987"/>
        <v>0</v>
      </c>
      <c r="X3634" s="53">
        <f t="shared" si="988"/>
        <v>0</v>
      </c>
      <c r="Y3634" s="53">
        <f t="shared" si="989"/>
        <v>0</v>
      </c>
      <c r="Z3634" s="54">
        <f t="shared" si="1001"/>
        <v>0</v>
      </c>
      <c r="AA3634" s="54">
        <f t="shared" si="990"/>
        <v>0</v>
      </c>
      <c r="AB3634" s="55">
        <f t="shared" si="1002"/>
        <v>0</v>
      </c>
      <c r="AC3634" s="55">
        <f t="shared" si="991"/>
        <v>0</v>
      </c>
      <c r="AD3634" s="56">
        <f t="shared" si="992"/>
        <v>0</v>
      </c>
    </row>
    <row r="3635" spans="3:30">
      <c r="C3635" s="43" t="s">
        <v>6744</v>
      </c>
      <c r="D3635" s="44" t="s">
        <v>995</v>
      </c>
      <c r="E3635" s="44"/>
      <c r="F3635" s="45">
        <v>43316.381689814814</v>
      </c>
      <c r="G3635" s="46">
        <v>1</v>
      </c>
      <c r="H3635" s="47">
        <v>43404</v>
      </c>
      <c r="I3635" s="47">
        <v>43430</v>
      </c>
      <c r="J3635" s="46">
        <v>1131818</v>
      </c>
      <c r="K3635" s="46">
        <v>0</v>
      </c>
      <c r="L3635" s="46">
        <v>0</v>
      </c>
      <c r="M3635" s="46">
        <f t="shared" ref="M3635:M3698" si="1003">IFERROR(J3635-K3635-L3635,0)</f>
        <v>1131818</v>
      </c>
      <c r="N3635" s="46">
        <v>1272755</v>
      </c>
      <c r="O3635" s="48">
        <f t="shared" ref="O3635:O3698" si="1004">IFERROR(IF(1 - M3635/N3635&lt;0,0,1-M3635/N3635),0)</f>
        <v>0.110733801870745</v>
      </c>
      <c r="P3635" s="46">
        <v>0</v>
      </c>
      <c r="Q3635" s="46">
        <v>0</v>
      </c>
      <c r="R3635" s="49">
        <f t="shared" ref="R3635:R3698" si="1005">IF(F3635&lt;DATEVALUE("2018-07-01"),1,0)</f>
        <v>0</v>
      </c>
      <c r="S3635" s="50">
        <f t="shared" ref="S3635:S3698" si="1006">IF(R3635=1,1%,0)</f>
        <v>0</v>
      </c>
      <c r="T3635" s="49">
        <f t="shared" ref="T3635:T3698" si="1007">IFERROR(S3635*M3635,0)</f>
        <v>0</v>
      </c>
      <c r="U3635" s="51">
        <f t="shared" ref="U3635:U3698" si="1008">IF(O3635&lt;=0.12,1,0)*(1-R3635)*M3635</f>
        <v>1131818</v>
      </c>
      <c r="V3635" s="52">
        <f>IF(0&lt;0.8,0,IF(0&lt;1,Sheet3!L561,1))*IF(G3635&lt;3,0.12 - O3635,0.01) *U3635</f>
        <v>0</v>
      </c>
      <c r="W3635" s="52">
        <f t="shared" ref="W3635:W3698" si="1009">IF(0&gt;1,IF(0&lt;=1.1,1,IF(0&lt;=1.2,2,IF(0&lt;=1.5,3,5))),0) * 1000000</f>
        <v>0</v>
      </c>
      <c r="X3635" s="53">
        <f t="shared" ref="X3635:X3698" si="1010">IF(AND(P3635&gt;=150000000,P3635&lt;300000000),5000000,IF(AND(P3635&gt;=300000000,P3635&lt;500000000),10000000,IF(AND(P3635&gt;=300000000,P3635&lt;500000000),15000000,IF(AND(P3635&gt;=500000000,P3635&lt;3000000000),20000000,IF(P3635&gt;=30000000000,35000000,0))))) * (1-R3635)</f>
        <v>0</v>
      </c>
      <c r="Y3635" s="53">
        <f t="shared" ref="Y3635:Y3698" si="1011">IFERROR(Q3635 * (1-R3635),0)</f>
        <v>0</v>
      </c>
      <c r="Z3635" s="54">
        <f t="shared" si="1001"/>
        <v>0</v>
      </c>
      <c r="AA3635" s="54">
        <f t="shared" ref="AA3635:AA3698" si="1012">IFERROR((1-R3635) * Z3635 * 2%,0)</f>
        <v>0</v>
      </c>
      <c r="AB3635" s="55">
        <f t="shared" si="1002"/>
        <v>0</v>
      </c>
      <c r="AC3635" s="55">
        <f t="shared" ref="AC3635:AC3698" si="1013">IFERROR(AB3635 * (1-R3635) * 2%,0)</f>
        <v>0</v>
      </c>
      <c r="AD3635" s="56">
        <f t="shared" ref="AD3635:AD3698" si="1014">T3635+V3635+W3635+X3635+AA3635+AC3635</f>
        <v>0</v>
      </c>
    </row>
    <row r="3636" spans="3:30">
      <c r="C3636" s="43" t="s">
        <v>6745</v>
      </c>
      <c r="D3636" s="44" t="s">
        <v>995</v>
      </c>
      <c r="E3636" s="44"/>
      <c r="F3636" s="45">
        <v>43316.382685185185</v>
      </c>
      <c r="G3636" s="46">
        <v>1</v>
      </c>
      <c r="H3636" s="47">
        <v>43404</v>
      </c>
      <c r="I3636" s="47">
        <v>43430</v>
      </c>
      <c r="J3636" s="46">
        <v>887809</v>
      </c>
      <c r="K3636" s="46">
        <v>0</v>
      </c>
      <c r="L3636" s="46">
        <v>0</v>
      </c>
      <c r="M3636" s="46">
        <f t="shared" si="1003"/>
        <v>887809</v>
      </c>
      <c r="N3636" s="46">
        <v>977863</v>
      </c>
      <c r="O3636" s="48">
        <f t="shared" si="1004"/>
        <v>9.2092655106083332E-2</v>
      </c>
      <c r="P3636" s="46">
        <v>0</v>
      </c>
      <c r="Q3636" s="46">
        <v>0</v>
      </c>
      <c r="R3636" s="49">
        <f t="shared" si="1005"/>
        <v>0</v>
      </c>
      <c r="S3636" s="50">
        <f t="shared" si="1006"/>
        <v>0</v>
      </c>
      <c r="T3636" s="49">
        <f t="shared" si="1007"/>
        <v>0</v>
      </c>
      <c r="U3636" s="51">
        <f t="shared" si="1008"/>
        <v>887809</v>
      </c>
      <c r="V3636" s="52">
        <f>IF(0&lt;0.8,0,IF(0&lt;1,Sheet3!L561,1))*IF(G3636&lt;3,0.12 - O3636,0.01) *U3636</f>
        <v>0</v>
      </c>
      <c r="W3636" s="52">
        <f t="shared" si="1009"/>
        <v>0</v>
      </c>
      <c r="X3636" s="53">
        <f t="shared" si="1010"/>
        <v>0</v>
      </c>
      <c r="Y3636" s="53">
        <f t="shared" si="1011"/>
        <v>0</v>
      </c>
      <c r="Z3636" s="54">
        <f t="shared" si="1001"/>
        <v>0</v>
      </c>
      <c r="AA3636" s="54">
        <f t="shared" si="1012"/>
        <v>0</v>
      </c>
      <c r="AB3636" s="55">
        <f t="shared" si="1002"/>
        <v>0</v>
      </c>
      <c r="AC3636" s="55">
        <f t="shared" si="1013"/>
        <v>0</v>
      </c>
      <c r="AD3636" s="56">
        <f t="shared" si="1014"/>
        <v>0</v>
      </c>
    </row>
    <row r="3637" spans="3:30">
      <c r="C3637" s="43" t="s">
        <v>6746</v>
      </c>
      <c r="D3637" s="44" t="s">
        <v>995</v>
      </c>
      <c r="E3637" s="44"/>
      <c r="F3637" s="45">
        <v>43316.38318287037</v>
      </c>
      <c r="G3637" s="46">
        <v>1</v>
      </c>
      <c r="H3637" s="47">
        <v>43404</v>
      </c>
      <c r="I3637" s="47">
        <v>43430</v>
      </c>
      <c r="J3637" s="46">
        <v>704386</v>
      </c>
      <c r="K3637" s="46">
        <v>0</v>
      </c>
      <c r="L3637" s="46">
        <v>0</v>
      </c>
      <c r="M3637" s="46">
        <f t="shared" si="1003"/>
        <v>704386</v>
      </c>
      <c r="N3637" s="46">
        <v>919371</v>
      </c>
      <c r="O3637" s="48">
        <f t="shared" si="1004"/>
        <v>0.23383922268594504</v>
      </c>
      <c r="P3637" s="46">
        <v>0</v>
      </c>
      <c r="Q3637" s="46">
        <v>0</v>
      </c>
      <c r="R3637" s="49">
        <f t="shared" si="1005"/>
        <v>0</v>
      </c>
      <c r="S3637" s="50">
        <f t="shared" si="1006"/>
        <v>0</v>
      </c>
      <c r="T3637" s="49">
        <f t="shared" si="1007"/>
        <v>0</v>
      </c>
      <c r="U3637" s="51">
        <f t="shared" si="1008"/>
        <v>0</v>
      </c>
      <c r="V3637" s="52">
        <f>IF(0&lt;0.8,0,IF(0&lt;1,Sheet3!L561,1))*IF(G3637&lt;3,0.12 - O3637,0.01) *U3637</f>
        <v>0</v>
      </c>
      <c r="W3637" s="52">
        <f t="shared" si="1009"/>
        <v>0</v>
      </c>
      <c r="X3637" s="53">
        <f t="shared" si="1010"/>
        <v>0</v>
      </c>
      <c r="Y3637" s="53">
        <f t="shared" si="1011"/>
        <v>0</v>
      </c>
      <c r="Z3637" s="54">
        <f t="shared" si="1001"/>
        <v>0</v>
      </c>
      <c r="AA3637" s="54">
        <f t="shared" si="1012"/>
        <v>0</v>
      </c>
      <c r="AB3637" s="55">
        <f t="shared" si="1002"/>
        <v>0</v>
      </c>
      <c r="AC3637" s="55">
        <f t="shared" si="1013"/>
        <v>0</v>
      </c>
      <c r="AD3637" s="56">
        <f t="shared" si="1014"/>
        <v>0</v>
      </c>
    </row>
    <row r="3638" spans="3:30">
      <c r="C3638" s="43" t="s">
        <v>6747</v>
      </c>
      <c r="D3638" s="44" t="s">
        <v>6748</v>
      </c>
      <c r="E3638" s="44"/>
      <c r="F3638" s="45">
        <v>41822.460486111107</v>
      </c>
      <c r="G3638" s="46">
        <v>50</v>
      </c>
      <c r="H3638" s="47">
        <v>43396</v>
      </c>
      <c r="I3638" s="47">
        <v>43412</v>
      </c>
      <c r="J3638" s="46">
        <v>1739213</v>
      </c>
      <c r="K3638" s="46">
        <v>0</v>
      </c>
      <c r="L3638" s="46">
        <v>0</v>
      </c>
      <c r="M3638" s="46">
        <f t="shared" si="1003"/>
        <v>1739213</v>
      </c>
      <c r="N3638" s="46">
        <v>2259888</v>
      </c>
      <c r="O3638" s="48">
        <f t="shared" si="1004"/>
        <v>0.23039858612462205</v>
      </c>
      <c r="P3638" s="46">
        <v>0</v>
      </c>
      <c r="Q3638" s="46">
        <v>1739213</v>
      </c>
      <c r="R3638" s="49">
        <f t="shared" si="1005"/>
        <v>1</v>
      </c>
      <c r="S3638" s="50">
        <f t="shared" si="1006"/>
        <v>0.01</v>
      </c>
      <c r="T3638" s="49">
        <f t="shared" si="1007"/>
        <v>17392.13</v>
      </c>
      <c r="U3638" s="51">
        <f t="shared" si="1008"/>
        <v>0</v>
      </c>
      <c r="V3638" s="52">
        <f>IF(0&lt;0.8,0,IF(0&lt;1,Sheet3!L561,1))*IF(G3638&lt;3,0.12 - O3638,0.01) *U3638</f>
        <v>0</v>
      </c>
      <c r="W3638" s="52">
        <f t="shared" si="1009"/>
        <v>0</v>
      </c>
      <c r="X3638" s="53">
        <f t="shared" si="1010"/>
        <v>0</v>
      </c>
      <c r="Y3638" s="53">
        <f t="shared" si="1011"/>
        <v>0</v>
      </c>
      <c r="Z3638" s="54">
        <f t="shared" si="1001"/>
        <v>0</v>
      </c>
      <c r="AA3638" s="54">
        <f t="shared" si="1012"/>
        <v>0</v>
      </c>
      <c r="AB3638" s="55">
        <f t="shared" si="1002"/>
        <v>0</v>
      </c>
      <c r="AC3638" s="55">
        <f t="shared" si="1013"/>
        <v>0</v>
      </c>
      <c r="AD3638" s="56">
        <f t="shared" si="1014"/>
        <v>17392.13</v>
      </c>
    </row>
    <row r="3639" spans="3:30">
      <c r="C3639" s="43" t="s">
        <v>6749</v>
      </c>
      <c r="D3639" s="44" t="s">
        <v>6750</v>
      </c>
      <c r="E3639" s="44"/>
      <c r="F3639" s="45">
        <v>42114.605439814812</v>
      </c>
      <c r="G3639" s="46">
        <v>41</v>
      </c>
      <c r="H3639" s="47">
        <v>43375</v>
      </c>
      <c r="I3639" s="47">
        <v>43425</v>
      </c>
      <c r="J3639" s="46">
        <v>1333515</v>
      </c>
      <c r="K3639" s="46">
        <v>0</v>
      </c>
      <c r="L3639" s="46">
        <v>0</v>
      </c>
      <c r="M3639" s="46">
        <f t="shared" si="1003"/>
        <v>1333515</v>
      </c>
      <c r="N3639" s="46">
        <v>1333515</v>
      </c>
      <c r="O3639" s="48">
        <f t="shared" si="1004"/>
        <v>0</v>
      </c>
      <c r="P3639" s="46">
        <v>0</v>
      </c>
      <c r="Q3639" s="46">
        <v>1333515</v>
      </c>
      <c r="R3639" s="49">
        <f t="shared" si="1005"/>
        <v>1</v>
      </c>
      <c r="S3639" s="50">
        <f t="shared" si="1006"/>
        <v>0.01</v>
      </c>
      <c r="T3639" s="49">
        <f t="shared" si="1007"/>
        <v>13335.15</v>
      </c>
      <c r="U3639" s="51">
        <f t="shared" si="1008"/>
        <v>0</v>
      </c>
      <c r="V3639" s="52">
        <f>IF(0&lt;0.8,0,IF(0&lt;1,Sheet3!L561,1))*IF(G3639&lt;3,0.12 - O3639,0.01) *U3639</f>
        <v>0</v>
      </c>
      <c r="W3639" s="52">
        <f t="shared" si="1009"/>
        <v>0</v>
      </c>
      <c r="X3639" s="53">
        <f t="shared" si="1010"/>
        <v>0</v>
      </c>
      <c r="Y3639" s="53">
        <f t="shared" si="1011"/>
        <v>0</v>
      </c>
      <c r="Z3639" s="54">
        <f t="shared" si="1001"/>
        <v>0</v>
      </c>
      <c r="AA3639" s="54">
        <f t="shared" si="1012"/>
        <v>0</v>
      </c>
      <c r="AB3639" s="55">
        <f t="shared" si="1002"/>
        <v>0</v>
      </c>
      <c r="AC3639" s="55">
        <f t="shared" si="1013"/>
        <v>0</v>
      </c>
      <c r="AD3639" s="56">
        <f t="shared" si="1014"/>
        <v>13335.15</v>
      </c>
    </row>
    <row r="3640" spans="3:30">
      <c r="C3640" s="43" t="s">
        <v>6751</v>
      </c>
      <c r="D3640" s="44" t="s">
        <v>6752</v>
      </c>
      <c r="E3640" s="44"/>
      <c r="F3640" s="45">
        <v>42181.366631944446</v>
      </c>
      <c r="G3640" s="46">
        <v>39</v>
      </c>
      <c r="H3640" s="47">
        <v>43396</v>
      </c>
      <c r="I3640" s="47">
        <v>43412</v>
      </c>
      <c r="J3640" s="46">
        <v>541393</v>
      </c>
      <c r="K3640" s="46">
        <v>0</v>
      </c>
      <c r="L3640" s="46">
        <v>0</v>
      </c>
      <c r="M3640" s="46">
        <f t="shared" si="1003"/>
        <v>541393</v>
      </c>
      <c r="N3640" s="46">
        <v>750812</v>
      </c>
      <c r="O3640" s="48">
        <f t="shared" si="1004"/>
        <v>0.27892335231722454</v>
      </c>
      <c r="P3640" s="46">
        <v>0</v>
      </c>
      <c r="Q3640" s="46">
        <v>541393</v>
      </c>
      <c r="R3640" s="49">
        <f t="shared" si="1005"/>
        <v>1</v>
      </c>
      <c r="S3640" s="50">
        <f t="shared" si="1006"/>
        <v>0.01</v>
      </c>
      <c r="T3640" s="49">
        <f t="shared" si="1007"/>
        <v>5413.93</v>
      </c>
      <c r="U3640" s="51">
        <f t="shared" si="1008"/>
        <v>0</v>
      </c>
      <c r="V3640" s="52">
        <f>IF(0&lt;0.8,0,IF(0&lt;1,Sheet3!L561,1))*IF(G3640&lt;3,0.12 - O3640,0.01) *U3640</f>
        <v>0</v>
      </c>
      <c r="W3640" s="52">
        <f t="shared" si="1009"/>
        <v>0</v>
      </c>
      <c r="X3640" s="53">
        <f t="shared" si="1010"/>
        <v>0</v>
      </c>
      <c r="Y3640" s="53">
        <f t="shared" si="1011"/>
        <v>0</v>
      </c>
      <c r="Z3640" s="54">
        <f t="shared" si="1001"/>
        <v>0</v>
      </c>
      <c r="AA3640" s="54">
        <f t="shared" si="1012"/>
        <v>0</v>
      </c>
      <c r="AB3640" s="55">
        <f t="shared" si="1002"/>
        <v>0</v>
      </c>
      <c r="AC3640" s="55">
        <f t="shared" si="1013"/>
        <v>0</v>
      </c>
      <c r="AD3640" s="56">
        <f t="shared" si="1014"/>
        <v>5413.93</v>
      </c>
    </row>
    <row r="3641" spans="3:30">
      <c r="C3641" s="43" t="s">
        <v>6753</v>
      </c>
      <c r="D3641" s="44" t="s">
        <v>6754</v>
      </c>
      <c r="E3641" s="44"/>
      <c r="F3641" s="45">
        <v>42271.355347222219</v>
      </c>
      <c r="G3641" s="46">
        <v>36</v>
      </c>
      <c r="H3641" s="47">
        <v>43384</v>
      </c>
      <c r="I3641" s="47">
        <v>43425</v>
      </c>
      <c r="J3641" s="46">
        <v>367689</v>
      </c>
      <c r="K3641" s="46">
        <v>0</v>
      </c>
      <c r="L3641" s="46">
        <v>0</v>
      </c>
      <c r="M3641" s="46">
        <f t="shared" si="1003"/>
        <v>367689</v>
      </c>
      <c r="N3641" s="46">
        <v>367689</v>
      </c>
      <c r="O3641" s="48">
        <f t="shared" si="1004"/>
        <v>0</v>
      </c>
      <c r="P3641" s="46">
        <v>0</v>
      </c>
      <c r="Q3641" s="46">
        <v>367689</v>
      </c>
      <c r="R3641" s="49">
        <f t="shared" si="1005"/>
        <v>1</v>
      </c>
      <c r="S3641" s="50">
        <f t="shared" si="1006"/>
        <v>0.01</v>
      </c>
      <c r="T3641" s="49">
        <f t="shared" si="1007"/>
        <v>3676.89</v>
      </c>
      <c r="U3641" s="51">
        <f t="shared" si="1008"/>
        <v>0</v>
      </c>
      <c r="V3641" s="52">
        <f>IF(0&lt;0.8,0,IF(0&lt;1,Sheet3!L561,1))*IF(G3641&lt;3,0.12 - O3641,0.01) *U3641</f>
        <v>0</v>
      </c>
      <c r="W3641" s="52">
        <f t="shared" si="1009"/>
        <v>0</v>
      </c>
      <c r="X3641" s="53">
        <f t="shared" si="1010"/>
        <v>0</v>
      </c>
      <c r="Y3641" s="53">
        <f t="shared" si="1011"/>
        <v>0</v>
      </c>
      <c r="Z3641" s="54">
        <f t="shared" si="1001"/>
        <v>0</v>
      </c>
      <c r="AA3641" s="54">
        <f t="shared" si="1012"/>
        <v>0</v>
      </c>
      <c r="AB3641" s="55">
        <f t="shared" si="1002"/>
        <v>0</v>
      </c>
      <c r="AC3641" s="55">
        <f t="shared" si="1013"/>
        <v>0</v>
      </c>
      <c r="AD3641" s="56">
        <f t="shared" si="1014"/>
        <v>3676.89</v>
      </c>
    </row>
    <row r="3642" spans="3:30">
      <c r="C3642" s="43" t="s">
        <v>6755</v>
      </c>
      <c r="D3642" s="44" t="s">
        <v>6756</v>
      </c>
      <c r="E3642" s="44"/>
      <c r="F3642" s="45">
        <v>42378.391597222224</v>
      </c>
      <c r="G3642" s="46">
        <v>32</v>
      </c>
      <c r="H3642" s="47">
        <v>43375</v>
      </c>
      <c r="I3642" s="47">
        <v>43427</v>
      </c>
      <c r="J3642" s="46">
        <v>226407</v>
      </c>
      <c r="K3642" s="46">
        <v>0</v>
      </c>
      <c r="L3642" s="46">
        <v>0</v>
      </c>
      <c r="M3642" s="46">
        <f t="shared" si="1003"/>
        <v>226407</v>
      </c>
      <c r="N3642" s="46">
        <v>226407</v>
      </c>
      <c r="O3642" s="48">
        <f t="shared" si="1004"/>
        <v>0</v>
      </c>
      <c r="P3642" s="46">
        <v>0</v>
      </c>
      <c r="Q3642" s="46">
        <v>226407</v>
      </c>
      <c r="R3642" s="49">
        <f t="shared" si="1005"/>
        <v>1</v>
      </c>
      <c r="S3642" s="50">
        <f t="shared" si="1006"/>
        <v>0.01</v>
      </c>
      <c r="T3642" s="49">
        <f t="shared" si="1007"/>
        <v>2264.0700000000002</v>
      </c>
      <c r="U3642" s="51">
        <f t="shared" si="1008"/>
        <v>0</v>
      </c>
      <c r="V3642" s="52">
        <f>IF(0&lt;0.8,0,IF(0&lt;1,Sheet3!L561,1))*IF(G3642&lt;3,0.12 - O3642,0.01) *U3642</f>
        <v>0</v>
      </c>
      <c r="W3642" s="52">
        <f t="shared" si="1009"/>
        <v>0</v>
      </c>
      <c r="X3642" s="53">
        <f t="shared" si="1010"/>
        <v>0</v>
      </c>
      <c r="Y3642" s="53">
        <f t="shared" si="1011"/>
        <v>0</v>
      </c>
      <c r="Z3642" s="54">
        <f t="shared" si="1001"/>
        <v>0</v>
      </c>
      <c r="AA3642" s="54">
        <f t="shared" si="1012"/>
        <v>0</v>
      </c>
      <c r="AB3642" s="55">
        <f t="shared" si="1002"/>
        <v>0</v>
      </c>
      <c r="AC3642" s="55">
        <f t="shared" si="1013"/>
        <v>0</v>
      </c>
      <c r="AD3642" s="56">
        <f t="shared" si="1014"/>
        <v>2264.0700000000002</v>
      </c>
    </row>
    <row r="3643" spans="3:30">
      <c r="C3643" s="43" t="s">
        <v>6757</v>
      </c>
      <c r="D3643" s="44" t="s">
        <v>6758</v>
      </c>
      <c r="E3643" s="44"/>
      <c r="F3643" s="45">
        <v>42437.666585648149</v>
      </c>
      <c r="G3643" s="46">
        <v>30</v>
      </c>
      <c r="H3643" s="47">
        <v>43375</v>
      </c>
      <c r="I3643" s="47">
        <v>43427</v>
      </c>
      <c r="J3643" s="46">
        <v>396608</v>
      </c>
      <c r="K3643" s="46">
        <v>0</v>
      </c>
      <c r="L3643" s="46">
        <v>0</v>
      </c>
      <c r="M3643" s="46">
        <f t="shared" si="1003"/>
        <v>396608</v>
      </c>
      <c r="N3643" s="46">
        <v>396608</v>
      </c>
      <c r="O3643" s="48">
        <f t="shared" si="1004"/>
        <v>0</v>
      </c>
      <c r="P3643" s="46">
        <v>0</v>
      </c>
      <c r="Q3643" s="46">
        <v>396608</v>
      </c>
      <c r="R3643" s="49">
        <f t="shared" si="1005"/>
        <v>1</v>
      </c>
      <c r="S3643" s="50">
        <f t="shared" si="1006"/>
        <v>0.01</v>
      </c>
      <c r="T3643" s="49">
        <f t="shared" si="1007"/>
        <v>3966.08</v>
      </c>
      <c r="U3643" s="51">
        <f t="shared" si="1008"/>
        <v>0</v>
      </c>
      <c r="V3643" s="52">
        <f>IF(0&lt;0.8,0,IF(0&lt;1,Sheet3!L561,1))*IF(G3643&lt;3,0.12 - O3643,0.01) *U3643</f>
        <v>0</v>
      </c>
      <c r="W3643" s="52">
        <f t="shared" si="1009"/>
        <v>0</v>
      </c>
      <c r="X3643" s="53">
        <f t="shared" si="1010"/>
        <v>0</v>
      </c>
      <c r="Y3643" s="53">
        <f t="shared" si="1011"/>
        <v>0</v>
      </c>
      <c r="Z3643" s="54">
        <f t="shared" si="1001"/>
        <v>0</v>
      </c>
      <c r="AA3643" s="54">
        <f t="shared" si="1012"/>
        <v>0</v>
      </c>
      <c r="AB3643" s="55">
        <f t="shared" si="1002"/>
        <v>0</v>
      </c>
      <c r="AC3643" s="55">
        <f t="shared" si="1013"/>
        <v>0</v>
      </c>
      <c r="AD3643" s="56">
        <f t="shared" si="1014"/>
        <v>3966.08</v>
      </c>
    </row>
    <row r="3644" spans="3:30">
      <c r="C3644" s="43" t="s">
        <v>6759</v>
      </c>
      <c r="D3644" s="44" t="s">
        <v>6760</v>
      </c>
      <c r="E3644" s="44"/>
      <c r="F3644" s="45">
        <v>42593.396249999998</v>
      </c>
      <c r="G3644" s="46">
        <v>25</v>
      </c>
      <c r="H3644" s="47">
        <v>43375</v>
      </c>
      <c r="I3644" s="47">
        <v>43468</v>
      </c>
      <c r="J3644" s="46">
        <v>14383600</v>
      </c>
      <c r="K3644" s="46">
        <v>0</v>
      </c>
      <c r="L3644" s="46">
        <v>0</v>
      </c>
      <c r="M3644" s="46">
        <f t="shared" si="1003"/>
        <v>14383600</v>
      </c>
      <c r="N3644" s="46">
        <v>17065961</v>
      </c>
      <c r="O3644" s="48">
        <f t="shared" si="1004"/>
        <v>0.15717608870663657</v>
      </c>
      <c r="P3644" s="46">
        <v>0</v>
      </c>
      <c r="Q3644" s="46">
        <v>14383600</v>
      </c>
      <c r="R3644" s="49">
        <f t="shared" si="1005"/>
        <v>1</v>
      </c>
      <c r="S3644" s="50">
        <f t="shared" si="1006"/>
        <v>0.01</v>
      </c>
      <c r="T3644" s="49">
        <f t="shared" si="1007"/>
        <v>143836</v>
      </c>
      <c r="U3644" s="51">
        <f t="shared" si="1008"/>
        <v>0</v>
      </c>
      <c r="V3644" s="52">
        <f>IF(0&lt;0.8,0,IF(0&lt;1,Sheet3!L561,1))*IF(G3644&lt;3,0.12 - O3644,0.01) *U3644</f>
        <v>0</v>
      </c>
      <c r="W3644" s="52">
        <f t="shared" si="1009"/>
        <v>0</v>
      </c>
      <c r="X3644" s="53">
        <f t="shared" si="1010"/>
        <v>0</v>
      </c>
      <c r="Y3644" s="53">
        <f t="shared" si="1011"/>
        <v>0</v>
      </c>
      <c r="Z3644" s="54">
        <f t="shared" si="1001"/>
        <v>0</v>
      </c>
      <c r="AA3644" s="54">
        <f t="shared" si="1012"/>
        <v>0</v>
      </c>
      <c r="AB3644" s="55">
        <f t="shared" si="1002"/>
        <v>0</v>
      </c>
      <c r="AC3644" s="55">
        <f t="shared" si="1013"/>
        <v>0</v>
      </c>
      <c r="AD3644" s="56">
        <f t="shared" si="1014"/>
        <v>143836</v>
      </c>
    </row>
    <row r="3645" spans="3:30">
      <c r="C3645" s="43" t="s">
        <v>6761</v>
      </c>
      <c r="D3645" s="44" t="s">
        <v>6762</v>
      </c>
      <c r="E3645" s="44"/>
      <c r="F3645" s="45">
        <v>42598.196006944439</v>
      </c>
      <c r="G3645" s="46">
        <v>25</v>
      </c>
      <c r="H3645" s="47">
        <v>43375</v>
      </c>
      <c r="I3645" s="47">
        <v>43406</v>
      </c>
      <c r="J3645" s="46">
        <v>473743</v>
      </c>
      <c r="K3645" s="46">
        <v>0</v>
      </c>
      <c r="L3645" s="46">
        <v>0</v>
      </c>
      <c r="M3645" s="46">
        <f t="shared" si="1003"/>
        <v>473743</v>
      </c>
      <c r="N3645" s="46">
        <v>473743</v>
      </c>
      <c r="O3645" s="48">
        <f t="shared" si="1004"/>
        <v>0</v>
      </c>
      <c r="P3645" s="46">
        <v>0</v>
      </c>
      <c r="Q3645" s="46">
        <v>473743</v>
      </c>
      <c r="R3645" s="49">
        <f t="shared" si="1005"/>
        <v>1</v>
      </c>
      <c r="S3645" s="50">
        <f t="shared" si="1006"/>
        <v>0.01</v>
      </c>
      <c r="T3645" s="49">
        <f t="shared" si="1007"/>
        <v>4737.43</v>
      </c>
      <c r="U3645" s="51">
        <f t="shared" si="1008"/>
        <v>0</v>
      </c>
      <c r="V3645" s="52">
        <f>IF(0&lt;0.8,0,IF(0&lt;1,Sheet3!L561,1))*IF(G3645&lt;3,0.12 - O3645,0.01) *U3645</f>
        <v>0</v>
      </c>
      <c r="W3645" s="52">
        <f t="shared" si="1009"/>
        <v>0</v>
      </c>
      <c r="X3645" s="53">
        <f t="shared" si="1010"/>
        <v>0</v>
      </c>
      <c r="Y3645" s="53">
        <f t="shared" si="1011"/>
        <v>0</v>
      </c>
      <c r="Z3645" s="54">
        <f t="shared" si="1001"/>
        <v>0</v>
      </c>
      <c r="AA3645" s="54">
        <f t="shared" si="1012"/>
        <v>0</v>
      </c>
      <c r="AB3645" s="55">
        <f t="shared" si="1002"/>
        <v>0</v>
      </c>
      <c r="AC3645" s="55">
        <f t="shared" si="1013"/>
        <v>0</v>
      </c>
      <c r="AD3645" s="56">
        <f t="shared" si="1014"/>
        <v>4737.43</v>
      </c>
    </row>
    <row r="3646" spans="3:30">
      <c r="C3646" s="43" t="s">
        <v>6763</v>
      </c>
      <c r="D3646" s="44" t="s">
        <v>6764</v>
      </c>
      <c r="E3646" s="44"/>
      <c r="F3646" s="45">
        <v>42671.123668981483</v>
      </c>
      <c r="G3646" s="46">
        <v>23</v>
      </c>
      <c r="H3646" s="47">
        <v>43372</v>
      </c>
      <c r="I3646" s="47">
        <v>43382</v>
      </c>
      <c r="J3646" s="46">
        <v>19763200</v>
      </c>
      <c r="K3646" s="46">
        <v>0</v>
      </c>
      <c r="L3646" s="46">
        <v>0</v>
      </c>
      <c r="M3646" s="46">
        <f t="shared" si="1003"/>
        <v>19763200</v>
      </c>
      <c r="N3646" s="46">
        <v>59191048</v>
      </c>
      <c r="O3646" s="48">
        <f t="shared" si="1004"/>
        <v>0.66611167283268924</v>
      </c>
      <c r="P3646" s="46">
        <v>0</v>
      </c>
      <c r="Q3646" s="46">
        <v>19763200</v>
      </c>
      <c r="R3646" s="49">
        <f t="shared" si="1005"/>
        <v>1</v>
      </c>
      <c r="S3646" s="50">
        <f t="shared" si="1006"/>
        <v>0.01</v>
      </c>
      <c r="T3646" s="49">
        <f t="shared" si="1007"/>
        <v>197632</v>
      </c>
      <c r="U3646" s="51">
        <f t="shared" si="1008"/>
        <v>0</v>
      </c>
      <c r="V3646" s="52">
        <f>IF(0&lt;0.8,0,IF(0&lt;1,Sheet3!L561,1))*IF(G3646&lt;3,0.12 - O3646,0.01) *U3646</f>
        <v>0</v>
      </c>
      <c r="W3646" s="52">
        <f t="shared" si="1009"/>
        <v>0</v>
      </c>
      <c r="X3646" s="53">
        <f t="shared" si="1010"/>
        <v>0</v>
      </c>
      <c r="Y3646" s="53">
        <f t="shared" si="1011"/>
        <v>0</v>
      </c>
      <c r="Z3646" s="54">
        <f t="shared" si="1001"/>
        <v>0</v>
      </c>
      <c r="AA3646" s="54">
        <f t="shared" si="1012"/>
        <v>0</v>
      </c>
      <c r="AB3646" s="55">
        <f t="shared" si="1002"/>
        <v>0</v>
      </c>
      <c r="AC3646" s="55">
        <f t="shared" si="1013"/>
        <v>0</v>
      </c>
      <c r="AD3646" s="56">
        <f t="shared" si="1014"/>
        <v>197632</v>
      </c>
    </row>
    <row r="3647" spans="3:30">
      <c r="C3647" s="43" t="s">
        <v>6765</v>
      </c>
      <c r="D3647" s="44" t="s">
        <v>6766</v>
      </c>
      <c r="E3647" s="44"/>
      <c r="F3647" s="45">
        <v>42795.41201388889</v>
      </c>
      <c r="G3647" s="46">
        <v>18</v>
      </c>
      <c r="H3647" s="47">
        <v>43375</v>
      </c>
      <c r="I3647" s="47">
        <v>43427</v>
      </c>
      <c r="J3647" s="46">
        <v>103985</v>
      </c>
      <c r="K3647" s="46">
        <v>0</v>
      </c>
      <c r="L3647" s="46">
        <v>0</v>
      </c>
      <c r="M3647" s="46">
        <f t="shared" si="1003"/>
        <v>103985</v>
      </c>
      <c r="N3647" s="46">
        <v>103985</v>
      </c>
      <c r="O3647" s="48">
        <f t="shared" si="1004"/>
        <v>0</v>
      </c>
      <c r="P3647" s="46">
        <v>0</v>
      </c>
      <c r="Q3647" s="46">
        <v>103985</v>
      </c>
      <c r="R3647" s="49">
        <f t="shared" si="1005"/>
        <v>1</v>
      </c>
      <c r="S3647" s="50">
        <f t="shared" si="1006"/>
        <v>0.01</v>
      </c>
      <c r="T3647" s="49">
        <f t="shared" si="1007"/>
        <v>1039.8499999999999</v>
      </c>
      <c r="U3647" s="51">
        <f t="shared" si="1008"/>
        <v>0</v>
      </c>
      <c r="V3647" s="52">
        <f>IF(0&lt;0.8,0,IF(0&lt;1,Sheet3!L561,1))*IF(G3647&lt;3,0.12 - O3647,0.01) *U3647</f>
        <v>0</v>
      </c>
      <c r="W3647" s="52">
        <f t="shared" si="1009"/>
        <v>0</v>
      </c>
      <c r="X3647" s="53">
        <f t="shared" si="1010"/>
        <v>0</v>
      </c>
      <c r="Y3647" s="53">
        <f t="shared" si="1011"/>
        <v>0</v>
      </c>
      <c r="Z3647" s="54">
        <f t="shared" si="1001"/>
        <v>0</v>
      </c>
      <c r="AA3647" s="54">
        <f t="shared" si="1012"/>
        <v>0</v>
      </c>
      <c r="AB3647" s="55">
        <f t="shared" si="1002"/>
        <v>0</v>
      </c>
      <c r="AC3647" s="55">
        <f t="shared" si="1013"/>
        <v>0</v>
      </c>
      <c r="AD3647" s="56">
        <f t="shared" si="1014"/>
        <v>1039.8499999999999</v>
      </c>
    </row>
    <row r="3648" spans="3:30">
      <c r="C3648" s="43" t="s">
        <v>6767</v>
      </c>
      <c r="D3648" s="44" t="s">
        <v>6768</v>
      </c>
      <c r="E3648" s="44"/>
      <c r="F3648" s="45">
        <v>42800.197245370371</v>
      </c>
      <c r="G3648" s="46">
        <v>18</v>
      </c>
      <c r="H3648" s="47">
        <v>43468</v>
      </c>
      <c r="I3648" s="47">
        <v>43532</v>
      </c>
      <c r="J3648" s="46">
        <v>281997349</v>
      </c>
      <c r="K3648" s="46">
        <v>1496700</v>
      </c>
      <c r="L3648" s="46">
        <v>0</v>
      </c>
      <c r="M3648" s="46">
        <f t="shared" si="1003"/>
        <v>280500649</v>
      </c>
      <c r="N3648" s="46">
        <v>2273122953</v>
      </c>
      <c r="O3648" s="48">
        <f t="shared" si="1004"/>
        <v>0.87660119808750181</v>
      </c>
      <c r="P3648" s="46">
        <v>0</v>
      </c>
      <c r="Q3648" s="46">
        <v>361197349</v>
      </c>
      <c r="R3648" s="49">
        <f t="shared" si="1005"/>
        <v>1</v>
      </c>
      <c r="S3648" s="50">
        <f t="shared" si="1006"/>
        <v>0.01</v>
      </c>
      <c r="T3648" s="49">
        <f t="shared" si="1007"/>
        <v>2805006.49</v>
      </c>
      <c r="U3648" s="51">
        <f t="shared" si="1008"/>
        <v>0</v>
      </c>
      <c r="V3648" s="52">
        <f>IF(0&lt;0.8,0,IF(0&lt;1,Sheet3!L561,1))*IF(G3648&lt;3,0.12 - O3648,0.01) *U3648</f>
        <v>0</v>
      </c>
      <c r="W3648" s="52">
        <f t="shared" si="1009"/>
        <v>0</v>
      </c>
      <c r="X3648" s="53">
        <f t="shared" si="1010"/>
        <v>0</v>
      </c>
      <c r="Y3648" s="53">
        <f t="shared" si="1011"/>
        <v>0</v>
      </c>
      <c r="Z3648" s="54">
        <f>IF(R3648=1,0,211200000)</f>
        <v>0</v>
      </c>
      <c r="AA3648" s="54">
        <f t="shared" si="1012"/>
        <v>0</v>
      </c>
      <c r="AB3648" s="55">
        <f t="shared" si="1002"/>
        <v>0</v>
      </c>
      <c r="AC3648" s="55">
        <f t="shared" si="1013"/>
        <v>0</v>
      </c>
      <c r="AD3648" s="56">
        <f t="shared" si="1014"/>
        <v>2805006.49</v>
      </c>
    </row>
    <row r="3649" spans="3:30">
      <c r="C3649" s="43" t="s">
        <v>6769</v>
      </c>
      <c r="D3649" s="44" t="s">
        <v>6770</v>
      </c>
      <c r="E3649" s="44"/>
      <c r="F3649" s="45">
        <v>42815.068425925921</v>
      </c>
      <c r="G3649" s="46">
        <v>18</v>
      </c>
      <c r="H3649" s="47">
        <v>43375</v>
      </c>
      <c r="I3649" s="47">
        <v>43425</v>
      </c>
      <c r="J3649" s="46">
        <v>91307</v>
      </c>
      <c r="K3649" s="46">
        <v>0</v>
      </c>
      <c r="L3649" s="46">
        <v>0</v>
      </c>
      <c r="M3649" s="46">
        <f t="shared" si="1003"/>
        <v>91307</v>
      </c>
      <c r="N3649" s="46">
        <v>91307</v>
      </c>
      <c r="O3649" s="48">
        <f t="shared" si="1004"/>
        <v>0</v>
      </c>
      <c r="P3649" s="46">
        <v>0</v>
      </c>
      <c r="Q3649" s="46">
        <v>91307</v>
      </c>
      <c r="R3649" s="49">
        <f t="shared" si="1005"/>
        <v>1</v>
      </c>
      <c r="S3649" s="50">
        <f t="shared" si="1006"/>
        <v>0.01</v>
      </c>
      <c r="T3649" s="49">
        <f t="shared" si="1007"/>
        <v>913.07</v>
      </c>
      <c r="U3649" s="51">
        <f t="shared" si="1008"/>
        <v>0</v>
      </c>
      <c r="V3649" s="52">
        <f>IF(0&lt;0.8,0,IF(0&lt;1,Sheet3!L561,1))*IF(G3649&lt;3,0.12 - O3649,0.01) *U3649</f>
        <v>0</v>
      </c>
      <c r="W3649" s="52">
        <f t="shared" si="1009"/>
        <v>0</v>
      </c>
      <c r="X3649" s="53">
        <f t="shared" si="1010"/>
        <v>0</v>
      </c>
      <c r="Y3649" s="53">
        <f t="shared" si="1011"/>
        <v>0</v>
      </c>
      <c r="Z3649" s="54">
        <f t="shared" ref="Z3649:Z3663" si="1015">IF(R3649=1,0,0)</f>
        <v>0</v>
      </c>
      <c r="AA3649" s="54">
        <f t="shared" si="1012"/>
        <v>0</v>
      </c>
      <c r="AB3649" s="55">
        <f t="shared" si="1002"/>
        <v>0</v>
      </c>
      <c r="AC3649" s="55">
        <f t="shared" si="1013"/>
        <v>0</v>
      </c>
      <c r="AD3649" s="56">
        <f t="shared" si="1014"/>
        <v>913.07</v>
      </c>
    </row>
    <row r="3650" spans="3:30">
      <c r="C3650" s="43" t="s">
        <v>6771</v>
      </c>
      <c r="D3650" s="44" t="s">
        <v>6772</v>
      </c>
      <c r="E3650" s="44"/>
      <c r="F3650" s="45">
        <v>42815.067465277774</v>
      </c>
      <c r="G3650" s="46">
        <v>18</v>
      </c>
      <c r="H3650" s="47">
        <v>43375</v>
      </c>
      <c r="I3650" s="47">
        <v>43427</v>
      </c>
      <c r="J3650" s="46">
        <v>62890</v>
      </c>
      <c r="K3650" s="46">
        <v>0</v>
      </c>
      <c r="L3650" s="46">
        <v>0</v>
      </c>
      <c r="M3650" s="46">
        <f t="shared" si="1003"/>
        <v>62890</v>
      </c>
      <c r="N3650" s="46">
        <v>62890</v>
      </c>
      <c r="O3650" s="48">
        <f t="shared" si="1004"/>
        <v>0</v>
      </c>
      <c r="P3650" s="46">
        <v>0</v>
      </c>
      <c r="Q3650" s="46">
        <v>62890</v>
      </c>
      <c r="R3650" s="49">
        <f t="shared" si="1005"/>
        <v>1</v>
      </c>
      <c r="S3650" s="50">
        <f t="shared" si="1006"/>
        <v>0.01</v>
      </c>
      <c r="T3650" s="49">
        <f t="shared" si="1007"/>
        <v>628.9</v>
      </c>
      <c r="U3650" s="51">
        <f t="shared" si="1008"/>
        <v>0</v>
      </c>
      <c r="V3650" s="52">
        <f>IF(0&lt;0.8,0,IF(0&lt;1,Sheet3!L561,1))*IF(G3650&lt;3,0.12 - O3650,0.01) *U3650</f>
        <v>0</v>
      </c>
      <c r="W3650" s="52">
        <f t="shared" si="1009"/>
        <v>0</v>
      </c>
      <c r="X3650" s="53">
        <f t="shared" si="1010"/>
        <v>0</v>
      </c>
      <c r="Y3650" s="53">
        <f t="shared" si="1011"/>
        <v>0</v>
      </c>
      <c r="Z3650" s="54">
        <f t="shared" si="1015"/>
        <v>0</v>
      </c>
      <c r="AA3650" s="54">
        <f t="shared" si="1012"/>
        <v>0</v>
      </c>
      <c r="AB3650" s="55">
        <f t="shared" si="1002"/>
        <v>0</v>
      </c>
      <c r="AC3650" s="55">
        <f t="shared" si="1013"/>
        <v>0</v>
      </c>
      <c r="AD3650" s="56">
        <f t="shared" si="1014"/>
        <v>628.9</v>
      </c>
    </row>
    <row r="3651" spans="3:30">
      <c r="C3651" s="43" t="s">
        <v>6773</v>
      </c>
      <c r="D3651" s="44" t="s">
        <v>6774</v>
      </c>
      <c r="E3651" s="44"/>
      <c r="F3651" s="45">
        <v>42853.395300925928</v>
      </c>
      <c r="G3651" s="46">
        <v>17</v>
      </c>
      <c r="H3651" s="47">
        <v>43391</v>
      </c>
      <c r="I3651" s="47">
        <v>43459</v>
      </c>
      <c r="J3651" s="46">
        <v>202554</v>
      </c>
      <c r="K3651" s="46">
        <v>0</v>
      </c>
      <c r="L3651" s="46">
        <v>0</v>
      </c>
      <c r="M3651" s="46">
        <f t="shared" si="1003"/>
        <v>202554</v>
      </c>
      <c r="N3651" s="46">
        <v>202554</v>
      </c>
      <c r="O3651" s="48">
        <f t="shared" si="1004"/>
        <v>0</v>
      </c>
      <c r="P3651" s="46">
        <v>0</v>
      </c>
      <c r="Q3651" s="46">
        <v>202554</v>
      </c>
      <c r="R3651" s="49">
        <f t="shared" si="1005"/>
        <v>1</v>
      </c>
      <c r="S3651" s="50">
        <f t="shared" si="1006"/>
        <v>0.01</v>
      </c>
      <c r="T3651" s="49">
        <f t="shared" si="1007"/>
        <v>2025.54</v>
      </c>
      <c r="U3651" s="51">
        <f t="shared" si="1008"/>
        <v>0</v>
      </c>
      <c r="V3651" s="52">
        <f>IF(0&lt;0.8,0,IF(0&lt;1,Sheet3!L561,1))*IF(G3651&lt;3,0.12 - O3651,0.01) *U3651</f>
        <v>0</v>
      </c>
      <c r="W3651" s="52">
        <f t="shared" si="1009"/>
        <v>0</v>
      </c>
      <c r="X3651" s="53">
        <f t="shared" si="1010"/>
        <v>0</v>
      </c>
      <c r="Y3651" s="53">
        <f t="shared" si="1011"/>
        <v>0</v>
      </c>
      <c r="Z3651" s="54">
        <f t="shared" si="1015"/>
        <v>0</v>
      </c>
      <c r="AA3651" s="54">
        <f t="shared" si="1012"/>
        <v>0</v>
      </c>
      <c r="AB3651" s="55">
        <f t="shared" si="1002"/>
        <v>0</v>
      </c>
      <c r="AC3651" s="55">
        <f t="shared" si="1013"/>
        <v>0</v>
      </c>
      <c r="AD3651" s="56">
        <f t="shared" si="1014"/>
        <v>2025.54</v>
      </c>
    </row>
    <row r="3652" spans="3:30">
      <c r="C3652" s="43" t="s">
        <v>6775</v>
      </c>
      <c r="D3652" s="44" t="s">
        <v>6776</v>
      </c>
      <c r="E3652" s="44"/>
      <c r="F3652" s="45">
        <v>42901.067175925928</v>
      </c>
      <c r="G3652" s="46">
        <v>15</v>
      </c>
      <c r="H3652" s="47">
        <v>43372</v>
      </c>
      <c r="I3652" s="47">
        <v>43395</v>
      </c>
      <c r="J3652" s="46">
        <v>9914439</v>
      </c>
      <c r="K3652" s="46">
        <v>0</v>
      </c>
      <c r="L3652" s="46">
        <v>0</v>
      </c>
      <c r="M3652" s="46">
        <f t="shared" si="1003"/>
        <v>9914439</v>
      </c>
      <c r="N3652" s="46">
        <v>9935261</v>
      </c>
      <c r="O3652" s="48">
        <f t="shared" si="1004"/>
        <v>2.095767791102876E-3</v>
      </c>
      <c r="P3652" s="46">
        <v>0</v>
      </c>
      <c r="Q3652" s="46">
        <v>9914439</v>
      </c>
      <c r="R3652" s="49">
        <f t="shared" si="1005"/>
        <v>1</v>
      </c>
      <c r="S3652" s="50">
        <f t="shared" si="1006"/>
        <v>0.01</v>
      </c>
      <c r="T3652" s="49">
        <f t="shared" si="1007"/>
        <v>99144.39</v>
      </c>
      <c r="U3652" s="51">
        <f t="shared" si="1008"/>
        <v>0</v>
      </c>
      <c r="V3652" s="52">
        <f>IF(0&lt;0.8,0,IF(0&lt;1,Sheet3!L561,1))*IF(G3652&lt;3,0.12 - O3652,0.01) *U3652</f>
        <v>0</v>
      </c>
      <c r="W3652" s="52">
        <f t="shared" si="1009"/>
        <v>0</v>
      </c>
      <c r="X3652" s="53">
        <f t="shared" si="1010"/>
        <v>0</v>
      </c>
      <c r="Y3652" s="53">
        <f t="shared" si="1011"/>
        <v>0</v>
      </c>
      <c r="Z3652" s="54">
        <f t="shared" si="1015"/>
        <v>0</v>
      </c>
      <c r="AA3652" s="54">
        <f t="shared" si="1012"/>
        <v>0</v>
      </c>
      <c r="AB3652" s="55">
        <f t="shared" si="1002"/>
        <v>0</v>
      </c>
      <c r="AC3652" s="55">
        <f t="shared" si="1013"/>
        <v>0</v>
      </c>
      <c r="AD3652" s="56">
        <f t="shared" si="1014"/>
        <v>99144.39</v>
      </c>
    </row>
    <row r="3653" spans="3:30">
      <c r="C3653" s="43" t="s">
        <v>6777</v>
      </c>
      <c r="D3653" s="44" t="s">
        <v>6778</v>
      </c>
      <c r="E3653" s="44"/>
      <c r="F3653" s="45">
        <v>42901.069282407407</v>
      </c>
      <c r="G3653" s="46">
        <v>15</v>
      </c>
      <c r="H3653" s="47">
        <v>43375</v>
      </c>
      <c r="I3653" s="47">
        <v>43427</v>
      </c>
      <c r="J3653" s="46">
        <v>657458</v>
      </c>
      <c r="K3653" s="46">
        <v>0</v>
      </c>
      <c r="L3653" s="46">
        <v>0</v>
      </c>
      <c r="M3653" s="46">
        <f t="shared" si="1003"/>
        <v>657458</v>
      </c>
      <c r="N3653" s="46">
        <v>657458</v>
      </c>
      <c r="O3653" s="48">
        <f t="shared" si="1004"/>
        <v>0</v>
      </c>
      <c r="P3653" s="46">
        <v>0</v>
      </c>
      <c r="Q3653" s="46">
        <v>657458</v>
      </c>
      <c r="R3653" s="49">
        <f t="shared" si="1005"/>
        <v>1</v>
      </c>
      <c r="S3653" s="50">
        <f t="shared" si="1006"/>
        <v>0.01</v>
      </c>
      <c r="T3653" s="49">
        <f t="shared" si="1007"/>
        <v>6574.58</v>
      </c>
      <c r="U3653" s="51">
        <f t="shared" si="1008"/>
        <v>0</v>
      </c>
      <c r="V3653" s="52">
        <f>IF(0&lt;0.8,0,IF(0&lt;1,Sheet3!L561,1))*IF(G3653&lt;3,0.12 - O3653,0.01) *U3653</f>
        <v>0</v>
      </c>
      <c r="W3653" s="52">
        <f t="shared" si="1009"/>
        <v>0</v>
      </c>
      <c r="X3653" s="53">
        <f t="shared" si="1010"/>
        <v>0</v>
      </c>
      <c r="Y3653" s="53">
        <f t="shared" si="1011"/>
        <v>0</v>
      </c>
      <c r="Z3653" s="54">
        <f t="shared" si="1015"/>
        <v>0</v>
      </c>
      <c r="AA3653" s="54">
        <f t="shared" si="1012"/>
        <v>0</v>
      </c>
      <c r="AB3653" s="55">
        <f t="shared" si="1002"/>
        <v>0</v>
      </c>
      <c r="AC3653" s="55">
        <f t="shared" si="1013"/>
        <v>0</v>
      </c>
      <c r="AD3653" s="56">
        <f t="shared" si="1014"/>
        <v>6574.58</v>
      </c>
    </row>
    <row r="3654" spans="3:30">
      <c r="C3654" s="43" t="s">
        <v>6779</v>
      </c>
      <c r="D3654" s="44" t="s">
        <v>6780</v>
      </c>
      <c r="E3654" s="44"/>
      <c r="F3654" s="45">
        <v>42950.272870370369</v>
      </c>
      <c r="G3654" s="46">
        <v>13</v>
      </c>
      <c r="H3654" s="47">
        <v>43375</v>
      </c>
      <c r="I3654" s="47">
        <v>43433</v>
      </c>
      <c r="J3654" s="46">
        <v>347270</v>
      </c>
      <c r="K3654" s="46">
        <v>0</v>
      </c>
      <c r="L3654" s="46">
        <v>0</v>
      </c>
      <c r="M3654" s="46">
        <f t="shared" si="1003"/>
        <v>347270</v>
      </c>
      <c r="N3654" s="46">
        <v>347270</v>
      </c>
      <c r="O3654" s="48">
        <f t="shared" si="1004"/>
        <v>0</v>
      </c>
      <c r="P3654" s="46">
        <v>0</v>
      </c>
      <c r="Q3654" s="46">
        <v>347270</v>
      </c>
      <c r="R3654" s="49">
        <f t="shared" si="1005"/>
        <v>1</v>
      </c>
      <c r="S3654" s="50">
        <f t="shared" si="1006"/>
        <v>0.01</v>
      </c>
      <c r="T3654" s="49">
        <f t="shared" si="1007"/>
        <v>3472.7000000000003</v>
      </c>
      <c r="U3654" s="51">
        <f t="shared" si="1008"/>
        <v>0</v>
      </c>
      <c r="V3654" s="52">
        <f>IF(0&lt;0.8,0,IF(0&lt;1,Sheet3!L561,1))*IF(G3654&lt;3,0.12 - O3654,0.01) *U3654</f>
        <v>0</v>
      </c>
      <c r="W3654" s="52">
        <f t="shared" si="1009"/>
        <v>0</v>
      </c>
      <c r="X3654" s="53">
        <f t="shared" si="1010"/>
        <v>0</v>
      </c>
      <c r="Y3654" s="53">
        <f t="shared" si="1011"/>
        <v>0</v>
      </c>
      <c r="Z3654" s="54">
        <f t="shared" si="1015"/>
        <v>0</v>
      </c>
      <c r="AA3654" s="54">
        <f t="shared" si="1012"/>
        <v>0</v>
      </c>
      <c r="AB3654" s="55">
        <f t="shared" si="1002"/>
        <v>0</v>
      </c>
      <c r="AC3654" s="55">
        <f t="shared" si="1013"/>
        <v>0</v>
      </c>
      <c r="AD3654" s="56">
        <f t="shared" si="1014"/>
        <v>3472.7000000000003</v>
      </c>
    </row>
    <row r="3655" spans="3:30">
      <c r="C3655" s="43" t="s">
        <v>6781</v>
      </c>
      <c r="D3655" s="44" t="s">
        <v>6782</v>
      </c>
      <c r="E3655" s="44"/>
      <c r="F3655" s="45">
        <v>42951.106400462959</v>
      </c>
      <c r="G3655" s="46">
        <v>13</v>
      </c>
      <c r="H3655" s="47">
        <v>43375</v>
      </c>
      <c r="I3655" s="47">
        <v>43447</v>
      </c>
      <c r="J3655" s="46">
        <v>1906141</v>
      </c>
      <c r="K3655" s="46">
        <v>0</v>
      </c>
      <c r="L3655" s="46">
        <v>0</v>
      </c>
      <c r="M3655" s="46">
        <f t="shared" si="1003"/>
        <v>1906141</v>
      </c>
      <c r="N3655" s="46">
        <v>1906141</v>
      </c>
      <c r="O3655" s="48">
        <f t="shared" si="1004"/>
        <v>0</v>
      </c>
      <c r="P3655" s="46">
        <v>0</v>
      </c>
      <c r="Q3655" s="46">
        <v>1906141</v>
      </c>
      <c r="R3655" s="49">
        <f t="shared" si="1005"/>
        <v>1</v>
      </c>
      <c r="S3655" s="50">
        <f t="shared" si="1006"/>
        <v>0.01</v>
      </c>
      <c r="T3655" s="49">
        <f t="shared" si="1007"/>
        <v>19061.41</v>
      </c>
      <c r="U3655" s="51">
        <f t="shared" si="1008"/>
        <v>0</v>
      </c>
      <c r="V3655" s="52">
        <f>IF(0&lt;0.8,0,IF(0&lt;1,Sheet3!L561,1))*IF(G3655&lt;3,0.12 - O3655,0.01) *U3655</f>
        <v>0</v>
      </c>
      <c r="W3655" s="52">
        <f t="shared" si="1009"/>
        <v>0</v>
      </c>
      <c r="X3655" s="53">
        <f t="shared" si="1010"/>
        <v>0</v>
      </c>
      <c r="Y3655" s="53">
        <f t="shared" si="1011"/>
        <v>0</v>
      </c>
      <c r="Z3655" s="54">
        <f t="shared" si="1015"/>
        <v>0</v>
      </c>
      <c r="AA3655" s="54">
        <f t="shared" si="1012"/>
        <v>0</v>
      </c>
      <c r="AB3655" s="55">
        <f t="shared" si="1002"/>
        <v>0</v>
      </c>
      <c r="AC3655" s="55">
        <f t="shared" si="1013"/>
        <v>0</v>
      </c>
      <c r="AD3655" s="56">
        <f t="shared" si="1014"/>
        <v>19061.41</v>
      </c>
    </row>
    <row r="3656" spans="3:30">
      <c r="C3656" s="43" t="s">
        <v>6783</v>
      </c>
      <c r="D3656" s="44" t="s">
        <v>6784</v>
      </c>
      <c r="E3656" s="44"/>
      <c r="F3656" s="45">
        <v>42972.335034722222</v>
      </c>
      <c r="G3656" s="46">
        <v>13</v>
      </c>
      <c r="H3656" s="47">
        <v>43375</v>
      </c>
      <c r="I3656" s="47">
        <v>43398</v>
      </c>
      <c r="J3656" s="46">
        <v>8472388</v>
      </c>
      <c r="K3656" s="46">
        <v>0</v>
      </c>
      <c r="L3656" s="46">
        <v>0</v>
      </c>
      <c r="M3656" s="46">
        <f t="shared" si="1003"/>
        <v>8472388</v>
      </c>
      <c r="N3656" s="46">
        <v>8472388</v>
      </c>
      <c r="O3656" s="48">
        <f t="shared" si="1004"/>
        <v>0</v>
      </c>
      <c r="P3656" s="46">
        <v>0</v>
      </c>
      <c r="Q3656" s="46">
        <v>8472388</v>
      </c>
      <c r="R3656" s="49">
        <f t="shared" si="1005"/>
        <v>1</v>
      </c>
      <c r="S3656" s="50">
        <f t="shared" si="1006"/>
        <v>0.01</v>
      </c>
      <c r="T3656" s="49">
        <f t="shared" si="1007"/>
        <v>84723.88</v>
      </c>
      <c r="U3656" s="51">
        <f t="shared" si="1008"/>
        <v>0</v>
      </c>
      <c r="V3656" s="52">
        <f>IF(0&lt;0.8,0,IF(0&lt;1,Sheet3!L561,1))*IF(G3656&lt;3,0.12 - O3656,0.01) *U3656</f>
        <v>0</v>
      </c>
      <c r="W3656" s="52">
        <f t="shared" si="1009"/>
        <v>0</v>
      </c>
      <c r="X3656" s="53">
        <f t="shared" si="1010"/>
        <v>0</v>
      </c>
      <c r="Y3656" s="53">
        <f t="shared" si="1011"/>
        <v>0</v>
      </c>
      <c r="Z3656" s="54">
        <f t="shared" si="1015"/>
        <v>0</v>
      </c>
      <c r="AA3656" s="54">
        <f t="shared" si="1012"/>
        <v>0</v>
      </c>
      <c r="AB3656" s="55">
        <f t="shared" si="1002"/>
        <v>0</v>
      </c>
      <c r="AC3656" s="55">
        <f t="shared" si="1013"/>
        <v>0</v>
      </c>
      <c r="AD3656" s="56">
        <f t="shared" si="1014"/>
        <v>84723.88</v>
      </c>
    </row>
    <row r="3657" spans="3:30">
      <c r="C3657" s="43" t="s">
        <v>6785</v>
      </c>
      <c r="D3657" s="44" t="s">
        <v>6786</v>
      </c>
      <c r="E3657" s="44"/>
      <c r="F3657" s="45">
        <v>43004.132361111107</v>
      </c>
      <c r="G3657" s="46">
        <v>12</v>
      </c>
      <c r="H3657" s="47">
        <v>43404</v>
      </c>
      <c r="I3657" s="47">
        <v>43431</v>
      </c>
      <c r="J3657" s="46">
        <v>1731763</v>
      </c>
      <c r="K3657" s="46">
        <v>0</v>
      </c>
      <c r="L3657" s="46">
        <v>0</v>
      </c>
      <c r="M3657" s="46">
        <f t="shared" si="1003"/>
        <v>1731763</v>
      </c>
      <c r="N3657" s="46">
        <v>1731763</v>
      </c>
      <c r="O3657" s="48">
        <f t="shared" si="1004"/>
        <v>0</v>
      </c>
      <c r="P3657" s="46">
        <v>0</v>
      </c>
      <c r="Q3657" s="46">
        <v>1731763</v>
      </c>
      <c r="R3657" s="49">
        <f t="shared" si="1005"/>
        <v>1</v>
      </c>
      <c r="S3657" s="50">
        <f t="shared" si="1006"/>
        <v>0.01</v>
      </c>
      <c r="T3657" s="49">
        <f t="shared" si="1007"/>
        <v>17317.63</v>
      </c>
      <c r="U3657" s="51">
        <f t="shared" si="1008"/>
        <v>0</v>
      </c>
      <c r="V3657" s="52">
        <f>IF(0&lt;0.8,0,IF(0&lt;1,Sheet3!L561,1))*IF(G3657&lt;3,0.12 - O3657,0.01) *U3657</f>
        <v>0</v>
      </c>
      <c r="W3657" s="52">
        <f t="shared" si="1009"/>
        <v>0</v>
      </c>
      <c r="X3657" s="53">
        <f t="shared" si="1010"/>
        <v>0</v>
      </c>
      <c r="Y3657" s="53">
        <f t="shared" si="1011"/>
        <v>0</v>
      </c>
      <c r="Z3657" s="54">
        <f t="shared" si="1015"/>
        <v>0</v>
      </c>
      <c r="AA3657" s="54">
        <f t="shared" si="1012"/>
        <v>0</v>
      </c>
      <c r="AB3657" s="55">
        <f t="shared" si="1002"/>
        <v>0</v>
      </c>
      <c r="AC3657" s="55">
        <f t="shared" si="1013"/>
        <v>0</v>
      </c>
      <c r="AD3657" s="56">
        <f t="shared" si="1014"/>
        <v>17317.63</v>
      </c>
    </row>
    <row r="3658" spans="3:30">
      <c r="C3658" s="43" t="s">
        <v>6787</v>
      </c>
      <c r="D3658" s="44" t="s">
        <v>6788</v>
      </c>
      <c r="E3658" s="44"/>
      <c r="F3658" s="45">
        <v>43101.076863425922</v>
      </c>
      <c r="G3658" s="46">
        <v>8</v>
      </c>
      <c r="H3658" s="47">
        <v>43375</v>
      </c>
      <c r="I3658" s="47">
        <v>43417</v>
      </c>
      <c r="J3658" s="46">
        <v>2335804</v>
      </c>
      <c r="K3658" s="46">
        <v>0</v>
      </c>
      <c r="L3658" s="46">
        <v>0</v>
      </c>
      <c r="M3658" s="46">
        <f t="shared" si="1003"/>
        <v>2335804</v>
      </c>
      <c r="N3658" s="46">
        <v>2335804</v>
      </c>
      <c r="O3658" s="48">
        <f t="shared" si="1004"/>
        <v>0</v>
      </c>
      <c r="P3658" s="46">
        <v>0</v>
      </c>
      <c r="Q3658" s="46">
        <v>2335804</v>
      </c>
      <c r="R3658" s="49">
        <f t="shared" si="1005"/>
        <v>1</v>
      </c>
      <c r="S3658" s="50">
        <f t="shared" si="1006"/>
        <v>0.01</v>
      </c>
      <c r="T3658" s="49">
        <f t="shared" si="1007"/>
        <v>23358.04</v>
      </c>
      <c r="U3658" s="51">
        <f t="shared" si="1008"/>
        <v>0</v>
      </c>
      <c r="V3658" s="52">
        <f>IF(0&lt;0.8,0,IF(0&lt;1,Sheet3!L561,1))*IF(G3658&lt;3,0.12 - O3658,0.01) *U3658</f>
        <v>0</v>
      </c>
      <c r="W3658" s="52">
        <f t="shared" si="1009"/>
        <v>0</v>
      </c>
      <c r="X3658" s="53">
        <f t="shared" si="1010"/>
        <v>0</v>
      </c>
      <c r="Y3658" s="53">
        <f t="shared" si="1011"/>
        <v>0</v>
      </c>
      <c r="Z3658" s="54">
        <f t="shared" si="1015"/>
        <v>0</v>
      </c>
      <c r="AA3658" s="54">
        <f t="shared" si="1012"/>
        <v>0</v>
      </c>
      <c r="AB3658" s="55">
        <f t="shared" si="1002"/>
        <v>0</v>
      </c>
      <c r="AC3658" s="55">
        <f t="shared" si="1013"/>
        <v>0</v>
      </c>
      <c r="AD3658" s="56">
        <f t="shared" si="1014"/>
        <v>23358.04</v>
      </c>
    </row>
    <row r="3659" spans="3:30">
      <c r="C3659" s="43" t="s">
        <v>6789</v>
      </c>
      <c r="D3659" s="44" t="s">
        <v>6790</v>
      </c>
      <c r="E3659" s="44"/>
      <c r="F3659" s="45">
        <v>43104.265856481477</v>
      </c>
      <c r="G3659" s="46">
        <v>8</v>
      </c>
      <c r="H3659" s="47">
        <v>43391</v>
      </c>
      <c r="I3659" s="47">
        <v>43458</v>
      </c>
      <c r="J3659" s="46">
        <v>1083640</v>
      </c>
      <c r="K3659" s="46">
        <v>0</v>
      </c>
      <c r="L3659" s="46">
        <v>0</v>
      </c>
      <c r="M3659" s="46">
        <f t="shared" si="1003"/>
        <v>1083640</v>
      </c>
      <c r="N3659" s="46">
        <v>1061424</v>
      </c>
      <c r="O3659" s="48">
        <f t="shared" si="1004"/>
        <v>0</v>
      </c>
      <c r="P3659" s="46">
        <v>0</v>
      </c>
      <c r="Q3659" s="46">
        <v>1083640</v>
      </c>
      <c r="R3659" s="49">
        <f t="shared" si="1005"/>
        <v>1</v>
      </c>
      <c r="S3659" s="50">
        <f t="shared" si="1006"/>
        <v>0.01</v>
      </c>
      <c r="T3659" s="49">
        <f t="shared" si="1007"/>
        <v>10836.4</v>
      </c>
      <c r="U3659" s="51">
        <f t="shared" si="1008"/>
        <v>0</v>
      </c>
      <c r="V3659" s="52">
        <f>IF(0&lt;0.8,0,IF(0&lt;1,Sheet3!L561,1))*IF(G3659&lt;3,0.12 - O3659,0.01) *U3659</f>
        <v>0</v>
      </c>
      <c r="W3659" s="52">
        <f t="shared" si="1009"/>
        <v>0</v>
      </c>
      <c r="X3659" s="53">
        <f t="shared" si="1010"/>
        <v>0</v>
      </c>
      <c r="Y3659" s="53">
        <f t="shared" si="1011"/>
        <v>0</v>
      </c>
      <c r="Z3659" s="54">
        <f t="shared" si="1015"/>
        <v>0</v>
      </c>
      <c r="AA3659" s="54">
        <f t="shared" si="1012"/>
        <v>0</v>
      </c>
      <c r="AB3659" s="55">
        <f t="shared" si="1002"/>
        <v>0</v>
      </c>
      <c r="AC3659" s="55">
        <f t="shared" si="1013"/>
        <v>0</v>
      </c>
      <c r="AD3659" s="56">
        <f t="shared" si="1014"/>
        <v>10836.4</v>
      </c>
    </row>
    <row r="3660" spans="3:30">
      <c r="C3660" s="43" t="s">
        <v>6791</v>
      </c>
      <c r="D3660" s="44" t="s">
        <v>6792</v>
      </c>
      <c r="E3660" s="44"/>
      <c r="F3660" s="45">
        <v>43196.274317129624</v>
      </c>
      <c r="G3660" s="46">
        <v>5</v>
      </c>
      <c r="H3660" s="47">
        <v>43417</v>
      </c>
      <c r="I3660" s="47">
        <v>43472</v>
      </c>
      <c r="J3660" s="46">
        <v>14235047</v>
      </c>
      <c r="K3660" s="46">
        <v>0</v>
      </c>
      <c r="L3660" s="46">
        <v>0</v>
      </c>
      <c r="M3660" s="46">
        <f t="shared" si="1003"/>
        <v>14235047</v>
      </c>
      <c r="N3660" s="46">
        <v>25443722</v>
      </c>
      <c r="O3660" s="48">
        <f t="shared" si="1004"/>
        <v>0.44052811927437341</v>
      </c>
      <c r="P3660" s="46">
        <v>0</v>
      </c>
      <c r="Q3660" s="46">
        <v>14235047</v>
      </c>
      <c r="R3660" s="49">
        <f t="shared" si="1005"/>
        <v>1</v>
      </c>
      <c r="S3660" s="50">
        <f t="shared" si="1006"/>
        <v>0.01</v>
      </c>
      <c r="T3660" s="49">
        <f t="shared" si="1007"/>
        <v>142350.47</v>
      </c>
      <c r="U3660" s="51">
        <f t="shared" si="1008"/>
        <v>0</v>
      </c>
      <c r="V3660" s="52">
        <f>IF(0&lt;0.8,0,IF(0&lt;1,Sheet3!L561,1))*IF(G3660&lt;3,0.12 - O3660,0.01) *U3660</f>
        <v>0</v>
      </c>
      <c r="W3660" s="52">
        <f t="shared" si="1009"/>
        <v>0</v>
      </c>
      <c r="X3660" s="53">
        <f t="shared" si="1010"/>
        <v>0</v>
      </c>
      <c r="Y3660" s="53">
        <f t="shared" si="1011"/>
        <v>0</v>
      </c>
      <c r="Z3660" s="54">
        <f t="shared" si="1015"/>
        <v>0</v>
      </c>
      <c r="AA3660" s="54">
        <f t="shared" si="1012"/>
        <v>0</v>
      </c>
      <c r="AB3660" s="55">
        <f t="shared" si="1002"/>
        <v>0</v>
      </c>
      <c r="AC3660" s="55">
        <f t="shared" si="1013"/>
        <v>0</v>
      </c>
      <c r="AD3660" s="56">
        <f t="shared" si="1014"/>
        <v>142350.47</v>
      </c>
    </row>
    <row r="3661" spans="3:30">
      <c r="C3661" s="43" t="s">
        <v>6793</v>
      </c>
      <c r="D3661" s="44" t="s">
        <v>6794</v>
      </c>
      <c r="E3661" s="44"/>
      <c r="F3661" s="45">
        <v>43216.135601851849</v>
      </c>
      <c r="G3661" s="46">
        <v>5</v>
      </c>
      <c r="H3661" s="47">
        <v>43426</v>
      </c>
      <c r="I3661" s="47">
        <v>43432</v>
      </c>
      <c r="J3661" s="46">
        <v>1188421</v>
      </c>
      <c r="K3661" s="46">
        <v>0</v>
      </c>
      <c r="L3661" s="46">
        <v>0</v>
      </c>
      <c r="M3661" s="46">
        <f t="shared" si="1003"/>
        <v>1188421</v>
      </c>
      <c r="N3661" s="46">
        <v>1188421</v>
      </c>
      <c r="O3661" s="48">
        <f t="shared" si="1004"/>
        <v>0</v>
      </c>
      <c r="P3661" s="46">
        <v>0</v>
      </c>
      <c r="Q3661" s="46">
        <v>1188421</v>
      </c>
      <c r="R3661" s="49">
        <f t="shared" si="1005"/>
        <v>1</v>
      </c>
      <c r="S3661" s="50">
        <f t="shared" si="1006"/>
        <v>0.01</v>
      </c>
      <c r="T3661" s="49">
        <f t="shared" si="1007"/>
        <v>11884.210000000001</v>
      </c>
      <c r="U3661" s="51">
        <f t="shared" si="1008"/>
        <v>0</v>
      </c>
      <c r="V3661" s="52">
        <f>IF(0&lt;0.8,0,IF(0&lt;1,Sheet3!L561,1))*IF(G3661&lt;3,0.12 - O3661,0.01) *U3661</f>
        <v>0</v>
      </c>
      <c r="W3661" s="52">
        <f t="shared" si="1009"/>
        <v>0</v>
      </c>
      <c r="X3661" s="53">
        <f t="shared" si="1010"/>
        <v>0</v>
      </c>
      <c r="Y3661" s="53">
        <f t="shared" si="1011"/>
        <v>0</v>
      </c>
      <c r="Z3661" s="54">
        <f t="shared" si="1015"/>
        <v>0</v>
      </c>
      <c r="AA3661" s="54">
        <f t="shared" si="1012"/>
        <v>0</v>
      </c>
      <c r="AB3661" s="55">
        <f t="shared" si="1002"/>
        <v>0</v>
      </c>
      <c r="AC3661" s="55">
        <f t="shared" si="1013"/>
        <v>0</v>
      </c>
      <c r="AD3661" s="56">
        <f t="shared" si="1014"/>
        <v>11884.210000000001</v>
      </c>
    </row>
    <row r="3662" spans="3:30">
      <c r="C3662" s="43" t="s">
        <v>6795</v>
      </c>
      <c r="D3662" s="44" t="s">
        <v>747</v>
      </c>
      <c r="E3662" s="44"/>
      <c r="F3662" s="45">
        <v>43241.113622685181</v>
      </c>
      <c r="G3662" s="46">
        <v>4</v>
      </c>
      <c r="H3662" s="47">
        <v>43417</v>
      </c>
      <c r="I3662" s="47">
        <v>43496</v>
      </c>
      <c r="J3662" s="46">
        <v>48750533</v>
      </c>
      <c r="K3662" s="46">
        <v>0</v>
      </c>
      <c r="L3662" s="46">
        <v>0</v>
      </c>
      <c r="M3662" s="46">
        <f t="shared" si="1003"/>
        <v>48750533</v>
      </c>
      <c r="N3662" s="46">
        <v>51249010</v>
      </c>
      <c r="O3662" s="48">
        <f t="shared" si="1004"/>
        <v>4.8751712472104303E-2</v>
      </c>
      <c r="P3662" s="46">
        <v>0</v>
      </c>
      <c r="Q3662" s="46">
        <v>48750533</v>
      </c>
      <c r="R3662" s="49">
        <f t="shared" si="1005"/>
        <v>1</v>
      </c>
      <c r="S3662" s="50">
        <f t="shared" si="1006"/>
        <v>0.01</v>
      </c>
      <c r="T3662" s="49">
        <f t="shared" si="1007"/>
        <v>487505.33</v>
      </c>
      <c r="U3662" s="51">
        <f t="shared" si="1008"/>
        <v>0</v>
      </c>
      <c r="V3662" s="52">
        <f>IF(0&lt;0.8,0,IF(0&lt;1,Sheet3!L561,1))*IF(G3662&lt;3,0.12 - O3662,0.01) *U3662</f>
        <v>0</v>
      </c>
      <c r="W3662" s="52">
        <f t="shared" si="1009"/>
        <v>0</v>
      </c>
      <c r="X3662" s="53">
        <f t="shared" si="1010"/>
        <v>0</v>
      </c>
      <c r="Y3662" s="53">
        <f t="shared" si="1011"/>
        <v>0</v>
      </c>
      <c r="Z3662" s="54">
        <f t="shared" si="1015"/>
        <v>0</v>
      </c>
      <c r="AA3662" s="54">
        <f t="shared" si="1012"/>
        <v>0</v>
      </c>
      <c r="AB3662" s="55">
        <f t="shared" si="1002"/>
        <v>0</v>
      </c>
      <c r="AC3662" s="55">
        <f t="shared" si="1013"/>
        <v>0</v>
      </c>
      <c r="AD3662" s="56">
        <f t="shared" si="1014"/>
        <v>487505.33</v>
      </c>
    </row>
    <row r="3663" spans="3:30">
      <c r="C3663" s="43" t="s">
        <v>6796</v>
      </c>
      <c r="D3663" s="44" t="s">
        <v>6797</v>
      </c>
      <c r="E3663" s="44"/>
      <c r="F3663" s="45">
        <v>43328.264768518515</v>
      </c>
      <c r="G3663" s="46">
        <v>1</v>
      </c>
      <c r="H3663" s="47">
        <v>43434</v>
      </c>
      <c r="I3663" s="47">
        <v>43440</v>
      </c>
      <c r="J3663" s="46">
        <v>230367</v>
      </c>
      <c r="K3663" s="46">
        <v>0</v>
      </c>
      <c r="L3663" s="46">
        <v>0</v>
      </c>
      <c r="M3663" s="46">
        <f t="shared" si="1003"/>
        <v>230367</v>
      </c>
      <c r="N3663" s="46">
        <v>230367</v>
      </c>
      <c r="O3663" s="48">
        <f t="shared" si="1004"/>
        <v>0</v>
      </c>
      <c r="P3663" s="46">
        <v>0</v>
      </c>
      <c r="Q3663" s="46">
        <v>0</v>
      </c>
      <c r="R3663" s="49">
        <f t="shared" si="1005"/>
        <v>0</v>
      </c>
      <c r="S3663" s="50">
        <f t="shared" si="1006"/>
        <v>0</v>
      </c>
      <c r="T3663" s="49">
        <f t="shared" si="1007"/>
        <v>0</v>
      </c>
      <c r="U3663" s="51">
        <f t="shared" si="1008"/>
        <v>230367</v>
      </c>
      <c r="V3663" s="52">
        <f>IF(0&lt;0.8,0,IF(0&lt;1,Sheet3!L561,1))*IF(G3663&lt;3,0.12 - O3663,0.01) *U3663</f>
        <v>0</v>
      </c>
      <c r="W3663" s="52">
        <f t="shared" si="1009"/>
        <v>0</v>
      </c>
      <c r="X3663" s="53">
        <f t="shared" si="1010"/>
        <v>0</v>
      </c>
      <c r="Y3663" s="53">
        <f t="shared" si="1011"/>
        <v>0</v>
      </c>
      <c r="Z3663" s="54">
        <f t="shared" si="1015"/>
        <v>0</v>
      </c>
      <c r="AA3663" s="54">
        <f t="shared" si="1012"/>
        <v>0</v>
      </c>
      <c r="AB3663" s="55">
        <f t="shared" si="1002"/>
        <v>0</v>
      </c>
      <c r="AC3663" s="55">
        <f t="shared" si="1013"/>
        <v>0</v>
      </c>
      <c r="AD3663" s="56">
        <f t="shared" si="1014"/>
        <v>0</v>
      </c>
    </row>
    <row r="3664" spans="3:30">
      <c r="C3664" s="43" t="s">
        <v>6798</v>
      </c>
      <c r="D3664" s="44" t="s">
        <v>6799</v>
      </c>
      <c r="E3664" s="44"/>
      <c r="F3664" s="45">
        <v>43245.274884259255</v>
      </c>
      <c r="G3664" s="46">
        <v>4</v>
      </c>
      <c r="H3664" s="47" t="s">
        <v>24</v>
      </c>
      <c r="I3664" s="47" t="s">
        <v>24</v>
      </c>
      <c r="J3664" s="46">
        <v>0</v>
      </c>
      <c r="K3664" s="46">
        <v>0</v>
      </c>
      <c r="L3664" s="46">
        <v>0</v>
      </c>
      <c r="M3664" s="46">
        <f t="shared" si="1003"/>
        <v>0</v>
      </c>
      <c r="N3664" s="46">
        <v>1851661</v>
      </c>
      <c r="O3664" s="48">
        <f t="shared" si="1004"/>
        <v>1</v>
      </c>
      <c r="P3664" s="46">
        <v>0</v>
      </c>
      <c r="Q3664" s="46">
        <v>0</v>
      </c>
      <c r="R3664" s="49">
        <f t="shared" si="1005"/>
        <v>1</v>
      </c>
      <c r="S3664" s="50">
        <f t="shared" si="1006"/>
        <v>0.01</v>
      </c>
      <c r="T3664" s="49">
        <f t="shared" si="1007"/>
        <v>0</v>
      </c>
      <c r="U3664" s="51">
        <f t="shared" si="1008"/>
        <v>0</v>
      </c>
      <c r="V3664" s="52">
        <f>IF(0&lt;0.8,0,IF(0&lt;1,Sheet3!L561,1))*IF(G3664&lt;3,0.12 - O3664,0.01) *U3664</f>
        <v>0</v>
      </c>
      <c r="W3664" s="52">
        <f t="shared" si="1009"/>
        <v>0</v>
      </c>
      <c r="X3664" s="53">
        <f t="shared" si="1010"/>
        <v>0</v>
      </c>
      <c r="Y3664" s="53">
        <f t="shared" si="1011"/>
        <v>0</v>
      </c>
      <c r="Z3664" s="54">
        <f>IF(R3664=1,0,"")</f>
        <v>0</v>
      </c>
      <c r="AA3664" s="54">
        <f t="shared" si="1012"/>
        <v>0</v>
      </c>
      <c r="AB3664" s="55">
        <f>IF(R3664=0,"",0)</f>
        <v>0</v>
      </c>
      <c r="AC3664" s="55">
        <f t="shared" si="1013"/>
        <v>0</v>
      </c>
      <c r="AD3664" s="56">
        <f t="shared" si="1014"/>
        <v>0</v>
      </c>
    </row>
    <row r="3665" spans="3:30">
      <c r="C3665" s="43" t="s">
        <v>6800</v>
      </c>
      <c r="D3665" s="44" t="s">
        <v>6801</v>
      </c>
      <c r="E3665" s="44"/>
      <c r="F3665" s="45">
        <v>41725.642048611109</v>
      </c>
      <c r="G3665" s="46">
        <v>54</v>
      </c>
      <c r="H3665" s="47">
        <v>43396</v>
      </c>
      <c r="I3665" s="47">
        <v>43412</v>
      </c>
      <c r="J3665" s="46">
        <v>505479</v>
      </c>
      <c r="K3665" s="46">
        <v>0</v>
      </c>
      <c r="L3665" s="46">
        <v>0</v>
      </c>
      <c r="M3665" s="46">
        <f t="shared" si="1003"/>
        <v>505479</v>
      </c>
      <c r="N3665" s="46">
        <v>646321</v>
      </c>
      <c r="O3665" s="48">
        <f t="shared" si="1004"/>
        <v>0.21791338978618979</v>
      </c>
      <c r="P3665" s="46">
        <v>0</v>
      </c>
      <c r="Q3665" s="46">
        <v>505479</v>
      </c>
      <c r="R3665" s="49">
        <f t="shared" si="1005"/>
        <v>1</v>
      </c>
      <c r="S3665" s="50">
        <f t="shared" si="1006"/>
        <v>0.01</v>
      </c>
      <c r="T3665" s="49">
        <f t="shared" si="1007"/>
        <v>5054.79</v>
      </c>
      <c r="U3665" s="51">
        <f t="shared" si="1008"/>
        <v>0</v>
      </c>
      <c r="V3665" s="52">
        <f>IF(0&lt;0.8,0,IF(0&lt;1,Sheet3!L561,1))*IF(G3665&lt;3,0.12 - O3665,0.01) *U3665</f>
        <v>0</v>
      </c>
      <c r="W3665" s="52">
        <f t="shared" si="1009"/>
        <v>0</v>
      </c>
      <c r="X3665" s="53">
        <f t="shared" si="1010"/>
        <v>0</v>
      </c>
      <c r="Y3665" s="53">
        <f t="shared" si="1011"/>
        <v>0</v>
      </c>
      <c r="Z3665" s="54">
        <f>IF(R3665=1,0,0)</f>
        <v>0</v>
      </c>
      <c r="AA3665" s="54">
        <f t="shared" si="1012"/>
        <v>0</v>
      </c>
      <c r="AB3665" s="55">
        <f>IF(R3665=0,0,0)</f>
        <v>0</v>
      </c>
      <c r="AC3665" s="55">
        <f t="shared" si="1013"/>
        <v>0</v>
      </c>
      <c r="AD3665" s="56">
        <f t="shared" si="1014"/>
        <v>5054.79</v>
      </c>
    </row>
    <row r="3666" spans="3:30">
      <c r="C3666" s="43" t="s">
        <v>6802</v>
      </c>
      <c r="D3666" s="44" t="s">
        <v>6803</v>
      </c>
      <c r="E3666" s="44"/>
      <c r="F3666" s="45">
        <v>42181.363124999996</v>
      </c>
      <c r="G3666" s="46">
        <v>39</v>
      </c>
      <c r="H3666" s="47">
        <v>43396</v>
      </c>
      <c r="I3666" s="47">
        <v>43412</v>
      </c>
      <c r="J3666" s="46">
        <v>272800</v>
      </c>
      <c r="K3666" s="46">
        <v>0</v>
      </c>
      <c r="L3666" s="46">
        <v>0</v>
      </c>
      <c r="M3666" s="46">
        <f t="shared" si="1003"/>
        <v>272800</v>
      </c>
      <c r="N3666" s="46">
        <v>373399</v>
      </c>
      <c r="O3666" s="48">
        <f t="shared" si="1004"/>
        <v>0.26941421910610364</v>
      </c>
      <c r="P3666" s="46">
        <v>0</v>
      </c>
      <c r="Q3666" s="46">
        <v>272800</v>
      </c>
      <c r="R3666" s="49">
        <f t="shared" si="1005"/>
        <v>1</v>
      </c>
      <c r="S3666" s="50">
        <f t="shared" si="1006"/>
        <v>0.01</v>
      </c>
      <c r="T3666" s="49">
        <f t="shared" si="1007"/>
        <v>2728</v>
      </c>
      <c r="U3666" s="51">
        <f t="shared" si="1008"/>
        <v>0</v>
      </c>
      <c r="V3666" s="52">
        <f>IF(0&lt;0.8,0,IF(0&lt;1,Sheet3!L561,1))*IF(G3666&lt;3,0.12 - O3666,0.01) *U3666</f>
        <v>0</v>
      </c>
      <c r="W3666" s="52">
        <f t="shared" si="1009"/>
        <v>0</v>
      </c>
      <c r="X3666" s="53">
        <f t="shared" si="1010"/>
        <v>0</v>
      </c>
      <c r="Y3666" s="53">
        <f t="shared" si="1011"/>
        <v>0</v>
      </c>
      <c r="Z3666" s="54">
        <f>IF(R3666=1,0,0)</f>
        <v>0</v>
      </c>
      <c r="AA3666" s="54">
        <f t="shared" si="1012"/>
        <v>0</v>
      </c>
      <c r="AB3666" s="55">
        <f>IF(R3666=0,0,0)</f>
        <v>0</v>
      </c>
      <c r="AC3666" s="55">
        <f t="shared" si="1013"/>
        <v>0</v>
      </c>
      <c r="AD3666" s="56">
        <f t="shared" si="1014"/>
        <v>2728</v>
      </c>
    </row>
    <row r="3667" spans="3:30">
      <c r="C3667" s="43" t="s">
        <v>6804</v>
      </c>
      <c r="D3667" s="44" t="s">
        <v>6805</v>
      </c>
      <c r="E3667" s="44"/>
      <c r="F3667" s="45">
        <v>42210.383090277777</v>
      </c>
      <c r="G3667" s="46">
        <v>38</v>
      </c>
      <c r="H3667" s="47">
        <v>43396</v>
      </c>
      <c r="I3667" s="47">
        <v>43412</v>
      </c>
      <c r="J3667" s="46">
        <v>175670</v>
      </c>
      <c r="K3667" s="46">
        <v>0</v>
      </c>
      <c r="L3667" s="46">
        <v>0</v>
      </c>
      <c r="M3667" s="46">
        <f t="shared" si="1003"/>
        <v>175670</v>
      </c>
      <c r="N3667" s="46">
        <v>212091</v>
      </c>
      <c r="O3667" s="48">
        <f t="shared" si="1004"/>
        <v>0.17172345832685032</v>
      </c>
      <c r="P3667" s="46">
        <v>0</v>
      </c>
      <c r="Q3667" s="46">
        <v>175670</v>
      </c>
      <c r="R3667" s="49">
        <f t="shared" si="1005"/>
        <v>1</v>
      </c>
      <c r="S3667" s="50">
        <f t="shared" si="1006"/>
        <v>0.01</v>
      </c>
      <c r="T3667" s="49">
        <f t="shared" si="1007"/>
        <v>1756.7</v>
      </c>
      <c r="U3667" s="51">
        <f t="shared" si="1008"/>
        <v>0</v>
      </c>
      <c r="V3667" s="52">
        <f>IF(0&lt;0.8,0,IF(0&lt;1,Sheet3!L561,1))*IF(G3667&lt;3,0.12 - O3667,0.01) *U3667</f>
        <v>0</v>
      </c>
      <c r="W3667" s="52">
        <f t="shared" si="1009"/>
        <v>0</v>
      </c>
      <c r="X3667" s="53">
        <f t="shared" si="1010"/>
        <v>0</v>
      </c>
      <c r="Y3667" s="53">
        <f t="shared" si="1011"/>
        <v>0</v>
      </c>
      <c r="Z3667" s="54">
        <f>IF(R3667=1,0,0)</f>
        <v>0</v>
      </c>
      <c r="AA3667" s="54">
        <f t="shared" si="1012"/>
        <v>0</v>
      </c>
      <c r="AB3667" s="55">
        <f>IF(R3667=0,0,0)</f>
        <v>0</v>
      </c>
      <c r="AC3667" s="55">
        <f t="shared" si="1013"/>
        <v>0</v>
      </c>
      <c r="AD3667" s="56">
        <f t="shared" si="1014"/>
        <v>1756.7</v>
      </c>
    </row>
    <row r="3668" spans="3:30">
      <c r="C3668" s="43" t="s">
        <v>6806</v>
      </c>
      <c r="D3668" s="44" t="s">
        <v>6807</v>
      </c>
      <c r="E3668" s="44"/>
      <c r="F3668" s="45">
        <v>42576.399375000001</v>
      </c>
      <c r="G3668" s="46">
        <v>26</v>
      </c>
      <c r="H3668" s="47">
        <v>43396</v>
      </c>
      <c r="I3668" s="47">
        <v>43412</v>
      </c>
      <c r="J3668" s="46">
        <v>104775</v>
      </c>
      <c r="K3668" s="46">
        <v>0</v>
      </c>
      <c r="L3668" s="46">
        <v>0</v>
      </c>
      <c r="M3668" s="46">
        <f t="shared" si="1003"/>
        <v>104775</v>
      </c>
      <c r="N3668" s="46">
        <v>136280</v>
      </c>
      <c r="O3668" s="48">
        <f t="shared" si="1004"/>
        <v>0.23117845611975341</v>
      </c>
      <c r="P3668" s="46">
        <v>0</v>
      </c>
      <c r="Q3668" s="46">
        <v>104775</v>
      </c>
      <c r="R3668" s="49">
        <f t="shared" si="1005"/>
        <v>1</v>
      </c>
      <c r="S3668" s="50">
        <f t="shared" si="1006"/>
        <v>0.01</v>
      </c>
      <c r="T3668" s="49">
        <f t="shared" si="1007"/>
        <v>1047.75</v>
      </c>
      <c r="U3668" s="51">
        <f t="shared" si="1008"/>
        <v>0</v>
      </c>
      <c r="V3668" s="52">
        <f>IF(0&lt;0.8,0,IF(0&lt;1,Sheet3!L561,1))*IF(G3668&lt;3,0.12 - O3668,0.01) *U3668</f>
        <v>0</v>
      </c>
      <c r="W3668" s="52">
        <f t="shared" si="1009"/>
        <v>0</v>
      </c>
      <c r="X3668" s="53">
        <f t="shared" si="1010"/>
        <v>0</v>
      </c>
      <c r="Y3668" s="53">
        <f t="shared" si="1011"/>
        <v>0</v>
      </c>
      <c r="Z3668" s="54">
        <f>IF(R3668=1,0,0)</f>
        <v>0</v>
      </c>
      <c r="AA3668" s="54">
        <f t="shared" si="1012"/>
        <v>0</v>
      </c>
      <c r="AB3668" s="55">
        <f>IF(R3668=0,0,0)</f>
        <v>0</v>
      </c>
      <c r="AC3668" s="55">
        <f t="shared" si="1013"/>
        <v>0</v>
      </c>
      <c r="AD3668" s="56">
        <f t="shared" si="1014"/>
        <v>1047.75</v>
      </c>
    </row>
    <row r="3669" spans="3:30">
      <c r="C3669" s="43" t="s">
        <v>6808</v>
      </c>
      <c r="D3669" s="44" t="s">
        <v>6809</v>
      </c>
      <c r="E3669" s="44"/>
      <c r="F3669" s="45">
        <v>43245.286979166667</v>
      </c>
      <c r="G3669" s="46">
        <v>4</v>
      </c>
      <c r="H3669" s="47" t="s">
        <v>24</v>
      </c>
      <c r="I3669" s="47" t="s">
        <v>24</v>
      </c>
      <c r="J3669" s="46">
        <v>39930</v>
      </c>
      <c r="K3669" s="46">
        <v>39930</v>
      </c>
      <c r="L3669" s="46">
        <v>0</v>
      </c>
      <c r="M3669" s="46">
        <f t="shared" si="1003"/>
        <v>0</v>
      </c>
      <c r="N3669" s="46">
        <v>163531</v>
      </c>
      <c r="O3669" s="48">
        <f t="shared" si="1004"/>
        <v>1</v>
      </c>
      <c r="P3669" s="46">
        <v>0</v>
      </c>
      <c r="Q3669" s="46">
        <v>0</v>
      </c>
      <c r="R3669" s="49">
        <f t="shared" si="1005"/>
        <v>1</v>
      </c>
      <c r="S3669" s="50">
        <f t="shared" si="1006"/>
        <v>0.01</v>
      </c>
      <c r="T3669" s="49">
        <f t="shared" si="1007"/>
        <v>0</v>
      </c>
      <c r="U3669" s="51">
        <f t="shared" si="1008"/>
        <v>0</v>
      </c>
      <c r="V3669" s="52">
        <f>IF(0&lt;0.8,0,IF(0&lt;1,Sheet3!L561,1))*IF(G3669&lt;3,0.12 - O3669,0.01) *U3669</f>
        <v>0</v>
      </c>
      <c r="W3669" s="52">
        <f t="shared" si="1009"/>
        <v>0</v>
      </c>
      <c r="X3669" s="53">
        <f t="shared" si="1010"/>
        <v>0</v>
      </c>
      <c r="Y3669" s="53">
        <f t="shared" si="1011"/>
        <v>0</v>
      </c>
      <c r="Z3669" s="54">
        <f>IF(R3669=1,0,"")</f>
        <v>0</v>
      </c>
      <c r="AA3669" s="54">
        <f t="shared" si="1012"/>
        <v>0</v>
      </c>
      <c r="AB3669" s="55">
        <f>IF(R3669=0,"",0)</f>
        <v>0</v>
      </c>
      <c r="AC3669" s="55">
        <f t="shared" si="1013"/>
        <v>0</v>
      </c>
      <c r="AD3669" s="56">
        <f t="shared" si="1014"/>
        <v>0</v>
      </c>
    </row>
    <row r="3670" spans="3:30">
      <c r="C3670" s="43" t="s">
        <v>6810</v>
      </c>
      <c r="D3670" s="44" t="s">
        <v>995</v>
      </c>
      <c r="E3670" s="44"/>
      <c r="F3670" s="45">
        <v>43316.35733796296</v>
      </c>
      <c r="G3670" s="46">
        <v>1</v>
      </c>
      <c r="H3670" s="47">
        <v>43404</v>
      </c>
      <c r="I3670" s="47">
        <v>43430</v>
      </c>
      <c r="J3670" s="46">
        <v>929100</v>
      </c>
      <c r="K3670" s="46">
        <v>0</v>
      </c>
      <c r="L3670" s="46">
        <v>0</v>
      </c>
      <c r="M3670" s="46">
        <f t="shared" si="1003"/>
        <v>929100</v>
      </c>
      <c r="N3670" s="46">
        <v>1226100</v>
      </c>
      <c r="O3670" s="48">
        <f t="shared" si="1004"/>
        <v>0.24223146562270614</v>
      </c>
      <c r="P3670" s="46">
        <v>0</v>
      </c>
      <c r="Q3670" s="46">
        <v>0</v>
      </c>
      <c r="R3670" s="49">
        <f t="shared" si="1005"/>
        <v>0</v>
      </c>
      <c r="S3670" s="50">
        <f t="shared" si="1006"/>
        <v>0</v>
      </c>
      <c r="T3670" s="49">
        <f t="shared" si="1007"/>
        <v>0</v>
      </c>
      <c r="U3670" s="51">
        <f t="shared" si="1008"/>
        <v>0</v>
      </c>
      <c r="V3670" s="52">
        <f>IF(0&lt;0.8,0,IF(0&lt;1,Sheet3!L561,1))*IF(G3670&lt;3,0.12 - O3670,0.01) *U3670</f>
        <v>0</v>
      </c>
      <c r="W3670" s="52">
        <f t="shared" si="1009"/>
        <v>0</v>
      </c>
      <c r="X3670" s="53">
        <f t="shared" si="1010"/>
        <v>0</v>
      </c>
      <c r="Y3670" s="53">
        <f t="shared" si="1011"/>
        <v>0</v>
      </c>
      <c r="Z3670" s="54">
        <f t="shared" ref="Z3670:Z3689" si="1016">IF(R3670=1,0,0)</f>
        <v>0</v>
      </c>
      <c r="AA3670" s="54">
        <f t="shared" si="1012"/>
        <v>0</v>
      </c>
      <c r="AB3670" s="55">
        <f t="shared" ref="AB3670:AB3682" si="1017">IF(R3670=0,0,0)</f>
        <v>0</v>
      </c>
      <c r="AC3670" s="55">
        <f t="shared" si="1013"/>
        <v>0</v>
      </c>
      <c r="AD3670" s="56">
        <f t="shared" si="1014"/>
        <v>0</v>
      </c>
    </row>
    <row r="3671" spans="3:30">
      <c r="C3671" s="43" t="s">
        <v>6811</v>
      </c>
      <c r="D3671" s="44" t="s">
        <v>995</v>
      </c>
      <c r="E3671" s="44"/>
      <c r="F3671" s="45">
        <v>43316.358078703699</v>
      </c>
      <c r="G3671" s="46">
        <v>1</v>
      </c>
      <c r="H3671" s="47">
        <v>43404</v>
      </c>
      <c r="I3671" s="47">
        <v>43430</v>
      </c>
      <c r="J3671" s="46">
        <v>1138324</v>
      </c>
      <c r="K3671" s="46">
        <v>0</v>
      </c>
      <c r="L3671" s="46">
        <v>0</v>
      </c>
      <c r="M3671" s="46">
        <f t="shared" si="1003"/>
        <v>1138324</v>
      </c>
      <c r="N3671" s="46">
        <v>1356255</v>
      </c>
      <c r="O3671" s="48">
        <f t="shared" si="1004"/>
        <v>0.16068585922263878</v>
      </c>
      <c r="P3671" s="46">
        <v>0</v>
      </c>
      <c r="Q3671" s="46">
        <v>0</v>
      </c>
      <c r="R3671" s="49">
        <f t="shared" si="1005"/>
        <v>0</v>
      </c>
      <c r="S3671" s="50">
        <f t="shared" si="1006"/>
        <v>0</v>
      </c>
      <c r="T3671" s="49">
        <f t="shared" si="1007"/>
        <v>0</v>
      </c>
      <c r="U3671" s="51">
        <f t="shared" si="1008"/>
        <v>0</v>
      </c>
      <c r="V3671" s="52">
        <f>IF(0&lt;0.8,0,IF(0&lt;1,Sheet3!L561,1))*IF(G3671&lt;3,0.12 - O3671,0.01) *U3671</f>
        <v>0</v>
      </c>
      <c r="W3671" s="52">
        <f t="shared" si="1009"/>
        <v>0</v>
      </c>
      <c r="X3671" s="53">
        <f t="shared" si="1010"/>
        <v>0</v>
      </c>
      <c r="Y3671" s="53">
        <f t="shared" si="1011"/>
        <v>0</v>
      </c>
      <c r="Z3671" s="54">
        <f t="shared" si="1016"/>
        <v>0</v>
      </c>
      <c r="AA3671" s="54">
        <f t="shared" si="1012"/>
        <v>0</v>
      </c>
      <c r="AB3671" s="55">
        <f t="shared" si="1017"/>
        <v>0</v>
      </c>
      <c r="AC3671" s="55">
        <f t="shared" si="1013"/>
        <v>0</v>
      </c>
      <c r="AD3671" s="56">
        <f t="shared" si="1014"/>
        <v>0</v>
      </c>
    </row>
    <row r="3672" spans="3:30">
      <c r="C3672" s="43" t="s">
        <v>6812</v>
      </c>
      <c r="D3672" s="44" t="s">
        <v>995</v>
      </c>
      <c r="E3672" s="44"/>
      <c r="F3672" s="45">
        <v>43316.3587037037</v>
      </c>
      <c r="G3672" s="46">
        <v>1</v>
      </c>
      <c r="H3672" s="47">
        <v>43404</v>
      </c>
      <c r="I3672" s="47">
        <v>43430</v>
      </c>
      <c r="J3672" s="46">
        <v>900561</v>
      </c>
      <c r="K3672" s="46">
        <v>0</v>
      </c>
      <c r="L3672" s="46">
        <v>0</v>
      </c>
      <c r="M3672" s="46">
        <f t="shared" si="1003"/>
        <v>900561</v>
      </c>
      <c r="N3672" s="46">
        <v>990700</v>
      </c>
      <c r="O3672" s="48">
        <f t="shared" si="1004"/>
        <v>9.0985162006661957E-2</v>
      </c>
      <c r="P3672" s="46">
        <v>0</v>
      </c>
      <c r="Q3672" s="46">
        <v>0</v>
      </c>
      <c r="R3672" s="49">
        <f t="shared" si="1005"/>
        <v>0</v>
      </c>
      <c r="S3672" s="50">
        <f t="shared" si="1006"/>
        <v>0</v>
      </c>
      <c r="T3672" s="49">
        <f t="shared" si="1007"/>
        <v>0</v>
      </c>
      <c r="U3672" s="51">
        <f t="shared" si="1008"/>
        <v>900561</v>
      </c>
      <c r="V3672" s="52">
        <f>IF(0&lt;0.8,0,IF(0&lt;1,Sheet3!L561,1))*IF(G3672&lt;3,0.12 - O3672,0.01) *U3672</f>
        <v>0</v>
      </c>
      <c r="W3672" s="52">
        <f t="shared" si="1009"/>
        <v>0</v>
      </c>
      <c r="X3672" s="53">
        <f t="shared" si="1010"/>
        <v>0</v>
      </c>
      <c r="Y3672" s="53">
        <f t="shared" si="1011"/>
        <v>0</v>
      </c>
      <c r="Z3672" s="54">
        <f t="shared" si="1016"/>
        <v>0</v>
      </c>
      <c r="AA3672" s="54">
        <f t="shared" si="1012"/>
        <v>0</v>
      </c>
      <c r="AB3672" s="55">
        <f t="shared" si="1017"/>
        <v>0</v>
      </c>
      <c r="AC3672" s="55">
        <f t="shared" si="1013"/>
        <v>0</v>
      </c>
      <c r="AD3672" s="56">
        <f t="shared" si="1014"/>
        <v>0</v>
      </c>
    </row>
    <row r="3673" spans="3:30">
      <c r="C3673" s="43" t="s">
        <v>6813</v>
      </c>
      <c r="D3673" s="44" t="s">
        <v>6814</v>
      </c>
      <c r="E3673" s="44"/>
      <c r="F3673" s="45">
        <v>39608.406747685185</v>
      </c>
      <c r="G3673" s="46">
        <v>123</v>
      </c>
      <c r="H3673" s="47">
        <v>43382</v>
      </c>
      <c r="I3673" s="47">
        <v>43440</v>
      </c>
      <c r="J3673" s="46">
        <v>6003869</v>
      </c>
      <c r="K3673" s="46">
        <v>0</v>
      </c>
      <c r="L3673" s="46">
        <v>0</v>
      </c>
      <c r="M3673" s="46">
        <f t="shared" si="1003"/>
        <v>6003869</v>
      </c>
      <c r="N3673" s="46">
        <v>6035456</v>
      </c>
      <c r="O3673" s="48">
        <f t="shared" si="1004"/>
        <v>5.233573072192077E-3</v>
      </c>
      <c r="P3673" s="46">
        <v>0</v>
      </c>
      <c r="Q3673" s="46">
        <v>6003869</v>
      </c>
      <c r="R3673" s="49">
        <f t="shared" si="1005"/>
        <v>1</v>
      </c>
      <c r="S3673" s="50">
        <f t="shared" si="1006"/>
        <v>0.01</v>
      </c>
      <c r="T3673" s="49">
        <f t="shared" si="1007"/>
        <v>60038.69</v>
      </c>
      <c r="U3673" s="51">
        <f t="shared" si="1008"/>
        <v>0</v>
      </c>
      <c r="V3673" s="52">
        <f>IF(0&lt;0.8,0,IF(0&lt;1,Sheet3!L561,1))*IF(G3673&lt;3,0.12 - O3673,0.01) *U3673</f>
        <v>0</v>
      </c>
      <c r="W3673" s="52">
        <f t="shared" si="1009"/>
        <v>0</v>
      </c>
      <c r="X3673" s="53">
        <f t="shared" si="1010"/>
        <v>0</v>
      </c>
      <c r="Y3673" s="53">
        <f t="shared" si="1011"/>
        <v>0</v>
      </c>
      <c r="Z3673" s="54">
        <f t="shared" si="1016"/>
        <v>0</v>
      </c>
      <c r="AA3673" s="54">
        <f t="shared" si="1012"/>
        <v>0</v>
      </c>
      <c r="AB3673" s="55">
        <f t="shared" si="1017"/>
        <v>0</v>
      </c>
      <c r="AC3673" s="55">
        <f t="shared" si="1013"/>
        <v>0</v>
      </c>
      <c r="AD3673" s="56">
        <f t="shared" si="1014"/>
        <v>60038.69</v>
      </c>
    </row>
    <row r="3674" spans="3:30">
      <c r="C3674" s="43" t="s">
        <v>6815</v>
      </c>
      <c r="D3674" s="44" t="s">
        <v>6816</v>
      </c>
      <c r="E3674" s="44"/>
      <c r="F3674" s="45">
        <v>39608.412881944445</v>
      </c>
      <c r="G3674" s="46">
        <v>123</v>
      </c>
      <c r="H3674" s="47">
        <v>43385</v>
      </c>
      <c r="I3674" s="47">
        <v>43397</v>
      </c>
      <c r="J3674" s="46">
        <v>615517</v>
      </c>
      <c r="K3674" s="46">
        <v>0</v>
      </c>
      <c r="L3674" s="46">
        <v>0</v>
      </c>
      <c r="M3674" s="46">
        <f t="shared" si="1003"/>
        <v>615517</v>
      </c>
      <c r="N3674" s="46">
        <v>581368</v>
      </c>
      <c r="O3674" s="48">
        <f t="shared" si="1004"/>
        <v>0</v>
      </c>
      <c r="P3674" s="46">
        <v>0</v>
      </c>
      <c r="Q3674" s="46">
        <v>615517</v>
      </c>
      <c r="R3674" s="49">
        <f t="shared" si="1005"/>
        <v>1</v>
      </c>
      <c r="S3674" s="50">
        <f t="shared" si="1006"/>
        <v>0.01</v>
      </c>
      <c r="T3674" s="49">
        <f t="shared" si="1007"/>
        <v>6155.17</v>
      </c>
      <c r="U3674" s="51">
        <f t="shared" si="1008"/>
        <v>0</v>
      </c>
      <c r="V3674" s="52">
        <f>IF(0&lt;0.8,0,IF(0&lt;1,Sheet3!L561,1))*IF(G3674&lt;3,0.12 - O3674,0.01) *U3674</f>
        <v>0</v>
      </c>
      <c r="W3674" s="52">
        <f t="shared" si="1009"/>
        <v>0</v>
      </c>
      <c r="X3674" s="53">
        <f t="shared" si="1010"/>
        <v>0</v>
      </c>
      <c r="Y3674" s="53">
        <f t="shared" si="1011"/>
        <v>0</v>
      </c>
      <c r="Z3674" s="54">
        <f t="shared" si="1016"/>
        <v>0</v>
      </c>
      <c r="AA3674" s="54">
        <f t="shared" si="1012"/>
        <v>0</v>
      </c>
      <c r="AB3674" s="55">
        <f t="shared" si="1017"/>
        <v>0</v>
      </c>
      <c r="AC3674" s="55">
        <f t="shared" si="1013"/>
        <v>0</v>
      </c>
      <c r="AD3674" s="56">
        <f t="shared" si="1014"/>
        <v>6155.17</v>
      </c>
    </row>
    <row r="3675" spans="3:30">
      <c r="C3675" s="43" t="s">
        <v>6817</v>
      </c>
      <c r="D3675" s="44" t="s">
        <v>6818</v>
      </c>
      <c r="E3675" s="44"/>
      <c r="F3675" s="45">
        <v>39787.374143518515</v>
      </c>
      <c r="G3675" s="46">
        <v>117</v>
      </c>
      <c r="H3675" s="47">
        <v>43372</v>
      </c>
      <c r="I3675" s="47">
        <v>43424</v>
      </c>
      <c r="J3675" s="46">
        <v>1634277</v>
      </c>
      <c r="K3675" s="46">
        <v>0</v>
      </c>
      <c r="L3675" s="46">
        <v>0</v>
      </c>
      <c r="M3675" s="46">
        <f t="shared" si="1003"/>
        <v>1634277</v>
      </c>
      <c r="N3675" s="46">
        <v>1625047</v>
      </c>
      <c r="O3675" s="48">
        <f t="shared" si="1004"/>
        <v>0</v>
      </c>
      <c r="P3675" s="46">
        <v>0</v>
      </c>
      <c r="Q3675" s="46">
        <v>1634277</v>
      </c>
      <c r="R3675" s="49">
        <f t="shared" si="1005"/>
        <v>1</v>
      </c>
      <c r="S3675" s="50">
        <f t="shared" si="1006"/>
        <v>0.01</v>
      </c>
      <c r="T3675" s="49">
        <f t="shared" si="1007"/>
        <v>16342.77</v>
      </c>
      <c r="U3675" s="51">
        <f t="shared" si="1008"/>
        <v>0</v>
      </c>
      <c r="V3675" s="52">
        <f>IF(0&lt;0.8,0,IF(0&lt;1,Sheet3!L561,1))*IF(G3675&lt;3,0.12 - O3675,0.01) *U3675</f>
        <v>0</v>
      </c>
      <c r="W3675" s="52">
        <f t="shared" si="1009"/>
        <v>0</v>
      </c>
      <c r="X3675" s="53">
        <f t="shared" si="1010"/>
        <v>0</v>
      </c>
      <c r="Y3675" s="53">
        <f t="shared" si="1011"/>
        <v>0</v>
      </c>
      <c r="Z3675" s="54">
        <f t="shared" si="1016"/>
        <v>0</v>
      </c>
      <c r="AA3675" s="54">
        <f t="shared" si="1012"/>
        <v>0</v>
      </c>
      <c r="AB3675" s="55">
        <f t="shared" si="1017"/>
        <v>0</v>
      </c>
      <c r="AC3675" s="55">
        <f t="shared" si="1013"/>
        <v>0</v>
      </c>
      <c r="AD3675" s="56">
        <f t="shared" si="1014"/>
        <v>16342.77</v>
      </c>
    </row>
    <row r="3676" spans="3:30">
      <c r="C3676" s="43" t="s">
        <v>6819</v>
      </c>
      <c r="D3676" s="44" t="s">
        <v>6820</v>
      </c>
      <c r="E3676" s="44"/>
      <c r="F3676" s="45">
        <v>39802.477662037032</v>
      </c>
      <c r="G3676" s="46">
        <v>117</v>
      </c>
      <c r="H3676" s="47">
        <v>43382</v>
      </c>
      <c r="I3676" s="47">
        <v>43403</v>
      </c>
      <c r="J3676" s="46">
        <v>304000</v>
      </c>
      <c r="K3676" s="46">
        <v>0</v>
      </c>
      <c r="L3676" s="46">
        <v>0</v>
      </c>
      <c r="M3676" s="46">
        <f t="shared" si="1003"/>
        <v>304000</v>
      </c>
      <c r="N3676" s="46">
        <v>252465</v>
      </c>
      <c r="O3676" s="48">
        <f t="shared" si="1004"/>
        <v>0</v>
      </c>
      <c r="P3676" s="46">
        <v>0</v>
      </c>
      <c r="Q3676" s="46">
        <v>304000</v>
      </c>
      <c r="R3676" s="49">
        <f t="shared" si="1005"/>
        <v>1</v>
      </c>
      <c r="S3676" s="50">
        <f t="shared" si="1006"/>
        <v>0.01</v>
      </c>
      <c r="T3676" s="49">
        <f t="shared" si="1007"/>
        <v>3040</v>
      </c>
      <c r="U3676" s="51">
        <f t="shared" si="1008"/>
        <v>0</v>
      </c>
      <c r="V3676" s="52">
        <f>IF(0&lt;0.8,0,IF(0&lt;1,Sheet3!L561,1))*IF(G3676&lt;3,0.12 - O3676,0.01) *U3676</f>
        <v>0</v>
      </c>
      <c r="W3676" s="52">
        <f t="shared" si="1009"/>
        <v>0</v>
      </c>
      <c r="X3676" s="53">
        <f t="shared" si="1010"/>
        <v>0</v>
      </c>
      <c r="Y3676" s="53">
        <f t="shared" si="1011"/>
        <v>0</v>
      </c>
      <c r="Z3676" s="54">
        <f t="shared" si="1016"/>
        <v>0</v>
      </c>
      <c r="AA3676" s="54">
        <f t="shared" si="1012"/>
        <v>0</v>
      </c>
      <c r="AB3676" s="55">
        <f t="shared" si="1017"/>
        <v>0</v>
      </c>
      <c r="AC3676" s="55">
        <f t="shared" si="1013"/>
        <v>0</v>
      </c>
      <c r="AD3676" s="56">
        <f t="shared" si="1014"/>
        <v>3040</v>
      </c>
    </row>
    <row r="3677" spans="3:30">
      <c r="C3677" s="43" t="s">
        <v>6821</v>
      </c>
      <c r="D3677" s="44" t="s">
        <v>6822</v>
      </c>
      <c r="E3677" s="44"/>
      <c r="F3677" s="45">
        <v>39995.657152777778</v>
      </c>
      <c r="G3677" s="46">
        <v>110</v>
      </c>
      <c r="H3677" s="47">
        <v>43382</v>
      </c>
      <c r="I3677" s="47">
        <v>43426</v>
      </c>
      <c r="J3677" s="46">
        <v>749000</v>
      </c>
      <c r="K3677" s="46">
        <v>0</v>
      </c>
      <c r="L3677" s="46">
        <v>0</v>
      </c>
      <c r="M3677" s="46">
        <f t="shared" si="1003"/>
        <v>749000</v>
      </c>
      <c r="N3677" s="46">
        <v>723733</v>
      </c>
      <c r="O3677" s="48">
        <f t="shared" si="1004"/>
        <v>0</v>
      </c>
      <c r="P3677" s="46">
        <v>0</v>
      </c>
      <c r="Q3677" s="46">
        <v>749000</v>
      </c>
      <c r="R3677" s="49">
        <f t="shared" si="1005"/>
        <v>1</v>
      </c>
      <c r="S3677" s="50">
        <f t="shared" si="1006"/>
        <v>0.01</v>
      </c>
      <c r="T3677" s="49">
        <f t="shared" si="1007"/>
        <v>7490</v>
      </c>
      <c r="U3677" s="51">
        <f t="shared" si="1008"/>
        <v>0</v>
      </c>
      <c r="V3677" s="52">
        <f>IF(0&lt;0.8,0,IF(0&lt;1,Sheet3!L561,1))*IF(G3677&lt;3,0.12 - O3677,0.01) *U3677</f>
        <v>0</v>
      </c>
      <c r="W3677" s="52">
        <f t="shared" si="1009"/>
        <v>0</v>
      </c>
      <c r="X3677" s="53">
        <f t="shared" si="1010"/>
        <v>0</v>
      </c>
      <c r="Y3677" s="53">
        <f t="shared" si="1011"/>
        <v>0</v>
      </c>
      <c r="Z3677" s="54">
        <f t="shared" si="1016"/>
        <v>0</v>
      </c>
      <c r="AA3677" s="54">
        <f t="shared" si="1012"/>
        <v>0</v>
      </c>
      <c r="AB3677" s="55">
        <f t="shared" si="1017"/>
        <v>0</v>
      </c>
      <c r="AC3677" s="55">
        <f t="shared" si="1013"/>
        <v>0</v>
      </c>
      <c r="AD3677" s="56">
        <f t="shared" si="1014"/>
        <v>7490</v>
      </c>
    </row>
    <row r="3678" spans="3:30">
      <c r="C3678" s="43" t="s">
        <v>6823</v>
      </c>
      <c r="D3678" s="44" t="s">
        <v>6824</v>
      </c>
      <c r="E3678" s="44"/>
      <c r="F3678" s="45">
        <v>40883.715370370366</v>
      </c>
      <c r="G3678" s="46">
        <v>81</v>
      </c>
      <c r="H3678" s="47">
        <v>43382</v>
      </c>
      <c r="I3678" s="47">
        <v>43454</v>
      </c>
      <c r="J3678" s="46">
        <v>9837080</v>
      </c>
      <c r="K3678" s="46">
        <v>0</v>
      </c>
      <c r="L3678" s="46">
        <v>0</v>
      </c>
      <c r="M3678" s="46">
        <f t="shared" si="1003"/>
        <v>9837080</v>
      </c>
      <c r="N3678" s="46">
        <v>22992570</v>
      </c>
      <c r="O3678" s="48">
        <f t="shared" si="1004"/>
        <v>0.57216265950261325</v>
      </c>
      <c r="P3678" s="46">
        <v>0</v>
      </c>
      <c r="Q3678" s="46">
        <v>9837080</v>
      </c>
      <c r="R3678" s="49">
        <f t="shared" si="1005"/>
        <v>1</v>
      </c>
      <c r="S3678" s="50">
        <f t="shared" si="1006"/>
        <v>0.01</v>
      </c>
      <c r="T3678" s="49">
        <f t="shared" si="1007"/>
        <v>98370.8</v>
      </c>
      <c r="U3678" s="51">
        <f t="shared" si="1008"/>
        <v>0</v>
      </c>
      <c r="V3678" s="52">
        <f>IF(0&lt;0.8,0,IF(0&lt;1,Sheet3!L561,1))*IF(G3678&lt;3,0.12 - O3678,0.01) *U3678</f>
        <v>0</v>
      </c>
      <c r="W3678" s="52">
        <f t="shared" si="1009"/>
        <v>0</v>
      </c>
      <c r="X3678" s="53">
        <f t="shared" si="1010"/>
        <v>0</v>
      </c>
      <c r="Y3678" s="53">
        <f t="shared" si="1011"/>
        <v>0</v>
      </c>
      <c r="Z3678" s="54">
        <f t="shared" si="1016"/>
        <v>0</v>
      </c>
      <c r="AA3678" s="54">
        <f t="shared" si="1012"/>
        <v>0</v>
      </c>
      <c r="AB3678" s="55">
        <f t="shared" si="1017"/>
        <v>0</v>
      </c>
      <c r="AC3678" s="55">
        <f t="shared" si="1013"/>
        <v>0</v>
      </c>
      <c r="AD3678" s="56">
        <f t="shared" si="1014"/>
        <v>98370.8</v>
      </c>
    </row>
    <row r="3679" spans="3:30">
      <c r="C3679" s="43" t="s">
        <v>6825</v>
      </c>
      <c r="D3679" s="44" t="s">
        <v>6826</v>
      </c>
      <c r="E3679" s="44"/>
      <c r="F3679" s="45">
        <v>40907.4375</v>
      </c>
      <c r="G3679" s="46">
        <v>81</v>
      </c>
      <c r="H3679" s="47">
        <v>43382</v>
      </c>
      <c r="I3679" s="47">
        <v>43431</v>
      </c>
      <c r="J3679" s="46">
        <v>905000</v>
      </c>
      <c r="K3679" s="46">
        <v>0</v>
      </c>
      <c r="L3679" s="46">
        <v>0</v>
      </c>
      <c r="M3679" s="46">
        <f t="shared" si="1003"/>
        <v>905000</v>
      </c>
      <c r="N3679" s="46">
        <v>883322</v>
      </c>
      <c r="O3679" s="48">
        <f t="shared" si="1004"/>
        <v>0</v>
      </c>
      <c r="P3679" s="46">
        <v>0</v>
      </c>
      <c r="Q3679" s="46">
        <v>905000</v>
      </c>
      <c r="R3679" s="49">
        <f t="shared" si="1005"/>
        <v>1</v>
      </c>
      <c r="S3679" s="50">
        <f t="shared" si="1006"/>
        <v>0.01</v>
      </c>
      <c r="T3679" s="49">
        <f t="shared" si="1007"/>
        <v>9050</v>
      </c>
      <c r="U3679" s="51">
        <f t="shared" si="1008"/>
        <v>0</v>
      </c>
      <c r="V3679" s="52">
        <f>IF(0&lt;0.8,0,IF(0&lt;1,Sheet3!L561,1))*IF(G3679&lt;3,0.12 - O3679,0.01) *U3679</f>
        <v>0</v>
      </c>
      <c r="W3679" s="52">
        <f t="shared" si="1009"/>
        <v>0</v>
      </c>
      <c r="X3679" s="53">
        <f t="shared" si="1010"/>
        <v>0</v>
      </c>
      <c r="Y3679" s="53">
        <f t="shared" si="1011"/>
        <v>0</v>
      </c>
      <c r="Z3679" s="54">
        <f t="shared" si="1016"/>
        <v>0</v>
      </c>
      <c r="AA3679" s="54">
        <f t="shared" si="1012"/>
        <v>0</v>
      </c>
      <c r="AB3679" s="55">
        <f t="shared" si="1017"/>
        <v>0</v>
      </c>
      <c r="AC3679" s="55">
        <f t="shared" si="1013"/>
        <v>0</v>
      </c>
      <c r="AD3679" s="56">
        <f t="shared" si="1014"/>
        <v>9050</v>
      </c>
    </row>
    <row r="3680" spans="3:30">
      <c r="C3680" s="43" t="s">
        <v>6827</v>
      </c>
      <c r="D3680" s="44" t="s">
        <v>6828</v>
      </c>
      <c r="E3680" s="44"/>
      <c r="F3680" s="45">
        <v>41008.628391203703</v>
      </c>
      <c r="G3680" s="46">
        <v>77</v>
      </c>
      <c r="H3680" s="47">
        <v>43372</v>
      </c>
      <c r="I3680" s="47">
        <v>43390</v>
      </c>
      <c r="J3680" s="46">
        <v>213000</v>
      </c>
      <c r="K3680" s="46">
        <v>0</v>
      </c>
      <c r="L3680" s="46">
        <v>0</v>
      </c>
      <c r="M3680" s="46">
        <f t="shared" si="1003"/>
        <v>213000</v>
      </c>
      <c r="N3680" s="46">
        <v>216150</v>
      </c>
      <c r="O3680" s="48">
        <f t="shared" si="1004"/>
        <v>1.4573213046495503E-2</v>
      </c>
      <c r="P3680" s="46">
        <v>0</v>
      </c>
      <c r="Q3680" s="46">
        <v>213000</v>
      </c>
      <c r="R3680" s="49">
        <f t="shared" si="1005"/>
        <v>1</v>
      </c>
      <c r="S3680" s="50">
        <f t="shared" si="1006"/>
        <v>0.01</v>
      </c>
      <c r="T3680" s="49">
        <f t="shared" si="1007"/>
        <v>2130</v>
      </c>
      <c r="U3680" s="51">
        <f t="shared" si="1008"/>
        <v>0</v>
      </c>
      <c r="V3680" s="52">
        <f>IF(0&lt;0.8,0,IF(0&lt;1,Sheet3!L561,1))*IF(G3680&lt;3,0.12 - O3680,0.01) *U3680</f>
        <v>0</v>
      </c>
      <c r="W3680" s="52">
        <f t="shared" si="1009"/>
        <v>0</v>
      </c>
      <c r="X3680" s="53">
        <f t="shared" si="1010"/>
        <v>0</v>
      </c>
      <c r="Y3680" s="53">
        <f t="shared" si="1011"/>
        <v>0</v>
      </c>
      <c r="Z3680" s="54">
        <f t="shared" si="1016"/>
        <v>0</v>
      </c>
      <c r="AA3680" s="54">
        <f t="shared" si="1012"/>
        <v>0</v>
      </c>
      <c r="AB3680" s="55">
        <f t="shared" si="1017"/>
        <v>0</v>
      </c>
      <c r="AC3680" s="55">
        <f t="shared" si="1013"/>
        <v>0</v>
      </c>
      <c r="AD3680" s="56">
        <f t="shared" si="1014"/>
        <v>2130</v>
      </c>
    </row>
    <row r="3681" spans="3:30">
      <c r="C3681" s="43" t="s">
        <v>6829</v>
      </c>
      <c r="D3681" s="44" t="s">
        <v>6830</v>
      </c>
      <c r="E3681" s="44"/>
      <c r="F3681" s="45">
        <v>41190.393483796295</v>
      </c>
      <c r="G3681" s="46">
        <v>71</v>
      </c>
      <c r="H3681" s="47">
        <v>43382</v>
      </c>
      <c r="I3681" s="47">
        <v>43440</v>
      </c>
      <c r="J3681" s="46">
        <v>2166493</v>
      </c>
      <c r="K3681" s="46">
        <v>0</v>
      </c>
      <c r="L3681" s="46">
        <v>0</v>
      </c>
      <c r="M3681" s="46">
        <f t="shared" si="1003"/>
        <v>2166493</v>
      </c>
      <c r="N3681" s="46">
        <v>2166493</v>
      </c>
      <c r="O3681" s="48">
        <f t="shared" si="1004"/>
        <v>0</v>
      </c>
      <c r="P3681" s="46">
        <v>0</v>
      </c>
      <c r="Q3681" s="46">
        <v>2166493</v>
      </c>
      <c r="R3681" s="49">
        <f t="shared" si="1005"/>
        <v>1</v>
      </c>
      <c r="S3681" s="50">
        <f t="shared" si="1006"/>
        <v>0.01</v>
      </c>
      <c r="T3681" s="49">
        <f t="shared" si="1007"/>
        <v>21664.93</v>
      </c>
      <c r="U3681" s="51">
        <f t="shared" si="1008"/>
        <v>0</v>
      </c>
      <c r="V3681" s="52">
        <f>IF(0&lt;0.8,0,IF(0&lt;1,Sheet3!L561,1))*IF(G3681&lt;3,0.12 - O3681,0.01) *U3681</f>
        <v>0</v>
      </c>
      <c r="W3681" s="52">
        <f t="shared" si="1009"/>
        <v>0</v>
      </c>
      <c r="X3681" s="53">
        <f t="shared" si="1010"/>
        <v>0</v>
      </c>
      <c r="Y3681" s="53">
        <f t="shared" si="1011"/>
        <v>0</v>
      </c>
      <c r="Z3681" s="54">
        <f t="shared" si="1016"/>
        <v>0</v>
      </c>
      <c r="AA3681" s="54">
        <f t="shared" si="1012"/>
        <v>0</v>
      </c>
      <c r="AB3681" s="55">
        <f t="shared" si="1017"/>
        <v>0</v>
      </c>
      <c r="AC3681" s="55">
        <f t="shared" si="1013"/>
        <v>0</v>
      </c>
      <c r="AD3681" s="56">
        <f t="shared" si="1014"/>
        <v>21664.93</v>
      </c>
    </row>
    <row r="3682" spans="3:30">
      <c r="C3682" s="43" t="s">
        <v>6831</v>
      </c>
      <c r="D3682" s="44" t="s">
        <v>6832</v>
      </c>
      <c r="E3682" s="44"/>
      <c r="F3682" s="45">
        <v>41754.376944444441</v>
      </c>
      <c r="G3682" s="46">
        <v>53</v>
      </c>
      <c r="H3682" s="47">
        <v>43432</v>
      </c>
      <c r="I3682" s="47">
        <v>43437</v>
      </c>
      <c r="J3682" s="46">
        <v>2977017</v>
      </c>
      <c r="K3682" s="46">
        <v>0</v>
      </c>
      <c r="L3682" s="46">
        <v>0</v>
      </c>
      <c r="M3682" s="46">
        <f t="shared" si="1003"/>
        <v>2977017</v>
      </c>
      <c r="N3682" s="46">
        <v>3318641</v>
      </c>
      <c r="O3682" s="48">
        <f t="shared" si="1004"/>
        <v>0.10294093274927896</v>
      </c>
      <c r="P3682" s="46">
        <v>0</v>
      </c>
      <c r="Q3682" s="46">
        <v>3217056</v>
      </c>
      <c r="R3682" s="49">
        <f t="shared" si="1005"/>
        <v>1</v>
      </c>
      <c r="S3682" s="50">
        <f t="shared" si="1006"/>
        <v>0.01</v>
      </c>
      <c r="T3682" s="49">
        <f t="shared" si="1007"/>
        <v>29770.170000000002</v>
      </c>
      <c r="U3682" s="51">
        <f t="shared" si="1008"/>
        <v>0</v>
      </c>
      <c r="V3682" s="52">
        <f>IF(0&lt;0.8,0,IF(0&lt;1,Sheet3!L561,1))*IF(G3682&lt;3,0.12 - O3682,0.01) *U3682</f>
        <v>0</v>
      </c>
      <c r="W3682" s="52">
        <f t="shared" si="1009"/>
        <v>0</v>
      </c>
      <c r="X3682" s="53">
        <f t="shared" si="1010"/>
        <v>0</v>
      </c>
      <c r="Y3682" s="53">
        <f t="shared" si="1011"/>
        <v>0</v>
      </c>
      <c r="Z3682" s="54">
        <f t="shared" si="1016"/>
        <v>0</v>
      </c>
      <c r="AA3682" s="54">
        <f t="shared" si="1012"/>
        <v>0</v>
      </c>
      <c r="AB3682" s="55">
        <f t="shared" si="1017"/>
        <v>0</v>
      </c>
      <c r="AC3682" s="55">
        <f t="shared" si="1013"/>
        <v>0</v>
      </c>
      <c r="AD3682" s="56">
        <f t="shared" si="1014"/>
        <v>29770.170000000002</v>
      </c>
    </row>
    <row r="3683" spans="3:30">
      <c r="C3683" s="43" t="s">
        <v>6833</v>
      </c>
      <c r="D3683" s="44" t="s">
        <v>6834</v>
      </c>
      <c r="E3683" s="44"/>
      <c r="F3683" s="45">
        <v>41953.382731481477</v>
      </c>
      <c r="G3683" s="46">
        <v>46</v>
      </c>
      <c r="H3683" s="47">
        <v>43389</v>
      </c>
      <c r="I3683" s="47">
        <v>43402</v>
      </c>
      <c r="J3683" s="46">
        <v>18339811</v>
      </c>
      <c r="K3683" s="46">
        <v>0</v>
      </c>
      <c r="L3683" s="46">
        <v>0</v>
      </c>
      <c r="M3683" s="46">
        <f t="shared" si="1003"/>
        <v>18339811</v>
      </c>
      <c r="N3683" s="46">
        <v>11206609</v>
      </c>
      <c r="O3683" s="48">
        <f t="shared" si="1004"/>
        <v>0</v>
      </c>
      <c r="P3683" s="46">
        <v>0</v>
      </c>
      <c r="Q3683" s="46">
        <v>18339811</v>
      </c>
      <c r="R3683" s="49">
        <f t="shared" si="1005"/>
        <v>1</v>
      </c>
      <c r="S3683" s="50">
        <f t="shared" si="1006"/>
        <v>0.01</v>
      </c>
      <c r="T3683" s="49">
        <f t="shared" si="1007"/>
        <v>183398.11000000002</v>
      </c>
      <c r="U3683" s="51">
        <f t="shared" si="1008"/>
        <v>0</v>
      </c>
      <c r="V3683" s="52">
        <f>IF(0&lt;0.8,0,IF(0&lt;1,Sheet3!L561,1))*IF(G3683&lt;3,0.12 - O3683,0.01) *U3683</f>
        <v>0</v>
      </c>
      <c r="W3683" s="52">
        <f t="shared" si="1009"/>
        <v>0</v>
      </c>
      <c r="X3683" s="53">
        <f t="shared" si="1010"/>
        <v>0</v>
      </c>
      <c r="Y3683" s="53">
        <f t="shared" si="1011"/>
        <v>0</v>
      </c>
      <c r="Z3683" s="54">
        <f t="shared" si="1016"/>
        <v>0</v>
      </c>
      <c r="AA3683" s="54">
        <f t="shared" si="1012"/>
        <v>0</v>
      </c>
      <c r="AB3683" s="55">
        <f>IF(R3683=0,5966419,0)</f>
        <v>0</v>
      </c>
      <c r="AC3683" s="55">
        <f t="shared" si="1013"/>
        <v>0</v>
      </c>
      <c r="AD3683" s="56">
        <f t="shared" si="1014"/>
        <v>183398.11000000002</v>
      </c>
    </row>
    <row r="3684" spans="3:30">
      <c r="C3684" s="43" t="s">
        <v>6835</v>
      </c>
      <c r="D3684" s="44" t="s">
        <v>6836</v>
      </c>
      <c r="E3684" s="44"/>
      <c r="F3684" s="45">
        <v>42115.595289351848</v>
      </c>
      <c r="G3684" s="46">
        <v>41</v>
      </c>
      <c r="H3684" s="47">
        <v>43382</v>
      </c>
      <c r="I3684" s="47">
        <v>43403</v>
      </c>
      <c r="J3684" s="46">
        <v>387312</v>
      </c>
      <c r="K3684" s="46">
        <v>0</v>
      </c>
      <c r="L3684" s="46">
        <v>0</v>
      </c>
      <c r="M3684" s="46">
        <f t="shared" si="1003"/>
        <v>387312</v>
      </c>
      <c r="N3684" s="46">
        <v>387312</v>
      </c>
      <c r="O3684" s="48">
        <f t="shared" si="1004"/>
        <v>0</v>
      </c>
      <c r="P3684" s="46">
        <v>0</v>
      </c>
      <c r="Q3684" s="46">
        <v>387312</v>
      </c>
      <c r="R3684" s="49">
        <f t="shared" si="1005"/>
        <v>1</v>
      </c>
      <c r="S3684" s="50">
        <f t="shared" si="1006"/>
        <v>0.01</v>
      </c>
      <c r="T3684" s="49">
        <f t="shared" si="1007"/>
        <v>3873.12</v>
      </c>
      <c r="U3684" s="51">
        <f t="shared" si="1008"/>
        <v>0</v>
      </c>
      <c r="V3684" s="52">
        <f>IF(0&lt;0.8,0,IF(0&lt;1,Sheet3!L561,1))*IF(G3684&lt;3,0.12 - O3684,0.01) *U3684</f>
        <v>0</v>
      </c>
      <c r="W3684" s="52">
        <f t="shared" si="1009"/>
        <v>0</v>
      </c>
      <c r="X3684" s="53">
        <f t="shared" si="1010"/>
        <v>0</v>
      </c>
      <c r="Y3684" s="53">
        <f t="shared" si="1011"/>
        <v>0</v>
      </c>
      <c r="Z3684" s="54">
        <f t="shared" si="1016"/>
        <v>0</v>
      </c>
      <c r="AA3684" s="54">
        <f t="shared" si="1012"/>
        <v>0</v>
      </c>
      <c r="AB3684" s="55">
        <f>IF(R3684=0,0,0)</f>
        <v>0</v>
      </c>
      <c r="AC3684" s="55">
        <f t="shared" si="1013"/>
        <v>0</v>
      </c>
      <c r="AD3684" s="56">
        <f t="shared" si="1014"/>
        <v>3873.12</v>
      </c>
    </row>
    <row r="3685" spans="3:30">
      <c r="C3685" s="43" t="s">
        <v>6837</v>
      </c>
      <c r="D3685" s="44" t="s">
        <v>6838</v>
      </c>
      <c r="E3685" s="44"/>
      <c r="F3685" s="45">
        <v>42115.597858796296</v>
      </c>
      <c r="G3685" s="46">
        <v>41</v>
      </c>
      <c r="H3685" s="47">
        <v>43382</v>
      </c>
      <c r="I3685" s="47">
        <v>43391</v>
      </c>
      <c r="J3685" s="46">
        <v>321222</v>
      </c>
      <c r="K3685" s="46">
        <v>0</v>
      </c>
      <c r="L3685" s="46">
        <v>0</v>
      </c>
      <c r="M3685" s="46">
        <f t="shared" si="1003"/>
        <v>321222</v>
      </c>
      <c r="N3685" s="46">
        <v>321222</v>
      </c>
      <c r="O3685" s="48">
        <f t="shared" si="1004"/>
        <v>0</v>
      </c>
      <c r="P3685" s="46">
        <v>0</v>
      </c>
      <c r="Q3685" s="46">
        <v>321222</v>
      </c>
      <c r="R3685" s="49">
        <f t="shared" si="1005"/>
        <v>1</v>
      </c>
      <c r="S3685" s="50">
        <f t="shared" si="1006"/>
        <v>0.01</v>
      </c>
      <c r="T3685" s="49">
        <f t="shared" si="1007"/>
        <v>3212.2200000000003</v>
      </c>
      <c r="U3685" s="51">
        <f t="shared" si="1008"/>
        <v>0</v>
      </c>
      <c r="V3685" s="52">
        <f>IF(0&lt;0.8,0,IF(0&lt;1,Sheet3!L561,1))*IF(G3685&lt;3,0.12 - O3685,0.01) *U3685</f>
        <v>0</v>
      </c>
      <c r="W3685" s="52">
        <f t="shared" si="1009"/>
        <v>0</v>
      </c>
      <c r="X3685" s="53">
        <f t="shared" si="1010"/>
        <v>0</v>
      </c>
      <c r="Y3685" s="53">
        <f t="shared" si="1011"/>
        <v>0</v>
      </c>
      <c r="Z3685" s="54">
        <f t="shared" si="1016"/>
        <v>0</v>
      </c>
      <c r="AA3685" s="54">
        <f t="shared" si="1012"/>
        <v>0</v>
      </c>
      <c r="AB3685" s="55">
        <f>IF(R3685=0,0,0)</f>
        <v>0</v>
      </c>
      <c r="AC3685" s="55">
        <f t="shared" si="1013"/>
        <v>0</v>
      </c>
      <c r="AD3685" s="56">
        <f t="shared" si="1014"/>
        <v>3212.2200000000003</v>
      </c>
    </row>
    <row r="3686" spans="3:30">
      <c r="C3686" s="43" t="s">
        <v>6839</v>
      </c>
      <c r="D3686" s="44" t="s">
        <v>6840</v>
      </c>
      <c r="E3686" s="44"/>
      <c r="F3686" s="45">
        <v>42207.355115740742</v>
      </c>
      <c r="G3686" s="46">
        <v>38</v>
      </c>
      <c r="H3686" s="47">
        <v>43382</v>
      </c>
      <c r="I3686" s="47">
        <v>43419</v>
      </c>
      <c r="J3686" s="46">
        <v>260889</v>
      </c>
      <c r="K3686" s="46">
        <v>0</v>
      </c>
      <c r="L3686" s="46">
        <v>0</v>
      </c>
      <c r="M3686" s="46">
        <f t="shared" si="1003"/>
        <v>260889</v>
      </c>
      <c r="N3686" s="46">
        <v>260889</v>
      </c>
      <c r="O3686" s="48">
        <f t="shared" si="1004"/>
        <v>0</v>
      </c>
      <c r="P3686" s="46">
        <v>0</v>
      </c>
      <c r="Q3686" s="46">
        <v>260889</v>
      </c>
      <c r="R3686" s="49">
        <f t="shared" si="1005"/>
        <v>1</v>
      </c>
      <c r="S3686" s="50">
        <f t="shared" si="1006"/>
        <v>0.01</v>
      </c>
      <c r="T3686" s="49">
        <f t="shared" si="1007"/>
        <v>2608.89</v>
      </c>
      <c r="U3686" s="51">
        <f t="shared" si="1008"/>
        <v>0</v>
      </c>
      <c r="V3686" s="52">
        <f>IF(0&lt;0.8,0,IF(0&lt;1,Sheet3!L561,1))*IF(G3686&lt;3,0.12 - O3686,0.01) *U3686</f>
        <v>0</v>
      </c>
      <c r="W3686" s="52">
        <f t="shared" si="1009"/>
        <v>0</v>
      </c>
      <c r="X3686" s="53">
        <f t="shared" si="1010"/>
        <v>0</v>
      </c>
      <c r="Y3686" s="53">
        <f t="shared" si="1011"/>
        <v>0</v>
      </c>
      <c r="Z3686" s="54">
        <f t="shared" si="1016"/>
        <v>0</v>
      </c>
      <c r="AA3686" s="54">
        <f t="shared" si="1012"/>
        <v>0</v>
      </c>
      <c r="AB3686" s="55">
        <f>IF(R3686=0,0,0)</f>
        <v>0</v>
      </c>
      <c r="AC3686" s="55">
        <f t="shared" si="1013"/>
        <v>0</v>
      </c>
      <c r="AD3686" s="56">
        <f t="shared" si="1014"/>
        <v>2608.89</v>
      </c>
    </row>
    <row r="3687" spans="3:30">
      <c r="C3687" s="43" t="s">
        <v>6841</v>
      </c>
      <c r="D3687" s="44" t="s">
        <v>6836</v>
      </c>
      <c r="E3687" s="44"/>
      <c r="F3687" s="45">
        <v>42647.142141203702</v>
      </c>
      <c r="G3687" s="46">
        <v>23</v>
      </c>
      <c r="H3687" s="47">
        <v>43382</v>
      </c>
      <c r="I3687" s="47">
        <v>43403</v>
      </c>
      <c r="J3687" s="46">
        <v>8133013</v>
      </c>
      <c r="K3687" s="46">
        <v>0</v>
      </c>
      <c r="L3687" s="46">
        <v>0</v>
      </c>
      <c r="M3687" s="46">
        <f t="shared" si="1003"/>
        <v>8133013</v>
      </c>
      <c r="N3687" s="46">
        <v>9025634</v>
      </c>
      <c r="O3687" s="48">
        <f t="shared" si="1004"/>
        <v>9.8898426415252372E-2</v>
      </c>
      <c r="P3687" s="46">
        <v>0</v>
      </c>
      <c r="Q3687" s="46">
        <v>8133013</v>
      </c>
      <c r="R3687" s="49">
        <f t="shared" si="1005"/>
        <v>1</v>
      </c>
      <c r="S3687" s="50">
        <f t="shared" si="1006"/>
        <v>0.01</v>
      </c>
      <c r="T3687" s="49">
        <f t="shared" si="1007"/>
        <v>81330.13</v>
      </c>
      <c r="U3687" s="51">
        <f t="shared" si="1008"/>
        <v>0</v>
      </c>
      <c r="V3687" s="52">
        <f>IF(0&lt;0.8,0,IF(0&lt;1,Sheet3!L561,1))*IF(G3687&lt;3,0.12 - O3687,0.01) *U3687</f>
        <v>0</v>
      </c>
      <c r="W3687" s="52">
        <f t="shared" si="1009"/>
        <v>0</v>
      </c>
      <c r="X3687" s="53">
        <f t="shared" si="1010"/>
        <v>0</v>
      </c>
      <c r="Y3687" s="53">
        <f t="shared" si="1011"/>
        <v>0</v>
      </c>
      <c r="Z3687" s="54">
        <f t="shared" si="1016"/>
        <v>0</v>
      </c>
      <c r="AA3687" s="54">
        <f t="shared" si="1012"/>
        <v>0</v>
      </c>
      <c r="AB3687" s="55">
        <f>IF(R3687=0,474000,0)</f>
        <v>0</v>
      </c>
      <c r="AC3687" s="55">
        <f t="shared" si="1013"/>
        <v>0</v>
      </c>
      <c r="AD3687" s="56">
        <f t="shared" si="1014"/>
        <v>81330.13</v>
      </c>
    </row>
    <row r="3688" spans="3:30">
      <c r="C3688" s="43" t="s">
        <v>6842</v>
      </c>
      <c r="D3688" s="44" t="s">
        <v>6843</v>
      </c>
      <c r="E3688" s="44"/>
      <c r="F3688" s="45">
        <v>42712.083379629628</v>
      </c>
      <c r="G3688" s="46">
        <v>21</v>
      </c>
      <c r="H3688" s="47">
        <v>43400</v>
      </c>
      <c r="I3688" s="47">
        <v>43410</v>
      </c>
      <c r="J3688" s="46">
        <v>1814221</v>
      </c>
      <c r="K3688" s="46">
        <v>0</v>
      </c>
      <c r="L3688" s="46">
        <v>0</v>
      </c>
      <c r="M3688" s="46">
        <f t="shared" si="1003"/>
        <v>1814221</v>
      </c>
      <c r="N3688" s="46">
        <v>2670812</v>
      </c>
      <c r="O3688" s="48">
        <f t="shared" si="1004"/>
        <v>0.32072306100167292</v>
      </c>
      <c r="P3688" s="46">
        <v>0</v>
      </c>
      <c r="Q3688" s="46">
        <v>1814221</v>
      </c>
      <c r="R3688" s="49">
        <f t="shared" si="1005"/>
        <v>1</v>
      </c>
      <c r="S3688" s="50">
        <f t="shared" si="1006"/>
        <v>0.01</v>
      </c>
      <c r="T3688" s="49">
        <f t="shared" si="1007"/>
        <v>18142.21</v>
      </c>
      <c r="U3688" s="51">
        <f t="shared" si="1008"/>
        <v>0</v>
      </c>
      <c r="V3688" s="52">
        <f>IF(0&lt;0.8,0,IF(0&lt;1,Sheet3!L561,1))*IF(G3688&lt;3,0.12 - O3688,0.01) *U3688</f>
        <v>0</v>
      </c>
      <c r="W3688" s="52">
        <f t="shared" si="1009"/>
        <v>0</v>
      </c>
      <c r="X3688" s="53">
        <f t="shared" si="1010"/>
        <v>0</v>
      </c>
      <c r="Y3688" s="53">
        <f t="shared" si="1011"/>
        <v>0</v>
      </c>
      <c r="Z3688" s="54">
        <f t="shared" si="1016"/>
        <v>0</v>
      </c>
      <c r="AA3688" s="54">
        <f t="shared" si="1012"/>
        <v>0</v>
      </c>
      <c r="AB3688" s="55">
        <f>IF(R3688=0,0,0)</f>
        <v>0</v>
      </c>
      <c r="AC3688" s="55">
        <f t="shared" si="1013"/>
        <v>0</v>
      </c>
      <c r="AD3688" s="56">
        <f t="shared" si="1014"/>
        <v>18142.21</v>
      </c>
    </row>
    <row r="3689" spans="3:30">
      <c r="C3689" s="43" t="s">
        <v>6844</v>
      </c>
      <c r="D3689" s="44" t="s">
        <v>6845</v>
      </c>
      <c r="E3689" s="44"/>
      <c r="F3689" s="45">
        <v>42842.141608796293</v>
      </c>
      <c r="G3689" s="46">
        <v>17</v>
      </c>
      <c r="H3689" s="47">
        <v>43385</v>
      </c>
      <c r="I3689" s="47">
        <v>43407</v>
      </c>
      <c r="J3689" s="46">
        <v>6076686</v>
      </c>
      <c r="K3689" s="46">
        <v>0</v>
      </c>
      <c r="L3689" s="46">
        <v>0</v>
      </c>
      <c r="M3689" s="46">
        <f t="shared" si="1003"/>
        <v>6076686</v>
      </c>
      <c r="N3689" s="46">
        <v>7088498</v>
      </c>
      <c r="O3689" s="48">
        <f t="shared" si="1004"/>
        <v>0.14273997114762538</v>
      </c>
      <c r="P3689" s="46">
        <v>0</v>
      </c>
      <c r="Q3689" s="46">
        <v>6076686</v>
      </c>
      <c r="R3689" s="49">
        <f t="shared" si="1005"/>
        <v>1</v>
      </c>
      <c r="S3689" s="50">
        <f t="shared" si="1006"/>
        <v>0.01</v>
      </c>
      <c r="T3689" s="49">
        <f t="shared" si="1007"/>
        <v>60766.86</v>
      </c>
      <c r="U3689" s="51">
        <f t="shared" si="1008"/>
        <v>0</v>
      </c>
      <c r="V3689" s="52">
        <f>IF(0&lt;0.8,0,IF(0&lt;1,Sheet3!L561,1))*IF(G3689&lt;3,0.12 - O3689,0.01) *U3689</f>
        <v>0</v>
      </c>
      <c r="W3689" s="52">
        <f t="shared" si="1009"/>
        <v>0</v>
      </c>
      <c r="X3689" s="53">
        <f t="shared" si="1010"/>
        <v>0</v>
      </c>
      <c r="Y3689" s="53">
        <f t="shared" si="1011"/>
        <v>0</v>
      </c>
      <c r="Z3689" s="54">
        <f t="shared" si="1016"/>
        <v>0</v>
      </c>
      <c r="AA3689" s="54">
        <f t="shared" si="1012"/>
        <v>0</v>
      </c>
      <c r="AB3689" s="55">
        <f>IF(R3689=0,0,0)</f>
        <v>0</v>
      </c>
      <c r="AC3689" s="55">
        <f t="shared" si="1013"/>
        <v>0</v>
      </c>
      <c r="AD3689" s="56">
        <f t="shared" si="1014"/>
        <v>60766.86</v>
      </c>
    </row>
    <row r="3690" spans="3:30">
      <c r="C3690" s="43" t="s">
        <v>6846</v>
      </c>
      <c r="D3690" s="44" t="s">
        <v>6847</v>
      </c>
      <c r="E3690" s="44"/>
      <c r="F3690" s="45">
        <v>42521.30369212963</v>
      </c>
      <c r="G3690" s="46">
        <v>28</v>
      </c>
      <c r="H3690" s="47" t="s">
        <v>24</v>
      </c>
      <c r="I3690" s="47" t="s">
        <v>24</v>
      </c>
      <c r="J3690" s="46">
        <v>0</v>
      </c>
      <c r="K3690" s="46">
        <v>0</v>
      </c>
      <c r="L3690" s="46">
        <v>0</v>
      </c>
      <c r="M3690" s="46">
        <f t="shared" si="1003"/>
        <v>0</v>
      </c>
      <c r="N3690" s="46">
        <v>1257072</v>
      </c>
      <c r="O3690" s="48">
        <f t="shared" si="1004"/>
        <v>1</v>
      </c>
      <c r="P3690" s="46">
        <v>0</v>
      </c>
      <c r="Q3690" s="46">
        <v>0</v>
      </c>
      <c r="R3690" s="49">
        <f t="shared" si="1005"/>
        <v>1</v>
      </c>
      <c r="S3690" s="50">
        <f t="shared" si="1006"/>
        <v>0.01</v>
      </c>
      <c r="T3690" s="49">
        <f t="shared" si="1007"/>
        <v>0</v>
      </c>
      <c r="U3690" s="51">
        <f t="shared" si="1008"/>
        <v>0</v>
      </c>
      <c r="V3690" s="52">
        <f>IF(0&lt;0.8,0,IF(0&lt;1,Sheet3!L561,1))*IF(G3690&lt;3,0.12 - O3690,0.01) *U3690</f>
        <v>0</v>
      </c>
      <c r="W3690" s="52">
        <f t="shared" si="1009"/>
        <v>0</v>
      </c>
      <c r="X3690" s="53">
        <f t="shared" si="1010"/>
        <v>0</v>
      </c>
      <c r="Y3690" s="53">
        <f t="shared" si="1011"/>
        <v>0</v>
      </c>
      <c r="Z3690" s="54">
        <f>IF(R3690=1,0,"")</f>
        <v>0</v>
      </c>
      <c r="AA3690" s="54">
        <f t="shared" si="1012"/>
        <v>0</v>
      </c>
      <c r="AB3690" s="55">
        <f>IF(R3690=0,"",0)</f>
        <v>0</v>
      </c>
      <c r="AC3690" s="55">
        <f t="shared" si="1013"/>
        <v>0</v>
      </c>
      <c r="AD3690" s="56">
        <f t="shared" si="1014"/>
        <v>0</v>
      </c>
    </row>
    <row r="3691" spans="3:30">
      <c r="C3691" s="43" t="s">
        <v>6848</v>
      </c>
      <c r="D3691" s="44" t="s">
        <v>995</v>
      </c>
      <c r="E3691" s="44"/>
      <c r="F3691" s="45">
        <v>43316.221053240741</v>
      </c>
      <c r="G3691" s="46">
        <v>1</v>
      </c>
      <c r="H3691" s="47">
        <v>43431</v>
      </c>
      <c r="I3691" s="47">
        <v>43460</v>
      </c>
      <c r="J3691" s="46">
        <v>694421</v>
      </c>
      <c r="K3691" s="46">
        <v>0</v>
      </c>
      <c r="L3691" s="46">
        <v>0</v>
      </c>
      <c r="M3691" s="46">
        <f t="shared" si="1003"/>
        <v>694421</v>
      </c>
      <c r="N3691" s="46">
        <v>716932</v>
      </c>
      <c r="O3691" s="48">
        <f t="shared" si="1004"/>
        <v>3.1399072715403986E-2</v>
      </c>
      <c r="P3691" s="46">
        <v>0</v>
      </c>
      <c r="Q3691" s="46">
        <v>0</v>
      </c>
      <c r="R3691" s="49">
        <f t="shared" si="1005"/>
        <v>0</v>
      </c>
      <c r="S3691" s="50">
        <f t="shared" si="1006"/>
        <v>0</v>
      </c>
      <c r="T3691" s="49">
        <f t="shared" si="1007"/>
        <v>0</v>
      </c>
      <c r="U3691" s="51">
        <f t="shared" si="1008"/>
        <v>694421</v>
      </c>
      <c r="V3691" s="52">
        <f>IF(0&lt;0.8,0,IF(0&lt;1,Sheet3!L561,1))*IF(G3691&lt;3,0.12 - O3691,0.01) *U3691</f>
        <v>0</v>
      </c>
      <c r="W3691" s="52">
        <f t="shared" si="1009"/>
        <v>0</v>
      </c>
      <c r="X3691" s="53">
        <f t="shared" si="1010"/>
        <v>0</v>
      </c>
      <c r="Y3691" s="53">
        <f t="shared" si="1011"/>
        <v>0</v>
      </c>
      <c r="Z3691" s="54">
        <f t="shared" ref="Z3691:Z3701" si="1018">IF(R3691=1,0,0)</f>
        <v>0</v>
      </c>
      <c r="AA3691" s="54">
        <f t="shared" si="1012"/>
        <v>0</v>
      </c>
      <c r="AB3691" s="55">
        <f>IF(R3691=0,0,0)</f>
        <v>0</v>
      </c>
      <c r="AC3691" s="55">
        <f t="shared" si="1013"/>
        <v>0</v>
      </c>
      <c r="AD3691" s="56">
        <f t="shared" si="1014"/>
        <v>0</v>
      </c>
    </row>
    <row r="3692" spans="3:30">
      <c r="C3692" s="43" t="s">
        <v>6849</v>
      </c>
      <c r="D3692" s="44" t="s">
        <v>6850</v>
      </c>
      <c r="E3692" s="44"/>
      <c r="F3692" s="45">
        <v>41628.425219907404</v>
      </c>
      <c r="G3692" s="46">
        <v>57</v>
      </c>
      <c r="H3692" s="47">
        <v>43404</v>
      </c>
      <c r="I3692" s="47">
        <v>43413</v>
      </c>
      <c r="J3692" s="46">
        <v>6820368</v>
      </c>
      <c r="K3692" s="46">
        <v>1733166</v>
      </c>
      <c r="L3692" s="46">
        <v>0</v>
      </c>
      <c r="M3692" s="46">
        <f t="shared" si="1003"/>
        <v>5087202</v>
      </c>
      <c r="N3692" s="46">
        <v>9514678</v>
      </c>
      <c r="O3692" s="48">
        <f t="shared" si="1004"/>
        <v>0.46533114415432664</v>
      </c>
      <c r="P3692" s="46">
        <v>0</v>
      </c>
      <c r="Q3692" s="46">
        <v>6820368</v>
      </c>
      <c r="R3692" s="49">
        <f t="shared" si="1005"/>
        <v>1</v>
      </c>
      <c r="S3692" s="50">
        <f t="shared" si="1006"/>
        <v>0.01</v>
      </c>
      <c r="T3692" s="49">
        <f t="shared" si="1007"/>
        <v>50872.020000000004</v>
      </c>
      <c r="U3692" s="51">
        <f t="shared" si="1008"/>
        <v>0</v>
      </c>
      <c r="V3692" s="52">
        <f>IF(0&lt;0.8,0,IF(0&lt;1,Sheet3!L561,1))*IF(G3692&lt;3,0.12 - O3692,0.01) *U3692</f>
        <v>0</v>
      </c>
      <c r="W3692" s="52">
        <f t="shared" si="1009"/>
        <v>0</v>
      </c>
      <c r="X3692" s="53">
        <f t="shared" si="1010"/>
        <v>0</v>
      </c>
      <c r="Y3692" s="53">
        <f t="shared" si="1011"/>
        <v>0</v>
      </c>
      <c r="Z3692" s="54">
        <f t="shared" si="1018"/>
        <v>0</v>
      </c>
      <c r="AA3692" s="54">
        <f t="shared" si="1012"/>
        <v>0</v>
      </c>
      <c r="AB3692" s="55">
        <f>IF(R3692=0,0,0)</f>
        <v>0</v>
      </c>
      <c r="AC3692" s="55">
        <f t="shared" si="1013"/>
        <v>0</v>
      </c>
      <c r="AD3692" s="56">
        <f t="shared" si="1014"/>
        <v>50872.020000000004</v>
      </c>
    </row>
    <row r="3693" spans="3:30">
      <c r="C3693" s="43" t="s">
        <v>6851</v>
      </c>
      <c r="D3693" s="44" t="s">
        <v>6852</v>
      </c>
      <c r="E3693" s="44"/>
      <c r="F3693" s="45">
        <v>41746.37222222222</v>
      </c>
      <c r="G3693" s="46">
        <v>53</v>
      </c>
      <c r="H3693" s="47">
        <v>43404</v>
      </c>
      <c r="I3693" s="47">
        <v>43413</v>
      </c>
      <c r="J3693" s="46">
        <v>6314156</v>
      </c>
      <c r="K3693" s="46">
        <v>0</v>
      </c>
      <c r="L3693" s="46">
        <v>0</v>
      </c>
      <c r="M3693" s="46">
        <f t="shared" si="1003"/>
        <v>6314156</v>
      </c>
      <c r="N3693" s="46">
        <v>8015733</v>
      </c>
      <c r="O3693" s="48">
        <f t="shared" si="1004"/>
        <v>0.21227965053227194</v>
      </c>
      <c r="P3693" s="46">
        <v>0</v>
      </c>
      <c r="Q3693" s="46">
        <v>6314156</v>
      </c>
      <c r="R3693" s="49">
        <f t="shared" si="1005"/>
        <v>1</v>
      </c>
      <c r="S3693" s="50">
        <f t="shared" si="1006"/>
        <v>0.01</v>
      </c>
      <c r="T3693" s="49">
        <f t="shared" si="1007"/>
        <v>63141.560000000005</v>
      </c>
      <c r="U3693" s="51">
        <f t="shared" si="1008"/>
        <v>0</v>
      </c>
      <c r="V3693" s="52">
        <f>IF(0&lt;0.8,0,IF(0&lt;1,Sheet3!L561,1))*IF(G3693&lt;3,0.12 - O3693,0.01) *U3693</f>
        <v>0</v>
      </c>
      <c r="W3693" s="52">
        <f t="shared" si="1009"/>
        <v>0</v>
      </c>
      <c r="X3693" s="53">
        <f t="shared" si="1010"/>
        <v>0</v>
      </c>
      <c r="Y3693" s="53">
        <f t="shared" si="1011"/>
        <v>0</v>
      </c>
      <c r="Z3693" s="54">
        <f t="shared" si="1018"/>
        <v>0</v>
      </c>
      <c r="AA3693" s="54">
        <f t="shared" si="1012"/>
        <v>0</v>
      </c>
      <c r="AB3693" s="55">
        <f>IF(R3693=0,0,0)</f>
        <v>0</v>
      </c>
      <c r="AC3693" s="55">
        <f t="shared" si="1013"/>
        <v>0</v>
      </c>
      <c r="AD3693" s="56">
        <f t="shared" si="1014"/>
        <v>63141.560000000005</v>
      </c>
    </row>
    <row r="3694" spans="3:30">
      <c r="C3694" s="43" t="s">
        <v>6853</v>
      </c>
      <c r="D3694" s="44" t="s">
        <v>6854</v>
      </c>
      <c r="E3694" s="44"/>
      <c r="F3694" s="45">
        <v>42562.352314814816</v>
      </c>
      <c r="G3694" s="46">
        <v>26</v>
      </c>
      <c r="H3694" s="47">
        <v>43404</v>
      </c>
      <c r="I3694" s="47">
        <v>43413</v>
      </c>
      <c r="J3694" s="46">
        <v>4218540</v>
      </c>
      <c r="K3694" s="46">
        <v>0</v>
      </c>
      <c r="L3694" s="46">
        <v>0</v>
      </c>
      <c r="M3694" s="46">
        <f t="shared" si="1003"/>
        <v>4218540</v>
      </c>
      <c r="N3694" s="46">
        <v>5298821</v>
      </c>
      <c r="O3694" s="48">
        <f t="shared" si="1004"/>
        <v>0.20387195566711913</v>
      </c>
      <c r="P3694" s="46">
        <v>0</v>
      </c>
      <c r="Q3694" s="46">
        <v>4218540</v>
      </c>
      <c r="R3694" s="49">
        <f t="shared" si="1005"/>
        <v>1</v>
      </c>
      <c r="S3694" s="50">
        <f t="shared" si="1006"/>
        <v>0.01</v>
      </c>
      <c r="T3694" s="49">
        <f t="shared" si="1007"/>
        <v>42185.4</v>
      </c>
      <c r="U3694" s="51">
        <f t="shared" si="1008"/>
        <v>0</v>
      </c>
      <c r="V3694" s="52">
        <f>IF(0&lt;0.8,0,IF(0&lt;1,Sheet3!L561,1))*IF(G3694&lt;3,0.12 - O3694,0.01) *U3694</f>
        <v>0</v>
      </c>
      <c r="W3694" s="52">
        <f t="shared" si="1009"/>
        <v>0</v>
      </c>
      <c r="X3694" s="53">
        <f t="shared" si="1010"/>
        <v>0</v>
      </c>
      <c r="Y3694" s="53">
        <f t="shared" si="1011"/>
        <v>0</v>
      </c>
      <c r="Z3694" s="54">
        <f t="shared" si="1018"/>
        <v>0</v>
      </c>
      <c r="AA3694" s="54">
        <f t="shared" si="1012"/>
        <v>0</v>
      </c>
      <c r="AB3694" s="55">
        <f>IF(R3694=0,0,0)</f>
        <v>0</v>
      </c>
      <c r="AC3694" s="55">
        <f t="shared" si="1013"/>
        <v>0</v>
      </c>
      <c r="AD3694" s="56">
        <f t="shared" si="1014"/>
        <v>42185.4</v>
      </c>
    </row>
    <row r="3695" spans="3:30">
      <c r="C3695" s="43" t="s">
        <v>6855</v>
      </c>
      <c r="D3695" s="44" t="s">
        <v>6856</v>
      </c>
      <c r="E3695" s="44"/>
      <c r="F3695" s="45">
        <v>42963.092430555553</v>
      </c>
      <c r="G3695" s="46">
        <v>13</v>
      </c>
      <c r="H3695" s="47">
        <v>43404</v>
      </c>
      <c r="I3695" s="47">
        <v>43413</v>
      </c>
      <c r="J3695" s="46">
        <v>3373888</v>
      </c>
      <c r="K3695" s="46">
        <v>0</v>
      </c>
      <c r="L3695" s="46">
        <v>0</v>
      </c>
      <c r="M3695" s="46">
        <f t="shared" si="1003"/>
        <v>3373888</v>
      </c>
      <c r="N3695" s="46">
        <v>4096125</v>
      </c>
      <c r="O3695" s="48">
        <f t="shared" si="1004"/>
        <v>0.17632201165735906</v>
      </c>
      <c r="P3695" s="46">
        <v>0</v>
      </c>
      <c r="Q3695" s="46">
        <v>3373888</v>
      </c>
      <c r="R3695" s="49">
        <f t="shared" si="1005"/>
        <v>1</v>
      </c>
      <c r="S3695" s="50">
        <f t="shared" si="1006"/>
        <v>0.01</v>
      </c>
      <c r="T3695" s="49">
        <f t="shared" si="1007"/>
        <v>33738.879999999997</v>
      </c>
      <c r="U3695" s="51">
        <f t="shared" si="1008"/>
        <v>0</v>
      </c>
      <c r="V3695" s="52">
        <f>IF(0&lt;0.8,0,IF(0&lt;1,Sheet3!L561,1))*IF(G3695&lt;3,0.12 - O3695,0.01) *U3695</f>
        <v>0</v>
      </c>
      <c r="W3695" s="52">
        <f t="shared" si="1009"/>
        <v>0</v>
      </c>
      <c r="X3695" s="53">
        <f t="shared" si="1010"/>
        <v>0</v>
      </c>
      <c r="Y3695" s="53">
        <f t="shared" si="1011"/>
        <v>0</v>
      </c>
      <c r="Z3695" s="54">
        <f t="shared" si="1018"/>
        <v>0</v>
      </c>
      <c r="AA3695" s="54">
        <f t="shared" si="1012"/>
        <v>0</v>
      </c>
      <c r="AB3695" s="55">
        <f>IF(R3695=0,0,0)</f>
        <v>0</v>
      </c>
      <c r="AC3695" s="55">
        <f t="shared" si="1013"/>
        <v>0</v>
      </c>
      <c r="AD3695" s="56">
        <f t="shared" si="1014"/>
        <v>33738.879999999997</v>
      </c>
    </row>
    <row r="3696" spans="3:30">
      <c r="C3696" s="43" t="s">
        <v>6857</v>
      </c>
      <c r="D3696" s="44" t="s">
        <v>6858</v>
      </c>
      <c r="E3696" s="44"/>
      <c r="F3696" s="45">
        <v>42969.199803240735</v>
      </c>
      <c r="G3696" s="46">
        <v>13</v>
      </c>
      <c r="H3696" s="47" t="s">
        <v>24</v>
      </c>
      <c r="I3696" s="47" t="s">
        <v>24</v>
      </c>
      <c r="J3696" s="46">
        <v>3266472</v>
      </c>
      <c r="K3696" s="46">
        <v>0</v>
      </c>
      <c r="L3696" s="46">
        <v>0</v>
      </c>
      <c r="M3696" s="46">
        <f t="shared" si="1003"/>
        <v>3266472</v>
      </c>
      <c r="N3696" s="46">
        <v>966467</v>
      </c>
      <c r="O3696" s="48">
        <f t="shared" si="1004"/>
        <v>0</v>
      </c>
      <c r="P3696" s="46">
        <v>0</v>
      </c>
      <c r="Q3696" s="46">
        <v>3266472</v>
      </c>
      <c r="R3696" s="49">
        <f t="shared" si="1005"/>
        <v>1</v>
      </c>
      <c r="S3696" s="50">
        <f t="shared" si="1006"/>
        <v>0.01</v>
      </c>
      <c r="T3696" s="49">
        <f t="shared" si="1007"/>
        <v>32664.720000000001</v>
      </c>
      <c r="U3696" s="51">
        <f t="shared" si="1008"/>
        <v>0</v>
      </c>
      <c r="V3696" s="52">
        <f>IF(0&lt;0.8,0,IF(0&lt;1,Sheet3!L561,1))*IF(G3696&lt;3,0.12 - O3696,0.01) *U3696</f>
        <v>0</v>
      </c>
      <c r="W3696" s="52">
        <f t="shared" si="1009"/>
        <v>0</v>
      </c>
      <c r="X3696" s="53">
        <f t="shared" si="1010"/>
        <v>0</v>
      </c>
      <c r="Y3696" s="53">
        <f t="shared" si="1011"/>
        <v>0</v>
      </c>
      <c r="Z3696" s="54">
        <f t="shared" si="1018"/>
        <v>0</v>
      </c>
      <c r="AA3696" s="54">
        <f t="shared" si="1012"/>
        <v>0</v>
      </c>
      <c r="AB3696" s="55">
        <f>IF(R3696=0,2300000,0)</f>
        <v>0</v>
      </c>
      <c r="AC3696" s="55">
        <f t="shared" si="1013"/>
        <v>0</v>
      </c>
      <c r="AD3696" s="56">
        <f t="shared" si="1014"/>
        <v>32664.720000000001</v>
      </c>
    </row>
    <row r="3697" spans="3:30">
      <c r="C3697" s="43" t="s">
        <v>6859</v>
      </c>
      <c r="D3697" s="44" t="s">
        <v>6860</v>
      </c>
      <c r="E3697" s="44"/>
      <c r="F3697" s="45">
        <v>43046.184212962959</v>
      </c>
      <c r="G3697" s="46">
        <v>10</v>
      </c>
      <c r="H3697" s="47" t="s">
        <v>24</v>
      </c>
      <c r="I3697" s="47" t="s">
        <v>24</v>
      </c>
      <c r="J3697" s="46">
        <v>1009226</v>
      </c>
      <c r="K3697" s="46">
        <v>0</v>
      </c>
      <c r="L3697" s="46">
        <v>0</v>
      </c>
      <c r="M3697" s="46">
        <f t="shared" si="1003"/>
        <v>1009226</v>
      </c>
      <c r="N3697" s="46">
        <v>1008366</v>
      </c>
      <c r="O3697" s="48">
        <f t="shared" si="1004"/>
        <v>0</v>
      </c>
      <c r="P3697" s="46">
        <v>0</v>
      </c>
      <c r="Q3697" s="46">
        <v>1009226</v>
      </c>
      <c r="R3697" s="49">
        <f t="shared" si="1005"/>
        <v>1</v>
      </c>
      <c r="S3697" s="50">
        <f t="shared" si="1006"/>
        <v>0.01</v>
      </c>
      <c r="T3697" s="49">
        <f t="shared" si="1007"/>
        <v>10092.26</v>
      </c>
      <c r="U3697" s="51">
        <f t="shared" si="1008"/>
        <v>0</v>
      </c>
      <c r="V3697" s="52">
        <f>IF(0&lt;0.8,0,IF(0&lt;1,Sheet3!L561,1))*IF(G3697&lt;3,0.12 - O3697,0.01) *U3697</f>
        <v>0</v>
      </c>
      <c r="W3697" s="52">
        <f t="shared" si="1009"/>
        <v>0</v>
      </c>
      <c r="X3697" s="53">
        <f t="shared" si="1010"/>
        <v>0</v>
      </c>
      <c r="Y3697" s="53">
        <f t="shared" si="1011"/>
        <v>0</v>
      </c>
      <c r="Z3697" s="54">
        <f t="shared" si="1018"/>
        <v>0</v>
      </c>
      <c r="AA3697" s="54">
        <f t="shared" si="1012"/>
        <v>0</v>
      </c>
      <c r="AB3697" s="55">
        <f>IF(R3697=0,0,0)</f>
        <v>0</v>
      </c>
      <c r="AC3697" s="55">
        <f t="shared" si="1013"/>
        <v>0</v>
      </c>
      <c r="AD3697" s="56">
        <f t="shared" si="1014"/>
        <v>10092.26</v>
      </c>
    </row>
    <row r="3698" spans="3:30">
      <c r="C3698" s="43" t="s">
        <v>6861</v>
      </c>
      <c r="D3698" s="44" t="s">
        <v>6862</v>
      </c>
      <c r="E3698" s="44"/>
      <c r="F3698" s="45">
        <v>43046.187627314815</v>
      </c>
      <c r="G3698" s="46">
        <v>10</v>
      </c>
      <c r="H3698" s="47" t="s">
        <v>24</v>
      </c>
      <c r="I3698" s="47" t="s">
        <v>24</v>
      </c>
      <c r="J3698" s="46">
        <v>19664381</v>
      </c>
      <c r="K3698" s="46">
        <v>0</v>
      </c>
      <c r="L3698" s="46">
        <v>0</v>
      </c>
      <c r="M3698" s="46">
        <f t="shared" si="1003"/>
        <v>19664381</v>
      </c>
      <c r="N3698" s="46">
        <v>25256484</v>
      </c>
      <c r="O3698" s="48">
        <f t="shared" si="1004"/>
        <v>0.22141256874868254</v>
      </c>
      <c r="P3698" s="46">
        <v>0</v>
      </c>
      <c r="Q3698" s="46">
        <v>19664381</v>
      </c>
      <c r="R3698" s="49">
        <f t="shared" si="1005"/>
        <v>1</v>
      </c>
      <c r="S3698" s="50">
        <f t="shared" si="1006"/>
        <v>0.01</v>
      </c>
      <c r="T3698" s="49">
        <f t="shared" si="1007"/>
        <v>196643.81</v>
      </c>
      <c r="U3698" s="51">
        <f t="shared" si="1008"/>
        <v>0</v>
      </c>
      <c r="V3698" s="52">
        <f>IF(0&lt;0.8,0,IF(0&lt;1,Sheet3!L561,1))*IF(G3698&lt;3,0.12 - O3698,0.01) *U3698</f>
        <v>0</v>
      </c>
      <c r="W3698" s="52">
        <f t="shared" si="1009"/>
        <v>0</v>
      </c>
      <c r="X3698" s="53">
        <f t="shared" si="1010"/>
        <v>0</v>
      </c>
      <c r="Y3698" s="53">
        <f t="shared" si="1011"/>
        <v>0</v>
      </c>
      <c r="Z3698" s="54">
        <f t="shared" si="1018"/>
        <v>0</v>
      </c>
      <c r="AA3698" s="54">
        <f t="shared" si="1012"/>
        <v>0</v>
      </c>
      <c r="AB3698" s="55">
        <f>IF(R3698=0,0,0)</f>
        <v>0</v>
      </c>
      <c r="AC3698" s="55">
        <f t="shared" si="1013"/>
        <v>0</v>
      </c>
      <c r="AD3698" s="56">
        <f t="shared" si="1014"/>
        <v>196643.81</v>
      </c>
    </row>
    <row r="3699" spans="3:30">
      <c r="C3699" s="43" t="s">
        <v>6863</v>
      </c>
      <c r="D3699" s="44" t="s">
        <v>6864</v>
      </c>
      <c r="E3699" s="44"/>
      <c r="F3699" s="45">
        <v>43067.340694444443</v>
      </c>
      <c r="G3699" s="46">
        <v>10</v>
      </c>
      <c r="H3699" s="47" t="s">
        <v>24</v>
      </c>
      <c r="I3699" s="47" t="s">
        <v>24</v>
      </c>
      <c r="J3699" s="46">
        <v>639485</v>
      </c>
      <c r="K3699" s="46">
        <v>0</v>
      </c>
      <c r="L3699" s="46">
        <v>0</v>
      </c>
      <c r="M3699" s="46">
        <f t="shared" ref="M3699:M3747" si="1019">IFERROR(J3699-K3699-L3699,0)</f>
        <v>639485</v>
      </c>
      <c r="N3699" s="46">
        <v>639485</v>
      </c>
      <c r="O3699" s="48">
        <f t="shared" ref="O3699:O3747" si="1020">IFERROR(IF(1 - M3699/N3699&lt;0,0,1-M3699/N3699),0)</f>
        <v>0</v>
      </c>
      <c r="P3699" s="46">
        <v>0</v>
      </c>
      <c r="Q3699" s="46">
        <v>639485</v>
      </c>
      <c r="R3699" s="49">
        <f t="shared" ref="R3699:R3747" si="1021">IF(F3699&lt;DATEVALUE("2018-07-01"),1,0)</f>
        <v>1</v>
      </c>
      <c r="S3699" s="50">
        <f t="shared" ref="S3699:S3747" si="1022">IF(R3699=1,1%,0)</f>
        <v>0.01</v>
      </c>
      <c r="T3699" s="49">
        <f t="shared" ref="T3699:T3747" si="1023">IFERROR(S3699*M3699,0)</f>
        <v>6394.85</v>
      </c>
      <c r="U3699" s="51">
        <f t="shared" ref="U3699:U3747" si="1024">IF(O3699&lt;=0.12,1,0)*(1-R3699)*M3699</f>
        <v>0</v>
      </c>
      <c r="V3699" s="52">
        <f>IF(0&lt;0.8,0,IF(0&lt;1,Sheet3!L561,1))*IF(G3699&lt;3,0.12 - O3699,0.01) *U3699</f>
        <v>0</v>
      </c>
      <c r="W3699" s="52">
        <f t="shared" ref="W3699:W3747" si="1025">IF(0&gt;1,IF(0&lt;=1.1,1,IF(0&lt;=1.2,2,IF(0&lt;=1.5,3,5))),0) * 1000000</f>
        <v>0</v>
      </c>
      <c r="X3699" s="53">
        <f t="shared" ref="X3699:X3747" si="1026">IF(AND(P3699&gt;=150000000,P3699&lt;300000000),5000000,IF(AND(P3699&gt;=300000000,P3699&lt;500000000),10000000,IF(AND(P3699&gt;=300000000,P3699&lt;500000000),15000000,IF(AND(P3699&gt;=500000000,P3699&lt;3000000000),20000000,IF(P3699&gt;=30000000000,35000000,0))))) * (1-R3699)</f>
        <v>0</v>
      </c>
      <c r="Y3699" s="53">
        <f t="shared" ref="Y3699:Y3747" si="1027">IFERROR(Q3699 * (1-R3699),0)</f>
        <v>0</v>
      </c>
      <c r="Z3699" s="54">
        <f t="shared" si="1018"/>
        <v>0</v>
      </c>
      <c r="AA3699" s="54">
        <f t="shared" ref="AA3699:AA3747" si="1028">IFERROR((1-R3699) * Z3699 * 2%,0)</f>
        <v>0</v>
      </c>
      <c r="AB3699" s="55">
        <f>IF(R3699=0,0,0)</f>
        <v>0</v>
      </c>
      <c r="AC3699" s="55">
        <f t="shared" ref="AC3699:AC3747" si="1029">IFERROR(AB3699 * (1-R3699) * 2%,0)</f>
        <v>0</v>
      </c>
      <c r="AD3699" s="56">
        <f t="shared" ref="AD3699:AD3747" si="1030">T3699+V3699+W3699+X3699+AA3699+AC3699</f>
        <v>6394.85</v>
      </c>
    </row>
    <row r="3700" spans="3:30">
      <c r="C3700" s="43" t="s">
        <v>6865</v>
      </c>
      <c r="D3700" s="44" t="s">
        <v>6866</v>
      </c>
      <c r="E3700" s="44"/>
      <c r="F3700" s="45">
        <v>43181.432280092587</v>
      </c>
      <c r="G3700" s="46">
        <v>6</v>
      </c>
      <c r="H3700" s="47" t="s">
        <v>24</v>
      </c>
      <c r="I3700" s="47" t="s">
        <v>24</v>
      </c>
      <c r="J3700" s="46">
        <v>5248376</v>
      </c>
      <c r="K3700" s="46">
        <v>0</v>
      </c>
      <c r="L3700" s="46">
        <v>0</v>
      </c>
      <c r="M3700" s="46">
        <f t="shared" si="1019"/>
        <v>5248376</v>
      </c>
      <c r="N3700" s="46">
        <v>5248376</v>
      </c>
      <c r="O3700" s="48">
        <f t="shared" si="1020"/>
        <v>0</v>
      </c>
      <c r="P3700" s="46">
        <v>0</v>
      </c>
      <c r="Q3700" s="46">
        <v>5248376</v>
      </c>
      <c r="R3700" s="49">
        <f t="shared" si="1021"/>
        <v>1</v>
      </c>
      <c r="S3700" s="50">
        <f t="shared" si="1022"/>
        <v>0.01</v>
      </c>
      <c r="T3700" s="49">
        <f t="shared" si="1023"/>
        <v>52483.76</v>
      </c>
      <c r="U3700" s="51">
        <f t="shared" si="1024"/>
        <v>0</v>
      </c>
      <c r="V3700" s="52">
        <f>IF(0&lt;0.8,0,IF(0&lt;1,Sheet3!L561,1))*IF(G3700&lt;3,0.12 - O3700,0.01) *U3700</f>
        <v>0</v>
      </c>
      <c r="W3700" s="52">
        <f t="shared" si="1025"/>
        <v>0</v>
      </c>
      <c r="X3700" s="53">
        <f t="shared" si="1026"/>
        <v>0</v>
      </c>
      <c r="Y3700" s="53">
        <f t="shared" si="1027"/>
        <v>0</v>
      </c>
      <c r="Z3700" s="54">
        <f t="shared" si="1018"/>
        <v>0</v>
      </c>
      <c r="AA3700" s="54">
        <f t="shared" si="1028"/>
        <v>0</v>
      </c>
      <c r="AB3700" s="55">
        <f>IF(R3700=0,0,0)</f>
        <v>0</v>
      </c>
      <c r="AC3700" s="55">
        <f t="shared" si="1029"/>
        <v>0</v>
      </c>
      <c r="AD3700" s="56">
        <f t="shared" si="1030"/>
        <v>52483.76</v>
      </c>
    </row>
    <row r="3701" spans="3:30">
      <c r="C3701" s="43" t="s">
        <v>6867</v>
      </c>
      <c r="D3701" s="44" t="s">
        <v>6868</v>
      </c>
      <c r="E3701" s="44"/>
      <c r="F3701" s="45">
        <v>41492.449629629627</v>
      </c>
      <c r="G3701" s="46">
        <v>61</v>
      </c>
      <c r="H3701" s="47" t="s">
        <v>24</v>
      </c>
      <c r="I3701" s="47" t="s">
        <v>24</v>
      </c>
      <c r="J3701" s="46">
        <v>10134977</v>
      </c>
      <c r="K3701" s="46">
        <v>0</v>
      </c>
      <c r="L3701" s="46">
        <v>0</v>
      </c>
      <c r="M3701" s="46">
        <f t="shared" si="1019"/>
        <v>10134977</v>
      </c>
      <c r="N3701" s="46">
        <v>4878815</v>
      </c>
      <c r="O3701" s="48">
        <f t="shared" si="1020"/>
        <v>0</v>
      </c>
      <c r="P3701" s="46">
        <v>0</v>
      </c>
      <c r="Q3701" s="46">
        <v>10134977</v>
      </c>
      <c r="R3701" s="49">
        <f t="shared" si="1021"/>
        <v>1</v>
      </c>
      <c r="S3701" s="50">
        <f t="shared" si="1022"/>
        <v>0.01</v>
      </c>
      <c r="T3701" s="49">
        <f t="shared" si="1023"/>
        <v>101349.77</v>
      </c>
      <c r="U3701" s="51">
        <f t="shared" si="1024"/>
        <v>0</v>
      </c>
      <c r="V3701" s="52">
        <f>IF(0&lt;0.8,0,IF(0&lt;1,Sheet3!L561,1))*IF(G3701&lt;3,0.12 - O3701,0.01) *U3701</f>
        <v>0</v>
      </c>
      <c r="W3701" s="52">
        <f t="shared" si="1025"/>
        <v>0</v>
      </c>
      <c r="X3701" s="53">
        <f t="shared" si="1026"/>
        <v>0</v>
      </c>
      <c r="Y3701" s="53">
        <f t="shared" si="1027"/>
        <v>0</v>
      </c>
      <c r="Z3701" s="54">
        <f t="shared" si="1018"/>
        <v>0</v>
      </c>
      <c r="AA3701" s="54">
        <f t="shared" si="1028"/>
        <v>0</v>
      </c>
      <c r="AB3701" s="55">
        <f>IF(R3701=0,5256000,0)</f>
        <v>0</v>
      </c>
      <c r="AC3701" s="55">
        <f t="shared" si="1029"/>
        <v>0</v>
      </c>
      <c r="AD3701" s="56">
        <f t="shared" si="1030"/>
        <v>101349.77</v>
      </c>
    </row>
    <row r="3702" spans="3:30">
      <c r="C3702" s="43" t="s">
        <v>6869</v>
      </c>
      <c r="D3702" s="44" t="s">
        <v>6870</v>
      </c>
      <c r="E3702" s="44"/>
      <c r="F3702" s="45">
        <v>42522.418344907404</v>
      </c>
      <c r="G3702" s="46">
        <v>27</v>
      </c>
      <c r="H3702" s="47" t="s">
        <v>24</v>
      </c>
      <c r="I3702" s="47" t="s">
        <v>24</v>
      </c>
      <c r="J3702" s="46">
        <v>0</v>
      </c>
      <c r="K3702" s="46">
        <v>0</v>
      </c>
      <c r="L3702" s="46">
        <v>0</v>
      </c>
      <c r="M3702" s="46">
        <f t="shared" si="1019"/>
        <v>0</v>
      </c>
      <c r="N3702" s="46">
        <v>359370</v>
      </c>
      <c r="O3702" s="48">
        <f t="shared" si="1020"/>
        <v>1</v>
      </c>
      <c r="P3702" s="46">
        <v>0</v>
      </c>
      <c r="Q3702" s="46">
        <v>0</v>
      </c>
      <c r="R3702" s="49">
        <f t="shared" si="1021"/>
        <v>1</v>
      </c>
      <c r="S3702" s="50">
        <f t="shared" si="1022"/>
        <v>0.01</v>
      </c>
      <c r="T3702" s="49">
        <f t="shared" si="1023"/>
        <v>0</v>
      </c>
      <c r="U3702" s="51">
        <f t="shared" si="1024"/>
        <v>0</v>
      </c>
      <c r="V3702" s="52">
        <f>IF(0&lt;0.8,0,IF(0&lt;1,Sheet3!L561,1))*IF(G3702&lt;3,0.12 - O3702,0.01) *U3702</f>
        <v>0</v>
      </c>
      <c r="W3702" s="52">
        <f t="shared" si="1025"/>
        <v>0</v>
      </c>
      <c r="X3702" s="53">
        <f t="shared" si="1026"/>
        <v>0</v>
      </c>
      <c r="Y3702" s="53">
        <f t="shared" si="1027"/>
        <v>0</v>
      </c>
      <c r="Z3702" s="54">
        <f>IF(R3702=1,0,"")</f>
        <v>0</v>
      </c>
      <c r="AA3702" s="54">
        <f t="shared" si="1028"/>
        <v>0</v>
      </c>
      <c r="AB3702" s="55">
        <f>IF(R3702=0,"",0)</f>
        <v>0</v>
      </c>
      <c r="AC3702" s="55">
        <f t="shared" si="1029"/>
        <v>0</v>
      </c>
      <c r="AD3702" s="56">
        <f t="shared" si="1030"/>
        <v>0</v>
      </c>
    </row>
    <row r="3703" spans="3:30">
      <c r="C3703" s="43" t="s">
        <v>6871</v>
      </c>
      <c r="D3703" s="44" t="s">
        <v>995</v>
      </c>
      <c r="E3703" s="44"/>
      <c r="F3703" s="45">
        <v>43316.249976851846</v>
      </c>
      <c r="G3703" s="46">
        <v>1</v>
      </c>
      <c r="H3703" s="47">
        <v>43459</v>
      </c>
      <c r="I3703" s="47">
        <v>43487</v>
      </c>
      <c r="J3703" s="46">
        <v>1190336</v>
      </c>
      <c r="K3703" s="46">
        <v>0</v>
      </c>
      <c r="L3703" s="46">
        <v>0</v>
      </c>
      <c r="M3703" s="46">
        <f t="shared" si="1019"/>
        <v>1190336</v>
      </c>
      <c r="N3703" s="46">
        <v>1396637</v>
      </c>
      <c r="O3703" s="48">
        <f t="shared" si="1020"/>
        <v>0.14771268411190597</v>
      </c>
      <c r="P3703" s="46">
        <v>0</v>
      </c>
      <c r="Q3703" s="46">
        <v>0</v>
      </c>
      <c r="R3703" s="49">
        <f t="shared" si="1021"/>
        <v>0</v>
      </c>
      <c r="S3703" s="50">
        <f t="shared" si="1022"/>
        <v>0</v>
      </c>
      <c r="T3703" s="49">
        <f t="shared" si="1023"/>
        <v>0</v>
      </c>
      <c r="U3703" s="51">
        <f t="shared" si="1024"/>
        <v>0</v>
      </c>
      <c r="V3703" s="52">
        <f>IF(0&lt;0.8,0,IF(0&lt;1,Sheet3!L561,1))*IF(G3703&lt;3,0.12 - O3703,0.01) *U3703</f>
        <v>0</v>
      </c>
      <c r="W3703" s="52">
        <f t="shared" si="1025"/>
        <v>0</v>
      </c>
      <c r="X3703" s="53">
        <f t="shared" si="1026"/>
        <v>0</v>
      </c>
      <c r="Y3703" s="53">
        <f t="shared" si="1027"/>
        <v>0</v>
      </c>
      <c r="Z3703" s="54">
        <f t="shared" ref="Z3703:Z3709" si="1031">IF(R3703=1,0,0)</f>
        <v>0</v>
      </c>
      <c r="AA3703" s="54">
        <f t="shared" si="1028"/>
        <v>0</v>
      </c>
      <c r="AB3703" s="55">
        <f t="shared" ref="AB3703:AB3709" si="1032">IF(R3703=0,0,0)</f>
        <v>0</v>
      </c>
      <c r="AC3703" s="55">
        <f t="shared" si="1029"/>
        <v>0</v>
      </c>
      <c r="AD3703" s="56">
        <f t="shared" si="1030"/>
        <v>0</v>
      </c>
    </row>
    <row r="3704" spans="3:30">
      <c r="C3704" s="43" t="s">
        <v>6872</v>
      </c>
      <c r="D3704" s="44" t="s">
        <v>6873</v>
      </c>
      <c r="E3704" s="44"/>
      <c r="F3704" s="45">
        <v>41495.424722222218</v>
      </c>
      <c r="G3704" s="46">
        <v>61</v>
      </c>
      <c r="H3704" s="47">
        <v>43404</v>
      </c>
      <c r="I3704" s="47">
        <v>43413</v>
      </c>
      <c r="J3704" s="46">
        <v>3274252</v>
      </c>
      <c r="K3704" s="46">
        <v>878543</v>
      </c>
      <c r="L3704" s="46">
        <v>0</v>
      </c>
      <c r="M3704" s="46">
        <f t="shared" si="1019"/>
        <v>2395709</v>
      </c>
      <c r="N3704" s="46">
        <v>4408635</v>
      </c>
      <c r="O3704" s="48">
        <f t="shared" si="1020"/>
        <v>0.45658712957638814</v>
      </c>
      <c r="P3704" s="46">
        <v>0</v>
      </c>
      <c r="Q3704" s="46">
        <v>3274252</v>
      </c>
      <c r="R3704" s="49">
        <f t="shared" si="1021"/>
        <v>1</v>
      </c>
      <c r="S3704" s="50">
        <f t="shared" si="1022"/>
        <v>0.01</v>
      </c>
      <c r="T3704" s="49">
        <f t="shared" si="1023"/>
        <v>23957.09</v>
      </c>
      <c r="U3704" s="51">
        <f t="shared" si="1024"/>
        <v>0</v>
      </c>
      <c r="V3704" s="52">
        <f>IF(0&lt;0.8,0,IF(0&lt;1,Sheet3!L561,1))*IF(G3704&lt;3,0.12 - O3704,0.01) *U3704</f>
        <v>0</v>
      </c>
      <c r="W3704" s="52">
        <f t="shared" si="1025"/>
        <v>0</v>
      </c>
      <c r="X3704" s="53">
        <f t="shared" si="1026"/>
        <v>0</v>
      </c>
      <c r="Y3704" s="53">
        <f t="shared" si="1027"/>
        <v>0</v>
      </c>
      <c r="Z3704" s="54">
        <f t="shared" si="1031"/>
        <v>0</v>
      </c>
      <c r="AA3704" s="54">
        <f t="shared" si="1028"/>
        <v>0</v>
      </c>
      <c r="AB3704" s="55">
        <f t="shared" si="1032"/>
        <v>0</v>
      </c>
      <c r="AC3704" s="55">
        <f t="shared" si="1029"/>
        <v>0</v>
      </c>
      <c r="AD3704" s="56">
        <f t="shared" si="1030"/>
        <v>23957.09</v>
      </c>
    </row>
    <row r="3705" spans="3:30">
      <c r="C3705" s="43" t="s">
        <v>6874</v>
      </c>
      <c r="D3705" s="44" t="s">
        <v>6875</v>
      </c>
      <c r="E3705" s="44"/>
      <c r="F3705" s="45">
        <v>42170.432199074072</v>
      </c>
      <c r="G3705" s="46">
        <v>39</v>
      </c>
      <c r="H3705" s="47">
        <v>43404</v>
      </c>
      <c r="I3705" s="47">
        <v>43413</v>
      </c>
      <c r="J3705" s="46">
        <v>3464412</v>
      </c>
      <c r="K3705" s="46">
        <v>1430649</v>
      </c>
      <c r="L3705" s="46">
        <v>0</v>
      </c>
      <c r="M3705" s="46">
        <f t="shared" si="1019"/>
        <v>2033763</v>
      </c>
      <c r="N3705" s="46">
        <v>3733092</v>
      </c>
      <c r="O3705" s="48">
        <f t="shared" si="1020"/>
        <v>0.45520683658479355</v>
      </c>
      <c r="P3705" s="46">
        <v>0</v>
      </c>
      <c r="Q3705" s="46">
        <v>3464412</v>
      </c>
      <c r="R3705" s="49">
        <f t="shared" si="1021"/>
        <v>1</v>
      </c>
      <c r="S3705" s="50">
        <f t="shared" si="1022"/>
        <v>0.01</v>
      </c>
      <c r="T3705" s="49">
        <f t="shared" si="1023"/>
        <v>20337.63</v>
      </c>
      <c r="U3705" s="51">
        <f t="shared" si="1024"/>
        <v>0</v>
      </c>
      <c r="V3705" s="52">
        <f>IF(0&lt;0.8,0,IF(0&lt;1,Sheet3!L561,1))*IF(G3705&lt;3,0.12 - O3705,0.01) *U3705</f>
        <v>0</v>
      </c>
      <c r="W3705" s="52">
        <f t="shared" si="1025"/>
        <v>0</v>
      </c>
      <c r="X3705" s="53">
        <f t="shared" si="1026"/>
        <v>0</v>
      </c>
      <c r="Y3705" s="53">
        <f t="shared" si="1027"/>
        <v>0</v>
      </c>
      <c r="Z3705" s="54">
        <f t="shared" si="1031"/>
        <v>0</v>
      </c>
      <c r="AA3705" s="54">
        <f t="shared" si="1028"/>
        <v>0</v>
      </c>
      <c r="AB3705" s="55">
        <f t="shared" si="1032"/>
        <v>0</v>
      </c>
      <c r="AC3705" s="55">
        <f t="shared" si="1029"/>
        <v>0</v>
      </c>
      <c r="AD3705" s="56">
        <f t="shared" si="1030"/>
        <v>20337.63</v>
      </c>
    </row>
    <row r="3706" spans="3:30">
      <c r="C3706" s="43" t="s">
        <v>6876</v>
      </c>
      <c r="D3706" s="44" t="s">
        <v>6877</v>
      </c>
      <c r="E3706" s="44"/>
      <c r="F3706" s="45">
        <v>42549.280289351853</v>
      </c>
      <c r="G3706" s="46">
        <v>27</v>
      </c>
      <c r="H3706" s="47">
        <v>43404</v>
      </c>
      <c r="I3706" s="47">
        <v>43413</v>
      </c>
      <c r="J3706" s="46">
        <v>2274267</v>
      </c>
      <c r="K3706" s="46">
        <v>44000</v>
      </c>
      <c r="L3706" s="46">
        <v>0</v>
      </c>
      <c r="M3706" s="46">
        <f t="shared" si="1019"/>
        <v>2230267</v>
      </c>
      <c r="N3706" s="46">
        <v>2927793</v>
      </c>
      <c r="O3706" s="48">
        <f t="shared" si="1020"/>
        <v>0.23824293589061796</v>
      </c>
      <c r="P3706" s="46">
        <v>0</v>
      </c>
      <c r="Q3706" s="46">
        <v>2274267</v>
      </c>
      <c r="R3706" s="49">
        <f t="shared" si="1021"/>
        <v>1</v>
      </c>
      <c r="S3706" s="50">
        <f t="shared" si="1022"/>
        <v>0.01</v>
      </c>
      <c r="T3706" s="49">
        <f t="shared" si="1023"/>
        <v>22302.670000000002</v>
      </c>
      <c r="U3706" s="51">
        <f t="shared" si="1024"/>
        <v>0</v>
      </c>
      <c r="V3706" s="52">
        <f>IF(0&lt;0.8,0,IF(0&lt;1,Sheet3!L561,1))*IF(G3706&lt;3,0.12 - O3706,0.01) *U3706</f>
        <v>0</v>
      </c>
      <c r="W3706" s="52">
        <f t="shared" si="1025"/>
        <v>0</v>
      </c>
      <c r="X3706" s="53">
        <f t="shared" si="1026"/>
        <v>0</v>
      </c>
      <c r="Y3706" s="53">
        <f t="shared" si="1027"/>
        <v>0</v>
      </c>
      <c r="Z3706" s="54">
        <f t="shared" si="1031"/>
        <v>0</v>
      </c>
      <c r="AA3706" s="54">
        <f t="shared" si="1028"/>
        <v>0</v>
      </c>
      <c r="AB3706" s="55">
        <f t="shared" si="1032"/>
        <v>0</v>
      </c>
      <c r="AC3706" s="55">
        <f t="shared" si="1029"/>
        <v>0</v>
      </c>
      <c r="AD3706" s="56">
        <f t="shared" si="1030"/>
        <v>22302.670000000002</v>
      </c>
    </row>
    <row r="3707" spans="3:30">
      <c r="C3707" s="43" t="s">
        <v>6878</v>
      </c>
      <c r="D3707" s="44" t="s">
        <v>6879</v>
      </c>
      <c r="E3707" s="44"/>
      <c r="F3707" s="45">
        <v>43021.140289351853</v>
      </c>
      <c r="G3707" s="46">
        <v>11</v>
      </c>
      <c r="H3707" s="47">
        <v>43372</v>
      </c>
      <c r="I3707" s="47">
        <v>43381</v>
      </c>
      <c r="J3707" s="46">
        <v>97042</v>
      </c>
      <c r="K3707" s="46">
        <v>0</v>
      </c>
      <c r="L3707" s="46">
        <v>0</v>
      </c>
      <c r="M3707" s="46">
        <f t="shared" si="1019"/>
        <v>97042</v>
      </c>
      <c r="N3707" s="46">
        <v>97042</v>
      </c>
      <c r="O3707" s="48">
        <f t="shared" si="1020"/>
        <v>0</v>
      </c>
      <c r="P3707" s="46">
        <v>0</v>
      </c>
      <c r="Q3707" s="46">
        <v>97042</v>
      </c>
      <c r="R3707" s="49">
        <f t="shared" si="1021"/>
        <v>1</v>
      </c>
      <c r="S3707" s="50">
        <f t="shared" si="1022"/>
        <v>0.01</v>
      </c>
      <c r="T3707" s="49">
        <f t="shared" si="1023"/>
        <v>970.42000000000007</v>
      </c>
      <c r="U3707" s="51">
        <f t="shared" si="1024"/>
        <v>0</v>
      </c>
      <c r="V3707" s="52">
        <f>IF(0&lt;0.8,0,IF(0&lt;1,Sheet3!L561,1))*IF(G3707&lt;3,0.12 - O3707,0.01) *U3707</f>
        <v>0</v>
      </c>
      <c r="W3707" s="52">
        <f t="shared" si="1025"/>
        <v>0</v>
      </c>
      <c r="X3707" s="53">
        <f t="shared" si="1026"/>
        <v>0</v>
      </c>
      <c r="Y3707" s="53">
        <f t="shared" si="1027"/>
        <v>0</v>
      </c>
      <c r="Z3707" s="54">
        <f t="shared" si="1031"/>
        <v>0</v>
      </c>
      <c r="AA3707" s="54">
        <f t="shared" si="1028"/>
        <v>0</v>
      </c>
      <c r="AB3707" s="55">
        <f t="shared" si="1032"/>
        <v>0</v>
      </c>
      <c r="AC3707" s="55">
        <f t="shared" si="1029"/>
        <v>0</v>
      </c>
      <c r="AD3707" s="56">
        <f t="shared" si="1030"/>
        <v>970.42000000000007</v>
      </c>
    </row>
    <row r="3708" spans="3:30">
      <c r="C3708" s="43" t="s">
        <v>6880</v>
      </c>
      <c r="D3708" s="44" t="s">
        <v>6877</v>
      </c>
      <c r="E3708" s="44"/>
      <c r="F3708" s="45">
        <v>43088.371354166666</v>
      </c>
      <c r="G3708" s="46">
        <v>9</v>
      </c>
      <c r="H3708" s="47">
        <v>43404</v>
      </c>
      <c r="I3708" s="47">
        <v>43413</v>
      </c>
      <c r="J3708" s="46">
        <v>785389</v>
      </c>
      <c r="K3708" s="46">
        <v>0</v>
      </c>
      <c r="L3708" s="46">
        <v>0</v>
      </c>
      <c r="M3708" s="46">
        <f t="shared" si="1019"/>
        <v>785389</v>
      </c>
      <c r="N3708" s="46">
        <v>1046771</v>
      </c>
      <c r="O3708" s="48">
        <f t="shared" si="1020"/>
        <v>0.24970313468752958</v>
      </c>
      <c r="P3708" s="46">
        <v>0</v>
      </c>
      <c r="Q3708" s="46">
        <v>785389</v>
      </c>
      <c r="R3708" s="49">
        <f t="shared" si="1021"/>
        <v>1</v>
      </c>
      <c r="S3708" s="50">
        <f t="shared" si="1022"/>
        <v>0.01</v>
      </c>
      <c r="T3708" s="49">
        <f t="shared" si="1023"/>
        <v>7853.89</v>
      </c>
      <c r="U3708" s="51">
        <f t="shared" si="1024"/>
        <v>0</v>
      </c>
      <c r="V3708" s="52">
        <f>IF(0&lt;0.8,0,IF(0&lt;1,Sheet3!L561,1))*IF(G3708&lt;3,0.12 - O3708,0.01) *U3708</f>
        <v>0</v>
      </c>
      <c r="W3708" s="52">
        <f t="shared" si="1025"/>
        <v>0</v>
      </c>
      <c r="X3708" s="53">
        <f t="shared" si="1026"/>
        <v>0</v>
      </c>
      <c r="Y3708" s="53">
        <f t="shared" si="1027"/>
        <v>0</v>
      </c>
      <c r="Z3708" s="54">
        <f t="shared" si="1031"/>
        <v>0</v>
      </c>
      <c r="AA3708" s="54">
        <f t="shared" si="1028"/>
        <v>0</v>
      </c>
      <c r="AB3708" s="55">
        <f t="shared" si="1032"/>
        <v>0</v>
      </c>
      <c r="AC3708" s="55">
        <f t="shared" si="1029"/>
        <v>0</v>
      </c>
      <c r="AD3708" s="56">
        <f t="shared" si="1030"/>
        <v>7853.89</v>
      </c>
    </row>
    <row r="3709" spans="3:30">
      <c r="C3709" s="43" t="s">
        <v>6881</v>
      </c>
      <c r="D3709" s="44" t="s">
        <v>6882</v>
      </c>
      <c r="E3709" s="44"/>
      <c r="F3709" s="45">
        <v>43248.156076388885</v>
      </c>
      <c r="G3709" s="46">
        <v>4</v>
      </c>
      <c r="H3709" s="47">
        <v>43372</v>
      </c>
      <c r="I3709" s="47">
        <v>43381</v>
      </c>
      <c r="J3709" s="46">
        <v>17243</v>
      </c>
      <c r="K3709" s="46">
        <v>0</v>
      </c>
      <c r="L3709" s="46">
        <v>0</v>
      </c>
      <c r="M3709" s="46">
        <f t="shared" si="1019"/>
        <v>17243</v>
      </c>
      <c r="N3709" s="46">
        <v>49973</v>
      </c>
      <c r="O3709" s="48">
        <f t="shared" si="1020"/>
        <v>0.65495367498449164</v>
      </c>
      <c r="P3709" s="46">
        <v>0</v>
      </c>
      <c r="Q3709" s="46">
        <v>17243</v>
      </c>
      <c r="R3709" s="49">
        <f t="shared" si="1021"/>
        <v>1</v>
      </c>
      <c r="S3709" s="50">
        <f t="shared" si="1022"/>
        <v>0.01</v>
      </c>
      <c r="T3709" s="49">
        <f t="shared" si="1023"/>
        <v>172.43</v>
      </c>
      <c r="U3709" s="51">
        <f t="shared" si="1024"/>
        <v>0</v>
      </c>
      <c r="V3709" s="52">
        <f>IF(0&lt;0.8,0,IF(0&lt;1,Sheet3!L561,1))*IF(G3709&lt;3,0.12 - O3709,0.01) *U3709</f>
        <v>0</v>
      </c>
      <c r="W3709" s="52">
        <f t="shared" si="1025"/>
        <v>0</v>
      </c>
      <c r="X3709" s="53">
        <f t="shared" si="1026"/>
        <v>0</v>
      </c>
      <c r="Y3709" s="53">
        <f t="shared" si="1027"/>
        <v>0</v>
      </c>
      <c r="Z3709" s="54">
        <f t="shared" si="1031"/>
        <v>0</v>
      </c>
      <c r="AA3709" s="54">
        <f t="shared" si="1028"/>
        <v>0</v>
      </c>
      <c r="AB3709" s="55">
        <f t="shared" si="1032"/>
        <v>0</v>
      </c>
      <c r="AC3709" s="55">
        <f t="shared" si="1029"/>
        <v>0</v>
      </c>
      <c r="AD3709" s="56">
        <f t="shared" si="1030"/>
        <v>172.43</v>
      </c>
    </row>
    <row r="3710" spans="3:30">
      <c r="C3710" s="43" t="s">
        <v>6883</v>
      </c>
      <c r="D3710" s="44" t="s">
        <v>6884</v>
      </c>
      <c r="E3710" s="44"/>
      <c r="F3710" s="45">
        <v>42521.274537037032</v>
      </c>
      <c r="G3710" s="46">
        <v>28</v>
      </c>
      <c r="H3710" s="47" t="s">
        <v>24</v>
      </c>
      <c r="I3710" s="47" t="s">
        <v>24</v>
      </c>
      <c r="J3710" s="46">
        <v>0</v>
      </c>
      <c r="K3710" s="46">
        <v>0</v>
      </c>
      <c r="L3710" s="46">
        <v>0</v>
      </c>
      <c r="M3710" s="46">
        <f t="shared" si="1019"/>
        <v>0</v>
      </c>
      <c r="N3710" s="46">
        <v>905080</v>
      </c>
      <c r="O3710" s="48">
        <f t="shared" si="1020"/>
        <v>1</v>
      </c>
      <c r="P3710" s="46">
        <v>0</v>
      </c>
      <c r="Q3710" s="46">
        <v>0</v>
      </c>
      <c r="R3710" s="49">
        <f t="shared" si="1021"/>
        <v>1</v>
      </c>
      <c r="S3710" s="50">
        <f t="shared" si="1022"/>
        <v>0.01</v>
      </c>
      <c r="T3710" s="49">
        <f t="shared" si="1023"/>
        <v>0</v>
      </c>
      <c r="U3710" s="51">
        <f t="shared" si="1024"/>
        <v>0</v>
      </c>
      <c r="V3710" s="52">
        <f>IF(0&lt;0.8,0,IF(0&lt;1,Sheet3!L561,1))*IF(G3710&lt;3,0.12 - O3710,0.01) *U3710</f>
        <v>0</v>
      </c>
      <c r="W3710" s="52">
        <f t="shared" si="1025"/>
        <v>0</v>
      </c>
      <c r="X3710" s="53">
        <f t="shared" si="1026"/>
        <v>0</v>
      </c>
      <c r="Y3710" s="53">
        <f t="shared" si="1027"/>
        <v>0</v>
      </c>
      <c r="Z3710" s="54">
        <f>IF(R3710=1,0,"")</f>
        <v>0</v>
      </c>
      <c r="AA3710" s="54">
        <f t="shared" si="1028"/>
        <v>0</v>
      </c>
      <c r="AB3710" s="55">
        <f>IF(R3710=0,"",0)</f>
        <v>0</v>
      </c>
      <c r="AC3710" s="55">
        <f t="shared" si="1029"/>
        <v>0</v>
      </c>
      <c r="AD3710" s="56">
        <f t="shared" si="1030"/>
        <v>0</v>
      </c>
    </row>
    <row r="3711" spans="3:30">
      <c r="C3711" s="43" t="s">
        <v>6885</v>
      </c>
      <c r="D3711" s="44" t="s">
        <v>995</v>
      </c>
      <c r="E3711" s="44"/>
      <c r="F3711" s="45">
        <v>43316.239305555551</v>
      </c>
      <c r="G3711" s="46">
        <v>1</v>
      </c>
      <c r="H3711" s="47">
        <v>43431</v>
      </c>
      <c r="I3711" s="47">
        <v>43462</v>
      </c>
      <c r="J3711" s="46">
        <v>702435</v>
      </c>
      <c r="K3711" s="46">
        <v>0</v>
      </c>
      <c r="L3711" s="46">
        <v>0</v>
      </c>
      <c r="M3711" s="46">
        <f t="shared" si="1019"/>
        <v>702435</v>
      </c>
      <c r="N3711" s="46">
        <v>764064</v>
      </c>
      <c r="O3711" s="48">
        <f t="shared" si="1020"/>
        <v>8.0659473551953798E-2</v>
      </c>
      <c r="P3711" s="46">
        <v>0</v>
      </c>
      <c r="Q3711" s="46">
        <v>0</v>
      </c>
      <c r="R3711" s="49">
        <f t="shared" si="1021"/>
        <v>0</v>
      </c>
      <c r="S3711" s="50">
        <f t="shared" si="1022"/>
        <v>0</v>
      </c>
      <c r="T3711" s="49">
        <f t="shared" si="1023"/>
        <v>0</v>
      </c>
      <c r="U3711" s="51">
        <f t="shared" si="1024"/>
        <v>702435</v>
      </c>
      <c r="V3711" s="52">
        <f>IF(0&lt;0.8,0,IF(0&lt;1,Sheet3!L561,1))*IF(G3711&lt;3,0.12 - O3711,0.01) *U3711</f>
        <v>0</v>
      </c>
      <c r="W3711" s="52">
        <f t="shared" si="1025"/>
        <v>0</v>
      </c>
      <c r="X3711" s="53">
        <f t="shared" si="1026"/>
        <v>0</v>
      </c>
      <c r="Y3711" s="53">
        <f t="shared" si="1027"/>
        <v>0</v>
      </c>
      <c r="Z3711" s="54">
        <f>IF(R3711=1,0,0)</f>
        <v>0</v>
      </c>
      <c r="AA3711" s="54">
        <f t="shared" si="1028"/>
        <v>0</v>
      </c>
      <c r="AB3711" s="55">
        <f>IF(R3711=0,0,0)</f>
        <v>0</v>
      </c>
      <c r="AC3711" s="55">
        <f t="shared" si="1029"/>
        <v>0</v>
      </c>
      <c r="AD3711" s="56">
        <f t="shared" si="1030"/>
        <v>0</v>
      </c>
    </row>
    <row r="3712" spans="3:30">
      <c r="C3712" s="43" t="s">
        <v>6886</v>
      </c>
      <c r="D3712" s="44" t="s">
        <v>6887</v>
      </c>
      <c r="E3712" s="44"/>
      <c r="F3712" s="45">
        <v>41997.681851851848</v>
      </c>
      <c r="G3712" s="46">
        <v>45</v>
      </c>
      <c r="H3712" s="47">
        <v>43404</v>
      </c>
      <c r="I3712" s="47">
        <v>43413</v>
      </c>
      <c r="J3712" s="46">
        <v>2833217</v>
      </c>
      <c r="K3712" s="46">
        <v>227136</v>
      </c>
      <c r="L3712" s="46">
        <v>0</v>
      </c>
      <c r="M3712" s="46">
        <f t="shared" si="1019"/>
        <v>2606081</v>
      </c>
      <c r="N3712" s="46">
        <v>3116597</v>
      </c>
      <c r="O3712" s="48">
        <f t="shared" si="1020"/>
        <v>0.16380558667033307</v>
      </c>
      <c r="P3712" s="46">
        <v>0</v>
      </c>
      <c r="Q3712" s="46">
        <v>2833217</v>
      </c>
      <c r="R3712" s="49">
        <f t="shared" si="1021"/>
        <v>1</v>
      </c>
      <c r="S3712" s="50">
        <f t="shared" si="1022"/>
        <v>0.01</v>
      </c>
      <c r="T3712" s="49">
        <f t="shared" si="1023"/>
        <v>26060.81</v>
      </c>
      <c r="U3712" s="51">
        <f t="shared" si="1024"/>
        <v>0</v>
      </c>
      <c r="V3712" s="52">
        <f>IF(0&lt;0.8,0,IF(0&lt;1,Sheet3!L561,1))*IF(G3712&lt;3,0.12 - O3712,0.01) *U3712</f>
        <v>0</v>
      </c>
      <c r="W3712" s="52">
        <f t="shared" si="1025"/>
        <v>0</v>
      </c>
      <c r="X3712" s="53">
        <f t="shared" si="1026"/>
        <v>0</v>
      </c>
      <c r="Y3712" s="53">
        <f t="shared" si="1027"/>
        <v>0</v>
      </c>
      <c r="Z3712" s="54">
        <f>IF(R3712=1,0,0)</f>
        <v>0</v>
      </c>
      <c r="AA3712" s="54">
        <f t="shared" si="1028"/>
        <v>0</v>
      </c>
      <c r="AB3712" s="55">
        <f>IF(R3712=0,0,0)</f>
        <v>0</v>
      </c>
      <c r="AC3712" s="55">
        <f t="shared" si="1029"/>
        <v>0</v>
      </c>
      <c r="AD3712" s="56">
        <f t="shared" si="1030"/>
        <v>26060.81</v>
      </c>
    </row>
    <row r="3713" spans="3:30">
      <c r="C3713" s="43" t="s">
        <v>6888</v>
      </c>
      <c r="D3713" s="44" t="s">
        <v>6889</v>
      </c>
      <c r="E3713" s="44"/>
      <c r="F3713" s="45">
        <v>42521.275138888886</v>
      </c>
      <c r="G3713" s="46">
        <v>28</v>
      </c>
      <c r="H3713" s="47" t="s">
        <v>24</v>
      </c>
      <c r="I3713" s="47" t="s">
        <v>24</v>
      </c>
      <c r="J3713" s="46">
        <v>0</v>
      </c>
      <c r="K3713" s="46">
        <v>0</v>
      </c>
      <c r="L3713" s="46">
        <v>0</v>
      </c>
      <c r="M3713" s="46">
        <f t="shared" si="1019"/>
        <v>0</v>
      </c>
      <c r="N3713" s="46">
        <v>452540</v>
      </c>
      <c r="O3713" s="48">
        <f t="shared" si="1020"/>
        <v>1</v>
      </c>
      <c r="P3713" s="46">
        <v>0</v>
      </c>
      <c r="Q3713" s="46">
        <v>0</v>
      </c>
      <c r="R3713" s="49">
        <f t="shared" si="1021"/>
        <v>1</v>
      </c>
      <c r="S3713" s="50">
        <f t="shared" si="1022"/>
        <v>0.01</v>
      </c>
      <c r="T3713" s="49">
        <f t="shared" si="1023"/>
        <v>0</v>
      </c>
      <c r="U3713" s="51">
        <f t="shared" si="1024"/>
        <v>0</v>
      </c>
      <c r="V3713" s="52">
        <f>IF(0&lt;0.8,0,IF(0&lt;1,Sheet3!L561,1))*IF(G3713&lt;3,0.12 - O3713,0.01) *U3713</f>
        <v>0</v>
      </c>
      <c r="W3713" s="52">
        <f t="shared" si="1025"/>
        <v>0</v>
      </c>
      <c r="X3713" s="53">
        <f t="shared" si="1026"/>
        <v>0</v>
      </c>
      <c r="Y3713" s="53">
        <f t="shared" si="1027"/>
        <v>0</v>
      </c>
      <c r="Z3713" s="54">
        <f>IF(R3713=1,0,"")</f>
        <v>0</v>
      </c>
      <c r="AA3713" s="54">
        <f t="shared" si="1028"/>
        <v>0</v>
      </c>
      <c r="AB3713" s="55">
        <f>IF(R3713=0,"",0)</f>
        <v>0</v>
      </c>
      <c r="AC3713" s="55">
        <f t="shared" si="1029"/>
        <v>0</v>
      </c>
      <c r="AD3713" s="56">
        <f t="shared" si="1030"/>
        <v>0</v>
      </c>
    </row>
    <row r="3714" spans="3:30">
      <c r="C3714" s="43" t="s">
        <v>6890</v>
      </c>
      <c r="D3714" s="44" t="s">
        <v>6891</v>
      </c>
      <c r="E3714" s="44"/>
      <c r="F3714" s="45">
        <v>41835.384293981479</v>
      </c>
      <c r="G3714" s="46">
        <v>50</v>
      </c>
      <c r="H3714" s="47">
        <v>43427</v>
      </c>
      <c r="I3714" s="47">
        <v>43447</v>
      </c>
      <c r="J3714" s="46">
        <v>292710</v>
      </c>
      <c r="K3714" s="46">
        <v>0</v>
      </c>
      <c r="L3714" s="46">
        <v>0</v>
      </c>
      <c r="M3714" s="46">
        <f t="shared" si="1019"/>
        <v>292710</v>
      </c>
      <c r="N3714" s="46">
        <v>335756</v>
      </c>
      <c r="O3714" s="48">
        <f t="shared" si="1020"/>
        <v>0.12820619735760497</v>
      </c>
      <c r="P3714" s="46">
        <v>0</v>
      </c>
      <c r="Q3714" s="46">
        <v>292710</v>
      </c>
      <c r="R3714" s="49">
        <f t="shared" si="1021"/>
        <v>1</v>
      </c>
      <c r="S3714" s="50">
        <f t="shared" si="1022"/>
        <v>0.01</v>
      </c>
      <c r="T3714" s="49">
        <f t="shared" si="1023"/>
        <v>2927.1</v>
      </c>
      <c r="U3714" s="51">
        <f t="shared" si="1024"/>
        <v>0</v>
      </c>
      <c r="V3714" s="52">
        <f>IF(0&lt;0.8,0,IF(0&lt;1,Sheet3!L561,1))*IF(G3714&lt;3,0.12 - O3714,0.01) *U3714</f>
        <v>0</v>
      </c>
      <c r="W3714" s="52">
        <f t="shared" si="1025"/>
        <v>0</v>
      </c>
      <c r="X3714" s="53">
        <f t="shared" si="1026"/>
        <v>0</v>
      </c>
      <c r="Y3714" s="53">
        <f t="shared" si="1027"/>
        <v>0</v>
      </c>
      <c r="Z3714" s="54">
        <f>IF(R3714=1,0,0)</f>
        <v>0</v>
      </c>
      <c r="AA3714" s="54">
        <f t="shared" si="1028"/>
        <v>0</v>
      </c>
      <c r="AB3714" s="55">
        <f>IF(R3714=0,0,0)</f>
        <v>0</v>
      </c>
      <c r="AC3714" s="55">
        <f t="shared" si="1029"/>
        <v>0</v>
      </c>
      <c r="AD3714" s="56">
        <f t="shared" si="1030"/>
        <v>2927.1</v>
      </c>
    </row>
    <row r="3715" spans="3:30">
      <c r="C3715" s="43" t="s">
        <v>6892</v>
      </c>
      <c r="D3715" s="44" t="s">
        <v>6893</v>
      </c>
      <c r="E3715" s="44"/>
      <c r="F3715" s="45">
        <v>43245.288032407407</v>
      </c>
      <c r="G3715" s="46">
        <v>4</v>
      </c>
      <c r="H3715" s="47" t="s">
        <v>24</v>
      </c>
      <c r="I3715" s="47" t="s">
        <v>24</v>
      </c>
      <c r="J3715" s="46">
        <v>0</v>
      </c>
      <c r="K3715" s="46">
        <v>0</v>
      </c>
      <c r="L3715" s="46">
        <v>0</v>
      </c>
      <c r="M3715" s="46">
        <f t="shared" si="1019"/>
        <v>0</v>
      </c>
      <c r="N3715" s="46">
        <v>191709</v>
      </c>
      <c r="O3715" s="48">
        <f t="shared" si="1020"/>
        <v>1</v>
      </c>
      <c r="P3715" s="46">
        <v>0</v>
      </c>
      <c r="Q3715" s="46">
        <v>0</v>
      </c>
      <c r="R3715" s="49">
        <f t="shared" si="1021"/>
        <v>1</v>
      </c>
      <c r="S3715" s="50">
        <f t="shared" si="1022"/>
        <v>0.01</v>
      </c>
      <c r="T3715" s="49">
        <f t="shared" si="1023"/>
        <v>0</v>
      </c>
      <c r="U3715" s="51">
        <f t="shared" si="1024"/>
        <v>0</v>
      </c>
      <c r="V3715" s="52">
        <f>IF(0&lt;0.8,0,IF(0&lt;1,Sheet3!L561,1))*IF(G3715&lt;3,0.12 - O3715,0.01) *U3715</f>
        <v>0</v>
      </c>
      <c r="W3715" s="52">
        <f t="shared" si="1025"/>
        <v>0</v>
      </c>
      <c r="X3715" s="53">
        <f t="shared" si="1026"/>
        <v>0</v>
      </c>
      <c r="Y3715" s="53">
        <f t="shared" si="1027"/>
        <v>0</v>
      </c>
      <c r="Z3715" s="54">
        <f>IF(R3715=1,0,"")</f>
        <v>0</v>
      </c>
      <c r="AA3715" s="54">
        <f t="shared" si="1028"/>
        <v>0</v>
      </c>
      <c r="AB3715" s="55">
        <f>IF(R3715=0,"",0)</f>
        <v>0</v>
      </c>
      <c r="AC3715" s="55">
        <f t="shared" si="1029"/>
        <v>0</v>
      </c>
      <c r="AD3715" s="56">
        <f t="shared" si="1030"/>
        <v>0</v>
      </c>
    </row>
    <row r="3716" spans="3:30">
      <c r="C3716" s="43" t="s">
        <v>6894</v>
      </c>
      <c r="D3716" s="44" t="s">
        <v>995</v>
      </c>
      <c r="E3716" s="44"/>
      <c r="F3716" s="45">
        <v>43316.350844907407</v>
      </c>
      <c r="G3716" s="46">
        <v>1</v>
      </c>
      <c r="H3716" s="47">
        <v>43404</v>
      </c>
      <c r="I3716" s="47">
        <v>43430</v>
      </c>
      <c r="J3716" s="46">
        <v>1222784</v>
      </c>
      <c r="K3716" s="46">
        <v>0</v>
      </c>
      <c r="L3716" s="46">
        <v>0</v>
      </c>
      <c r="M3716" s="46">
        <f t="shared" si="1019"/>
        <v>1222784</v>
      </c>
      <c r="N3716" s="46">
        <v>1265317</v>
      </c>
      <c r="O3716" s="48">
        <f t="shared" si="1020"/>
        <v>3.361450134630295E-2</v>
      </c>
      <c r="P3716" s="46">
        <v>0</v>
      </c>
      <c r="Q3716" s="46">
        <v>0</v>
      </c>
      <c r="R3716" s="49">
        <f t="shared" si="1021"/>
        <v>0</v>
      </c>
      <c r="S3716" s="50">
        <f t="shared" si="1022"/>
        <v>0</v>
      </c>
      <c r="T3716" s="49">
        <f t="shared" si="1023"/>
        <v>0</v>
      </c>
      <c r="U3716" s="51">
        <f t="shared" si="1024"/>
        <v>1222784</v>
      </c>
      <c r="V3716" s="52">
        <f>IF(0&lt;0.8,0,IF(0&lt;1,Sheet3!L561,1))*IF(G3716&lt;3,0.12 - O3716,0.01) *U3716</f>
        <v>0</v>
      </c>
      <c r="W3716" s="52">
        <f t="shared" si="1025"/>
        <v>0</v>
      </c>
      <c r="X3716" s="53">
        <f t="shared" si="1026"/>
        <v>0</v>
      </c>
      <c r="Y3716" s="53">
        <f t="shared" si="1027"/>
        <v>0</v>
      </c>
      <c r="Z3716" s="54">
        <f t="shared" ref="Z3716:Z3724" si="1033">IF(R3716=1,0,0)</f>
        <v>0</v>
      </c>
      <c r="AA3716" s="54">
        <f t="shared" si="1028"/>
        <v>0</v>
      </c>
      <c r="AB3716" s="55">
        <f t="shared" ref="AB3716:AB3724" si="1034">IF(R3716=0,0,0)</f>
        <v>0</v>
      </c>
      <c r="AC3716" s="55">
        <f t="shared" si="1029"/>
        <v>0</v>
      </c>
      <c r="AD3716" s="56">
        <f t="shared" si="1030"/>
        <v>0</v>
      </c>
    </row>
    <row r="3717" spans="3:30">
      <c r="C3717" s="43" t="s">
        <v>6895</v>
      </c>
      <c r="D3717" s="44" t="s">
        <v>6896</v>
      </c>
      <c r="E3717" s="44"/>
      <c r="F3717" s="45">
        <v>41527.413159722222</v>
      </c>
      <c r="G3717" s="46">
        <v>60</v>
      </c>
      <c r="H3717" s="47">
        <v>43396</v>
      </c>
      <c r="I3717" s="47">
        <v>43412</v>
      </c>
      <c r="J3717" s="46">
        <v>354365</v>
      </c>
      <c r="K3717" s="46">
        <v>0</v>
      </c>
      <c r="L3717" s="46">
        <v>0</v>
      </c>
      <c r="M3717" s="46">
        <f t="shared" si="1019"/>
        <v>354365</v>
      </c>
      <c r="N3717" s="46">
        <v>476362</v>
      </c>
      <c r="O3717" s="48">
        <f t="shared" si="1020"/>
        <v>0.25610145225689707</v>
      </c>
      <c r="P3717" s="46">
        <v>0</v>
      </c>
      <c r="Q3717" s="46">
        <v>354365</v>
      </c>
      <c r="R3717" s="49">
        <f t="shared" si="1021"/>
        <v>1</v>
      </c>
      <c r="S3717" s="50">
        <f t="shared" si="1022"/>
        <v>0.01</v>
      </c>
      <c r="T3717" s="49">
        <f t="shared" si="1023"/>
        <v>3543.65</v>
      </c>
      <c r="U3717" s="51">
        <f t="shared" si="1024"/>
        <v>0</v>
      </c>
      <c r="V3717" s="52">
        <f>IF(0&lt;0.8,0,IF(0&lt;1,Sheet3!L561,1))*IF(G3717&lt;3,0.12 - O3717,0.01) *U3717</f>
        <v>0</v>
      </c>
      <c r="W3717" s="52">
        <f t="shared" si="1025"/>
        <v>0</v>
      </c>
      <c r="X3717" s="53">
        <f t="shared" si="1026"/>
        <v>0</v>
      </c>
      <c r="Y3717" s="53">
        <f t="shared" si="1027"/>
        <v>0</v>
      </c>
      <c r="Z3717" s="54">
        <f t="shared" si="1033"/>
        <v>0</v>
      </c>
      <c r="AA3717" s="54">
        <f t="shared" si="1028"/>
        <v>0</v>
      </c>
      <c r="AB3717" s="55">
        <f t="shared" si="1034"/>
        <v>0</v>
      </c>
      <c r="AC3717" s="55">
        <f t="shared" si="1029"/>
        <v>0</v>
      </c>
      <c r="AD3717" s="56">
        <f t="shared" si="1030"/>
        <v>3543.65</v>
      </c>
    </row>
    <row r="3718" spans="3:30">
      <c r="C3718" s="43" t="s">
        <v>6897</v>
      </c>
      <c r="D3718" s="44" t="s">
        <v>6898</v>
      </c>
      <c r="E3718" s="44"/>
      <c r="F3718" s="45">
        <v>42303.436585648145</v>
      </c>
      <c r="G3718" s="46">
        <v>35</v>
      </c>
      <c r="H3718" s="47">
        <v>43396</v>
      </c>
      <c r="I3718" s="47">
        <v>43412</v>
      </c>
      <c r="J3718" s="46">
        <v>366795</v>
      </c>
      <c r="K3718" s="46">
        <v>0</v>
      </c>
      <c r="L3718" s="46">
        <v>0</v>
      </c>
      <c r="M3718" s="46">
        <f t="shared" si="1019"/>
        <v>366795</v>
      </c>
      <c r="N3718" s="46">
        <v>489011</v>
      </c>
      <c r="O3718" s="48">
        <f t="shared" si="1020"/>
        <v>0.24992484831629558</v>
      </c>
      <c r="P3718" s="46">
        <v>0</v>
      </c>
      <c r="Q3718" s="46">
        <v>366795</v>
      </c>
      <c r="R3718" s="49">
        <f t="shared" si="1021"/>
        <v>1</v>
      </c>
      <c r="S3718" s="50">
        <f t="shared" si="1022"/>
        <v>0.01</v>
      </c>
      <c r="T3718" s="49">
        <f t="shared" si="1023"/>
        <v>3667.9500000000003</v>
      </c>
      <c r="U3718" s="51">
        <f t="shared" si="1024"/>
        <v>0</v>
      </c>
      <c r="V3718" s="52">
        <f>IF(0&lt;0.8,0,IF(0&lt;1,Sheet3!L561,1))*IF(G3718&lt;3,0.12 - O3718,0.01) *U3718</f>
        <v>0</v>
      </c>
      <c r="W3718" s="52">
        <f t="shared" si="1025"/>
        <v>0</v>
      </c>
      <c r="X3718" s="53">
        <f t="shared" si="1026"/>
        <v>0</v>
      </c>
      <c r="Y3718" s="53">
        <f t="shared" si="1027"/>
        <v>0</v>
      </c>
      <c r="Z3718" s="54">
        <f t="shared" si="1033"/>
        <v>0</v>
      </c>
      <c r="AA3718" s="54">
        <f t="shared" si="1028"/>
        <v>0</v>
      </c>
      <c r="AB3718" s="55">
        <f t="shared" si="1034"/>
        <v>0</v>
      </c>
      <c r="AC3718" s="55">
        <f t="shared" si="1029"/>
        <v>0</v>
      </c>
      <c r="AD3718" s="56">
        <f t="shared" si="1030"/>
        <v>3667.9500000000003</v>
      </c>
    </row>
    <row r="3719" spans="3:30">
      <c r="C3719" s="43" t="s">
        <v>6899</v>
      </c>
      <c r="D3719" s="44" t="s">
        <v>6898</v>
      </c>
      <c r="E3719" s="44"/>
      <c r="F3719" s="45">
        <v>42341.476111111107</v>
      </c>
      <c r="G3719" s="46">
        <v>33</v>
      </c>
      <c r="H3719" s="47">
        <v>43396</v>
      </c>
      <c r="I3719" s="47">
        <v>43412</v>
      </c>
      <c r="J3719" s="46">
        <v>378400</v>
      </c>
      <c r="K3719" s="46">
        <v>0</v>
      </c>
      <c r="L3719" s="46">
        <v>0</v>
      </c>
      <c r="M3719" s="46">
        <f t="shared" si="1019"/>
        <v>378400</v>
      </c>
      <c r="N3719" s="46">
        <v>507960</v>
      </c>
      <c r="O3719" s="48">
        <f t="shared" si="1020"/>
        <v>0.25505945350027559</v>
      </c>
      <c r="P3719" s="46">
        <v>0</v>
      </c>
      <c r="Q3719" s="46">
        <v>378400</v>
      </c>
      <c r="R3719" s="49">
        <f t="shared" si="1021"/>
        <v>1</v>
      </c>
      <c r="S3719" s="50">
        <f t="shared" si="1022"/>
        <v>0.01</v>
      </c>
      <c r="T3719" s="49">
        <f t="shared" si="1023"/>
        <v>3784</v>
      </c>
      <c r="U3719" s="51">
        <f t="shared" si="1024"/>
        <v>0</v>
      </c>
      <c r="V3719" s="52">
        <f>IF(0&lt;0.8,0,IF(0&lt;1,Sheet3!L561,1))*IF(G3719&lt;3,0.12 - O3719,0.01) *U3719</f>
        <v>0</v>
      </c>
      <c r="W3719" s="52">
        <f t="shared" si="1025"/>
        <v>0</v>
      </c>
      <c r="X3719" s="53">
        <f t="shared" si="1026"/>
        <v>0</v>
      </c>
      <c r="Y3719" s="53">
        <f t="shared" si="1027"/>
        <v>0</v>
      </c>
      <c r="Z3719" s="54">
        <f t="shared" si="1033"/>
        <v>0</v>
      </c>
      <c r="AA3719" s="54">
        <f t="shared" si="1028"/>
        <v>0</v>
      </c>
      <c r="AB3719" s="55">
        <f t="shared" si="1034"/>
        <v>0</v>
      </c>
      <c r="AC3719" s="55">
        <f t="shared" si="1029"/>
        <v>0</v>
      </c>
      <c r="AD3719" s="56">
        <f t="shared" si="1030"/>
        <v>3784</v>
      </c>
    </row>
    <row r="3720" spans="3:30">
      <c r="C3720" s="43" t="s">
        <v>6900</v>
      </c>
      <c r="D3720" s="44" t="s">
        <v>6901</v>
      </c>
      <c r="E3720" s="44"/>
      <c r="F3720" s="45">
        <v>42459.661076388889</v>
      </c>
      <c r="G3720" s="46">
        <v>30</v>
      </c>
      <c r="H3720" s="47">
        <v>43396</v>
      </c>
      <c r="I3720" s="47">
        <v>43412</v>
      </c>
      <c r="J3720" s="46">
        <v>998745</v>
      </c>
      <c r="K3720" s="46">
        <v>0</v>
      </c>
      <c r="L3720" s="46">
        <v>0</v>
      </c>
      <c r="M3720" s="46">
        <f t="shared" si="1019"/>
        <v>998745</v>
      </c>
      <c r="N3720" s="46">
        <v>1152454</v>
      </c>
      <c r="O3720" s="48">
        <f t="shared" si="1020"/>
        <v>0.13337538851876085</v>
      </c>
      <c r="P3720" s="46">
        <v>0</v>
      </c>
      <c r="Q3720" s="46">
        <v>998745</v>
      </c>
      <c r="R3720" s="49">
        <f t="shared" si="1021"/>
        <v>1</v>
      </c>
      <c r="S3720" s="50">
        <f t="shared" si="1022"/>
        <v>0.01</v>
      </c>
      <c r="T3720" s="49">
        <f t="shared" si="1023"/>
        <v>9987.4500000000007</v>
      </c>
      <c r="U3720" s="51">
        <f t="shared" si="1024"/>
        <v>0</v>
      </c>
      <c r="V3720" s="52">
        <f>IF(0&lt;0.8,0,IF(0&lt;1,Sheet3!L561,1))*IF(G3720&lt;3,0.12 - O3720,0.01) *U3720</f>
        <v>0</v>
      </c>
      <c r="W3720" s="52">
        <f t="shared" si="1025"/>
        <v>0</v>
      </c>
      <c r="X3720" s="53">
        <f t="shared" si="1026"/>
        <v>0</v>
      </c>
      <c r="Y3720" s="53">
        <f t="shared" si="1027"/>
        <v>0</v>
      </c>
      <c r="Z3720" s="54">
        <f t="shared" si="1033"/>
        <v>0</v>
      </c>
      <c r="AA3720" s="54">
        <f t="shared" si="1028"/>
        <v>0</v>
      </c>
      <c r="AB3720" s="55">
        <f t="shared" si="1034"/>
        <v>0</v>
      </c>
      <c r="AC3720" s="55">
        <f t="shared" si="1029"/>
        <v>0</v>
      </c>
      <c r="AD3720" s="56">
        <f t="shared" si="1030"/>
        <v>9987.4500000000007</v>
      </c>
    </row>
    <row r="3721" spans="3:30">
      <c r="C3721" s="43" t="s">
        <v>6902</v>
      </c>
      <c r="D3721" s="44" t="s">
        <v>6903</v>
      </c>
      <c r="E3721" s="44"/>
      <c r="F3721" s="45">
        <v>42564.198379629626</v>
      </c>
      <c r="G3721" s="46">
        <v>26</v>
      </c>
      <c r="H3721" s="47">
        <v>43396</v>
      </c>
      <c r="I3721" s="47">
        <v>43412</v>
      </c>
      <c r="J3721" s="46">
        <v>389373</v>
      </c>
      <c r="K3721" s="46">
        <v>0</v>
      </c>
      <c r="L3721" s="46">
        <v>0</v>
      </c>
      <c r="M3721" s="46">
        <f t="shared" si="1019"/>
        <v>389373</v>
      </c>
      <c r="N3721" s="46">
        <v>529603</v>
      </c>
      <c r="O3721" s="48">
        <f t="shared" si="1020"/>
        <v>0.26478324329733782</v>
      </c>
      <c r="P3721" s="46">
        <v>0</v>
      </c>
      <c r="Q3721" s="46">
        <v>389373</v>
      </c>
      <c r="R3721" s="49">
        <f t="shared" si="1021"/>
        <v>1</v>
      </c>
      <c r="S3721" s="50">
        <f t="shared" si="1022"/>
        <v>0.01</v>
      </c>
      <c r="T3721" s="49">
        <f t="shared" si="1023"/>
        <v>3893.73</v>
      </c>
      <c r="U3721" s="51">
        <f t="shared" si="1024"/>
        <v>0</v>
      </c>
      <c r="V3721" s="52">
        <f>IF(0&lt;0.8,0,IF(0&lt;1,Sheet3!L561,1))*IF(G3721&lt;3,0.12 - O3721,0.01) *U3721</f>
        <v>0</v>
      </c>
      <c r="W3721" s="52">
        <f t="shared" si="1025"/>
        <v>0</v>
      </c>
      <c r="X3721" s="53">
        <f t="shared" si="1026"/>
        <v>0</v>
      </c>
      <c r="Y3721" s="53">
        <f t="shared" si="1027"/>
        <v>0</v>
      </c>
      <c r="Z3721" s="54">
        <f t="shared" si="1033"/>
        <v>0</v>
      </c>
      <c r="AA3721" s="54">
        <f t="shared" si="1028"/>
        <v>0</v>
      </c>
      <c r="AB3721" s="55">
        <f t="shared" si="1034"/>
        <v>0</v>
      </c>
      <c r="AC3721" s="55">
        <f t="shared" si="1029"/>
        <v>0</v>
      </c>
      <c r="AD3721" s="56">
        <f t="shared" si="1030"/>
        <v>3893.73</v>
      </c>
    </row>
    <row r="3722" spans="3:30">
      <c r="C3722" s="43" t="s">
        <v>6904</v>
      </c>
      <c r="D3722" s="44" t="s">
        <v>6903</v>
      </c>
      <c r="E3722" s="44"/>
      <c r="F3722" s="45">
        <v>42986.303194444445</v>
      </c>
      <c r="G3722" s="46">
        <v>12</v>
      </c>
      <c r="H3722" s="47">
        <v>43396</v>
      </c>
      <c r="I3722" s="47">
        <v>43412</v>
      </c>
      <c r="J3722" s="46">
        <v>344960</v>
      </c>
      <c r="K3722" s="46">
        <v>0</v>
      </c>
      <c r="L3722" s="46">
        <v>0</v>
      </c>
      <c r="M3722" s="46">
        <f t="shared" si="1019"/>
        <v>344960</v>
      </c>
      <c r="N3722" s="46">
        <v>439042</v>
      </c>
      <c r="O3722" s="48">
        <f t="shared" si="1020"/>
        <v>0.21428929350722714</v>
      </c>
      <c r="P3722" s="46">
        <v>0</v>
      </c>
      <c r="Q3722" s="46">
        <v>344960</v>
      </c>
      <c r="R3722" s="49">
        <f t="shared" si="1021"/>
        <v>1</v>
      </c>
      <c r="S3722" s="50">
        <f t="shared" si="1022"/>
        <v>0.01</v>
      </c>
      <c r="T3722" s="49">
        <f t="shared" si="1023"/>
        <v>3449.6</v>
      </c>
      <c r="U3722" s="51">
        <f t="shared" si="1024"/>
        <v>0</v>
      </c>
      <c r="V3722" s="52">
        <f>IF(0&lt;0.8,0,IF(0&lt;1,Sheet3!L561,1))*IF(G3722&lt;3,0.12 - O3722,0.01) *U3722</f>
        <v>0</v>
      </c>
      <c r="W3722" s="52">
        <f t="shared" si="1025"/>
        <v>0</v>
      </c>
      <c r="X3722" s="53">
        <f t="shared" si="1026"/>
        <v>0</v>
      </c>
      <c r="Y3722" s="53">
        <f t="shared" si="1027"/>
        <v>0</v>
      </c>
      <c r="Z3722" s="54">
        <f t="shared" si="1033"/>
        <v>0</v>
      </c>
      <c r="AA3722" s="54">
        <f t="shared" si="1028"/>
        <v>0</v>
      </c>
      <c r="AB3722" s="55">
        <f t="shared" si="1034"/>
        <v>0</v>
      </c>
      <c r="AC3722" s="55">
        <f t="shared" si="1029"/>
        <v>0</v>
      </c>
      <c r="AD3722" s="56">
        <f t="shared" si="1030"/>
        <v>3449.6</v>
      </c>
    </row>
    <row r="3723" spans="3:30">
      <c r="C3723" s="43" t="s">
        <v>6905</v>
      </c>
      <c r="D3723" s="44" t="s">
        <v>6906</v>
      </c>
      <c r="E3723" s="44"/>
      <c r="F3723" s="45">
        <v>43036.126250000001</v>
      </c>
      <c r="G3723" s="46">
        <v>11</v>
      </c>
      <c r="H3723" s="47">
        <v>43396</v>
      </c>
      <c r="I3723" s="47">
        <v>43412</v>
      </c>
      <c r="J3723" s="46">
        <v>110770</v>
      </c>
      <c r="K3723" s="46">
        <v>0</v>
      </c>
      <c r="L3723" s="46">
        <v>0</v>
      </c>
      <c r="M3723" s="46">
        <f t="shared" si="1019"/>
        <v>110770</v>
      </c>
      <c r="N3723" s="46">
        <v>142950</v>
      </c>
      <c r="O3723" s="48">
        <f t="shared" si="1020"/>
        <v>0.22511367611052813</v>
      </c>
      <c r="P3723" s="46">
        <v>0</v>
      </c>
      <c r="Q3723" s="46">
        <v>110770</v>
      </c>
      <c r="R3723" s="49">
        <f t="shared" si="1021"/>
        <v>1</v>
      </c>
      <c r="S3723" s="50">
        <f t="shared" si="1022"/>
        <v>0.01</v>
      </c>
      <c r="T3723" s="49">
        <f t="shared" si="1023"/>
        <v>1107.7</v>
      </c>
      <c r="U3723" s="51">
        <f t="shared" si="1024"/>
        <v>0</v>
      </c>
      <c r="V3723" s="52">
        <f>IF(0&lt;0.8,0,IF(0&lt;1,Sheet3!L561,1))*IF(G3723&lt;3,0.12 - O3723,0.01) *U3723</f>
        <v>0</v>
      </c>
      <c r="W3723" s="52">
        <f t="shared" si="1025"/>
        <v>0</v>
      </c>
      <c r="X3723" s="53">
        <f t="shared" si="1026"/>
        <v>0</v>
      </c>
      <c r="Y3723" s="53">
        <f t="shared" si="1027"/>
        <v>0</v>
      </c>
      <c r="Z3723" s="54">
        <f t="shared" si="1033"/>
        <v>0</v>
      </c>
      <c r="AA3723" s="54">
        <f t="shared" si="1028"/>
        <v>0</v>
      </c>
      <c r="AB3723" s="55">
        <f t="shared" si="1034"/>
        <v>0</v>
      </c>
      <c r="AC3723" s="55">
        <f t="shared" si="1029"/>
        <v>0</v>
      </c>
      <c r="AD3723" s="56">
        <f t="shared" si="1030"/>
        <v>1107.7</v>
      </c>
    </row>
    <row r="3724" spans="3:30">
      <c r="C3724" s="43" t="s">
        <v>6907</v>
      </c>
      <c r="D3724" s="44" t="s">
        <v>6898</v>
      </c>
      <c r="E3724" s="44"/>
      <c r="F3724" s="45">
        <v>43063.174016203702</v>
      </c>
      <c r="G3724" s="46">
        <v>10</v>
      </c>
      <c r="H3724" s="47">
        <v>43396</v>
      </c>
      <c r="I3724" s="47">
        <v>43412</v>
      </c>
      <c r="J3724" s="46">
        <v>197093</v>
      </c>
      <c r="K3724" s="46">
        <v>0</v>
      </c>
      <c r="L3724" s="46">
        <v>0</v>
      </c>
      <c r="M3724" s="46">
        <f t="shared" si="1019"/>
        <v>197093</v>
      </c>
      <c r="N3724" s="46">
        <v>254971</v>
      </c>
      <c r="O3724" s="48">
        <f t="shared" si="1020"/>
        <v>0.22699836451988653</v>
      </c>
      <c r="P3724" s="46">
        <v>0</v>
      </c>
      <c r="Q3724" s="46">
        <v>197093</v>
      </c>
      <c r="R3724" s="49">
        <f t="shared" si="1021"/>
        <v>1</v>
      </c>
      <c r="S3724" s="50">
        <f t="shared" si="1022"/>
        <v>0.01</v>
      </c>
      <c r="T3724" s="49">
        <f t="shared" si="1023"/>
        <v>1970.93</v>
      </c>
      <c r="U3724" s="51">
        <f t="shared" si="1024"/>
        <v>0</v>
      </c>
      <c r="V3724" s="52">
        <f>IF(0&lt;0.8,0,IF(0&lt;1,Sheet3!L561,1))*IF(G3724&lt;3,0.12 - O3724,0.01) *U3724</f>
        <v>0</v>
      </c>
      <c r="W3724" s="52">
        <f t="shared" si="1025"/>
        <v>0</v>
      </c>
      <c r="X3724" s="53">
        <f t="shared" si="1026"/>
        <v>0</v>
      </c>
      <c r="Y3724" s="53">
        <f t="shared" si="1027"/>
        <v>0</v>
      </c>
      <c r="Z3724" s="54">
        <f t="shared" si="1033"/>
        <v>0</v>
      </c>
      <c r="AA3724" s="54">
        <f t="shared" si="1028"/>
        <v>0</v>
      </c>
      <c r="AB3724" s="55">
        <f t="shared" si="1034"/>
        <v>0</v>
      </c>
      <c r="AC3724" s="55">
        <f t="shared" si="1029"/>
        <v>0</v>
      </c>
      <c r="AD3724" s="56">
        <f t="shared" si="1030"/>
        <v>1970.93</v>
      </c>
    </row>
    <row r="3725" spans="3:30">
      <c r="C3725" s="43" t="s">
        <v>6908</v>
      </c>
      <c r="D3725" s="44" t="s">
        <v>6909</v>
      </c>
      <c r="E3725" s="44"/>
      <c r="F3725" s="45">
        <v>43245.288495370369</v>
      </c>
      <c r="G3725" s="46">
        <v>4</v>
      </c>
      <c r="H3725" s="47" t="s">
        <v>24</v>
      </c>
      <c r="I3725" s="47" t="s">
        <v>24</v>
      </c>
      <c r="J3725" s="46">
        <v>0</v>
      </c>
      <c r="K3725" s="46">
        <v>0</v>
      </c>
      <c r="L3725" s="46">
        <v>0</v>
      </c>
      <c r="M3725" s="46">
        <f t="shared" si="1019"/>
        <v>0</v>
      </c>
      <c r="N3725" s="46">
        <v>1462232</v>
      </c>
      <c r="O3725" s="48">
        <f t="shared" si="1020"/>
        <v>1</v>
      </c>
      <c r="P3725" s="46">
        <v>0</v>
      </c>
      <c r="Q3725" s="46">
        <v>0</v>
      </c>
      <c r="R3725" s="49">
        <f t="shared" si="1021"/>
        <v>1</v>
      </c>
      <c r="S3725" s="50">
        <f t="shared" si="1022"/>
        <v>0.01</v>
      </c>
      <c r="T3725" s="49">
        <f t="shared" si="1023"/>
        <v>0</v>
      </c>
      <c r="U3725" s="51">
        <f t="shared" si="1024"/>
        <v>0</v>
      </c>
      <c r="V3725" s="52">
        <f>IF(0&lt;0.8,0,IF(0&lt;1,Sheet3!L561,1))*IF(G3725&lt;3,0.12 - O3725,0.01) *U3725</f>
        <v>0</v>
      </c>
      <c r="W3725" s="52">
        <f t="shared" si="1025"/>
        <v>0</v>
      </c>
      <c r="X3725" s="53">
        <f t="shared" si="1026"/>
        <v>0</v>
      </c>
      <c r="Y3725" s="53">
        <f t="shared" si="1027"/>
        <v>0</v>
      </c>
      <c r="Z3725" s="54">
        <f>IF(R3725=1,0,"")</f>
        <v>0</v>
      </c>
      <c r="AA3725" s="54">
        <f t="shared" si="1028"/>
        <v>0</v>
      </c>
      <c r="AB3725" s="55">
        <f>IF(R3725=0,"",0)</f>
        <v>0</v>
      </c>
      <c r="AC3725" s="55">
        <f t="shared" si="1029"/>
        <v>0</v>
      </c>
      <c r="AD3725" s="56">
        <f t="shared" si="1030"/>
        <v>0</v>
      </c>
    </row>
    <row r="3726" spans="3:30">
      <c r="C3726" s="43" t="s">
        <v>6910</v>
      </c>
      <c r="D3726" s="44" t="s">
        <v>995</v>
      </c>
      <c r="E3726" s="44"/>
      <c r="F3726" s="45">
        <v>43316.291388888887</v>
      </c>
      <c r="G3726" s="46">
        <v>1</v>
      </c>
      <c r="H3726" s="47">
        <v>43404</v>
      </c>
      <c r="I3726" s="47">
        <v>43430</v>
      </c>
      <c r="J3726" s="46">
        <v>560527</v>
      </c>
      <c r="K3726" s="46">
        <v>0</v>
      </c>
      <c r="L3726" s="46">
        <v>0</v>
      </c>
      <c r="M3726" s="46">
        <f t="shared" si="1019"/>
        <v>560527</v>
      </c>
      <c r="N3726" s="46">
        <v>765490</v>
      </c>
      <c r="O3726" s="48">
        <f t="shared" si="1020"/>
        <v>0.26775398764190261</v>
      </c>
      <c r="P3726" s="46">
        <v>0</v>
      </c>
      <c r="Q3726" s="46">
        <v>0</v>
      </c>
      <c r="R3726" s="49">
        <f t="shared" si="1021"/>
        <v>0</v>
      </c>
      <c r="S3726" s="50">
        <f t="shared" si="1022"/>
        <v>0</v>
      </c>
      <c r="T3726" s="49">
        <f t="shared" si="1023"/>
        <v>0</v>
      </c>
      <c r="U3726" s="51">
        <f t="shared" si="1024"/>
        <v>0</v>
      </c>
      <c r="V3726" s="52">
        <f>IF(0&lt;0.8,0,IF(0&lt;1,Sheet3!L561,1))*IF(G3726&lt;3,0.12 - O3726,0.01) *U3726</f>
        <v>0</v>
      </c>
      <c r="W3726" s="52">
        <f t="shared" si="1025"/>
        <v>0</v>
      </c>
      <c r="X3726" s="53">
        <f t="shared" si="1026"/>
        <v>0</v>
      </c>
      <c r="Y3726" s="53">
        <f t="shared" si="1027"/>
        <v>0</v>
      </c>
      <c r="Z3726" s="54">
        <f t="shared" ref="Z3726:Z3744" si="1035">IF(R3726=1,0,0)</f>
        <v>0</v>
      </c>
      <c r="AA3726" s="54">
        <f t="shared" si="1028"/>
        <v>0</v>
      </c>
      <c r="AB3726" s="55">
        <f t="shared" ref="AB3726:AB3744" si="1036">IF(R3726=0,0,0)</f>
        <v>0</v>
      </c>
      <c r="AC3726" s="55">
        <f t="shared" si="1029"/>
        <v>0</v>
      </c>
      <c r="AD3726" s="56">
        <f t="shared" si="1030"/>
        <v>0</v>
      </c>
    </row>
    <row r="3727" spans="3:30">
      <c r="C3727" s="43" t="s">
        <v>6911</v>
      </c>
      <c r="D3727" s="44" t="s">
        <v>6912</v>
      </c>
      <c r="E3727" s="44"/>
      <c r="F3727" s="45">
        <v>42216.647638888884</v>
      </c>
      <c r="G3727" s="46">
        <v>38</v>
      </c>
      <c r="H3727" s="47">
        <v>43396</v>
      </c>
      <c r="I3727" s="47">
        <v>43412</v>
      </c>
      <c r="J3727" s="46">
        <v>377042</v>
      </c>
      <c r="K3727" s="46">
        <v>0</v>
      </c>
      <c r="L3727" s="46">
        <v>0</v>
      </c>
      <c r="M3727" s="46">
        <f t="shared" si="1019"/>
        <v>377042</v>
      </c>
      <c r="N3727" s="46">
        <v>550849</v>
      </c>
      <c r="O3727" s="48">
        <f t="shared" si="1020"/>
        <v>0.31552567037427681</v>
      </c>
      <c r="P3727" s="46">
        <v>0</v>
      </c>
      <c r="Q3727" s="46">
        <v>377042</v>
      </c>
      <c r="R3727" s="49">
        <f t="shared" si="1021"/>
        <v>1</v>
      </c>
      <c r="S3727" s="50">
        <f t="shared" si="1022"/>
        <v>0.01</v>
      </c>
      <c r="T3727" s="49">
        <f t="shared" si="1023"/>
        <v>3770.42</v>
      </c>
      <c r="U3727" s="51">
        <f t="shared" si="1024"/>
        <v>0</v>
      </c>
      <c r="V3727" s="52">
        <f>IF(0&lt;0.8,0,IF(0&lt;1,Sheet3!L561,1))*IF(G3727&lt;3,0.12 - O3727,0.01) *U3727</f>
        <v>0</v>
      </c>
      <c r="W3727" s="52">
        <f t="shared" si="1025"/>
        <v>0</v>
      </c>
      <c r="X3727" s="53">
        <f t="shared" si="1026"/>
        <v>0</v>
      </c>
      <c r="Y3727" s="53">
        <f t="shared" si="1027"/>
        <v>0</v>
      </c>
      <c r="Z3727" s="54">
        <f t="shared" si="1035"/>
        <v>0</v>
      </c>
      <c r="AA3727" s="54">
        <f t="shared" si="1028"/>
        <v>0</v>
      </c>
      <c r="AB3727" s="55">
        <f t="shared" si="1036"/>
        <v>0</v>
      </c>
      <c r="AC3727" s="55">
        <f t="shared" si="1029"/>
        <v>0</v>
      </c>
      <c r="AD3727" s="56">
        <f t="shared" si="1030"/>
        <v>3770.42</v>
      </c>
    </row>
    <row r="3728" spans="3:30">
      <c r="C3728" s="43" t="s">
        <v>6913</v>
      </c>
      <c r="D3728" s="44" t="s">
        <v>6912</v>
      </c>
      <c r="E3728" s="44"/>
      <c r="F3728" s="45">
        <v>42216.645729166667</v>
      </c>
      <c r="G3728" s="46">
        <v>38</v>
      </c>
      <c r="H3728" s="47">
        <v>43396</v>
      </c>
      <c r="I3728" s="47">
        <v>43412</v>
      </c>
      <c r="J3728" s="46">
        <v>1293637</v>
      </c>
      <c r="K3728" s="46">
        <v>0</v>
      </c>
      <c r="L3728" s="46">
        <v>0</v>
      </c>
      <c r="M3728" s="46">
        <f t="shared" si="1019"/>
        <v>1293637</v>
      </c>
      <c r="N3728" s="46">
        <v>1745376</v>
      </c>
      <c r="O3728" s="48">
        <f t="shared" si="1020"/>
        <v>0.25882044900353851</v>
      </c>
      <c r="P3728" s="46">
        <v>0</v>
      </c>
      <c r="Q3728" s="46">
        <v>1293637</v>
      </c>
      <c r="R3728" s="49">
        <f t="shared" si="1021"/>
        <v>1</v>
      </c>
      <c r="S3728" s="50">
        <f t="shared" si="1022"/>
        <v>0.01</v>
      </c>
      <c r="T3728" s="49">
        <f t="shared" si="1023"/>
        <v>12936.37</v>
      </c>
      <c r="U3728" s="51">
        <f t="shared" si="1024"/>
        <v>0</v>
      </c>
      <c r="V3728" s="52">
        <f>IF(0&lt;0.8,0,IF(0&lt;1,Sheet3!L561,1))*IF(G3728&lt;3,0.12 - O3728,0.01) *U3728</f>
        <v>0</v>
      </c>
      <c r="W3728" s="52">
        <f t="shared" si="1025"/>
        <v>0</v>
      </c>
      <c r="X3728" s="53">
        <f t="shared" si="1026"/>
        <v>0</v>
      </c>
      <c r="Y3728" s="53">
        <f t="shared" si="1027"/>
        <v>0</v>
      </c>
      <c r="Z3728" s="54">
        <f t="shared" si="1035"/>
        <v>0</v>
      </c>
      <c r="AA3728" s="54">
        <f t="shared" si="1028"/>
        <v>0</v>
      </c>
      <c r="AB3728" s="55">
        <f t="shared" si="1036"/>
        <v>0</v>
      </c>
      <c r="AC3728" s="55">
        <f t="shared" si="1029"/>
        <v>0</v>
      </c>
      <c r="AD3728" s="56">
        <f t="shared" si="1030"/>
        <v>12936.37</v>
      </c>
    </row>
    <row r="3729" spans="3:30">
      <c r="C3729" s="43" t="s">
        <v>6914</v>
      </c>
      <c r="D3729" s="44" t="s">
        <v>6915</v>
      </c>
      <c r="E3729" s="44"/>
      <c r="F3729" s="45">
        <v>42334.643194444441</v>
      </c>
      <c r="G3729" s="46">
        <v>34</v>
      </c>
      <c r="H3729" s="47">
        <v>43383</v>
      </c>
      <c r="I3729" s="47">
        <v>43399</v>
      </c>
      <c r="J3729" s="46">
        <v>1428405</v>
      </c>
      <c r="K3729" s="46">
        <v>0</v>
      </c>
      <c r="L3729" s="46">
        <v>0</v>
      </c>
      <c r="M3729" s="46">
        <f t="shared" si="1019"/>
        <v>1428405</v>
      </c>
      <c r="N3729" s="46">
        <v>1428405</v>
      </c>
      <c r="O3729" s="48">
        <f t="shared" si="1020"/>
        <v>0</v>
      </c>
      <c r="P3729" s="46">
        <v>0</v>
      </c>
      <c r="Q3729" s="46">
        <v>1428405</v>
      </c>
      <c r="R3729" s="49">
        <f t="shared" si="1021"/>
        <v>1</v>
      </c>
      <c r="S3729" s="50">
        <f t="shared" si="1022"/>
        <v>0.01</v>
      </c>
      <c r="T3729" s="49">
        <f t="shared" si="1023"/>
        <v>14284.050000000001</v>
      </c>
      <c r="U3729" s="51">
        <f t="shared" si="1024"/>
        <v>0</v>
      </c>
      <c r="V3729" s="52">
        <f>IF(0&lt;0.8,0,IF(0&lt;1,Sheet3!L561,1))*IF(G3729&lt;3,0.12 - O3729,0.01) *U3729</f>
        <v>0</v>
      </c>
      <c r="W3729" s="52">
        <f t="shared" si="1025"/>
        <v>0</v>
      </c>
      <c r="X3729" s="53">
        <f t="shared" si="1026"/>
        <v>0</v>
      </c>
      <c r="Y3729" s="53">
        <f t="shared" si="1027"/>
        <v>0</v>
      </c>
      <c r="Z3729" s="54">
        <f t="shared" si="1035"/>
        <v>0</v>
      </c>
      <c r="AA3729" s="54">
        <f t="shared" si="1028"/>
        <v>0</v>
      </c>
      <c r="AB3729" s="55">
        <f t="shared" si="1036"/>
        <v>0</v>
      </c>
      <c r="AC3729" s="55">
        <f t="shared" si="1029"/>
        <v>0</v>
      </c>
      <c r="AD3729" s="56">
        <f t="shared" si="1030"/>
        <v>14284.050000000001</v>
      </c>
    </row>
    <row r="3730" spans="3:30">
      <c r="C3730" s="43" t="s">
        <v>6916</v>
      </c>
      <c r="D3730" s="44" t="s">
        <v>6917</v>
      </c>
      <c r="E3730" s="44"/>
      <c r="F3730" s="45">
        <v>42335.604085648149</v>
      </c>
      <c r="G3730" s="46">
        <v>34</v>
      </c>
      <c r="H3730" s="47">
        <v>43396</v>
      </c>
      <c r="I3730" s="47">
        <v>43412</v>
      </c>
      <c r="J3730" s="46">
        <v>1752173</v>
      </c>
      <c r="K3730" s="46">
        <v>0</v>
      </c>
      <c r="L3730" s="46">
        <v>0</v>
      </c>
      <c r="M3730" s="46">
        <f t="shared" si="1019"/>
        <v>1752173</v>
      </c>
      <c r="N3730" s="46">
        <v>2355466</v>
      </c>
      <c r="O3730" s="48">
        <f t="shared" si="1020"/>
        <v>0.25612469040096519</v>
      </c>
      <c r="P3730" s="46">
        <v>0</v>
      </c>
      <c r="Q3730" s="46">
        <v>1752173</v>
      </c>
      <c r="R3730" s="49">
        <f t="shared" si="1021"/>
        <v>1</v>
      </c>
      <c r="S3730" s="50">
        <f t="shared" si="1022"/>
        <v>0.01</v>
      </c>
      <c r="T3730" s="49">
        <f t="shared" si="1023"/>
        <v>17521.73</v>
      </c>
      <c r="U3730" s="51">
        <f t="shared" si="1024"/>
        <v>0</v>
      </c>
      <c r="V3730" s="52">
        <f>IF(0&lt;0.8,0,IF(0&lt;1,Sheet3!L561,1))*IF(G3730&lt;3,0.12 - O3730,0.01) *U3730</f>
        <v>0</v>
      </c>
      <c r="W3730" s="52">
        <f t="shared" si="1025"/>
        <v>0</v>
      </c>
      <c r="X3730" s="53">
        <f t="shared" si="1026"/>
        <v>0</v>
      </c>
      <c r="Y3730" s="53">
        <f t="shared" si="1027"/>
        <v>0</v>
      </c>
      <c r="Z3730" s="54">
        <f t="shared" si="1035"/>
        <v>0</v>
      </c>
      <c r="AA3730" s="54">
        <f t="shared" si="1028"/>
        <v>0</v>
      </c>
      <c r="AB3730" s="55">
        <f t="shared" si="1036"/>
        <v>0</v>
      </c>
      <c r="AC3730" s="55">
        <f t="shared" si="1029"/>
        <v>0</v>
      </c>
      <c r="AD3730" s="56">
        <f t="shared" si="1030"/>
        <v>17521.73</v>
      </c>
    </row>
    <row r="3731" spans="3:30">
      <c r="C3731" s="43" t="s">
        <v>6918</v>
      </c>
      <c r="D3731" s="44" t="s">
        <v>593</v>
      </c>
      <c r="E3731" s="44"/>
      <c r="F3731" s="45">
        <v>42441.430752314816</v>
      </c>
      <c r="G3731" s="46">
        <v>30</v>
      </c>
      <c r="H3731" s="47">
        <v>43377</v>
      </c>
      <c r="I3731" s="47">
        <v>43444</v>
      </c>
      <c r="J3731" s="46">
        <v>3032817</v>
      </c>
      <c r="K3731" s="46">
        <v>0</v>
      </c>
      <c r="L3731" s="46">
        <v>0</v>
      </c>
      <c r="M3731" s="46">
        <f t="shared" si="1019"/>
        <v>3032817</v>
      </c>
      <c r="N3731" s="46">
        <v>5096033</v>
      </c>
      <c r="O3731" s="48">
        <f t="shared" si="1020"/>
        <v>0.40486707994237869</v>
      </c>
      <c r="P3731" s="46">
        <v>0</v>
      </c>
      <c r="Q3731" s="46">
        <v>3032817</v>
      </c>
      <c r="R3731" s="49">
        <f t="shared" si="1021"/>
        <v>1</v>
      </c>
      <c r="S3731" s="50">
        <f t="shared" si="1022"/>
        <v>0.01</v>
      </c>
      <c r="T3731" s="49">
        <f t="shared" si="1023"/>
        <v>30328.170000000002</v>
      </c>
      <c r="U3731" s="51">
        <f t="shared" si="1024"/>
        <v>0</v>
      </c>
      <c r="V3731" s="52">
        <f>IF(0&lt;0.8,0,IF(0&lt;1,Sheet3!L561,1))*IF(G3731&lt;3,0.12 - O3731,0.01) *U3731</f>
        <v>0</v>
      </c>
      <c r="W3731" s="52">
        <f t="shared" si="1025"/>
        <v>0</v>
      </c>
      <c r="X3731" s="53">
        <f t="shared" si="1026"/>
        <v>0</v>
      </c>
      <c r="Y3731" s="53">
        <f t="shared" si="1027"/>
        <v>0</v>
      </c>
      <c r="Z3731" s="54">
        <f t="shared" si="1035"/>
        <v>0</v>
      </c>
      <c r="AA3731" s="54">
        <f t="shared" si="1028"/>
        <v>0</v>
      </c>
      <c r="AB3731" s="55">
        <f t="shared" si="1036"/>
        <v>0</v>
      </c>
      <c r="AC3731" s="55">
        <f t="shared" si="1029"/>
        <v>0</v>
      </c>
      <c r="AD3731" s="56">
        <f t="shared" si="1030"/>
        <v>30328.170000000002</v>
      </c>
    </row>
    <row r="3732" spans="3:30">
      <c r="C3732" s="43" t="s">
        <v>6919</v>
      </c>
      <c r="D3732" s="44" t="s">
        <v>6920</v>
      </c>
      <c r="E3732" s="44"/>
      <c r="F3732" s="45">
        <v>42452.629988425921</v>
      </c>
      <c r="G3732" s="46">
        <v>30</v>
      </c>
      <c r="H3732" s="47">
        <v>43396</v>
      </c>
      <c r="I3732" s="47">
        <v>43412</v>
      </c>
      <c r="J3732" s="46">
        <v>408502</v>
      </c>
      <c r="K3732" s="46">
        <v>0</v>
      </c>
      <c r="L3732" s="46">
        <v>0</v>
      </c>
      <c r="M3732" s="46">
        <f t="shared" si="1019"/>
        <v>408502</v>
      </c>
      <c r="N3732" s="46">
        <v>548046</v>
      </c>
      <c r="O3732" s="48">
        <f t="shared" si="1020"/>
        <v>0.25462096247395294</v>
      </c>
      <c r="P3732" s="46">
        <v>0</v>
      </c>
      <c r="Q3732" s="46">
        <v>408502</v>
      </c>
      <c r="R3732" s="49">
        <f t="shared" si="1021"/>
        <v>1</v>
      </c>
      <c r="S3732" s="50">
        <f t="shared" si="1022"/>
        <v>0.01</v>
      </c>
      <c r="T3732" s="49">
        <f t="shared" si="1023"/>
        <v>4085.02</v>
      </c>
      <c r="U3732" s="51">
        <f t="shared" si="1024"/>
        <v>0</v>
      </c>
      <c r="V3732" s="52">
        <f>IF(0&lt;0.8,0,IF(0&lt;1,Sheet3!L561,1))*IF(G3732&lt;3,0.12 - O3732,0.01) *U3732</f>
        <v>0</v>
      </c>
      <c r="W3732" s="52">
        <f t="shared" si="1025"/>
        <v>0</v>
      </c>
      <c r="X3732" s="53">
        <f t="shared" si="1026"/>
        <v>0</v>
      </c>
      <c r="Y3732" s="53">
        <f t="shared" si="1027"/>
        <v>0</v>
      </c>
      <c r="Z3732" s="54">
        <f t="shared" si="1035"/>
        <v>0</v>
      </c>
      <c r="AA3732" s="54">
        <f t="shared" si="1028"/>
        <v>0</v>
      </c>
      <c r="AB3732" s="55">
        <f t="shared" si="1036"/>
        <v>0</v>
      </c>
      <c r="AC3732" s="55">
        <f t="shared" si="1029"/>
        <v>0</v>
      </c>
      <c r="AD3732" s="56">
        <f t="shared" si="1030"/>
        <v>4085.02</v>
      </c>
    </row>
    <row r="3733" spans="3:30">
      <c r="C3733" s="43" t="s">
        <v>6921</v>
      </c>
      <c r="D3733" s="44" t="s">
        <v>6922</v>
      </c>
      <c r="E3733" s="44"/>
      <c r="F3733" s="45">
        <v>42686.105543981481</v>
      </c>
      <c r="G3733" s="46">
        <v>22</v>
      </c>
      <c r="H3733" s="47">
        <v>43377</v>
      </c>
      <c r="I3733" s="47">
        <v>43430</v>
      </c>
      <c r="J3733" s="46">
        <v>88180</v>
      </c>
      <c r="K3733" s="46">
        <v>0</v>
      </c>
      <c r="L3733" s="46">
        <v>0</v>
      </c>
      <c r="M3733" s="46">
        <f t="shared" si="1019"/>
        <v>88180</v>
      </c>
      <c r="N3733" s="46">
        <v>88180</v>
      </c>
      <c r="O3733" s="48">
        <f t="shared" si="1020"/>
        <v>0</v>
      </c>
      <c r="P3733" s="46">
        <v>0</v>
      </c>
      <c r="Q3733" s="46">
        <v>88180</v>
      </c>
      <c r="R3733" s="49">
        <f t="shared" si="1021"/>
        <v>1</v>
      </c>
      <c r="S3733" s="50">
        <f t="shared" si="1022"/>
        <v>0.01</v>
      </c>
      <c r="T3733" s="49">
        <f t="shared" si="1023"/>
        <v>881.80000000000007</v>
      </c>
      <c r="U3733" s="51">
        <f t="shared" si="1024"/>
        <v>0</v>
      </c>
      <c r="V3733" s="52">
        <f>IF(0&lt;0.8,0,IF(0&lt;1,Sheet3!L561,1))*IF(G3733&lt;3,0.12 - O3733,0.01) *U3733</f>
        <v>0</v>
      </c>
      <c r="W3733" s="52">
        <f t="shared" si="1025"/>
        <v>0</v>
      </c>
      <c r="X3733" s="53">
        <f t="shared" si="1026"/>
        <v>0</v>
      </c>
      <c r="Y3733" s="53">
        <f t="shared" si="1027"/>
        <v>0</v>
      </c>
      <c r="Z3733" s="54">
        <f t="shared" si="1035"/>
        <v>0</v>
      </c>
      <c r="AA3733" s="54">
        <f t="shared" si="1028"/>
        <v>0</v>
      </c>
      <c r="AB3733" s="55">
        <f t="shared" si="1036"/>
        <v>0</v>
      </c>
      <c r="AC3733" s="55">
        <f t="shared" si="1029"/>
        <v>0</v>
      </c>
      <c r="AD3733" s="56">
        <f t="shared" si="1030"/>
        <v>881.80000000000007</v>
      </c>
    </row>
    <row r="3734" spans="3:30">
      <c r="C3734" s="43" t="s">
        <v>6923</v>
      </c>
      <c r="D3734" s="44" t="s">
        <v>6924</v>
      </c>
      <c r="E3734" s="44"/>
      <c r="F3734" s="45">
        <v>42842.09475694444</v>
      </c>
      <c r="G3734" s="46">
        <v>17</v>
      </c>
      <c r="H3734" s="47">
        <v>43377</v>
      </c>
      <c r="I3734" s="47">
        <v>43427</v>
      </c>
      <c r="J3734" s="46">
        <v>24956</v>
      </c>
      <c r="K3734" s="46">
        <v>0</v>
      </c>
      <c r="L3734" s="46">
        <v>0</v>
      </c>
      <c r="M3734" s="46">
        <f t="shared" si="1019"/>
        <v>24956</v>
      </c>
      <c r="N3734" s="46">
        <v>24956</v>
      </c>
      <c r="O3734" s="48">
        <f t="shared" si="1020"/>
        <v>0</v>
      </c>
      <c r="P3734" s="46">
        <v>0</v>
      </c>
      <c r="Q3734" s="46">
        <v>24956</v>
      </c>
      <c r="R3734" s="49">
        <f t="shared" si="1021"/>
        <v>1</v>
      </c>
      <c r="S3734" s="50">
        <f t="shared" si="1022"/>
        <v>0.01</v>
      </c>
      <c r="T3734" s="49">
        <f t="shared" si="1023"/>
        <v>249.56</v>
      </c>
      <c r="U3734" s="51">
        <f t="shared" si="1024"/>
        <v>0</v>
      </c>
      <c r="V3734" s="52">
        <f>IF(0&lt;0.8,0,IF(0&lt;1,Sheet3!L561,1))*IF(G3734&lt;3,0.12 - O3734,0.01) *U3734</f>
        <v>0</v>
      </c>
      <c r="W3734" s="52">
        <f t="shared" si="1025"/>
        <v>0</v>
      </c>
      <c r="X3734" s="53">
        <f t="shared" si="1026"/>
        <v>0</v>
      </c>
      <c r="Y3734" s="53">
        <f t="shared" si="1027"/>
        <v>0</v>
      </c>
      <c r="Z3734" s="54">
        <f t="shared" si="1035"/>
        <v>0</v>
      </c>
      <c r="AA3734" s="54">
        <f t="shared" si="1028"/>
        <v>0</v>
      </c>
      <c r="AB3734" s="55">
        <f t="shared" si="1036"/>
        <v>0</v>
      </c>
      <c r="AC3734" s="55">
        <f t="shared" si="1029"/>
        <v>0</v>
      </c>
      <c r="AD3734" s="56">
        <f t="shared" si="1030"/>
        <v>249.56</v>
      </c>
    </row>
    <row r="3735" spans="3:30">
      <c r="C3735" s="43" t="s">
        <v>6925</v>
      </c>
      <c r="D3735" s="44" t="s">
        <v>6926</v>
      </c>
      <c r="E3735" s="44"/>
      <c r="F3735" s="45">
        <v>42864.256030092591</v>
      </c>
      <c r="G3735" s="46">
        <v>16</v>
      </c>
      <c r="H3735" s="47">
        <v>43377</v>
      </c>
      <c r="I3735" s="47">
        <v>43384</v>
      </c>
      <c r="J3735" s="46">
        <v>1689305</v>
      </c>
      <c r="K3735" s="46">
        <v>0</v>
      </c>
      <c r="L3735" s="46">
        <v>0</v>
      </c>
      <c r="M3735" s="46">
        <f t="shared" si="1019"/>
        <v>1689305</v>
      </c>
      <c r="N3735" s="46">
        <v>1689305</v>
      </c>
      <c r="O3735" s="48">
        <f t="shared" si="1020"/>
        <v>0</v>
      </c>
      <c r="P3735" s="46">
        <v>0</v>
      </c>
      <c r="Q3735" s="46">
        <v>1689305</v>
      </c>
      <c r="R3735" s="49">
        <f t="shared" si="1021"/>
        <v>1</v>
      </c>
      <c r="S3735" s="50">
        <f t="shared" si="1022"/>
        <v>0.01</v>
      </c>
      <c r="T3735" s="49">
        <f t="shared" si="1023"/>
        <v>16893.05</v>
      </c>
      <c r="U3735" s="51">
        <f t="shared" si="1024"/>
        <v>0</v>
      </c>
      <c r="V3735" s="52">
        <f>IF(0&lt;0.8,0,IF(0&lt;1,Sheet3!L561,1))*IF(G3735&lt;3,0.12 - O3735,0.01) *U3735</f>
        <v>0</v>
      </c>
      <c r="W3735" s="52">
        <f t="shared" si="1025"/>
        <v>0</v>
      </c>
      <c r="X3735" s="53">
        <f t="shared" si="1026"/>
        <v>0</v>
      </c>
      <c r="Y3735" s="53">
        <f t="shared" si="1027"/>
        <v>0</v>
      </c>
      <c r="Z3735" s="54">
        <f t="shared" si="1035"/>
        <v>0</v>
      </c>
      <c r="AA3735" s="54">
        <f t="shared" si="1028"/>
        <v>0</v>
      </c>
      <c r="AB3735" s="55">
        <f t="shared" si="1036"/>
        <v>0</v>
      </c>
      <c r="AC3735" s="55">
        <f t="shared" si="1029"/>
        <v>0</v>
      </c>
      <c r="AD3735" s="56">
        <f t="shared" si="1030"/>
        <v>16893.05</v>
      </c>
    </row>
    <row r="3736" spans="3:30">
      <c r="C3736" s="43" t="s">
        <v>6927</v>
      </c>
      <c r="D3736" s="44" t="s">
        <v>6920</v>
      </c>
      <c r="E3736" s="44"/>
      <c r="F3736" s="45">
        <v>42889.149502314816</v>
      </c>
      <c r="G3736" s="46">
        <v>15</v>
      </c>
      <c r="H3736" s="47">
        <v>43396</v>
      </c>
      <c r="I3736" s="47">
        <v>43412</v>
      </c>
      <c r="J3736" s="46">
        <v>544974</v>
      </c>
      <c r="K3736" s="46">
        <v>0</v>
      </c>
      <c r="L3736" s="46">
        <v>0</v>
      </c>
      <c r="M3736" s="46">
        <f t="shared" si="1019"/>
        <v>544974</v>
      </c>
      <c r="N3736" s="46">
        <v>760794</v>
      </c>
      <c r="O3736" s="48">
        <f t="shared" si="1020"/>
        <v>0.2836773160671614</v>
      </c>
      <c r="P3736" s="46">
        <v>0</v>
      </c>
      <c r="Q3736" s="46">
        <v>544974</v>
      </c>
      <c r="R3736" s="49">
        <f t="shared" si="1021"/>
        <v>1</v>
      </c>
      <c r="S3736" s="50">
        <f t="shared" si="1022"/>
        <v>0.01</v>
      </c>
      <c r="T3736" s="49">
        <f t="shared" si="1023"/>
        <v>5449.74</v>
      </c>
      <c r="U3736" s="51">
        <f t="shared" si="1024"/>
        <v>0</v>
      </c>
      <c r="V3736" s="52">
        <f>IF(0&lt;0.8,0,IF(0&lt;1,Sheet3!L561,1))*IF(G3736&lt;3,0.12 - O3736,0.01) *U3736</f>
        <v>0</v>
      </c>
      <c r="W3736" s="52">
        <f t="shared" si="1025"/>
        <v>0</v>
      </c>
      <c r="X3736" s="53">
        <f t="shared" si="1026"/>
        <v>0</v>
      </c>
      <c r="Y3736" s="53">
        <f t="shared" si="1027"/>
        <v>0</v>
      </c>
      <c r="Z3736" s="54">
        <f t="shared" si="1035"/>
        <v>0</v>
      </c>
      <c r="AA3736" s="54">
        <f t="shared" si="1028"/>
        <v>0</v>
      </c>
      <c r="AB3736" s="55">
        <f t="shared" si="1036"/>
        <v>0</v>
      </c>
      <c r="AC3736" s="55">
        <f t="shared" si="1029"/>
        <v>0</v>
      </c>
      <c r="AD3736" s="56">
        <f t="shared" si="1030"/>
        <v>5449.74</v>
      </c>
    </row>
    <row r="3737" spans="3:30">
      <c r="C3737" s="43" t="s">
        <v>6928</v>
      </c>
      <c r="D3737" s="44" t="s">
        <v>3637</v>
      </c>
      <c r="E3737" s="44"/>
      <c r="F3737" s="45">
        <v>42947.099675925921</v>
      </c>
      <c r="G3737" s="46">
        <v>14</v>
      </c>
      <c r="H3737" s="47">
        <v>43426</v>
      </c>
      <c r="I3737" s="47">
        <v>43475</v>
      </c>
      <c r="J3737" s="46">
        <v>38848744</v>
      </c>
      <c r="K3737" s="46">
        <v>0</v>
      </c>
      <c r="L3737" s="46">
        <v>0</v>
      </c>
      <c r="M3737" s="46">
        <f t="shared" si="1019"/>
        <v>38848744</v>
      </c>
      <c r="N3737" s="46">
        <v>76215823</v>
      </c>
      <c r="O3737" s="48">
        <f t="shared" si="1020"/>
        <v>0.49027980712089136</v>
      </c>
      <c r="P3737" s="46">
        <v>0</v>
      </c>
      <c r="Q3737" s="46">
        <v>38848744</v>
      </c>
      <c r="R3737" s="49">
        <f t="shared" si="1021"/>
        <v>1</v>
      </c>
      <c r="S3737" s="50">
        <f t="shared" si="1022"/>
        <v>0.01</v>
      </c>
      <c r="T3737" s="49">
        <f t="shared" si="1023"/>
        <v>388487.44</v>
      </c>
      <c r="U3737" s="51">
        <f t="shared" si="1024"/>
        <v>0</v>
      </c>
      <c r="V3737" s="52">
        <f>IF(0&lt;0.8,0,IF(0&lt;1,Sheet3!L561,1))*IF(G3737&lt;3,0.12 - O3737,0.01) *U3737</f>
        <v>0</v>
      </c>
      <c r="W3737" s="52">
        <f t="shared" si="1025"/>
        <v>0</v>
      </c>
      <c r="X3737" s="53">
        <f t="shared" si="1026"/>
        <v>0</v>
      </c>
      <c r="Y3737" s="53">
        <f t="shared" si="1027"/>
        <v>0</v>
      </c>
      <c r="Z3737" s="54">
        <f t="shared" si="1035"/>
        <v>0</v>
      </c>
      <c r="AA3737" s="54">
        <f t="shared" si="1028"/>
        <v>0</v>
      </c>
      <c r="AB3737" s="55">
        <f t="shared" si="1036"/>
        <v>0</v>
      </c>
      <c r="AC3737" s="55">
        <f t="shared" si="1029"/>
        <v>0</v>
      </c>
      <c r="AD3737" s="56">
        <f t="shared" si="1030"/>
        <v>388487.44</v>
      </c>
    </row>
    <row r="3738" spans="3:30">
      <c r="C3738" s="43" t="s">
        <v>6929</v>
      </c>
      <c r="D3738" s="44" t="s">
        <v>6920</v>
      </c>
      <c r="E3738" s="44"/>
      <c r="F3738" s="45">
        <v>42999.375497685185</v>
      </c>
      <c r="G3738" s="46">
        <v>12</v>
      </c>
      <c r="H3738" s="47">
        <v>43396</v>
      </c>
      <c r="I3738" s="47">
        <v>43412</v>
      </c>
      <c r="J3738" s="46">
        <v>960990</v>
      </c>
      <c r="K3738" s="46">
        <v>0</v>
      </c>
      <c r="L3738" s="46">
        <v>0</v>
      </c>
      <c r="M3738" s="46">
        <f t="shared" si="1019"/>
        <v>960990</v>
      </c>
      <c r="N3738" s="46">
        <v>1300710</v>
      </c>
      <c r="O3738" s="48">
        <f t="shared" si="1020"/>
        <v>0.26118043222547682</v>
      </c>
      <c r="P3738" s="46">
        <v>0</v>
      </c>
      <c r="Q3738" s="46">
        <v>960990</v>
      </c>
      <c r="R3738" s="49">
        <f t="shared" si="1021"/>
        <v>1</v>
      </c>
      <c r="S3738" s="50">
        <f t="shared" si="1022"/>
        <v>0.01</v>
      </c>
      <c r="T3738" s="49">
        <f t="shared" si="1023"/>
        <v>9609.9</v>
      </c>
      <c r="U3738" s="51">
        <f t="shared" si="1024"/>
        <v>0</v>
      </c>
      <c r="V3738" s="52">
        <f>IF(0&lt;0.8,0,IF(0&lt;1,Sheet3!L561,1))*IF(G3738&lt;3,0.12 - O3738,0.01) *U3738</f>
        <v>0</v>
      </c>
      <c r="W3738" s="52">
        <f t="shared" si="1025"/>
        <v>0</v>
      </c>
      <c r="X3738" s="53">
        <f t="shared" si="1026"/>
        <v>0</v>
      </c>
      <c r="Y3738" s="53">
        <f t="shared" si="1027"/>
        <v>0</v>
      </c>
      <c r="Z3738" s="54">
        <f t="shared" si="1035"/>
        <v>0</v>
      </c>
      <c r="AA3738" s="54">
        <f t="shared" si="1028"/>
        <v>0</v>
      </c>
      <c r="AB3738" s="55">
        <f t="shared" si="1036"/>
        <v>0</v>
      </c>
      <c r="AC3738" s="55">
        <f t="shared" si="1029"/>
        <v>0</v>
      </c>
      <c r="AD3738" s="56">
        <f t="shared" si="1030"/>
        <v>9609.9</v>
      </c>
    </row>
    <row r="3739" spans="3:30">
      <c r="C3739" s="43" t="s">
        <v>6930</v>
      </c>
      <c r="D3739" s="44" t="s">
        <v>6920</v>
      </c>
      <c r="E3739" s="44"/>
      <c r="F3739" s="45">
        <v>43025.170034722221</v>
      </c>
      <c r="G3739" s="46">
        <v>11</v>
      </c>
      <c r="H3739" s="47">
        <v>43396</v>
      </c>
      <c r="I3739" s="47">
        <v>43412</v>
      </c>
      <c r="J3739" s="46">
        <v>362615</v>
      </c>
      <c r="K3739" s="46">
        <v>0</v>
      </c>
      <c r="L3739" s="46">
        <v>0</v>
      </c>
      <c r="M3739" s="46">
        <f t="shared" si="1019"/>
        <v>362615</v>
      </c>
      <c r="N3739" s="46">
        <v>509734</v>
      </c>
      <c r="O3739" s="48">
        <f t="shared" si="1020"/>
        <v>0.28861916215123962</v>
      </c>
      <c r="P3739" s="46">
        <v>0</v>
      </c>
      <c r="Q3739" s="46">
        <v>362615</v>
      </c>
      <c r="R3739" s="49">
        <f t="shared" si="1021"/>
        <v>1</v>
      </c>
      <c r="S3739" s="50">
        <f t="shared" si="1022"/>
        <v>0.01</v>
      </c>
      <c r="T3739" s="49">
        <f t="shared" si="1023"/>
        <v>3626.15</v>
      </c>
      <c r="U3739" s="51">
        <f t="shared" si="1024"/>
        <v>0</v>
      </c>
      <c r="V3739" s="52">
        <f>IF(0&lt;0.8,0,IF(0&lt;1,Sheet3!L561,1))*IF(G3739&lt;3,0.12 - O3739,0.01) *U3739</f>
        <v>0</v>
      </c>
      <c r="W3739" s="52">
        <f t="shared" si="1025"/>
        <v>0</v>
      </c>
      <c r="X3739" s="53">
        <f t="shared" si="1026"/>
        <v>0</v>
      </c>
      <c r="Y3739" s="53">
        <f t="shared" si="1027"/>
        <v>0</v>
      </c>
      <c r="Z3739" s="54">
        <f t="shared" si="1035"/>
        <v>0</v>
      </c>
      <c r="AA3739" s="54">
        <f t="shared" si="1028"/>
        <v>0</v>
      </c>
      <c r="AB3739" s="55">
        <f t="shared" si="1036"/>
        <v>0</v>
      </c>
      <c r="AC3739" s="55">
        <f t="shared" si="1029"/>
        <v>0</v>
      </c>
      <c r="AD3739" s="56">
        <f t="shared" si="1030"/>
        <v>3626.15</v>
      </c>
    </row>
    <row r="3740" spans="3:30">
      <c r="C3740" s="43" t="s">
        <v>6931</v>
      </c>
      <c r="D3740" s="44" t="s">
        <v>2564</v>
      </c>
      <c r="E3740" s="44"/>
      <c r="F3740" s="45">
        <v>43089.387002314812</v>
      </c>
      <c r="G3740" s="46">
        <v>9</v>
      </c>
      <c r="H3740" s="47">
        <v>43377</v>
      </c>
      <c r="I3740" s="47">
        <v>43396</v>
      </c>
      <c r="J3740" s="46">
        <v>2682513</v>
      </c>
      <c r="K3740" s="46">
        <v>0</v>
      </c>
      <c r="L3740" s="46">
        <v>0</v>
      </c>
      <c r="M3740" s="46">
        <f t="shared" si="1019"/>
        <v>2682513</v>
      </c>
      <c r="N3740" s="46">
        <v>3427655</v>
      </c>
      <c r="O3740" s="48">
        <f t="shared" si="1020"/>
        <v>0.21739119018687703</v>
      </c>
      <c r="P3740" s="46">
        <v>0</v>
      </c>
      <c r="Q3740" s="46">
        <v>2682513</v>
      </c>
      <c r="R3740" s="49">
        <f t="shared" si="1021"/>
        <v>1</v>
      </c>
      <c r="S3740" s="50">
        <f t="shared" si="1022"/>
        <v>0.01</v>
      </c>
      <c r="T3740" s="49">
        <f t="shared" si="1023"/>
        <v>26825.13</v>
      </c>
      <c r="U3740" s="51">
        <f t="shared" si="1024"/>
        <v>0</v>
      </c>
      <c r="V3740" s="52">
        <f>IF(0&lt;0.8,0,IF(0&lt;1,Sheet3!L561,1))*IF(G3740&lt;3,0.12 - O3740,0.01) *U3740</f>
        <v>0</v>
      </c>
      <c r="W3740" s="52">
        <f t="shared" si="1025"/>
        <v>0</v>
      </c>
      <c r="X3740" s="53">
        <f t="shared" si="1026"/>
        <v>0</v>
      </c>
      <c r="Y3740" s="53">
        <f t="shared" si="1027"/>
        <v>0</v>
      </c>
      <c r="Z3740" s="54">
        <f t="shared" si="1035"/>
        <v>0</v>
      </c>
      <c r="AA3740" s="54">
        <f t="shared" si="1028"/>
        <v>0</v>
      </c>
      <c r="AB3740" s="55">
        <f t="shared" si="1036"/>
        <v>0</v>
      </c>
      <c r="AC3740" s="55">
        <f t="shared" si="1029"/>
        <v>0</v>
      </c>
      <c r="AD3740" s="56">
        <f t="shared" si="1030"/>
        <v>26825.13</v>
      </c>
    </row>
    <row r="3741" spans="3:30">
      <c r="C3741" s="43" t="s">
        <v>6932</v>
      </c>
      <c r="D3741" s="44" t="s">
        <v>6920</v>
      </c>
      <c r="E3741" s="44"/>
      <c r="F3741" s="45">
        <v>43119.191747685181</v>
      </c>
      <c r="G3741" s="46">
        <v>8</v>
      </c>
      <c r="H3741" s="47">
        <v>43396</v>
      </c>
      <c r="I3741" s="47">
        <v>43412</v>
      </c>
      <c r="J3741" s="46">
        <v>1352452</v>
      </c>
      <c r="K3741" s="46">
        <v>0</v>
      </c>
      <c r="L3741" s="46">
        <v>0</v>
      </c>
      <c r="M3741" s="46">
        <f t="shared" si="1019"/>
        <v>1352452</v>
      </c>
      <c r="N3741" s="46">
        <v>1875637</v>
      </c>
      <c r="O3741" s="48">
        <f t="shared" si="1020"/>
        <v>0.27893723572311702</v>
      </c>
      <c r="P3741" s="46">
        <v>0</v>
      </c>
      <c r="Q3741" s="46">
        <v>1352452</v>
      </c>
      <c r="R3741" s="49">
        <f t="shared" si="1021"/>
        <v>1</v>
      </c>
      <c r="S3741" s="50">
        <f t="shared" si="1022"/>
        <v>0.01</v>
      </c>
      <c r="T3741" s="49">
        <f t="shared" si="1023"/>
        <v>13524.52</v>
      </c>
      <c r="U3741" s="51">
        <f t="shared" si="1024"/>
        <v>0</v>
      </c>
      <c r="V3741" s="52">
        <f>IF(0&lt;0.8,0,IF(0&lt;1,Sheet3!L561,1))*IF(G3741&lt;3,0.12 - O3741,0.01) *U3741</f>
        <v>0</v>
      </c>
      <c r="W3741" s="52">
        <f t="shared" si="1025"/>
        <v>0</v>
      </c>
      <c r="X3741" s="53">
        <f t="shared" si="1026"/>
        <v>0</v>
      </c>
      <c r="Y3741" s="53">
        <f t="shared" si="1027"/>
        <v>0</v>
      </c>
      <c r="Z3741" s="54">
        <f t="shared" si="1035"/>
        <v>0</v>
      </c>
      <c r="AA3741" s="54">
        <f t="shared" si="1028"/>
        <v>0</v>
      </c>
      <c r="AB3741" s="55">
        <f t="shared" si="1036"/>
        <v>0</v>
      </c>
      <c r="AC3741" s="55">
        <f t="shared" si="1029"/>
        <v>0</v>
      </c>
      <c r="AD3741" s="56">
        <f t="shared" si="1030"/>
        <v>13524.52</v>
      </c>
    </row>
    <row r="3742" spans="3:30">
      <c r="C3742" s="43" t="s">
        <v>6933</v>
      </c>
      <c r="D3742" s="44" t="s">
        <v>6920</v>
      </c>
      <c r="E3742" s="44"/>
      <c r="F3742" s="45">
        <v>43206.143692129626</v>
      </c>
      <c r="G3742" s="46">
        <v>5</v>
      </c>
      <c r="H3742" s="47">
        <v>43426</v>
      </c>
      <c r="I3742" s="47">
        <v>43447</v>
      </c>
      <c r="J3742" s="46">
        <v>540788</v>
      </c>
      <c r="K3742" s="46">
        <v>0</v>
      </c>
      <c r="L3742" s="46">
        <v>0</v>
      </c>
      <c r="M3742" s="46">
        <f t="shared" si="1019"/>
        <v>540788</v>
      </c>
      <c r="N3742" s="46">
        <v>770266</v>
      </c>
      <c r="O3742" s="48">
        <f t="shared" si="1020"/>
        <v>0.29792045864675321</v>
      </c>
      <c r="P3742" s="46">
        <v>0</v>
      </c>
      <c r="Q3742" s="46">
        <v>597218</v>
      </c>
      <c r="R3742" s="49">
        <f t="shared" si="1021"/>
        <v>1</v>
      </c>
      <c r="S3742" s="50">
        <f t="shared" si="1022"/>
        <v>0.01</v>
      </c>
      <c r="T3742" s="49">
        <f t="shared" si="1023"/>
        <v>5407.88</v>
      </c>
      <c r="U3742" s="51">
        <f t="shared" si="1024"/>
        <v>0</v>
      </c>
      <c r="V3742" s="52">
        <f>IF(0&lt;0.8,0,IF(0&lt;1,Sheet3!L561,1))*IF(G3742&lt;3,0.12 - O3742,0.01) *U3742</f>
        <v>0</v>
      </c>
      <c r="W3742" s="52">
        <f t="shared" si="1025"/>
        <v>0</v>
      </c>
      <c r="X3742" s="53">
        <f t="shared" si="1026"/>
        <v>0</v>
      </c>
      <c r="Y3742" s="53">
        <f t="shared" si="1027"/>
        <v>0</v>
      </c>
      <c r="Z3742" s="54">
        <f t="shared" si="1035"/>
        <v>0</v>
      </c>
      <c r="AA3742" s="54">
        <f t="shared" si="1028"/>
        <v>0</v>
      </c>
      <c r="AB3742" s="55">
        <f t="shared" si="1036"/>
        <v>0</v>
      </c>
      <c r="AC3742" s="55">
        <f t="shared" si="1029"/>
        <v>0</v>
      </c>
      <c r="AD3742" s="56">
        <f t="shared" si="1030"/>
        <v>5407.88</v>
      </c>
    </row>
    <row r="3743" spans="3:30">
      <c r="C3743" s="43" t="s">
        <v>6934</v>
      </c>
      <c r="D3743" s="44" t="s">
        <v>6935</v>
      </c>
      <c r="E3743" s="44"/>
      <c r="F3743" s="45">
        <v>43262.087523148148</v>
      </c>
      <c r="G3743" s="46">
        <v>3</v>
      </c>
      <c r="H3743" s="47">
        <v>43377</v>
      </c>
      <c r="I3743" s="47">
        <v>43388</v>
      </c>
      <c r="J3743" s="46">
        <v>1039488</v>
      </c>
      <c r="K3743" s="46">
        <v>0</v>
      </c>
      <c r="L3743" s="46">
        <v>0</v>
      </c>
      <c r="M3743" s="46">
        <f t="shared" si="1019"/>
        <v>1039488</v>
      </c>
      <c r="N3743" s="46">
        <v>1087146</v>
      </c>
      <c r="O3743" s="48">
        <f t="shared" si="1020"/>
        <v>4.3837718208961762E-2</v>
      </c>
      <c r="P3743" s="46">
        <v>0</v>
      </c>
      <c r="Q3743" s="46">
        <v>0</v>
      </c>
      <c r="R3743" s="49">
        <f t="shared" si="1021"/>
        <v>1</v>
      </c>
      <c r="S3743" s="50">
        <f t="shared" si="1022"/>
        <v>0.01</v>
      </c>
      <c r="T3743" s="49">
        <f t="shared" si="1023"/>
        <v>10394.880000000001</v>
      </c>
      <c r="U3743" s="51">
        <f t="shared" si="1024"/>
        <v>0</v>
      </c>
      <c r="V3743" s="52">
        <f>IF(0&lt;0.8,0,IF(0&lt;1,Sheet3!L561,1))*IF(G3743&lt;3,0.12 - O3743,0.01) *U3743</f>
        <v>0</v>
      </c>
      <c r="W3743" s="52">
        <f t="shared" si="1025"/>
        <v>0</v>
      </c>
      <c r="X3743" s="53">
        <f t="shared" si="1026"/>
        <v>0</v>
      </c>
      <c r="Y3743" s="53">
        <f t="shared" si="1027"/>
        <v>0</v>
      </c>
      <c r="Z3743" s="54">
        <f t="shared" si="1035"/>
        <v>0</v>
      </c>
      <c r="AA3743" s="54">
        <f t="shared" si="1028"/>
        <v>0</v>
      </c>
      <c r="AB3743" s="55">
        <f t="shared" si="1036"/>
        <v>0</v>
      </c>
      <c r="AC3743" s="55">
        <f t="shared" si="1029"/>
        <v>0</v>
      </c>
      <c r="AD3743" s="56">
        <f t="shared" si="1030"/>
        <v>10394.880000000001</v>
      </c>
    </row>
    <row r="3744" spans="3:30">
      <c r="C3744" s="43" t="s">
        <v>6936</v>
      </c>
      <c r="D3744" s="44" t="s">
        <v>6937</v>
      </c>
      <c r="E3744" s="44"/>
      <c r="F3744" s="45">
        <v>43343.294409722221</v>
      </c>
      <c r="G3744" s="46">
        <v>1</v>
      </c>
      <c r="H3744" s="47">
        <v>43459</v>
      </c>
      <c r="I3744" s="47">
        <v>43469</v>
      </c>
      <c r="J3744" s="46">
        <v>2228559</v>
      </c>
      <c r="K3744" s="46">
        <v>0</v>
      </c>
      <c r="L3744" s="46">
        <v>0</v>
      </c>
      <c r="M3744" s="46">
        <f t="shared" si="1019"/>
        <v>2228559</v>
      </c>
      <c r="N3744" s="46">
        <v>2228559</v>
      </c>
      <c r="O3744" s="48">
        <f t="shared" si="1020"/>
        <v>0</v>
      </c>
      <c r="P3744" s="46">
        <v>0</v>
      </c>
      <c r="Q3744" s="46">
        <v>0</v>
      </c>
      <c r="R3744" s="49">
        <f t="shared" si="1021"/>
        <v>0</v>
      </c>
      <c r="S3744" s="50">
        <f t="shared" si="1022"/>
        <v>0</v>
      </c>
      <c r="T3744" s="49">
        <f t="shared" si="1023"/>
        <v>0</v>
      </c>
      <c r="U3744" s="51">
        <f t="shared" si="1024"/>
        <v>2228559</v>
      </c>
      <c r="V3744" s="52">
        <f>IF(0&lt;0.8,0,IF(0&lt;1,Sheet3!L561,1))*IF(G3744&lt;3,0.12 - O3744,0.01) *U3744</f>
        <v>0</v>
      </c>
      <c r="W3744" s="52">
        <f t="shared" si="1025"/>
        <v>0</v>
      </c>
      <c r="X3744" s="53">
        <f t="shared" si="1026"/>
        <v>0</v>
      </c>
      <c r="Y3744" s="53">
        <f t="shared" si="1027"/>
        <v>0</v>
      </c>
      <c r="Z3744" s="54">
        <f t="shared" si="1035"/>
        <v>0</v>
      </c>
      <c r="AA3744" s="54">
        <f t="shared" si="1028"/>
        <v>0</v>
      </c>
      <c r="AB3744" s="55">
        <f t="shared" si="1036"/>
        <v>0</v>
      </c>
      <c r="AC3744" s="55">
        <f t="shared" si="1029"/>
        <v>0</v>
      </c>
      <c r="AD3744" s="56">
        <f t="shared" si="1030"/>
        <v>0</v>
      </c>
    </row>
    <row r="3745" spans="3:30">
      <c r="C3745" s="43" t="s">
        <v>6938</v>
      </c>
      <c r="D3745" s="44" t="s">
        <v>6939</v>
      </c>
      <c r="E3745" s="44"/>
      <c r="F3745" s="45">
        <v>43245.288888888885</v>
      </c>
      <c r="G3745" s="46">
        <v>4</v>
      </c>
      <c r="H3745" s="47" t="s">
        <v>24</v>
      </c>
      <c r="I3745" s="47" t="s">
        <v>24</v>
      </c>
      <c r="J3745" s="46">
        <v>0</v>
      </c>
      <c r="K3745" s="46">
        <v>0</v>
      </c>
      <c r="L3745" s="46">
        <v>0</v>
      </c>
      <c r="M3745" s="46">
        <f t="shared" si="1019"/>
        <v>0</v>
      </c>
      <c r="N3745" s="46">
        <v>2753204</v>
      </c>
      <c r="O3745" s="48">
        <f t="shared" si="1020"/>
        <v>1</v>
      </c>
      <c r="P3745" s="46">
        <v>0</v>
      </c>
      <c r="Q3745" s="46">
        <v>0</v>
      </c>
      <c r="R3745" s="49">
        <f t="shared" si="1021"/>
        <v>1</v>
      </c>
      <c r="S3745" s="50">
        <f t="shared" si="1022"/>
        <v>0.01</v>
      </c>
      <c r="T3745" s="49">
        <f t="shared" si="1023"/>
        <v>0</v>
      </c>
      <c r="U3745" s="51">
        <f t="shared" si="1024"/>
        <v>0</v>
      </c>
      <c r="V3745" s="52">
        <f>IF(0&lt;0.8,0,IF(0&lt;1,Sheet3!L561,1))*IF(G3745&lt;3,0.12 - O3745,0.01) *U3745</f>
        <v>0</v>
      </c>
      <c r="W3745" s="52">
        <f t="shared" si="1025"/>
        <v>0</v>
      </c>
      <c r="X3745" s="53">
        <f t="shared" si="1026"/>
        <v>0</v>
      </c>
      <c r="Y3745" s="53">
        <f t="shared" si="1027"/>
        <v>0</v>
      </c>
      <c r="Z3745" s="54">
        <f>IF(R3745=1,0,"")</f>
        <v>0</v>
      </c>
      <c r="AA3745" s="54">
        <f t="shared" si="1028"/>
        <v>0</v>
      </c>
      <c r="AB3745" s="55">
        <f>IF(R3745=0,"",0)</f>
        <v>0</v>
      </c>
      <c r="AC3745" s="55">
        <f t="shared" si="1029"/>
        <v>0</v>
      </c>
      <c r="AD3745" s="56">
        <f t="shared" si="1030"/>
        <v>0</v>
      </c>
    </row>
    <row r="3746" spans="3:30">
      <c r="C3746" s="43" t="s">
        <v>6940</v>
      </c>
      <c r="D3746" s="44" t="s">
        <v>995</v>
      </c>
      <c r="E3746" s="44"/>
      <c r="F3746" s="45">
        <v>43316.351875</v>
      </c>
      <c r="G3746" s="46">
        <v>1</v>
      </c>
      <c r="H3746" s="47">
        <v>43404</v>
      </c>
      <c r="I3746" s="47">
        <v>43430</v>
      </c>
      <c r="J3746" s="46">
        <v>2188760</v>
      </c>
      <c r="K3746" s="46">
        <v>0</v>
      </c>
      <c r="L3746" s="46">
        <v>0</v>
      </c>
      <c r="M3746" s="46">
        <f t="shared" si="1019"/>
        <v>2188760</v>
      </c>
      <c r="N3746" s="46">
        <v>2421948</v>
      </c>
      <c r="O3746" s="48">
        <f t="shared" si="1020"/>
        <v>9.6281175318380097E-2</v>
      </c>
      <c r="P3746" s="46">
        <v>0</v>
      </c>
      <c r="Q3746" s="46">
        <v>0</v>
      </c>
      <c r="R3746" s="49">
        <f t="shared" si="1021"/>
        <v>0</v>
      </c>
      <c r="S3746" s="50">
        <f t="shared" si="1022"/>
        <v>0</v>
      </c>
      <c r="T3746" s="49">
        <f t="shared" si="1023"/>
        <v>0</v>
      </c>
      <c r="U3746" s="51">
        <f t="shared" si="1024"/>
        <v>2188760</v>
      </c>
      <c r="V3746" s="52">
        <f>IF(0&lt;0.8,0,IF(0&lt;1,Sheet3!L561,1))*IF(G3746&lt;3,0.12 - O3746,0.01) *U3746</f>
        <v>0</v>
      </c>
      <c r="W3746" s="52">
        <f t="shared" si="1025"/>
        <v>0</v>
      </c>
      <c r="X3746" s="53">
        <f t="shared" si="1026"/>
        <v>0</v>
      </c>
      <c r="Y3746" s="53">
        <f t="shared" si="1027"/>
        <v>0</v>
      </c>
      <c r="Z3746" s="54">
        <f>IF(R3746=1,0,0)</f>
        <v>0</v>
      </c>
      <c r="AA3746" s="54">
        <f t="shared" si="1028"/>
        <v>0</v>
      </c>
      <c r="AB3746" s="55">
        <f>IF(R3746=0,0,0)</f>
        <v>0</v>
      </c>
      <c r="AC3746" s="55">
        <f t="shared" si="1029"/>
        <v>0</v>
      </c>
      <c r="AD3746" s="56">
        <f t="shared" si="1030"/>
        <v>0</v>
      </c>
    </row>
    <row r="3747" spans="3:30">
      <c r="C3747" s="43" t="s">
        <v>6941</v>
      </c>
      <c r="D3747" s="44" t="s">
        <v>995</v>
      </c>
      <c r="E3747" s="44"/>
      <c r="F3747" s="45">
        <v>43316.352824074071</v>
      </c>
      <c r="G3747" s="46">
        <v>1</v>
      </c>
      <c r="H3747" s="47">
        <v>43404</v>
      </c>
      <c r="I3747" s="47">
        <v>43430</v>
      </c>
      <c r="J3747" s="46">
        <v>1372807</v>
      </c>
      <c r="K3747" s="46">
        <v>0</v>
      </c>
      <c r="L3747" s="46">
        <v>0</v>
      </c>
      <c r="M3747" s="46">
        <f t="shared" si="1019"/>
        <v>1372807</v>
      </c>
      <c r="N3747" s="46">
        <v>1610115</v>
      </c>
      <c r="O3747" s="48">
        <f t="shared" si="1020"/>
        <v>0.14738574573865837</v>
      </c>
      <c r="P3747" s="46">
        <v>0</v>
      </c>
      <c r="Q3747" s="46">
        <v>0</v>
      </c>
      <c r="R3747" s="49">
        <f t="shared" si="1021"/>
        <v>0</v>
      </c>
      <c r="S3747" s="50">
        <f t="shared" si="1022"/>
        <v>0</v>
      </c>
      <c r="T3747" s="49">
        <f t="shared" si="1023"/>
        <v>0</v>
      </c>
      <c r="U3747" s="51">
        <f t="shared" si="1024"/>
        <v>0</v>
      </c>
      <c r="V3747" s="52">
        <f>IF(0&lt;0.8,0,IF(0&lt;1,Sheet3!L561,1))*IF(G3747&lt;3,0.12 - O3747,0.01) *U3747</f>
        <v>0</v>
      </c>
      <c r="W3747" s="52">
        <f t="shared" si="1025"/>
        <v>0</v>
      </c>
      <c r="X3747" s="53">
        <f t="shared" si="1026"/>
        <v>0</v>
      </c>
      <c r="Y3747" s="53">
        <f t="shared" si="1027"/>
        <v>0</v>
      </c>
      <c r="Z3747" s="54">
        <f>IF(R3747=1,0,0)</f>
        <v>0</v>
      </c>
      <c r="AA3747" s="54">
        <f t="shared" si="1028"/>
        <v>0</v>
      </c>
      <c r="AB3747" s="55">
        <f>IF(R3747=0,0,0)</f>
        <v>0</v>
      </c>
      <c r="AC3747" s="55">
        <f t="shared" si="1029"/>
        <v>0</v>
      </c>
      <c r="AD3747" s="56">
        <f t="shared" si="1030"/>
        <v>0</v>
      </c>
    </row>
  </sheetData>
  <mergeCells count="3986">
    <mergeCell ref="D3742:E3742"/>
    <mergeCell ref="D3743:E3743"/>
    <mergeCell ref="D3744:E3744"/>
    <mergeCell ref="D3745:E3745"/>
    <mergeCell ref="D3746:E3746"/>
    <mergeCell ref="D3747:E3747"/>
    <mergeCell ref="D3736:E3736"/>
    <mergeCell ref="D3737:E3737"/>
    <mergeCell ref="D3738:E3738"/>
    <mergeCell ref="D3739:E3739"/>
    <mergeCell ref="D3740:E3740"/>
    <mergeCell ref="D3741:E3741"/>
    <mergeCell ref="D3730:E3730"/>
    <mergeCell ref="D3731:E3731"/>
    <mergeCell ref="D3732:E3732"/>
    <mergeCell ref="D3733:E3733"/>
    <mergeCell ref="D3734:E3734"/>
    <mergeCell ref="D3735:E3735"/>
    <mergeCell ref="D3724:E3724"/>
    <mergeCell ref="D3725:E3725"/>
    <mergeCell ref="D3726:E3726"/>
    <mergeCell ref="D3727:E3727"/>
    <mergeCell ref="D3728:E3728"/>
    <mergeCell ref="D3729:E3729"/>
    <mergeCell ref="D3718:E3718"/>
    <mergeCell ref="D3719:E3719"/>
    <mergeCell ref="D3720:E3720"/>
    <mergeCell ref="D3721:E3721"/>
    <mergeCell ref="D3722:E3722"/>
    <mergeCell ref="D3723:E3723"/>
    <mergeCell ref="D3712:E3712"/>
    <mergeCell ref="D3713:E3713"/>
    <mergeCell ref="D3714:E3714"/>
    <mergeCell ref="D3715:E3715"/>
    <mergeCell ref="D3716:E3716"/>
    <mergeCell ref="D3717:E3717"/>
    <mergeCell ref="D3706:E3706"/>
    <mergeCell ref="D3707:E3707"/>
    <mergeCell ref="D3708:E3708"/>
    <mergeCell ref="D3709:E3709"/>
    <mergeCell ref="D3710:E3710"/>
    <mergeCell ref="D3711:E3711"/>
    <mergeCell ref="D3700:E3700"/>
    <mergeCell ref="D3701:E3701"/>
    <mergeCell ref="D3702:E3702"/>
    <mergeCell ref="D3703:E3703"/>
    <mergeCell ref="D3704:E3704"/>
    <mergeCell ref="D3705:E3705"/>
    <mergeCell ref="D3694:E3694"/>
    <mergeCell ref="D3695:E3695"/>
    <mergeCell ref="D3696:E3696"/>
    <mergeCell ref="D3697:E3697"/>
    <mergeCell ref="D3698:E3698"/>
    <mergeCell ref="D3699:E3699"/>
    <mergeCell ref="D3688:E3688"/>
    <mergeCell ref="D3689:E3689"/>
    <mergeCell ref="D3690:E3690"/>
    <mergeCell ref="D3691:E3691"/>
    <mergeCell ref="D3692:E3692"/>
    <mergeCell ref="D3693:E3693"/>
    <mergeCell ref="D3682:E3682"/>
    <mergeCell ref="D3683:E3683"/>
    <mergeCell ref="D3684:E3684"/>
    <mergeCell ref="D3685:E3685"/>
    <mergeCell ref="D3686:E3686"/>
    <mergeCell ref="D3687:E3687"/>
    <mergeCell ref="D3676:E3676"/>
    <mergeCell ref="D3677:E3677"/>
    <mergeCell ref="D3678:E3678"/>
    <mergeCell ref="D3679:E3679"/>
    <mergeCell ref="D3680:E3680"/>
    <mergeCell ref="D3681:E3681"/>
    <mergeCell ref="D3670:E3670"/>
    <mergeCell ref="D3671:E3671"/>
    <mergeCell ref="D3672:E3672"/>
    <mergeCell ref="D3673:E3673"/>
    <mergeCell ref="D3674:E3674"/>
    <mergeCell ref="D3675:E3675"/>
    <mergeCell ref="D3664:E3664"/>
    <mergeCell ref="D3665:E3665"/>
    <mergeCell ref="D3666:E3666"/>
    <mergeCell ref="D3667:E3667"/>
    <mergeCell ref="D3668:E3668"/>
    <mergeCell ref="D3669:E3669"/>
    <mergeCell ref="D3658:E3658"/>
    <mergeCell ref="D3659:E3659"/>
    <mergeCell ref="D3660:E3660"/>
    <mergeCell ref="D3661:E3661"/>
    <mergeCell ref="D3662:E3662"/>
    <mergeCell ref="D3663:E3663"/>
    <mergeCell ref="D3652:E3652"/>
    <mergeCell ref="D3653:E3653"/>
    <mergeCell ref="D3654:E3654"/>
    <mergeCell ref="D3655:E3655"/>
    <mergeCell ref="D3656:E3656"/>
    <mergeCell ref="D3657:E3657"/>
    <mergeCell ref="D3646:E3646"/>
    <mergeCell ref="D3647:E3647"/>
    <mergeCell ref="D3648:E3648"/>
    <mergeCell ref="D3649:E3649"/>
    <mergeCell ref="D3650:E3650"/>
    <mergeCell ref="D3651:E3651"/>
    <mergeCell ref="D3640:E3640"/>
    <mergeCell ref="D3641:E3641"/>
    <mergeCell ref="D3642:E3642"/>
    <mergeCell ref="D3643:E3643"/>
    <mergeCell ref="D3644:E3644"/>
    <mergeCell ref="D3645:E3645"/>
    <mergeCell ref="D3634:E3634"/>
    <mergeCell ref="D3635:E3635"/>
    <mergeCell ref="D3636:E3636"/>
    <mergeCell ref="D3637:E3637"/>
    <mergeCell ref="D3638:E3638"/>
    <mergeCell ref="D3639:E3639"/>
    <mergeCell ref="D3628:E3628"/>
    <mergeCell ref="D3629:E3629"/>
    <mergeCell ref="D3630:E3630"/>
    <mergeCell ref="D3631:E3631"/>
    <mergeCell ref="D3632:E3632"/>
    <mergeCell ref="D3633:E3633"/>
    <mergeCell ref="D3622:E3622"/>
    <mergeCell ref="D3623:E3623"/>
    <mergeCell ref="D3624:E3624"/>
    <mergeCell ref="D3625:E3625"/>
    <mergeCell ref="D3626:E3626"/>
    <mergeCell ref="D3627:E3627"/>
    <mergeCell ref="D3616:E3616"/>
    <mergeCell ref="D3617:E3617"/>
    <mergeCell ref="D3618:E3618"/>
    <mergeCell ref="D3619:E3619"/>
    <mergeCell ref="D3620:E3620"/>
    <mergeCell ref="D3621:E3621"/>
    <mergeCell ref="D3610:E3610"/>
    <mergeCell ref="D3611:E3611"/>
    <mergeCell ref="D3612:E3612"/>
    <mergeCell ref="D3613:E3613"/>
    <mergeCell ref="D3614:E3614"/>
    <mergeCell ref="D3615:E3615"/>
    <mergeCell ref="D3604:E3604"/>
    <mergeCell ref="D3605:E3605"/>
    <mergeCell ref="D3606:E3606"/>
    <mergeCell ref="D3607:E3607"/>
    <mergeCell ref="D3608:E3608"/>
    <mergeCell ref="D3609:E3609"/>
    <mergeCell ref="D3598:E3598"/>
    <mergeCell ref="D3599:E3599"/>
    <mergeCell ref="D3600:E3600"/>
    <mergeCell ref="D3601:E3601"/>
    <mergeCell ref="D3602:E3602"/>
    <mergeCell ref="D3603:E3603"/>
    <mergeCell ref="D3592:E3592"/>
    <mergeCell ref="D3593:E3593"/>
    <mergeCell ref="D3594:E3594"/>
    <mergeCell ref="D3595:E3595"/>
    <mergeCell ref="D3596:E3596"/>
    <mergeCell ref="D3597:E3597"/>
    <mergeCell ref="D3586:E3586"/>
    <mergeCell ref="D3587:E3587"/>
    <mergeCell ref="D3588:E3588"/>
    <mergeCell ref="D3589:E3589"/>
    <mergeCell ref="D3590:E3590"/>
    <mergeCell ref="D3591:E3591"/>
    <mergeCell ref="D3580:E3580"/>
    <mergeCell ref="D3581:E3581"/>
    <mergeCell ref="D3582:E3582"/>
    <mergeCell ref="D3583:E3583"/>
    <mergeCell ref="D3584:E3584"/>
    <mergeCell ref="D3585:E3585"/>
    <mergeCell ref="D3574:E3574"/>
    <mergeCell ref="D3575:E3575"/>
    <mergeCell ref="D3576:E3576"/>
    <mergeCell ref="D3577:E3577"/>
    <mergeCell ref="D3578:E3578"/>
    <mergeCell ref="D3579:E3579"/>
    <mergeCell ref="D3568:E3568"/>
    <mergeCell ref="D3569:E3569"/>
    <mergeCell ref="D3570:E3570"/>
    <mergeCell ref="D3571:E3571"/>
    <mergeCell ref="D3572:E3572"/>
    <mergeCell ref="D3573:E3573"/>
    <mergeCell ref="D3562:E3562"/>
    <mergeCell ref="D3563:E3563"/>
    <mergeCell ref="D3564:E3564"/>
    <mergeCell ref="D3565:E3565"/>
    <mergeCell ref="D3566:E3566"/>
    <mergeCell ref="D3567:E3567"/>
    <mergeCell ref="D3556:E3556"/>
    <mergeCell ref="D3557:E3557"/>
    <mergeCell ref="D3558:E3558"/>
    <mergeCell ref="D3559:E3559"/>
    <mergeCell ref="D3560:E3560"/>
    <mergeCell ref="D3561:E3561"/>
    <mergeCell ref="D3550:E3550"/>
    <mergeCell ref="D3551:E3551"/>
    <mergeCell ref="D3552:E3552"/>
    <mergeCell ref="D3553:E3553"/>
    <mergeCell ref="D3554:E3554"/>
    <mergeCell ref="D3555:E3555"/>
    <mergeCell ref="D3544:E3544"/>
    <mergeCell ref="D3545:E3545"/>
    <mergeCell ref="D3546:E3546"/>
    <mergeCell ref="D3547:E3547"/>
    <mergeCell ref="D3548:E3548"/>
    <mergeCell ref="D3549:E3549"/>
    <mergeCell ref="D3538:E3538"/>
    <mergeCell ref="D3539:E3539"/>
    <mergeCell ref="D3540:E3540"/>
    <mergeCell ref="D3541:E3541"/>
    <mergeCell ref="D3542:E3542"/>
    <mergeCell ref="D3543:E3543"/>
    <mergeCell ref="D3532:E3532"/>
    <mergeCell ref="D3533:E3533"/>
    <mergeCell ref="D3534:E3534"/>
    <mergeCell ref="D3535:E3535"/>
    <mergeCell ref="D3536:E3536"/>
    <mergeCell ref="D3537:E3537"/>
    <mergeCell ref="D3526:E3526"/>
    <mergeCell ref="D3527:E3527"/>
    <mergeCell ref="D3528:E3528"/>
    <mergeCell ref="D3529:E3529"/>
    <mergeCell ref="D3530:E3530"/>
    <mergeCell ref="D3531:E3531"/>
    <mergeCell ref="D3520:E3520"/>
    <mergeCell ref="D3521:E3521"/>
    <mergeCell ref="D3522:E3522"/>
    <mergeCell ref="D3523:E3523"/>
    <mergeCell ref="D3524:E3524"/>
    <mergeCell ref="D3525:E3525"/>
    <mergeCell ref="D3514:E3514"/>
    <mergeCell ref="D3515:E3515"/>
    <mergeCell ref="D3516:E3516"/>
    <mergeCell ref="D3517:E3517"/>
    <mergeCell ref="D3518:E3518"/>
    <mergeCell ref="D3519:E3519"/>
    <mergeCell ref="D3508:E3508"/>
    <mergeCell ref="D3509:E3509"/>
    <mergeCell ref="D3510:E3510"/>
    <mergeCell ref="D3511:E3511"/>
    <mergeCell ref="D3512:E3512"/>
    <mergeCell ref="D3513:E3513"/>
    <mergeCell ref="D3502:E3502"/>
    <mergeCell ref="D3503:E3503"/>
    <mergeCell ref="D3504:E3504"/>
    <mergeCell ref="D3505:E3505"/>
    <mergeCell ref="D3506:E3506"/>
    <mergeCell ref="D3507:E3507"/>
    <mergeCell ref="D3496:E3496"/>
    <mergeCell ref="D3497:E3497"/>
    <mergeCell ref="D3498:E3498"/>
    <mergeCell ref="D3499:E3499"/>
    <mergeCell ref="D3500:E3500"/>
    <mergeCell ref="D3501:E3501"/>
    <mergeCell ref="D3490:E3490"/>
    <mergeCell ref="D3491:E3491"/>
    <mergeCell ref="D3492:E3492"/>
    <mergeCell ref="D3493:E3493"/>
    <mergeCell ref="D3494:E3494"/>
    <mergeCell ref="D3495:E3495"/>
    <mergeCell ref="D3484:E3484"/>
    <mergeCell ref="D3485:E3485"/>
    <mergeCell ref="D3486:E3486"/>
    <mergeCell ref="D3487:E3487"/>
    <mergeCell ref="D3488:E3488"/>
    <mergeCell ref="D3489:E3489"/>
    <mergeCell ref="D3478:E3478"/>
    <mergeCell ref="D3479:E3479"/>
    <mergeCell ref="D3480:E3480"/>
    <mergeCell ref="D3481:E3481"/>
    <mergeCell ref="D3482:E3482"/>
    <mergeCell ref="D3483:E3483"/>
    <mergeCell ref="D3472:E3472"/>
    <mergeCell ref="D3473:E3473"/>
    <mergeCell ref="D3474:E3474"/>
    <mergeCell ref="D3475:E3475"/>
    <mergeCell ref="D3476:E3476"/>
    <mergeCell ref="D3477:E3477"/>
    <mergeCell ref="D3466:E3466"/>
    <mergeCell ref="D3467:E3467"/>
    <mergeCell ref="D3468:E3468"/>
    <mergeCell ref="D3469:E3469"/>
    <mergeCell ref="D3470:E3470"/>
    <mergeCell ref="D3471:E3471"/>
    <mergeCell ref="D3460:E3460"/>
    <mergeCell ref="D3461:E3461"/>
    <mergeCell ref="D3462:E3462"/>
    <mergeCell ref="D3463:E3463"/>
    <mergeCell ref="D3464:E3464"/>
    <mergeCell ref="D3465:E3465"/>
    <mergeCell ref="D3454:E3454"/>
    <mergeCell ref="D3455:E3455"/>
    <mergeCell ref="D3456:E3456"/>
    <mergeCell ref="D3457:E3457"/>
    <mergeCell ref="D3458:E3458"/>
    <mergeCell ref="D3459:E3459"/>
    <mergeCell ref="D3448:E3448"/>
    <mergeCell ref="D3449:E3449"/>
    <mergeCell ref="D3450:E3450"/>
    <mergeCell ref="D3451:E3451"/>
    <mergeCell ref="D3452:E3452"/>
    <mergeCell ref="D3453:E3453"/>
    <mergeCell ref="D3442:E3442"/>
    <mergeCell ref="D3443:E3443"/>
    <mergeCell ref="D3444:E3444"/>
    <mergeCell ref="D3445:E3445"/>
    <mergeCell ref="D3446:E3446"/>
    <mergeCell ref="D3447:E3447"/>
    <mergeCell ref="D3436:E3436"/>
    <mergeCell ref="D3437:E3437"/>
    <mergeCell ref="D3438:E3438"/>
    <mergeCell ref="D3439:E3439"/>
    <mergeCell ref="D3440:E3440"/>
    <mergeCell ref="D3441:E3441"/>
    <mergeCell ref="D3430:E3430"/>
    <mergeCell ref="D3431:E3431"/>
    <mergeCell ref="D3432:E3432"/>
    <mergeCell ref="D3433:E3433"/>
    <mergeCell ref="D3434:E3434"/>
    <mergeCell ref="D3435:E3435"/>
    <mergeCell ref="D3424:E3424"/>
    <mergeCell ref="D3425:E3425"/>
    <mergeCell ref="D3426:E3426"/>
    <mergeCell ref="D3427:E3427"/>
    <mergeCell ref="D3428:E3428"/>
    <mergeCell ref="D3429:E3429"/>
    <mergeCell ref="D3418:E3418"/>
    <mergeCell ref="D3419:E3419"/>
    <mergeCell ref="D3420:E3420"/>
    <mergeCell ref="D3421:E3421"/>
    <mergeCell ref="D3422:E3422"/>
    <mergeCell ref="D3423:E3423"/>
    <mergeCell ref="D3412:E3412"/>
    <mergeCell ref="D3413:E3413"/>
    <mergeCell ref="D3414:E3414"/>
    <mergeCell ref="D3415:E3415"/>
    <mergeCell ref="D3416:E3416"/>
    <mergeCell ref="D3417:E3417"/>
    <mergeCell ref="D3406:E3406"/>
    <mergeCell ref="D3407:E3407"/>
    <mergeCell ref="D3408:E3408"/>
    <mergeCell ref="D3409:E3409"/>
    <mergeCell ref="D3410:E3410"/>
    <mergeCell ref="D3411:E3411"/>
    <mergeCell ref="D3400:E3400"/>
    <mergeCell ref="D3401:E3401"/>
    <mergeCell ref="D3402:E3402"/>
    <mergeCell ref="D3403:E3403"/>
    <mergeCell ref="D3404:E3404"/>
    <mergeCell ref="D3405:E3405"/>
    <mergeCell ref="D3394:E3394"/>
    <mergeCell ref="D3395:E3395"/>
    <mergeCell ref="D3396:E3396"/>
    <mergeCell ref="D3397:E3397"/>
    <mergeCell ref="D3398:E3398"/>
    <mergeCell ref="D3399:E3399"/>
    <mergeCell ref="D3388:E3388"/>
    <mergeCell ref="D3389:E3389"/>
    <mergeCell ref="D3390:E3390"/>
    <mergeCell ref="D3391:E3391"/>
    <mergeCell ref="D3392:E3392"/>
    <mergeCell ref="D3393:E3393"/>
    <mergeCell ref="D3382:E3382"/>
    <mergeCell ref="D3383:E3383"/>
    <mergeCell ref="D3384:E3384"/>
    <mergeCell ref="D3385:E3385"/>
    <mergeCell ref="D3386:E3386"/>
    <mergeCell ref="D3387:E3387"/>
    <mergeCell ref="D3376:E3376"/>
    <mergeCell ref="D3377:E3377"/>
    <mergeCell ref="D3378:E3378"/>
    <mergeCell ref="D3379:E3379"/>
    <mergeCell ref="D3380:E3380"/>
    <mergeCell ref="D3381:E3381"/>
    <mergeCell ref="D3370:E3370"/>
    <mergeCell ref="D3371:E3371"/>
    <mergeCell ref="D3372:E3372"/>
    <mergeCell ref="D3373:E3373"/>
    <mergeCell ref="D3374:E3374"/>
    <mergeCell ref="D3375:E3375"/>
    <mergeCell ref="D3364:E3364"/>
    <mergeCell ref="D3365:E3365"/>
    <mergeCell ref="D3366:E3366"/>
    <mergeCell ref="D3367:E3367"/>
    <mergeCell ref="D3368:E3368"/>
    <mergeCell ref="D3369:E3369"/>
    <mergeCell ref="D3358:E3358"/>
    <mergeCell ref="D3359:E3359"/>
    <mergeCell ref="D3360:E3360"/>
    <mergeCell ref="D3361:E3361"/>
    <mergeCell ref="D3362:E3362"/>
    <mergeCell ref="D3363:E3363"/>
    <mergeCell ref="D3352:E3352"/>
    <mergeCell ref="D3353:E3353"/>
    <mergeCell ref="D3354:E3354"/>
    <mergeCell ref="D3355:E3355"/>
    <mergeCell ref="D3356:E3356"/>
    <mergeCell ref="D3357:E3357"/>
    <mergeCell ref="D3346:E3346"/>
    <mergeCell ref="D3347:E3347"/>
    <mergeCell ref="D3348:E3348"/>
    <mergeCell ref="D3349:E3349"/>
    <mergeCell ref="D3350:E3350"/>
    <mergeCell ref="D3351:E3351"/>
    <mergeCell ref="D3340:E3340"/>
    <mergeCell ref="D3341:E3341"/>
    <mergeCell ref="D3342:E3342"/>
    <mergeCell ref="D3343:E3343"/>
    <mergeCell ref="D3344:E3344"/>
    <mergeCell ref="D3345:E3345"/>
    <mergeCell ref="D3334:E3334"/>
    <mergeCell ref="D3335:E3335"/>
    <mergeCell ref="D3336:E3336"/>
    <mergeCell ref="D3337:E3337"/>
    <mergeCell ref="D3338:E3338"/>
    <mergeCell ref="D3339:E3339"/>
    <mergeCell ref="D3328:E3328"/>
    <mergeCell ref="D3329:E3329"/>
    <mergeCell ref="D3330:E3330"/>
    <mergeCell ref="D3331:E3331"/>
    <mergeCell ref="D3332:E3332"/>
    <mergeCell ref="D3333:E3333"/>
    <mergeCell ref="D3322:E3322"/>
    <mergeCell ref="D3323:E3323"/>
    <mergeCell ref="D3324:E3324"/>
    <mergeCell ref="D3325:E3325"/>
    <mergeCell ref="D3326:E3326"/>
    <mergeCell ref="D3327:E3327"/>
    <mergeCell ref="D3316:E3316"/>
    <mergeCell ref="D3317:E3317"/>
    <mergeCell ref="D3318:E3318"/>
    <mergeCell ref="D3319:E3319"/>
    <mergeCell ref="D3320:E3320"/>
    <mergeCell ref="D3321:E3321"/>
    <mergeCell ref="D3310:E3310"/>
    <mergeCell ref="D3311:E3311"/>
    <mergeCell ref="D3312:E3312"/>
    <mergeCell ref="D3313:E3313"/>
    <mergeCell ref="D3314:E3314"/>
    <mergeCell ref="D3315:E3315"/>
    <mergeCell ref="D3304:E3304"/>
    <mergeCell ref="D3305:E3305"/>
    <mergeCell ref="D3306:E3306"/>
    <mergeCell ref="D3307:E3307"/>
    <mergeCell ref="D3308:E3308"/>
    <mergeCell ref="D3309:E3309"/>
    <mergeCell ref="D3298:E3298"/>
    <mergeCell ref="D3299:E3299"/>
    <mergeCell ref="D3300:E3300"/>
    <mergeCell ref="D3301:E3301"/>
    <mergeCell ref="D3302:E3302"/>
    <mergeCell ref="D3303:E3303"/>
    <mergeCell ref="D3292:E3292"/>
    <mergeCell ref="D3293:E3293"/>
    <mergeCell ref="D3294:E3294"/>
    <mergeCell ref="D3295:E3295"/>
    <mergeCell ref="D3296:E3296"/>
    <mergeCell ref="D3297:E3297"/>
    <mergeCell ref="D3286:E3286"/>
    <mergeCell ref="D3287:E3287"/>
    <mergeCell ref="D3288:E3288"/>
    <mergeCell ref="D3289:E3289"/>
    <mergeCell ref="D3290:E3290"/>
    <mergeCell ref="D3291:E3291"/>
    <mergeCell ref="D3280:E3280"/>
    <mergeCell ref="D3281:E3281"/>
    <mergeCell ref="D3282:E3282"/>
    <mergeCell ref="D3283:E3283"/>
    <mergeCell ref="D3284:E3284"/>
    <mergeCell ref="D3285:E3285"/>
    <mergeCell ref="D3274:E3274"/>
    <mergeCell ref="D3275:E3275"/>
    <mergeCell ref="D3276:E3276"/>
    <mergeCell ref="D3277:E3277"/>
    <mergeCell ref="D3278:E3278"/>
    <mergeCell ref="D3279:E3279"/>
    <mergeCell ref="D3268:E3268"/>
    <mergeCell ref="D3269:E3269"/>
    <mergeCell ref="D3270:E3270"/>
    <mergeCell ref="D3271:E3271"/>
    <mergeCell ref="D3272:E3272"/>
    <mergeCell ref="D3273:E3273"/>
    <mergeCell ref="D3262:E3262"/>
    <mergeCell ref="D3263:E3263"/>
    <mergeCell ref="D3264:E3264"/>
    <mergeCell ref="D3265:E3265"/>
    <mergeCell ref="D3266:E3266"/>
    <mergeCell ref="D3267:E3267"/>
    <mergeCell ref="D3256:E3256"/>
    <mergeCell ref="D3257:E3257"/>
    <mergeCell ref="D3258:E3258"/>
    <mergeCell ref="D3259:E3259"/>
    <mergeCell ref="D3260:E3260"/>
    <mergeCell ref="D3261:E3261"/>
    <mergeCell ref="D3250:E3250"/>
    <mergeCell ref="D3251:E3251"/>
    <mergeCell ref="D3252:E3252"/>
    <mergeCell ref="D3253:E3253"/>
    <mergeCell ref="D3254:E3254"/>
    <mergeCell ref="D3255:E3255"/>
    <mergeCell ref="D3244:E3244"/>
    <mergeCell ref="D3245:E3245"/>
    <mergeCell ref="D3246:E3246"/>
    <mergeCell ref="D3247:E3247"/>
    <mergeCell ref="D3248:E3248"/>
    <mergeCell ref="D3249:E3249"/>
    <mergeCell ref="D3238:E3238"/>
    <mergeCell ref="D3239:E3239"/>
    <mergeCell ref="D3240:E3240"/>
    <mergeCell ref="D3241:E3241"/>
    <mergeCell ref="D3242:E3242"/>
    <mergeCell ref="D3243:E3243"/>
    <mergeCell ref="D3232:E3232"/>
    <mergeCell ref="D3233:E3233"/>
    <mergeCell ref="D3234:E3234"/>
    <mergeCell ref="D3235:E3235"/>
    <mergeCell ref="D3236:E3236"/>
    <mergeCell ref="D3237:E3237"/>
    <mergeCell ref="D3226:E3226"/>
    <mergeCell ref="D3227:E3227"/>
    <mergeCell ref="D3228:E3228"/>
    <mergeCell ref="D3229:E3229"/>
    <mergeCell ref="D3230:E3230"/>
    <mergeCell ref="D3231:E3231"/>
    <mergeCell ref="D3220:E3220"/>
    <mergeCell ref="D3221:E3221"/>
    <mergeCell ref="D3222:E3222"/>
    <mergeCell ref="D3223:E3223"/>
    <mergeCell ref="D3224:E3224"/>
    <mergeCell ref="D3225:E3225"/>
    <mergeCell ref="D3214:E3214"/>
    <mergeCell ref="D3215:E3215"/>
    <mergeCell ref="D3216:E3216"/>
    <mergeCell ref="D3217:E3217"/>
    <mergeCell ref="D3218:E3218"/>
    <mergeCell ref="D3219:E3219"/>
    <mergeCell ref="D3208:E3208"/>
    <mergeCell ref="D3209:E3209"/>
    <mergeCell ref="D3210:E3210"/>
    <mergeCell ref="D3211:E3211"/>
    <mergeCell ref="D3212:E3212"/>
    <mergeCell ref="D3213:E3213"/>
    <mergeCell ref="D3202:E3202"/>
    <mergeCell ref="D3203:E3203"/>
    <mergeCell ref="D3204:E3204"/>
    <mergeCell ref="D3205:E3205"/>
    <mergeCell ref="D3206:E3206"/>
    <mergeCell ref="D3207:E3207"/>
    <mergeCell ref="D3196:E3196"/>
    <mergeCell ref="D3197:E3197"/>
    <mergeCell ref="D3198:E3198"/>
    <mergeCell ref="D3199:E3199"/>
    <mergeCell ref="D3200:E3200"/>
    <mergeCell ref="D3201:E3201"/>
    <mergeCell ref="D3190:E3190"/>
    <mergeCell ref="D3191:E3191"/>
    <mergeCell ref="D3192:E3192"/>
    <mergeCell ref="D3193:E3193"/>
    <mergeCell ref="D3194:E3194"/>
    <mergeCell ref="D3195:E3195"/>
    <mergeCell ref="D3184:E3184"/>
    <mergeCell ref="D3185:E3185"/>
    <mergeCell ref="D3186:E3186"/>
    <mergeCell ref="D3187:E3187"/>
    <mergeCell ref="D3188:E3188"/>
    <mergeCell ref="D3189:E3189"/>
    <mergeCell ref="D3178:E3178"/>
    <mergeCell ref="D3179:E3179"/>
    <mergeCell ref="D3180:E3180"/>
    <mergeCell ref="D3181:E3181"/>
    <mergeCell ref="D3182:E3182"/>
    <mergeCell ref="D3183:E3183"/>
    <mergeCell ref="D3172:E3172"/>
    <mergeCell ref="D3173:E3173"/>
    <mergeCell ref="D3174:E3174"/>
    <mergeCell ref="D3175:E3175"/>
    <mergeCell ref="D3176:E3176"/>
    <mergeCell ref="D3177:E3177"/>
    <mergeCell ref="D3166:E3166"/>
    <mergeCell ref="D3167:E3167"/>
    <mergeCell ref="D3168:E3168"/>
    <mergeCell ref="D3169:E3169"/>
    <mergeCell ref="D3170:E3170"/>
    <mergeCell ref="D3171:E3171"/>
    <mergeCell ref="D3160:E3160"/>
    <mergeCell ref="D3161:E3161"/>
    <mergeCell ref="D3162:E3162"/>
    <mergeCell ref="D3163:E3163"/>
    <mergeCell ref="D3164:E3164"/>
    <mergeCell ref="D3165:E3165"/>
    <mergeCell ref="D3154:E3154"/>
    <mergeCell ref="D3155:E3155"/>
    <mergeCell ref="D3156:E3156"/>
    <mergeCell ref="D3157:E3157"/>
    <mergeCell ref="D3158:E3158"/>
    <mergeCell ref="D3159:E3159"/>
    <mergeCell ref="D3148:E3148"/>
    <mergeCell ref="D3149:E3149"/>
    <mergeCell ref="D3150:E3150"/>
    <mergeCell ref="D3151:E3151"/>
    <mergeCell ref="D3152:E3152"/>
    <mergeCell ref="D3153:E3153"/>
    <mergeCell ref="D3142:E3142"/>
    <mergeCell ref="D3143:E3143"/>
    <mergeCell ref="D3144:E3144"/>
    <mergeCell ref="D3145:E3145"/>
    <mergeCell ref="D3146:E3146"/>
    <mergeCell ref="D3147:E3147"/>
    <mergeCell ref="D3136:E3136"/>
    <mergeCell ref="D3137:E3137"/>
    <mergeCell ref="D3138:E3138"/>
    <mergeCell ref="D3139:E3139"/>
    <mergeCell ref="D3140:E3140"/>
    <mergeCell ref="D3141:E3141"/>
    <mergeCell ref="D3130:E3130"/>
    <mergeCell ref="D3131:E3131"/>
    <mergeCell ref="D3132:E3132"/>
    <mergeCell ref="D3133:E3133"/>
    <mergeCell ref="D3134:E3134"/>
    <mergeCell ref="D3135:E3135"/>
    <mergeCell ref="D3124:E3124"/>
    <mergeCell ref="D3125:E3125"/>
    <mergeCell ref="D3126:E3126"/>
    <mergeCell ref="D3127:E3127"/>
    <mergeCell ref="D3128:E3128"/>
    <mergeCell ref="D3129:E3129"/>
    <mergeCell ref="D3118:E3118"/>
    <mergeCell ref="D3119:E3119"/>
    <mergeCell ref="D3120:E3120"/>
    <mergeCell ref="D3121:E3121"/>
    <mergeCell ref="D3122:E3122"/>
    <mergeCell ref="D3123:E3123"/>
    <mergeCell ref="D3112:E3112"/>
    <mergeCell ref="D3113:E3113"/>
    <mergeCell ref="D3114:E3114"/>
    <mergeCell ref="D3115:E3115"/>
    <mergeCell ref="D3116:E3116"/>
    <mergeCell ref="D3117:E3117"/>
    <mergeCell ref="D3106:E3106"/>
    <mergeCell ref="D3107:E3107"/>
    <mergeCell ref="D3108:E3108"/>
    <mergeCell ref="D3109:E3109"/>
    <mergeCell ref="D3110:E3110"/>
    <mergeCell ref="D3111:E3111"/>
    <mergeCell ref="D3100:E3100"/>
    <mergeCell ref="D3101:E3101"/>
    <mergeCell ref="D3102:E3102"/>
    <mergeCell ref="D3103:E3103"/>
    <mergeCell ref="D3104:E3104"/>
    <mergeCell ref="D3105:E3105"/>
    <mergeCell ref="D3094:E3094"/>
    <mergeCell ref="D3095:E3095"/>
    <mergeCell ref="D3096:E3096"/>
    <mergeCell ref="D3097:E3097"/>
    <mergeCell ref="D3098:E3098"/>
    <mergeCell ref="D3099:E3099"/>
    <mergeCell ref="D3088:E3088"/>
    <mergeCell ref="D3089:E3089"/>
    <mergeCell ref="D3090:E3090"/>
    <mergeCell ref="D3091:E3091"/>
    <mergeCell ref="D3092:E3092"/>
    <mergeCell ref="D3093:E3093"/>
    <mergeCell ref="D3082:E3082"/>
    <mergeCell ref="D3083:E3083"/>
    <mergeCell ref="D3084:E3084"/>
    <mergeCell ref="D3085:E3085"/>
    <mergeCell ref="D3086:E3086"/>
    <mergeCell ref="D3087:E3087"/>
    <mergeCell ref="D3076:E3076"/>
    <mergeCell ref="D3077:E3077"/>
    <mergeCell ref="D3078:E3078"/>
    <mergeCell ref="D3079:E3079"/>
    <mergeCell ref="D3080:E3080"/>
    <mergeCell ref="D3081:E3081"/>
    <mergeCell ref="D3070:E3070"/>
    <mergeCell ref="D3071:E3071"/>
    <mergeCell ref="D3072:E3072"/>
    <mergeCell ref="D3073:E3073"/>
    <mergeCell ref="D3074:E3074"/>
    <mergeCell ref="D3075:E3075"/>
    <mergeCell ref="D3064:E3064"/>
    <mergeCell ref="D3065:E3065"/>
    <mergeCell ref="D3066:E3066"/>
    <mergeCell ref="D3067:E3067"/>
    <mergeCell ref="D3068:E3068"/>
    <mergeCell ref="D3069:E3069"/>
    <mergeCell ref="D3058:E3058"/>
    <mergeCell ref="D3059:E3059"/>
    <mergeCell ref="D3060:E3060"/>
    <mergeCell ref="D3061:E3061"/>
    <mergeCell ref="D3062:E3062"/>
    <mergeCell ref="D3063:E3063"/>
    <mergeCell ref="D3052:E3052"/>
    <mergeCell ref="D3053:E3053"/>
    <mergeCell ref="D3054:E3054"/>
    <mergeCell ref="D3055:E3055"/>
    <mergeCell ref="D3056:E3056"/>
    <mergeCell ref="D3057:E3057"/>
    <mergeCell ref="D3046:E3046"/>
    <mergeCell ref="D3047:E3047"/>
    <mergeCell ref="D3048:E3048"/>
    <mergeCell ref="D3049:E3049"/>
    <mergeCell ref="D3050:E3050"/>
    <mergeCell ref="D3051:E3051"/>
    <mergeCell ref="D3040:E3040"/>
    <mergeCell ref="D3041:E3041"/>
    <mergeCell ref="D3042:E3042"/>
    <mergeCell ref="D3043:E3043"/>
    <mergeCell ref="D3044:E3044"/>
    <mergeCell ref="D3045:E3045"/>
    <mergeCell ref="D3034:E3034"/>
    <mergeCell ref="D3035:E3035"/>
    <mergeCell ref="D3036:E3036"/>
    <mergeCell ref="D3037:E3037"/>
    <mergeCell ref="D3038:E3038"/>
    <mergeCell ref="D3039:E3039"/>
    <mergeCell ref="D3028:E3028"/>
    <mergeCell ref="D3029:E3029"/>
    <mergeCell ref="D3030:E3030"/>
    <mergeCell ref="D3031:E3031"/>
    <mergeCell ref="D3032:E3032"/>
    <mergeCell ref="D3033:E3033"/>
    <mergeCell ref="D3022:E3022"/>
    <mergeCell ref="D3023:E3023"/>
    <mergeCell ref="D3024:E3024"/>
    <mergeCell ref="D3025:E3025"/>
    <mergeCell ref="D3026:E3026"/>
    <mergeCell ref="D3027:E3027"/>
    <mergeCell ref="D3016:E3016"/>
    <mergeCell ref="D3017:E3017"/>
    <mergeCell ref="D3018:E3018"/>
    <mergeCell ref="D3019:E3019"/>
    <mergeCell ref="D3020:E3020"/>
    <mergeCell ref="D3021:E3021"/>
    <mergeCell ref="D3010:E3010"/>
    <mergeCell ref="D3011:E3011"/>
    <mergeCell ref="D3012:E3012"/>
    <mergeCell ref="D3013:E3013"/>
    <mergeCell ref="D3014:E3014"/>
    <mergeCell ref="D3015:E3015"/>
    <mergeCell ref="D3004:E3004"/>
    <mergeCell ref="D3005:E3005"/>
    <mergeCell ref="D3006:E3006"/>
    <mergeCell ref="D3007:E3007"/>
    <mergeCell ref="D3008:E3008"/>
    <mergeCell ref="D3009:E3009"/>
    <mergeCell ref="D2998:E2998"/>
    <mergeCell ref="D2999:E2999"/>
    <mergeCell ref="D3000:E3000"/>
    <mergeCell ref="D3001:E3001"/>
    <mergeCell ref="D3002:E3002"/>
    <mergeCell ref="D3003:E3003"/>
    <mergeCell ref="D2992:E2992"/>
    <mergeCell ref="D2993:E2993"/>
    <mergeCell ref="D2994:E2994"/>
    <mergeCell ref="D2995:E2995"/>
    <mergeCell ref="D2996:E2996"/>
    <mergeCell ref="D2997:E2997"/>
    <mergeCell ref="D2986:E2986"/>
    <mergeCell ref="D2987:E2987"/>
    <mergeCell ref="D2988:E2988"/>
    <mergeCell ref="D2989:E2989"/>
    <mergeCell ref="D2990:E2990"/>
    <mergeCell ref="D2991:E2991"/>
    <mergeCell ref="D2980:E2980"/>
    <mergeCell ref="D2981:E2981"/>
    <mergeCell ref="D2982:E2982"/>
    <mergeCell ref="D2983:E2983"/>
    <mergeCell ref="D2984:E2984"/>
    <mergeCell ref="D2985:E2985"/>
    <mergeCell ref="D2974:E2974"/>
    <mergeCell ref="D2975:E2975"/>
    <mergeCell ref="D2976:E2976"/>
    <mergeCell ref="D2977:E2977"/>
    <mergeCell ref="D2978:E2978"/>
    <mergeCell ref="D2979:E2979"/>
    <mergeCell ref="D2968:E2968"/>
    <mergeCell ref="D2969:E2969"/>
    <mergeCell ref="D2970:E2970"/>
    <mergeCell ref="D2971:E2971"/>
    <mergeCell ref="D2972:E2972"/>
    <mergeCell ref="D2973:E2973"/>
    <mergeCell ref="D2962:E2962"/>
    <mergeCell ref="D2963:E2963"/>
    <mergeCell ref="D2964:E2964"/>
    <mergeCell ref="D2965:E2965"/>
    <mergeCell ref="D2966:E2966"/>
    <mergeCell ref="D2967:E2967"/>
    <mergeCell ref="D2956:E2956"/>
    <mergeCell ref="D2957:E2957"/>
    <mergeCell ref="D2958:E2958"/>
    <mergeCell ref="D2959:E2959"/>
    <mergeCell ref="D2960:E2960"/>
    <mergeCell ref="D2961:E2961"/>
    <mergeCell ref="D2950:E2950"/>
    <mergeCell ref="D2951:E2951"/>
    <mergeCell ref="D2952:E2952"/>
    <mergeCell ref="D2953:E2953"/>
    <mergeCell ref="D2954:E2954"/>
    <mergeCell ref="D2955:E2955"/>
    <mergeCell ref="D2944:E2944"/>
    <mergeCell ref="D2945:E2945"/>
    <mergeCell ref="D2946:E2946"/>
    <mergeCell ref="D2947:E2947"/>
    <mergeCell ref="D2948:E2948"/>
    <mergeCell ref="D2949:E2949"/>
    <mergeCell ref="D2938:E2938"/>
    <mergeCell ref="D2939:E2939"/>
    <mergeCell ref="D2940:E2940"/>
    <mergeCell ref="D2941:E2941"/>
    <mergeCell ref="D2942:E2942"/>
    <mergeCell ref="D2943:E2943"/>
    <mergeCell ref="D2932:E2932"/>
    <mergeCell ref="D2933:E2933"/>
    <mergeCell ref="D2934:E2934"/>
    <mergeCell ref="D2935:E2935"/>
    <mergeCell ref="D2936:E2936"/>
    <mergeCell ref="D2937:E2937"/>
    <mergeCell ref="D2926:E2926"/>
    <mergeCell ref="D2927:E2927"/>
    <mergeCell ref="D2928:E2928"/>
    <mergeCell ref="D2929:E2929"/>
    <mergeCell ref="D2930:E2930"/>
    <mergeCell ref="D2931:E2931"/>
    <mergeCell ref="D2920:E2920"/>
    <mergeCell ref="D2921:E2921"/>
    <mergeCell ref="D2922:E2922"/>
    <mergeCell ref="D2923:E2923"/>
    <mergeCell ref="D2924:E2924"/>
    <mergeCell ref="D2925:E2925"/>
    <mergeCell ref="D2914:E2914"/>
    <mergeCell ref="D2915:E2915"/>
    <mergeCell ref="D2916:E2916"/>
    <mergeCell ref="D2917:E2917"/>
    <mergeCell ref="D2918:E2918"/>
    <mergeCell ref="D2919:E2919"/>
    <mergeCell ref="D2908:E2908"/>
    <mergeCell ref="D2909:E2909"/>
    <mergeCell ref="D2910:E2910"/>
    <mergeCell ref="D2911:E2911"/>
    <mergeCell ref="D2912:E2912"/>
    <mergeCell ref="D2913:E2913"/>
    <mergeCell ref="D2902:E2902"/>
    <mergeCell ref="D2903:E2903"/>
    <mergeCell ref="D2904:E2904"/>
    <mergeCell ref="D2905:E2905"/>
    <mergeCell ref="D2906:E2906"/>
    <mergeCell ref="D2907:E2907"/>
    <mergeCell ref="D2896:E2896"/>
    <mergeCell ref="D2897:E2897"/>
    <mergeCell ref="D2898:E2898"/>
    <mergeCell ref="D2899:E2899"/>
    <mergeCell ref="D2900:E2900"/>
    <mergeCell ref="D2901:E2901"/>
    <mergeCell ref="D2890:E2890"/>
    <mergeCell ref="D2891:E2891"/>
    <mergeCell ref="D2892:E2892"/>
    <mergeCell ref="D2893:E2893"/>
    <mergeCell ref="D2894:E2894"/>
    <mergeCell ref="D2895:E2895"/>
    <mergeCell ref="D2884:E2884"/>
    <mergeCell ref="D2885:E2885"/>
    <mergeCell ref="D2886:E2886"/>
    <mergeCell ref="D2887:E2887"/>
    <mergeCell ref="D2888:E2888"/>
    <mergeCell ref="D2889:E2889"/>
    <mergeCell ref="D2878:E2878"/>
    <mergeCell ref="D2879:E2879"/>
    <mergeCell ref="D2880:E2880"/>
    <mergeCell ref="D2881:E2881"/>
    <mergeCell ref="D2882:E2882"/>
    <mergeCell ref="D2883:E2883"/>
    <mergeCell ref="D2872:E2872"/>
    <mergeCell ref="D2873:E2873"/>
    <mergeCell ref="D2874:E2874"/>
    <mergeCell ref="D2875:E2875"/>
    <mergeCell ref="D2876:E2876"/>
    <mergeCell ref="D2877:E2877"/>
    <mergeCell ref="D2866:E2866"/>
    <mergeCell ref="D2867:E2867"/>
    <mergeCell ref="D2868:E2868"/>
    <mergeCell ref="D2869:E2869"/>
    <mergeCell ref="D2870:E2870"/>
    <mergeCell ref="D2871:E2871"/>
    <mergeCell ref="D2860:E2860"/>
    <mergeCell ref="D2861:E2861"/>
    <mergeCell ref="D2862:E2862"/>
    <mergeCell ref="D2863:E2863"/>
    <mergeCell ref="D2864:E2864"/>
    <mergeCell ref="D2865:E2865"/>
    <mergeCell ref="D2854:E2854"/>
    <mergeCell ref="D2855:E2855"/>
    <mergeCell ref="D2856:E2856"/>
    <mergeCell ref="D2857:E2857"/>
    <mergeCell ref="D2858:E2858"/>
    <mergeCell ref="D2859:E2859"/>
    <mergeCell ref="D2848:E2848"/>
    <mergeCell ref="D2849:E2849"/>
    <mergeCell ref="D2850:E2850"/>
    <mergeCell ref="D2851:E2851"/>
    <mergeCell ref="D2852:E2852"/>
    <mergeCell ref="D2853:E2853"/>
    <mergeCell ref="D2842:E2842"/>
    <mergeCell ref="D2843:E2843"/>
    <mergeCell ref="D2844:E2844"/>
    <mergeCell ref="D2845:E2845"/>
    <mergeCell ref="D2846:E2846"/>
    <mergeCell ref="D2847:E2847"/>
    <mergeCell ref="D2836:E2836"/>
    <mergeCell ref="D2837:E2837"/>
    <mergeCell ref="D2838:E2838"/>
    <mergeCell ref="D2839:E2839"/>
    <mergeCell ref="D2840:E2840"/>
    <mergeCell ref="D2841:E2841"/>
    <mergeCell ref="D2830:E2830"/>
    <mergeCell ref="D2831:E2831"/>
    <mergeCell ref="D2832:E2832"/>
    <mergeCell ref="D2833:E2833"/>
    <mergeCell ref="D2834:E2834"/>
    <mergeCell ref="D2835:E2835"/>
    <mergeCell ref="D2824:E2824"/>
    <mergeCell ref="D2825:E2825"/>
    <mergeCell ref="D2826:E2826"/>
    <mergeCell ref="D2827:E2827"/>
    <mergeCell ref="D2828:E2828"/>
    <mergeCell ref="D2829:E2829"/>
    <mergeCell ref="D2818:E2818"/>
    <mergeCell ref="D2819:E2819"/>
    <mergeCell ref="D2820:E2820"/>
    <mergeCell ref="D2821:E2821"/>
    <mergeCell ref="D2822:E2822"/>
    <mergeCell ref="D2823:E2823"/>
    <mergeCell ref="D2812:E2812"/>
    <mergeCell ref="D2813:E2813"/>
    <mergeCell ref="D2814:E2814"/>
    <mergeCell ref="D2815:E2815"/>
    <mergeCell ref="D2816:E2816"/>
    <mergeCell ref="D2817:E2817"/>
    <mergeCell ref="D2806:E2806"/>
    <mergeCell ref="D2807:E2807"/>
    <mergeCell ref="D2808:E2808"/>
    <mergeCell ref="D2809:E2809"/>
    <mergeCell ref="D2810:E2810"/>
    <mergeCell ref="D2811:E2811"/>
    <mergeCell ref="D2800:E2800"/>
    <mergeCell ref="D2801:E2801"/>
    <mergeCell ref="D2802:E2802"/>
    <mergeCell ref="D2803:E2803"/>
    <mergeCell ref="D2804:E2804"/>
    <mergeCell ref="D2805:E2805"/>
    <mergeCell ref="D2794:E2794"/>
    <mergeCell ref="D2795:E2795"/>
    <mergeCell ref="D2796:E2796"/>
    <mergeCell ref="D2797:E2797"/>
    <mergeCell ref="D2798:E2798"/>
    <mergeCell ref="D2799:E2799"/>
    <mergeCell ref="D2788:E2788"/>
    <mergeCell ref="D2789:E2789"/>
    <mergeCell ref="D2790:E2790"/>
    <mergeCell ref="D2791:E2791"/>
    <mergeCell ref="D2792:E2792"/>
    <mergeCell ref="D2793:E2793"/>
    <mergeCell ref="D2782:E2782"/>
    <mergeCell ref="D2783:E2783"/>
    <mergeCell ref="D2784:E2784"/>
    <mergeCell ref="D2785:E2785"/>
    <mergeCell ref="D2786:E2786"/>
    <mergeCell ref="D2787:E2787"/>
    <mergeCell ref="D2776:E2776"/>
    <mergeCell ref="D2777:E2777"/>
    <mergeCell ref="D2778:E2778"/>
    <mergeCell ref="D2779:E2779"/>
    <mergeCell ref="D2780:E2780"/>
    <mergeCell ref="D2781:E2781"/>
    <mergeCell ref="D2770:E2770"/>
    <mergeCell ref="D2771:E2771"/>
    <mergeCell ref="D2772:E2772"/>
    <mergeCell ref="D2773:E2773"/>
    <mergeCell ref="D2774:E2774"/>
    <mergeCell ref="D2775:E2775"/>
    <mergeCell ref="D2764:E2764"/>
    <mergeCell ref="D2765:E2765"/>
    <mergeCell ref="D2766:E2766"/>
    <mergeCell ref="D2767:E2767"/>
    <mergeCell ref="D2768:E2768"/>
    <mergeCell ref="D2769:E2769"/>
    <mergeCell ref="D2758:E2758"/>
    <mergeCell ref="D2759:E2759"/>
    <mergeCell ref="D2760:E2760"/>
    <mergeCell ref="D2761:E2761"/>
    <mergeCell ref="D2762:E2762"/>
    <mergeCell ref="D2763:E2763"/>
    <mergeCell ref="D2752:E2752"/>
    <mergeCell ref="D2753:E2753"/>
    <mergeCell ref="D2754:E2754"/>
    <mergeCell ref="D2755:E2755"/>
    <mergeCell ref="D2756:E2756"/>
    <mergeCell ref="D2757:E2757"/>
    <mergeCell ref="D2746:E2746"/>
    <mergeCell ref="D2747:E2747"/>
    <mergeCell ref="D2748:E2748"/>
    <mergeCell ref="D2749:E2749"/>
    <mergeCell ref="D2750:E2750"/>
    <mergeCell ref="D2751:E2751"/>
    <mergeCell ref="D2740:E2740"/>
    <mergeCell ref="D2741:E2741"/>
    <mergeCell ref="D2742:E2742"/>
    <mergeCell ref="D2743:E2743"/>
    <mergeCell ref="D2744:E2744"/>
    <mergeCell ref="D2745:E2745"/>
    <mergeCell ref="D2734:E2734"/>
    <mergeCell ref="D2735:E2735"/>
    <mergeCell ref="D2736:E2736"/>
    <mergeCell ref="D2737:E2737"/>
    <mergeCell ref="D2738:E2738"/>
    <mergeCell ref="D2739:E2739"/>
    <mergeCell ref="D2728:E2728"/>
    <mergeCell ref="D2729:E2729"/>
    <mergeCell ref="D2730:E2730"/>
    <mergeCell ref="D2731:E2731"/>
    <mergeCell ref="D2732:E2732"/>
    <mergeCell ref="D2733:E2733"/>
    <mergeCell ref="D2722:E2722"/>
    <mergeCell ref="D2723:E2723"/>
    <mergeCell ref="D2724:E2724"/>
    <mergeCell ref="D2725:E2725"/>
    <mergeCell ref="D2726:E2726"/>
    <mergeCell ref="D2727:E2727"/>
    <mergeCell ref="D2716:E2716"/>
    <mergeCell ref="D2717:E2717"/>
    <mergeCell ref="D2718:E2718"/>
    <mergeCell ref="D2719:E2719"/>
    <mergeCell ref="D2720:E2720"/>
    <mergeCell ref="D2721:E2721"/>
    <mergeCell ref="D2710:E2710"/>
    <mergeCell ref="D2711:E2711"/>
    <mergeCell ref="D2712:E2712"/>
    <mergeCell ref="D2713:E2713"/>
    <mergeCell ref="D2714:E2714"/>
    <mergeCell ref="D2715:E2715"/>
    <mergeCell ref="D2704:E2704"/>
    <mergeCell ref="D2705:E2705"/>
    <mergeCell ref="D2706:E2706"/>
    <mergeCell ref="D2707:E2707"/>
    <mergeCell ref="D2708:E2708"/>
    <mergeCell ref="D2709:E2709"/>
    <mergeCell ref="D2698:E2698"/>
    <mergeCell ref="D2699:E2699"/>
    <mergeCell ref="D2700:E2700"/>
    <mergeCell ref="D2701:E2701"/>
    <mergeCell ref="D2702:E2702"/>
    <mergeCell ref="D2703:E2703"/>
    <mergeCell ref="D2692:E2692"/>
    <mergeCell ref="D2693:E2693"/>
    <mergeCell ref="D2694:E2694"/>
    <mergeCell ref="D2695:E2695"/>
    <mergeCell ref="D2696:E2696"/>
    <mergeCell ref="D2697:E2697"/>
    <mergeCell ref="D2686:E2686"/>
    <mergeCell ref="D2687:E2687"/>
    <mergeCell ref="D2688:E2688"/>
    <mergeCell ref="D2689:E2689"/>
    <mergeCell ref="D2690:E2690"/>
    <mergeCell ref="D2691:E2691"/>
    <mergeCell ref="D2680:E2680"/>
    <mergeCell ref="D2681:E2681"/>
    <mergeCell ref="D2682:E2682"/>
    <mergeCell ref="D2683:E2683"/>
    <mergeCell ref="D2684:E2684"/>
    <mergeCell ref="D2685:E2685"/>
    <mergeCell ref="D2674:E2674"/>
    <mergeCell ref="D2675:E2675"/>
    <mergeCell ref="D2676:E2676"/>
    <mergeCell ref="D2677:E2677"/>
    <mergeCell ref="D2678:E2678"/>
    <mergeCell ref="D2679:E2679"/>
    <mergeCell ref="D2668:E2668"/>
    <mergeCell ref="D2669:E2669"/>
    <mergeCell ref="D2670:E2670"/>
    <mergeCell ref="D2671:E2671"/>
    <mergeCell ref="D2672:E2672"/>
    <mergeCell ref="D2673:E2673"/>
    <mergeCell ref="D2662:E2662"/>
    <mergeCell ref="D2663:E2663"/>
    <mergeCell ref="D2664:E2664"/>
    <mergeCell ref="D2665:E2665"/>
    <mergeCell ref="D2666:E2666"/>
    <mergeCell ref="D2667:E2667"/>
    <mergeCell ref="D2656:E2656"/>
    <mergeCell ref="D2657:E2657"/>
    <mergeCell ref="D2658:E2658"/>
    <mergeCell ref="D2659:E2659"/>
    <mergeCell ref="D2660:E2660"/>
    <mergeCell ref="D2661:E2661"/>
    <mergeCell ref="D2650:E2650"/>
    <mergeCell ref="D2651:E2651"/>
    <mergeCell ref="D2652:E2652"/>
    <mergeCell ref="D2653:E2653"/>
    <mergeCell ref="D2654:E2654"/>
    <mergeCell ref="D2655:E2655"/>
    <mergeCell ref="D2644:E2644"/>
    <mergeCell ref="D2645:E2645"/>
    <mergeCell ref="D2646:E2646"/>
    <mergeCell ref="D2647:E2647"/>
    <mergeCell ref="D2648:E2648"/>
    <mergeCell ref="D2649:E2649"/>
    <mergeCell ref="D2638:E2638"/>
    <mergeCell ref="D2639:E2639"/>
    <mergeCell ref="D2640:E2640"/>
    <mergeCell ref="D2641:E2641"/>
    <mergeCell ref="D2642:E2642"/>
    <mergeCell ref="D2643:E2643"/>
    <mergeCell ref="D2632:E2632"/>
    <mergeCell ref="D2633:E2633"/>
    <mergeCell ref="D2634:E2634"/>
    <mergeCell ref="D2635:E2635"/>
    <mergeCell ref="D2636:E2636"/>
    <mergeCell ref="D2637:E2637"/>
    <mergeCell ref="D2626:E2626"/>
    <mergeCell ref="D2627:E2627"/>
    <mergeCell ref="D2628:E2628"/>
    <mergeCell ref="D2629:E2629"/>
    <mergeCell ref="D2630:E2630"/>
    <mergeCell ref="D2631:E2631"/>
    <mergeCell ref="D2620:E2620"/>
    <mergeCell ref="D2621:E2621"/>
    <mergeCell ref="D2622:E2622"/>
    <mergeCell ref="D2623:E2623"/>
    <mergeCell ref="D2624:E2624"/>
    <mergeCell ref="D2625:E2625"/>
    <mergeCell ref="D2614:E2614"/>
    <mergeCell ref="D2615:E2615"/>
    <mergeCell ref="D2616:E2616"/>
    <mergeCell ref="D2617:E2617"/>
    <mergeCell ref="D2618:E2618"/>
    <mergeCell ref="D2619:E2619"/>
    <mergeCell ref="D2608:E2608"/>
    <mergeCell ref="D2609:E2609"/>
    <mergeCell ref="D2610:E2610"/>
    <mergeCell ref="D2611:E2611"/>
    <mergeCell ref="D2612:E2612"/>
    <mergeCell ref="D2613:E2613"/>
    <mergeCell ref="D2602:E2602"/>
    <mergeCell ref="D2603:E2603"/>
    <mergeCell ref="D2604:E2604"/>
    <mergeCell ref="D2605:E2605"/>
    <mergeCell ref="D2606:E2606"/>
    <mergeCell ref="D2607:E2607"/>
    <mergeCell ref="D2596:E2596"/>
    <mergeCell ref="D2597:E2597"/>
    <mergeCell ref="D2598:E2598"/>
    <mergeCell ref="D2599:E2599"/>
    <mergeCell ref="D2600:E2600"/>
    <mergeCell ref="D2601:E2601"/>
    <mergeCell ref="D2590:E2590"/>
    <mergeCell ref="D2591:E2591"/>
    <mergeCell ref="D2592:E2592"/>
    <mergeCell ref="D2593:E2593"/>
    <mergeCell ref="D2594:E2594"/>
    <mergeCell ref="D2595:E2595"/>
    <mergeCell ref="D2584:E2584"/>
    <mergeCell ref="D2585:E2585"/>
    <mergeCell ref="D2586:E2586"/>
    <mergeCell ref="D2587:E2587"/>
    <mergeCell ref="D2588:E2588"/>
    <mergeCell ref="D2589:E2589"/>
    <mergeCell ref="D2578:E2578"/>
    <mergeCell ref="D2579:E2579"/>
    <mergeCell ref="D2580:E2580"/>
    <mergeCell ref="D2581:E2581"/>
    <mergeCell ref="D2582:E2582"/>
    <mergeCell ref="D2583:E2583"/>
    <mergeCell ref="D2572:E2572"/>
    <mergeCell ref="D2573:E2573"/>
    <mergeCell ref="D2574:E2574"/>
    <mergeCell ref="D2575:E2575"/>
    <mergeCell ref="D2576:E2576"/>
    <mergeCell ref="D2577:E2577"/>
    <mergeCell ref="D2566:E2566"/>
    <mergeCell ref="D2567:E2567"/>
    <mergeCell ref="D2568:E2568"/>
    <mergeCell ref="D2569:E2569"/>
    <mergeCell ref="D2570:E2570"/>
    <mergeCell ref="D2571:E2571"/>
    <mergeCell ref="D2560:E2560"/>
    <mergeCell ref="D2561:E2561"/>
    <mergeCell ref="D2562:E2562"/>
    <mergeCell ref="D2563:E2563"/>
    <mergeCell ref="D2564:E2564"/>
    <mergeCell ref="D2565:E2565"/>
    <mergeCell ref="D2554:E2554"/>
    <mergeCell ref="D2555:E2555"/>
    <mergeCell ref="D2556:E2556"/>
    <mergeCell ref="D2557:E2557"/>
    <mergeCell ref="D2558:E2558"/>
    <mergeCell ref="D2559:E2559"/>
    <mergeCell ref="D2548:E2548"/>
    <mergeCell ref="D2549:E2549"/>
    <mergeCell ref="D2550:E2550"/>
    <mergeCell ref="D2551:E2551"/>
    <mergeCell ref="D2552:E2552"/>
    <mergeCell ref="D2553:E2553"/>
    <mergeCell ref="D2542:E2542"/>
    <mergeCell ref="D2543:E2543"/>
    <mergeCell ref="D2544:E2544"/>
    <mergeCell ref="D2545:E2545"/>
    <mergeCell ref="D2546:E2546"/>
    <mergeCell ref="D2547:E2547"/>
    <mergeCell ref="D2536:E2536"/>
    <mergeCell ref="D2537:E2537"/>
    <mergeCell ref="D2538:E2538"/>
    <mergeCell ref="D2539:E2539"/>
    <mergeCell ref="D2540:E2540"/>
    <mergeCell ref="D2541:E2541"/>
    <mergeCell ref="D2530:E2530"/>
    <mergeCell ref="D2531:E2531"/>
    <mergeCell ref="D2532:E2532"/>
    <mergeCell ref="D2533:E2533"/>
    <mergeCell ref="D2534:E2534"/>
    <mergeCell ref="D2535:E2535"/>
    <mergeCell ref="D2524:E2524"/>
    <mergeCell ref="D2525:E2525"/>
    <mergeCell ref="D2526:E2526"/>
    <mergeCell ref="D2527:E2527"/>
    <mergeCell ref="D2528:E2528"/>
    <mergeCell ref="D2529:E2529"/>
    <mergeCell ref="D2518:E2518"/>
    <mergeCell ref="D2519:E2519"/>
    <mergeCell ref="D2520:E2520"/>
    <mergeCell ref="D2521:E2521"/>
    <mergeCell ref="D2522:E2522"/>
    <mergeCell ref="D2523:E2523"/>
    <mergeCell ref="D2512:E2512"/>
    <mergeCell ref="D2513:E2513"/>
    <mergeCell ref="D2514:E2514"/>
    <mergeCell ref="D2515:E2515"/>
    <mergeCell ref="D2516:E2516"/>
    <mergeCell ref="D2517:E2517"/>
    <mergeCell ref="D2506:E2506"/>
    <mergeCell ref="D2507:E2507"/>
    <mergeCell ref="D2508:E2508"/>
    <mergeCell ref="D2509:E2509"/>
    <mergeCell ref="D2510:E2510"/>
    <mergeCell ref="D2511:E2511"/>
    <mergeCell ref="D2500:E2500"/>
    <mergeCell ref="D2501:E2501"/>
    <mergeCell ref="D2502:E2502"/>
    <mergeCell ref="D2503:E2503"/>
    <mergeCell ref="D2504:E2504"/>
    <mergeCell ref="D2505:E2505"/>
    <mergeCell ref="D2494:E2494"/>
    <mergeCell ref="D2495:E2495"/>
    <mergeCell ref="D2496:E2496"/>
    <mergeCell ref="D2497:E2497"/>
    <mergeCell ref="D2498:E2498"/>
    <mergeCell ref="D2499:E2499"/>
    <mergeCell ref="D2488:E2488"/>
    <mergeCell ref="D2489:E2489"/>
    <mergeCell ref="D2490:E2490"/>
    <mergeCell ref="D2491:E2491"/>
    <mergeCell ref="D2492:E2492"/>
    <mergeCell ref="D2493:E2493"/>
    <mergeCell ref="D2482:E2482"/>
    <mergeCell ref="D2483:E2483"/>
    <mergeCell ref="D2484:E2484"/>
    <mergeCell ref="D2485:E2485"/>
    <mergeCell ref="D2486:E2486"/>
    <mergeCell ref="D2487:E2487"/>
    <mergeCell ref="D2476:E2476"/>
    <mergeCell ref="D2477:E2477"/>
    <mergeCell ref="D2478:E2478"/>
    <mergeCell ref="D2479:E2479"/>
    <mergeCell ref="D2480:E2480"/>
    <mergeCell ref="D2481:E2481"/>
    <mergeCell ref="D2470:E2470"/>
    <mergeCell ref="D2471:E2471"/>
    <mergeCell ref="D2472:E2472"/>
    <mergeCell ref="D2473:E2473"/>
    <mergeCell ref="D2474:E2474"/>
    <mergeCell ref="D2475:E2475"/>
    <mergeCell ref="D2464:E2464"/>
    <mergeCell ref="D2465:E2465"/>
    <mergeCell ref="D2466:E2466"/>
    <mergeCell ref="D2467:E2467"/>
    <mergeCell ref="D2468:E2468"/>
    <mergeCell ref="D2469:E2469"/>
    <mergeCell ref="D2458:E2458"/>
    <mergeCell ref="D2459:E2459"/>
    <mergeCell ref="D2460:E2460"/>
    <mergeCell ref="D2461:E2461"/>
    <mergeCell ref="D2462:E2462"/>
    <mergeCell ref="D2463:E2463"/>
    <mergeCell ref="D2452:E2452"/>
    <mergeCell ref="D2453:E2453"/>
    <mergeCell ref="D2454:E2454"/>
    <mergeCell ref="D2455:E2455"/>
    <mergeCell ref="D2456:E2456"/>
    <mergeCell ref="D2457:E2457"/>
    <mergeCell ref="D2446:E2446"/>
    <mergeCell ref="D2447:E2447"/>
    <mergeCell ref="D2448:E2448"/>
    <mergeCell ref="D2449:E2449"/>
    <mergeCell ref="D2450:E2450"/>
    <mergeCell ref="D2451:E2451"/>
    <mergeCell ref="D2440:E2440"/>
    <mergeCell ref="D2441:E2441"/>
    <mergeCell ref="D2442:E2442"/>
    <mergeCell ref="D2443:E2443"/>
    <mergeCell ref="D2444:E2444"/>
    <mergeCell ref="D2445:E2445"/>
    <mergeCell ref="D2434:E2434"/>
    <mergeCell ref="D2435:E2435"/>
    <mergeCell ref="D2436:E2436"/>
    <mergeCell ref="D2437:E2437"/>
    <mergeCell ref="D2438:E2438"/>
    <mergeCell ref="D2439:E2439"/>
    <mergeCell ref="D2428:E2428"/>
    <mergeCell ref="D2429:E2429"/>
    <mergeCell ref="D2430:E2430"/>
    <mergeCell ref="D2431:E2431"/>
    <mergeCell ref="D2432:E2432"/>
    <mergeCell ref="D2433:E2433"/>
    <mergeCell ref="D2422:E2422"/>
    <mergeCell ref="D2423:E2423"/>
    <mergeCell ref="D2424:E2424"/>
    <mergeCell ref="D2425:E2425"/>
    <mergeCell ref="D2426:E2426"/>
    <mergeCell ref="D2427:E2427"/>
    <mergeCell ref="D2416:E2416"/>
    <mergeCell ref="D2417:E2417"/>
    <mergeCell ref="D2418:E2418"/>
    <mergeCell ref="D2419:E2419"/>
    <mergeCell ref="D2420:E2420"/>
    <mergeCell ref="D2421:E2421"/>
    <mergeCell ref="D2410:E2410"/>
    <mergeCell ref="D2411:E2411"/>
    <mergeCell ref="D2412:E2412"/>
    <mergeCell ref="D2413:E2413"/>
    <mergeCell ref="D2414:E2414"/>
    <mergeCell ref="D2415:E2415"/>
    <mergeCell ref="D2404:E2404"/>
    <mergeCell ref="D2405:E2405"/>
    <mergeCell ref="D2406:E2406"/>
    <mergeCell ref="D2407:E2407"/>
    <mergeCell ref="D2408:E2408"/>
    <mergeCell ref="D2409:E2409"/>
    <mergeCell ref="D2398:E2398"/>
    <mergeCell ref="D2399:E2399"/>
    <mergeCell ref="D2400:E2400"/>
    <mergeCell ref="D2401:E2401"/>
    <mergeCell ref="D2402:E2402"/>
    <mergeCell ref="D2403:E2403"/>
    <mergeCell ref="D2392:E2392"/>
    <mergeCell ref="D2393:E2393"/>
    <mergeCell ref="D2394:E2394"/>
    <mergeCell ref="D2395:E2395"/>
    <mergeCell ref="D2396:E2396"/>
    <mergeCell ref="D2397:E2397"/>
    <mergeCell ref="D2386:E2386"/>
    <mergeCell ref="D2387:E2387"/>
    <mergeCell ref="D2388:E2388"/>
    <mergeCell ref="D2389:E2389"/>
    <mergeCell ref="D2390:E2390"/>
    <mergeCell ref="D2391:E2391"/>
    <mergeCell ref="D2380:E2380"/>
    <mergeCell ref="D2381:E2381"/>
    <mergeCell ref="D2382:E2382"/>
    <mergeCell ref="D2383:E2383"/>
    <mergeCell ref="D2384:E2384"/>
    <mergeCell ref="D2385:E2385"/>
    <mergeCell ref="D2374:E2374"/>
    <mergeCell ref="D2375:E2375"/>
    <mergeCell ref="D2376:E2376"/>
    <mergeCell ref="D2377:E2377"/>
    <mergeCell ref="D2378:E2378"/>
    <mergeCell ref="D2379:E2379"/>
    <mergeCell ref="D2368:E2368"/>
    <mergeCell ref="D2369:E2369"/>
    <mergeCell ref="D2370:E2370"/>
    <mergeCell ref="D2371:E2371"/>
    <mergeCell ref="D2372:E2372"/>
    <mergeCell ref="D2373:E2373"/>
    <mergeCell ref="D2362:E2362"/>
    <mergeCell ref="D2363:E2363"/>
    <mergeCell ref="D2364:E2364"/>
    <mergeCell ref="D2365:E2365"/>
    <mergeCell ref="D2366:E2366"/>
    <mergeCell ref="D2367:E2367"/>
    <mergeCell ref="D2356:E2356"/>
    <mergeCell ref="D2357:E2357"/>
    <mergeCell ref="D2358:E2358"/>
    <mergeCell ref="D2359:E2359"/>
    <mergeCell ref="D2360:E2360"/>
    <mergeCell ref="D2361:E2361"/>
    <mergeCell ref="D2350:E2350"/>
    <mergeCell ref="D2351:E2351"/>
    <mergeCell ref="D2352:E2352"/>
    <mergeCell ref="D2353:E2353"/>
    <mergeCell ref="D2354:E2354"/>
    <mergeCell ref="D2355:E2355"/>
    <mergeCell ref="D2344:E2344"/>
    <mergeCell ref="D2345:E2345"/>
    <mergeCell ref="D2346:E2346"/>
    <mergeCell ref="D2347:E2347"/>
    <mergeCell ref="D2348:E2348"/>
    <mergeCell ref="D2349:E2349"/>
    <mergeCell ref="D2338:E2338"/>
    <mergeCell ref="D2339:E2339"/>
    <mergeCell ref="D2340:E2340"/>
    <mergeCell ref="D2341:E2341"/>
    <mergeCell ref="D2342:E2342"/>
    <mergeCell ref="D2343:E2343"/>
    <mergeCell ref="D2332:E2332"/>
    <mergeCell ref="D2333:E2333"/>
    <mergeCell ref="D2334:E2334"/>
    <mergeCell ref="D2335:E2335"/>
    <mergeCell ref="D2336:E2336"/>
    <mergeCell ref="D2337:E2337"/>
    <mergeCell ref="D2326:E2326"/>
    <mergeCell ref="D2327:E2327"/>
    <mergeCell ref="D2328:E2328"/>
    <mergeCell ref="D2329:E2329"/>
    <mergeCell ref="D2330:E2330"/>
    <mergeCell ref="D2331:E2331"/>
    <mergeCell ref="D2320:E2320"/>
    <mergeCell ref="D2321:E2321"/>
    <mergeCell ref="D2322:E2322"/>
    <mergeCell ref="D2323:E2323"/>
    <mergeCell ref="D2324:E2324"/>
    <mergeCell ref="D2325:E2325"/>
    <mergeCell ref="D2314:E2314"/>
    <mergeCell ref="D2315:E2315"/>
    <mergeCell ref="D2316:E2316"/>
    <mergeCell ref="D2317:E2317"/>
    <mergeCell ref="D2318:E2318"/>
    <mergeCell ref="D2319:E2319"/>
    <mergeCell ref="D2308:E2308"/>
    <mergeCell ref="D2309:E2309"/>
    <mergeCell ref="D2310:E2310"/>
    <mergeCell ref="D2311:E2311"/>
    <mergeCell ref="D2312:E2312"/>
    <mergeCell ref="D2313:E2313"/>
    <mergeCell ref="D2302:E2302"/>
    <mergeCell ref="D2303:E2303"/>
    <mergeCell ref="D2304:E2304"/>
    <mergeCell ref="D2305:E2305"/>
    <mergeCell ref="D2306:E2306"/>
    <mergeCell ref="D2307:E2307"/>
    <mergeCell ref="D2296:E2296"/>
    <mergeCell ref="D2297:E2297"/>
    <mergeCell ref="D2298:E2298"/>
    <mergeCell ref="D2299:E2299"/>
    <mergeCell ref="D2300:E2300"/>
    <mergeCell ref="D2301:E2301"/>
    <mergeCell ref="D2290:E2290"/>
    <mergeCell ref="D2291:E2291"/>
    <mergeCell ref="D2292:E2292"/>
    <mergeCell ref="D2293:E2293"/>
    <mergeCell ref="D2294:E2294"/>
    <mergeCell ref="D2295:E2295"/>
    <mergeCell ref="D2284:E2284"/>
    <mergeCell ref="D2285:E2285"/>
    <mergeCell ref="D2286:E2286"/>
    <mergeCell ref="D2287:E2287"/>
    <mergeCell ref="D2288:E2288"/>
    <mergeCell ref="D2289:E2289"/>
    <mergeCell ref="D2278:E2278"/>
    <mergeCell ref="D2279:E2279"/>
    <mergeCell ref="D2280:E2280"/>
    <mergeCell ref="D2281:E2281"/>
    <mergeCell ref="D2282:E2282"/>
    <mergeCell ref="D2283:E2283"/>
    <mergeCell ref="D2272:E2272"/>
    <mergeCell ref="D2273:E2273"/>
    <mergeCell ref="D2274:E2274"/>
    <mergeCell ref="D2275:E2275"/>
    <mergeCell ref="D2276:E2276"/>
    <mergeCell ref="D2277:E2277"/>
    <mergeCell ref="D2266:E2266"/>
    <mergeCell ref="D2267:E2267"/>
    <mergeCell ref="D2268:E2268"/>
    <mergeCell ref="D2269:E2269"/>
    <mergeCell ref="D2270:E2270"/>
    <mergeCell ref="D2271:E2271"/>
    <mergeCell ref="D2260:E2260"/>
    <mergeCell ref="D2261:E2261"/>
    <mergeCell ref="D2262:E2262"/>
    <mergeCell ref="D2263:E2263"/>
    <mergeCell ref="D2264:E2264"/>
    <mergeCell ref="D2265:E2265"/>
    <mergeCell ref="D2254:E2254"/>
    <mergeCell ref="D2255:E2255"/>
    <mergeCell ref="D2256:E2256"/>
    <mergeCell ref="D2257:E2257"/>
    <mergeCell ref="D2258:E2258"/>
    <mergeCell ref="D2259:E2259"/>
    <mergeCell ref="D2248:E2248"/>
    <mergeCell ref="D2249:E2249"/>
    <mergeCell ref="D2250:E2250"/>
    <mergeCell ref="D2251:E2251"/>
    <mergeCell ref="D2252:E2252"/>
    <mergeCell ref="D2253:E2253"/>
    <mergeCell ref="D2242:E2242"/>
    <mergeCell ref="D2243:E2243"/>
    <mergeCell ref="D2244:E2244"/>
    <mergeCell ref="D2245:E2245"/>
    <mergeCell ref="D2246:E2246"/>
    <mergeCell ref="D2247:E2247"/>
    <mergeCell ref="D2236:E2236"/>
    <mergeCell ref="D2237:E2237"/>
    <mergeCell ref="D2238:E2238"/>
    <mergeCell ref="D2239:E2239"/>
    <mergeCell ref="D2240:E2240"/>
    <mergeCell ref="D2241:E2241"/>
    <mergeCell ref="D2230:E2230"/>
    <mergeCell ref="D2231:E2231"/>
    <mergeCell ref="D2232:E2232"/>
    <mergeCell ref="D2233:E2233"/>
    <mergeCell ref="D2234:E2234"/>
    <mergeCell ref="D2235:E2235"/>
    <mergeCell ref="D2224:E2224"/>
    <mergeCell ref="D2225:E2225"/>
    <mergeCell ref="D2226:E2226"/>
    <mergeCell ref="D2227:E2227"/>
    <mergeCell ref="D2228:E2228"/>
    <mergeCell ref="D2229:E2229"/>
    <mergeCell ref="D2218:E2218"/>
    <mergeCell ref="D2219:E2219"/>
    <mergeCell ref="D2220:E2220"/>
    <mergeCell ref="D2221:E2221"/>
    <mergeCell ref="D2222:E2222"/>
    <mergeCell ref="D2223:E2223"/>
    <mergeCell ref="D2212:E2212"/>
    <mergeCell ref="D2213:E2213"/>
    <mergeCell ref="D2214:E2214"/>
    <mergeCell ref="D2215:E2215"/>
    <mergeCell ref="D2216:E2216"/>
    <mergeCell ref="D2217:E2217"/>
    <mergeCell ref="D2206:E2206"/>
    <mergeCell ref="D2207:E2207"/>
    <mergeCell ref="D2208:E2208"/>
    <mergeCell ref="D2209:E2209"/>
    <mergeCell ref="D2210:E2210"/>
    <mergeCell ref="D2211:E2211"/>
    <mergeCell ref="D2200:E2200"/>
    <mergeCell ref="D2201:E2201"/>
    <mergeCell ref="D2202:E2202"/>
    <mergeCell ref="D2203:E2203"/>
    <mergeCell ref="D2204:E2204"/>
    <mergeCell ref="D2205:E2205"/>
    <mergeCell ref="D2194:E2194"/>
    <mergeCell ref="D2195:E2195"/>
    <mergeCell ref="D2196:E2196"/>
    <mergeCell ref="D2197:E2197"/>
    <mergeCell ref="D2198:E2198"/>
    <mergeCell ref="D2199:E2199"/>
    <mergeCell ref="D2188:E2188"/>
    <mergeCell ref="D2189:E2189"/>
    <mergeCell ref="D2190:E2190"/>
    <mergeCell ref="D2191:E2191"/>
    <mergeCell ref="D2192:E2192"/>
    <mergeCell ref="D2193:E2193"/>
    <mergeCell ref="D2182:E2182"/>
    <mergeCell ref="D2183:E2183"/>
    <mergeCell ref="D2184:E2184"/>
    <mergeCell ref="D2185:E2185"/>
    <mergeCell ref="D2186:E2186"/>
    <mergeCell ref="D2187:E2187"/>
    <mergeCell ref="D2176:E2176"/>
    <mergeCell ref="D2177:E2177"/>
    <mergeCell ref="D2178:E2178"/>
    <mergeCell ref="D2179:E2179"/>
    <mergeCell ref="D2180:E2180"/>
    <mergeCell ref="D2181:E2181"/>
    <mergeCell ref="D2170:E2170"/>
    <mergeCell ref="D2171:E2171"/>
    <mergeCell ref="D2172:E2172"/>
    <mergeCell ref="D2173:E2173"/>
    <mergeCell ref="D2174:E2174"/>
    <mergeCell ref="D2175:E2175"/>
    <mergeCell ref="D2164:E2164"/>
    <mergeCell ref="D2165:E2165"/>
    <mergeCell ref="D2166:E2166"/>
    <mergeCell ref="D2167:E2167"/>
    <mergeCell ref="D2168:E2168"/>
    <mergeCell ref="D2169:E2169"/>
    <mergeCell ref="D2158:E2158"/>
    <mergeCell ref="D2159:E2159"/>
    <mergeCell ref="D2160:E2160"/>
    <mergeCell ref="D2161:E2161"/>
    <mergeCell ref="D2162:E2162"/>
    <mergeCell ref="D2163:E2163"/>
    <mergeCell ref="D2152:E2152"/>
    <mergeCell ref="D2153:E2153"/>
    <mergeCell ref="D2154:E2154"/>
    <mergeCell ref="D2155:E2155"/>
    <mergeCell ref="D2156:E2156"/>
    <mergeCell ref="D2157:E2157"/>
    <mergeCell ref="D2146:E2146"/>
    <mergeCell ref="D2147:E2147"/>
    <mergeCell ref="D2148:E2148"/>
    <mergeCell ref="D2149:E2149"/>
    <mergeCell ref="D2150:E2150"/>
    <mergeCell ref="D2151:E2151"/>
    <mergeCell ref="D2140:E2140"/>
    <mergeCell ref="D2141:E2141"/>
    <mergeCell ref="D2142:E2142"/>
    <mergeCell ref="D2143:E2143"/>
    <mergeCell ref="D2144:E2144"/>
    <mergeCell ref="D2145:E2145"/>
    <mergeCell ref="D2134:E2134"/>
    <mergeCell ref="D2135:E2135"/>
    <mergeCell ref="D2136:E2136"/>
    <mergeCell ref="D2137:E2137"/>
    <mergeCell ref="D2138:E2138"/>
    <mergeCell ref="D2139:E2139"/>
    <mergeCell ref="D2128:E2128"/>
    <mergeCell ref="D2129:E2129"/>
    <mergeCell ref="D2130:E2130"/>
    <mergeCell ref="D2131:E2131"/>
    <mergeCell ref="D2132:E2132"/>
    <mergeCell ref="D2133:E2133"/>
    <mergeCell ref="D2122:E2122"/>
    <mergeCell ref="D2123:E2123"/>
    <mergeCell ref="D2124:E2124"/>
    <mergeCell ref="D2125:E2125"/>
    <mergeCell ref="D2126:E2126"/>
    <mergeCell ref="D2127:E2127"/>
    <mergeCell ref="D2116:E2116"/>
    <mergeCell ref="D2117:E2117"/>
    <mergeCell ref="D2118:E2118"/>
    <mergeCell ref="D2119:E2119"/>
    <mergeCell ref="D2120:E2120"/>
    <mergeCell ref="D2121:E2121"/>
    <mergeCell ref="D2110:E2110"/>
    <mergeCell ref="D2111:E2111"/>
    <mergeCell ref="D2112:E2112"/>
    <mergeCell ref="D2113:E2113"/>
    <mergeCell ref="D2114:E2114"/>
    <mergeCell ref="D2115:E2115"/>
    <mergeCell ref="D2104:E2104"/>
    <mergeCell ref="D2105:E2105"/>
    <mergeCell ref="D2106:E2106"/>
    <mergeCell ref="D2107:E2107"/>
    <mergeCell ref="D2108:E2108"/>
    <mergeCell ref="D2109:E2109"/>
    <mergeCell ref="D2098:E2098"/>
    <mergeCell ref="D2099:E2099"/>
    <mergeCell ref="D2100:E2100"/>
    <mergeCell ref="D2101:E2101"/>
    <mergeCell ref="D2102:E2102"/>
    <mergeCell ref="D2103:E2103"/>
    <mergeCell ref="D2092:E2092"/>
    <mergeCell ref="D2093:E2093"/>
    <mergeCell ref="D2094:E2094"/>
    <mergeCell ref="D2095:E2095"/>
    <mergeCell ref="D2096:E2096"/>
    <mergeCell ref="D2097:E2097"/>
    <mergeCell ref="D2086:E2086"/>
    <mergeCell ref="D2087:E2087"/>
    <mergeCell ref="D2088:E2088"/>
    <mergeCell ref="D2089:E2089"/>
    <mergeCell ref="D2090:E2090"/>
    <mergeCell ref="D2091:E2091"/>
    <mergeCell ref="D2080:E2080"/>
    <mergeCell ref="D2081:E2081"/>
    <mergeCell ref="D2082:E2082"/>
    <mergeCell ref="D2083:E2083"/>
    <mergeCell ref="D2084:E2084"/>
    <mergeCell ref="D2085:E2085"/>
    <mergeCell ref="D2074:E2074"/>
    <mergeCell ref="D2075:E2075"/>
    <mergeCell ref="D2076:E2076"/>
    <mergeCell ref="D2077:E2077"/>
    <mergeCell ref="D2078:E2078"/>
    <mergeCell ref="D2079:E2079"/>
    <mergeCell ref="D2068:E2068"/>
    <mergeCell ref="D2069:E2069"/>
    <mergeCell ref="D2070:E2070"/>
    <mergeCell ref="D2071:E2071"/>
    <mergeCell ref="D2072:E2072"/>
    <mergeCell ref="D2073:E2073"/>
    <mergeCell ref="D2062:E2062"/>
    <mergeCell ref="D2063:E2063"/>
    <mergeCell ref="D2064:E2064"/>
    <mergeCell ref="D2065:E2065"/>
    <mergeCell ref="D2066:E2066"/>
    <mergeCell ref="D2067:E2067"/>
    <mergeCell ref="D2056:E2056"/>
    <mergeCell ref="D2057:E2057"/>
    <mergeCell ref="D2058:E2058"/>
    <mergeCell ref="D2059:E2059"/>
    <mergeCell ref="D2060:E2060"/>
    <mergeCell ref="D2061:E2061"/>
    <mergeCell ref="D2050:E2050"/>
    <mergeCell ref="D2051:E2051"/>
    <mergeCell ref="D2052:E2052"/>
    <mergeCell ref="D2053:E2053"/>
    <mergeCell ref="D2054:E2054"/>
    <mergeCell ref="D2055:E2055"/>
    <mergeCell ref="D2044:E2044"/>
    <mergeCell ref="D2045:E2045"/>
    <mergeCell ref="D2046:E2046"/>
    <mergeCell ref="D2047:E2047"/>
    <mergeCell ref="D2048:E2048"/>
    <mergeCell ref="D2049:E2049"/>
    <mergeCell ref="D2038:E2038"/>
    <mergeCell ref="D2039:E2039"/>
    <mergeCell ref="D2040:E2040"/>
    <mergeCell ref="D2041:E2041"/>
    <mergeCell ref="D2042:E2042"/>
    <mergeCell ref="D2043:E2043"/>
    <mergeCell ref="D2032:E2032"/>
    <mergeCell ref="D2033:E2033"/>
    <mergeCell ref="D2034:E2034"/>
    <mergeCell ref="D2035:E2035"/>
    <mergeCell ref="D2036:E2036"/>
    <mergeCell ref="D2037:E2037"/>
    <mergeCell ref="D2026:E2026"/>
    <mergeCell ref="D2027:E2027"/>
    <mergeCell ref="D2028:E2028"/>
    <mergeCell ref="D2029:E2029"/>
    <mergeCell ref="D2030:E2030"/>
    <mergeCell ref="D2031:E2031"/>
    <mergeCell ref="D2020:E2020"/>
    <mergeCell ref="D2021:E2021"/>
    <mergeCell ref="D2022:E2022"/>
    <mergeCell ref="D2023:E2023"/>
    <mergeCell ref="D2024:E2024"/>
    <mergeCell ref="D2025:E2025"/>
    <mergeCell ref="D2014:E2014"/>
    <mergeCell ref="D2015:E2015"/>
    <mergeCell ref="D2016:E2016"/>
    <mergeCell ref="D2017:E2017"/>
    <mergeCell ref="D2018:E2018"/>
    <mergeCell ref="D2019:E2019"/>
    <mergeCell ref="D2008:E2008"/>
    <mergeCell ref="D2009:E2009"/>
    <mergeCell ref="D2010:E2010"/>
    <mergeCell ref="D2011:E2011"/>
    <mergeCell ref="D2012:E2012"/>
    <mergeCell ref="D2013:E2013"/>
    <mergeCell ref="D2002:E2002"/>
    <mergeCell ref="D2003:E2003"/>
    <mergeCell ref="D2004:E2004"/>
    <mergeCell ref="D2005:E2005"/>
    <mergeCell ref="D2006:E2006"/>
    <mergeCell ref="D2007:E2007"/>
    <mergeCell ref="D1996:E1996"/>
    <mergeCell ref="D1997:E1997"/>
    <mergeCell ref="D1998:E1998"/>
    <mergeCell ref="D1999:E1999"/>
    <mergeCell ref="D2000:E2000"/>
    <mergeCell ref="D2001:E2001"/>
    <mergeCell ref="D1990:E1990"/>
    <mergeCell ref="D1991:E1991"/>
    <mergeCell ref="D1992:E1992"/>
    <mergeCell ref="D1993:E1993"/>
    <mergeCell ref="D1994:E1994"/>
    <mergeCell ref="D1995:E1995"/>
    <mergeCell ref="D1984:E1984"/>
    <mergeCell ref="D1985:E1985"/>
    <mergeCell ref="D1986:E1986"/>
    <mergeCell ref="D1987:E1987"/>
    <mergeCell ref="D1988:E1988"/>
    <mergeCell ref="D1989:E1989"/>
    <mergeCell ref="D1978:E1978"/>
    <mergeCell ref="D1979:E1979"/>
    <mergeCell ref="D1980:E1980"/>
    <mergeCell ref="D1981:E1981"/>
    <mergeCell ref="D1982:E1982"/>
    <mergeCell ref="D1983:E1983"/>
    <mergeCell ref="D1972:E1972"/>
    <mergeCell ref="D1973:E1973"/>
    <mergeCell ref="D1974:E1974"/>
    <mergeCell ref="D1975:E1975"/>
    <mergeCell ref="D1976:E1976"/>
    <mergeCell ref="D1977:E1977"/>
    <mergeCell ref="D1966:E1966"/>
    <mergeCell ref="D1967:E1967"/>
    <mergeCell ref="D1968:E1968"/>
    <mergeCell ref="D1969:E1969"/>
    <mergeCell ref="D1970:E1970"/>
    <mergeCell ref="D1971:E1971"/>
    <mergeCell ref="D1960:E1960"/>
    <mergeCell ref="D1961:E1961"/>
    <mergeCell ref="D1962:E1962"/>
    <mergeCell ref="D1963:E1963"/>
    <mergeCell ref="D1964:E1964"/>
    <mergeCell ref="D1965:E1965"/>
    <mergeCell ref="D1954:E1954"/>
    <mergeCell ref="D1955:E1955"/>
    <mergeCell ref="D1956:E1956"/>
    <mergeCell ref="D1957:E1957"/>
    <mergeCell ref="D1958:E1958"/>
    <mergeCell ref="D1959:E1959"/>
    <mergeCell ref="D1948:E1948"/>
    <mergeCell ref="D1949:E1949"/>
    <mergeCell ref="D1950:E1950"/>
    <mergeCell ref="D1951:E1951"/>
    <mergeCell ref="D1952:E1952"/>
    <mergeCell ref="D1953:E1953"/>
    <mergeCell ref="D1942:E1942"/>
    <mergeCell ref="D1943:E1943"/>
    <mergeCell ref="D1944:E1944"/>
    <mergeCell ref="D1945:E1945"/>
    <mergeCell ref="D1946:E1946"/>
    <mergeCell ref="D1947:E1947"/>
    <mergeCell ref="D1936:E1936"/>
    <mergeCell ref="D1937:E1937"/>
    <mergeCell ref="D1938:E1938"/>
    <mergeCell ref="D1939:E1939"/>
    <mergeCell ref="D1940:E1940"/>
    <mergeCell ref="D1941:E1941"/>
    <mergeCell ref="D1930:E1930"/>
    <mergeCell ref="D1931:E1931"/>
    <mergeCell ref="D1932:E1932"/>
    <mergeCell ref="D1933:E1933"/>
    <mergeCell ref="D1934:E1934"/>
    <mergeCell ref="D1935:E1935"/>
    <mergeCell ref="D1924:E1924"/>
    <mergeCell ref="D1925:E1925"/>
    <mergeCell ref="D1926:E1926"/>
    <mergeCell ref="D1927:E1927"/>
    <mergeCell ref="D1928:E1928"/>
    <mergeCell ref="D1929:E1929"/>
    <mergeCell ref="D1918:E1918"/>
    <mergeCell ref="D1919:E1919"/>
    <mergeCell ref="D1920:E1920"/>
    <mergeCell ref="D1921:E1921"/>
    <mergeCell ref="D1922:E1922"/>
    <mergeCell ref="D1923:E1923"/>
    <mergeCell ref="D1912:E1912"/>
    <mergeCell ref="D1913:E1913"/>
    <mergeCell ref="D1914:E1914"/>
    <mergeCell ref="D1915:E1915"/>
    <mergeCell ref="D1916:E1916"/>
    <mergeCell ref="D1917:E1917"/>
    <mergeCell ref="D1906:E1906"/>
    <mergeCell ref="D1907:E1907"/>
    <mergeCell ref="D1908:E1908"/>
    <mergeCell ref="D1909:E1909"/>
    <mergeCell ref="D1910:E1910"/>
    <mergeCell ref="D1911:E1911"/>
    <mergeCell ref="D1900:E1900"/>
    <mergeCell ref="D1901:E1901"/>
    <mergeCell ref="D1902:E1902"/>
    <mergeCell ref="D1903:E1903"/>
    <mergeCell ref="D1904:E1904"/>
    <mergeCell ref="D1905:E1905"/>
    <mergeCell ref="D1894:E1894"/>
    <mergeCell ref="D1895:E1895"/>
    <mergeCell ref="D1896:E1896"/>
    <mergeCell ref="D1897:E1897"/>
    <mergeCell ref="D1898:E1898"/>
    <mergeCell ref="D1899:E1899"/>
    <mergeCell ref="D1888:E1888"/>
    <mergeCell ref="D1889:E1889"/>
    <mergeCell ref="D1890:E1890"/>
    <mergeCell ref="D1891:E1891"/>
    <mergeCell ref="D1892:E1892"/>
    <mergeCell ref="D1893:E1893"/>
    <mergeCell ref="D1882:E1882"/>
    <mergeCell ref="D1883:E1883"/>
    <mergeCell ref="D1884:E1884"/>
    <mergeCell ref="D1885:E1885"/>
    <mergeCell ref="D1886:E1886"/>
    <mergeCell ref="D1887:E1887"/>
    <mergeCell ref="D1876:E1876"/>
    <mergeCell ref="D1877:E1877"/>
    <mergeCell ref="D1878:E1878"/>
    <mergeCell ref="D1879:E1879"/>
    <mergeCell ref="D1880:E1880"/>
    <mergeCell ref="D1881:E1881"/>
    <mergeCell ref="D1870:E1870"/>
    <mergeCell ref="D1871:E1871"/>
    <mergeCell ref="D1872:E1872"/>
    <mergeCell ref="D1873:E1873"/>
    <mergeCell ref="D1874:E1874"/>
    <mergeCell ref="D1875:E1875"/>
    <mergeCell ref="D1864:E1864"/>
    <mergeCell ref="D1865:E1865"/>
    <mergeCell ref="D1866:E1866"/>
    <mergeCell ref="D1867:E1867"/>
    <mergeCell ref="D1868:E1868"/>
    <mergeCell ref="D1869:E1869"/>
    <mergeCell ref="D1858:E1858"/>
    <mergeCell ref="D1859:E1859"/>
    <mergeCell ref="D1860:E1860"/>
    <mergeCell ref="D1861:E1861"/>
    <mergeCell ref="D1862:E1862"/>
    <mergeCell ref="D1863:E1863"/>
    <mergeCell ref="D1852:E1852"/>
    <mergeCell ref="D1853:E1853"/>
    <mergeCell ref="D1854:E1854"/>
    <mergeCell ref="D1855:E1855"/>
    <mergeCell ref="D1856:E1856"/>
    <mergeCell ref="D1857:E1857"/>
    <mergeCell ref="D1846:E1846"/>
    <mergeCell ref="D1847:E1847"/>
    <mergeCell ref="D1848:E1848"/>
    <mergeCell ref="D1849:E1849"/>
    <mergeCell ref="D1850:E1850"/>
    <mergeCell ref="D1851:E1851"/>
    <mergeCell ref="D1840:E1840"/>
    <mergeCell ref="D1841:E1841"/>
    <mergeCell ref="D1842:E1842"/>
    <mergeCell ref="D1843:E1843"/>
    <mergeCell ref="D1844:E1844"/>
    <mergeCell ref="D1845:E1845"/>
    <mergeCell ref="D1834:E1834"/>
    <mergeCell ref="D1835:E1835"/>
    <mergeCell ref="D1836:E1836"/>
    <mergeCell ref="D1837:E1837"/>
    <mergeCell ref="D1838:E1838"/>
    <mergeCell ref="D1839:E1839"/>
    <mergeCell ref="D1828:E1828"/>
    <mergeCell ref="D1829:E1829"/>
    <mergeCell ref="D1830:E1830"/>
    <mergeCell ref="D1831:E1831"/>
    <mergeCell ref="D1832:E1832"/>
    <mergeCell ref="D1833:E1833"/>
    <mergeCell ref="D1822:E1822"/>
    <mergeCell ref="D1823:E1823"/>
    <mergeCell ref="D1824:E1824"/>
    <mergeCell ref="D1825:E1825"/>
    <mergeCell ref="D1826:E1826"/>
    <mergeCell ref="D1827:E1827"/>
    <mergeCell ref="D1816:E1816"/>
    <mergeCell ref="D1817:E1817"/>
    <mergeCell ref="D1818:E1818"/>
    <mergeCell ref="D1819:E1819"/>
    <mergeCell ref="D1820:E1820"/>
    <mergeCell ref="D1821:E1821"/>
    <mergeCell ref="D1810:E1810"/>
    <mergeCell ref="D1811:E1811"/>
    <mergeCell ref="D1812:E1812"/>
    <mergeCell ref="D1813:E1813"/>
    <mergeCell ref="D1814:E1814"/>
    <mergeCell ref="D1815:E1815"/>
    <mergeCell ref="D1804:E1804"/>
    <mergeCell ref="D1805:E1805"/>
    <mergeCell ref="D1806:E1806"/>
    <mergeCell ref="D1807:E1807"/>
    <mergeCell ref="D1808:E1808"/>
    <mergeCell ref="D1809:E1809"/>
    <mergeCell ref="D1798:E1798"/>
    <mergeCell ref="D1799:E1799"/>
    <mergeCell ref="D1800:E1800"/>
    <mergeCell ref="D1801:E1801"/>
    <mergeCell ref="D1802:E1802"/>
    <mergeCell ref="D1803:E1803"/>
    <mergeCell ref="D1792:E1792"/>
    <mergeCell ref="D1793:E1793"/>
    <mergeCell ref="D1794:E1794"/>
    <mergeCell ref="D1795:E1795"/>
    <mergeCell ref="D1796:E1796"/>
    <mergeCell ref="D1797:E1797"/>
    <mergeCell ref="D1786:E1786"/>
    <mergeCell ref="D1787:E1787"/>
    <mergeCell ref="D1788:E1788"/>
    <mergeCell ref="D1789:E1789"/>
    <mergeCell ref="D1790:E1790"/>
    <mergeCell ref="D1791:E1791"/>
    <mergeCell ref="D1780:E1780"/>
    <mergeCell ref="D1781:E1781"/>
    <mergeCell ref="D1782:E1782"/>
    <mergeCell ref="D1783:E1783"/>
    <mergeCell ref="D1784:E1784"/>
    <mergeCell ref="D1785:E1785"/>
    <mergeCell ref="D1774:E1774"/>
    <mergeCell ref="D1775:E1775"/>
    <mergeCell ref="D1776:E1776"/>
    <mergeCell ref="D1777:E1777"/>
    <mergeCell ref="D1778:E1778"/>
    <mergeCell ref="D1779:E1779"/>
    <mergeCell ref="D1768:E1768"/>
    <mergeCell ref="D1769:E1769"/>
    <mergeCell ref="D1770:E1770"/>
    <mergeCell ref="D1771:E1771"/>
    <mergeCell ref="D1772:E1772"/>
    <mergeCell ref="D1773:E1773"/>
    <mergeCell ref="D1762:E1762"/>
    <mergeCell ref="D1763:E1763"/>
    <mergeCell ref="D1764:E1764"/>
    <mergeCell ref="D1765:E1765"/>
    <mergeCell ref="D1766:E1766"/>
    <mergeCell ref="D1767:E1767"/>
    <mergeCell ref="D1756:E1756"/>
    <mergeCell ref="D1757:E1757"/>
    <mergeCell ref="D1758:E1758"/>
    <mergeCell ref="D1759:E1759"/>
    <mergeCell ref="D1760:E1760"/>
    <mergeCell ref="D1761:E1761"/>
    <mergeCell ref="D1750:E1750"/>
    <mergeCell ref="D1751:E1751"/>
    <mergeCell ref="D1752:E1752"/>
    <mergeCell ref="D1753:E1753"/>
    <mergeCell ref="D1754:E1754"/>
    <mergeCell ref="D1755:E1755"/>
    <mergeCell ref="D1744:E1744"/>
    <mergeCell ref="D1745:E1745"/>
    <mergeCell ref="D1746:E1746"/>
    <mergeCell ref="D1747:E1747"/>
    <mergeCell ref="D1748:E1748"/>
    <mergeCell ref="D1749:E1749"/>
    <mergeCell ref="D1738:E1738"/>
    <mergeCell ref="D1739:E1739"/>
    <mergeCell ref="D1740:E1740"/>
    <mergeCell ref="D1741:E1741"/>
    <mergeCell ref="D1742:E1742"/>
    <mergeCell ref="D1743:E1743"/>
    <mergeCell ref="D1732:E1732"/>
    <mergeCell ref="D1733:E1733"/>
    <mergeCell ref="D1734:E1734"/>
    <mergeCell ref="D1735:E1735"/>
    <mergeCell ref="D1736:E1736"/>
    <mergeCell ref="D1737:E1737"/>
    <mergeCell ref="D1726:E1726"/>
    <mergeCell ref="D1727:E1727"/>
    <mergeCell ref="D1728:E1728"/>
    <mergeCell ref="D1729:E1729"/>
    <mergeCell ref="D1730:E1730"/>
    <mergeCell ref="D1731:E1731"/>
    <mergeCell ref="D1720:E1720"/>
    <mergeCell ref="D1721:E1721"/>
    <mergeCell ref="D1722:E1722"/>
    <mergeCell ref="D1723:E1723"/>
    <mergeCell ref="D1724:E1724"/>
    <mergeCell ref="D1725:E1725"/>
    <mergeCell ref="D1714:E1714"/>
    <mergeCell ref="D1715:E1715"/>
    <mergeCell ref="D1716:E1716"/>
    <mergeCell ref="D1717:E1717"/>
    <mergeCell ref="D1718:E1718"/>
    <mergeCell ref="D1719:E1719"/>
    <mergeCell ref="D1708:E1708"/>
    <mergeCell ref="D1709:E1709"/>
    <mergeCell ref="D1710:E1710"/>
    <mergeCell ref="D1711:E1711"/>
    <mergeCell ref="D1712:E1712"/>
    <mergeCell ref="D1713:E1713"/>
    <mergeCell ref="D1702:E1702"/>
    <mergeCell ref="D1703:E1703"/>
    <mergeCell ref="D1704:E1704"/>
    <mergeCell ref="D1705:E1705"/>
    <mergeCell ref="D1706:E1706"/>
    <mergeCell ref="D1707:E1707"/>
    <mergeCell ref="D1696:E1696"/>
    <mergeCell ref="D1697:E1697"/>
    <mergeCell ref="D1698:E1698"/>
    <mergeCell ref="D1699:E1699"/>
    <mergeCell ref="D1700:E1700"/>
    <mergeCell ref="D1701:E1701"/>
    <mergeCell ref="D1690:E1690"/>
    <mergeCell ref="D1691:E1691"/>
    <mergeCell ref="D1692:E1692"/>
    <mergeCell ref="D1693:E1693"/>
    <mergeCell ref="D1694:E1694"/>
    <mergeCell ref="D1695:E1695"/>
    <mergeCell ref="D1684:E1684"/>
    <mergeCell ref="D1685:E1685"/>
    <mergeCell ref="D1686:E1686"/>
    <mergeCell ref="D1687:E1687"/>
    <mergeCell ref="D1688:E1688"/>
    <mergeCell ref="D1689:E1689"/>
    <mergeCell ref="D1678:E1678"/>
    <mergeCell ref="D1679:E1679"/>
    <mergeCell ref="D1680:E1680"/>
    <mergeCell ref="D1681:E1681"/>
    <mergeCell ref="D1682:E1682"/>
    <mergeCell ref="D1683:E1683"/>
    <mergeCell ref="D1672:E1672"/>
    <mergeCell ref="D1673:E1673"/>
    <mergeCell ref="D1674:E1674"/>
    <mergeCell ref="D1675:E1675"/>
    <mergeCell ref="D1676:E1676"/>
    <mergeCell ref="D1677:E1677"/>
    <mergeCell ref="D1666:E1666"/>
    <mergeCell ref="D1667:E1667"/>
    <mergeCell ref="D1668:E1668"/>
    <mergeCell ref="D1669:E1669"/>
    <mergeCell ref="D1670:E1670"/>
    <mergeCell ref="D1671:E1671"/>
    <mergeCell ref="D1660:E1660"/>
    <mergeCell ref="D1661:E1661"/>
    <mergeCell ref="D1662:E1662"/>
    <mergeCell ref="D1663:E1663"/>
    <mergeCell ref="D1664:E1664"/>
    <mergeCell ref="D1665:E1665"/>
    <mergeCell ref="D1654:E1654"/>
    <mergeCell ref="D1655:E1655"/>
    <mergeCell ref="D1656:E1656"/>
    <mergeCell ref="D1657:E1657"/>
    <mergeCell ref="D1658:E1658"/>
    <mergeCell ref="D1659:E1659"/>
    <mergeCell ref="D1648:E1648"/>
    <mergeCell ref="D1649:E1649"/>
    <mergeCell ref="D1650:E1650"/>
    <mergeCell ref="D1651:E1651"/>
    <mergeCell ref="D1652:E1652"/>
    <mergeCell ref="D1653:E1653"/>
    <mergeCell ref="D1642:E1642"/>
    <mergeCell ref="D1643:E1643"/>
    <mergeCell ref="D1644:E1644"/>
    <mergeCell ref="D1645:E1645"/>
    <mergeCell ref="D1646:E1646"/>
    <mergeCell ref="D1647:E1647"/>
    <mergeCell ref="D1636:E1636"/>
    <mergeCell ref="D1637:E1637"/>
    <mergeCell ref="D1638:E1638"/>
    <mergeCell ref="D1639:E1639"/>
    <mergeCell ref="D1640:E1640"/>
    <mergeCell ref="D1641:E1641"/>
    <mergeCell ref="D1630:E1630"/>
    <mergeCell ref="D1631:E1631"/>
    <mergeCell ref="D1632:E1632"/>
    <mergeCell ref="D1633:E1633"/>
    <mergeCell ref="D1634:E1634"/>
    <mergeCell ref="D1635:E1635"/>
    <mergeCell ref="D1624:E1624"/>
    <mergeCell ref="D1625:E1625"/>
    <mergeCell ref="D1626:E1626"/>
    <mergeCell ref="D1627:E1627"/>
    <mergeCell ref="D1628:E1628"/>
    <mergeCell ref="D1629:E1629"/>
    <mergeCell ref="D1618:E1618"/>
    <mergeCell ref="D1619:E1619"/>
    <mergeCell ref="D1620:E1620"/>
    <mergeCell ref="D1621:E1621"/>
    <mergeCell ref="D1622:E1622"/>
    <mergeCell ref="D1623:E1623"/>
    <mergeCell ref="D1612:E1612"/>
    <mergeCell ref="D1613:E1613"/>
    <mergeCell ref="D1614:E1614"/>
    <mergeCell ref="D1615:E1615"/>
    <mergeCell ref="D1616:E1616"/>
    <mergeCell ref="D1617:E1617"/>
    <mergeCell ref="D1606:E1606"/>
    <mergeCell ref="D1607:E1607"/>
    <mergeCell ref="D1608:E1608"/>
    <mergeCell ref="D1609:E1609"/>
    <mergeCell ref="D1610:E1610"/>
    <mergeCell ref="D1611:E1611"/>
    <mergeCell ref="D1600:E1600"/>
    <mergeCell ref="D1601:E1601"/>
    <mergeCell ref="D1602:E1602"/>
    <mergeCell ref="D1603:E1603"/>
    <mergeCell ref="D1604:E1604"/>
    <mergeCell ref="D1605:E1605"/>
    <mergeCell ref="D1594:E1594"/>
    <mergeCell ref="D1595:E1595"/>
    <mergeCell ref="D1596:E1596"/>
    <mergeCell ref="D1597:E1597"/>
    <mergeCell ref="D1598:E1598"/>
    <mergeCell ref="D1599:E1599"/>
    <mergeCell ref="D1588:E1588"/>
    <mergeCell ref="D1589:E1589"/>
    <mergeCell ref="D1590:E1590"/>
    <mergeCell ref="D1591:E1591"/>
    <mergeCell ref="D1592:E1592"/>
    <mergeCell ref="D1593:E1593"/>
    <mergeCell ref="D1582:E1582"/>
    <mergeCell ref="D1583:E1583"/>
    <mergeCell ref="D1584:E1584"/>
    <mergeCell ref="D1585:E1585"/>
    <mergeCell ref="D1586:E1586"/>
    <mergeCell ref="D1587:E1587"/>
    <mergeCell ref="D1576:E1576"/>
    <mergeCell ref="D1577:E1577"/>
    <mergeCell ref="D1578:E1578"/>
    <mergeCell ref="D1579:E1579"/>
    <mergeCell ref="D1580:E1580"/>
    <mergeCell ref="D1581:E1581"/>
    <mergeCell ref="D1570:E1570"/>
    <mergeCell ref="D1571:E1571"/>
    <mergeCell ref="D1572:E1572"/>
    <mergeCell ref="D1573:E1573"/>
    <mergeCell ref="D1574:E1574"/>
    <mergeCell ref="D1575:E1575"/>
    <mergeCell ref="D1564:E1564"/>
    <mergeCell ref="D1565:E1565"/>
    <mergeCell ref="D1566:E1566"/>
    <mergeCell ref="D1567:E1567"/>
    <mergeCell ref="D1568:E1568"/>
    <mergeCell ref="D1569:E1569"/>
    <mergeCell ref="D1558:E1558"/>
    <mergeCell ref="D1559:E1559"/>
    <mergeCell ref="D1560:E1560"/>
    <mergeCell ref="D1561:E1561"/>
    <mergeCell ref="D1562:E1562"/>
    <mergeCell ref="D1563:E1563"/>
    <mergeCell ref="D1552:E1552"/>
    <mergeCell ref="D1553:E1553"/>
    <mergeCell ref="D1554:E1554"/>
    <mergeCell ref="D1555:E1555"/>
    <mergeCell ref="D1556:E1556"/>
    <mergeCell ref="D1557:E1557"/>
    <mergeCell ref="D1546:E1546"/>
    <mergeCell ref="D1547:E1547"/>
    <mergeCell ref="D1548:E1548"/>
    <mergeCell ref="D1549:E1549"/>
    <mergeCell ref="D1550:E1550"/>
    <mergeCell ref="D1551:E1551"/>
    <mergeCell ref="D1540:E1540"/>
    <mergeCell ref="D1541:E1541"/>
    <mergeCell ref="D1542:E1542"/>
    <mergeCell ref="D1543:E1543"/>
    <mergeCell ref="D1544:E1544"/>
    <mergeCell ref="D1545:E1545"/>
    <mergeCell ref="D1534:E1534"/>
    <mergeCell ref="D1535:E1535"/>
    <mergeCell ref="D1536:E1536"/>
    <mergeCell ref="D1537:E1537"/>
    <mergeCell ref="D1538:E1538"/>
    <mergeCell ref="D1539:E1539"/>
    <mergeCell ref="D1528:E1528"/>
    <mergeCell ref="D1529:E1529"/>
    <mergeCell ref="D1530:E1530"/>
    <mergeCell ref="D1531:E1531"/>
    <mergeCell ref="D1532:E1532"/>
    <mergeCell ref="D1533:E1533"/>
    <mergeCell ref="D1522:E1522"/>
    <mergeCell ref="D1523:E1523"/>
    <mergeCell ref="D1524:E1524"/>
    <mergeCell ref="D1525:E1525"/>
    <mergeCell ref="D1526:E1526"/>
    <mergeCell ref="D1527:E1527"/>
    <mergeCell ref="D1516:E1516"/>
    <mergeCell ref="D1517:E1517"/>
    <mergeCell ref="D1518:E1518"/>
    <mergeCell ref="D1519:E1519"/>
    <mergeCell ref="D1520:E1520"/>
    <mergeCell ref="D1521:E1521"/>
    <mergeCell ref="D1510:E1510"/>
    <mergeCell ref="D1511:E1511"/>
    <mergeCell ref="D1512:E1512"/>
    <mergeCell ref="D1513:E1513"/>
    <mergeCell ref="D1514:E1514"/>
    <mergeCell ref="D1515:E1515"/>
    <mergeCell ref="D1504:E1504"/>
    <mergeCell ref="D1505:E1505"/>
    <mergeCell ref="D1506:E1506"/>
    <mergeCell ref="D1507:E1507"/>
    <mergeCell ref="D1508:E1508"/>
    <mergeCell ref="D1509:E1509"/>
    <mergeCell ref="D1498:E1498"/>
    <mergeCell ref="D1499:E1499"/>
    <mergeCell ref="D1500:E1500"/>
    <mergeCell ref="D1501:E1501"/>
    <mergeCell ref="D1502:E1502"/>
    <mergeCell ref="D1503:E1503"/>
    <mergeCell ref="D1492:E1492"/>
    <mergeCell ref="D1493:E1493"/>
    <mergeCell ref="D1494:E1494"/>
    <mergeCell ref="D1495:E1495"/>
    <mergeCell ref="D1496:E1496"/>
    <mergeCell ref="D1497:E1497"/>
    <mergeCell ref="D1486:E1486"/>
    <mergeCell ref="D1487:E1487"/>
    <mergeCell ref="D1488:E1488"/>
    <mergeCell ref="D1489:E1489"/>
    <mergeCell ref="D1490:E1490"/>
    <mergeCell ref="D1491:E1491"/>
    <mergeCell ref="D1480:E1480"/>
    <mergeCell ref="D1481:E1481"/>
    <mergeCell ref="D1482:E1482"/>
    <mergeCell ref="D1483:E1483"/>
    <mergeCell ref="D1484:E1484"/>
    <mergeCell ref="D1485:E1485"/>
    <mergeCell ref="D1474:E1474"/>
    <mergeCell ref="D1475:E1475"/>
    <mergeCell ref="D1476:E1476"/>
    <mergeCell ref="D1477:E1477"/>
    <mergeCell ref="D1478:E1478"/>
    <mergeCell ref="D1479:E1479"/>
    <mergeCell ref="D1468:E1468"/>
    <mergeCell ref="D1469:E1469"/>
    <mergeCell ref="D1470:E1470"/>
    <mergeCell ref="D1471:E1471"/>
    <mergeCell ref="D1472:E1472"/>
    <mergeCell ref="D1473:E1473"/>
    <mergeCell ref="D1462:E1462"/>
    <mergeCell ref="D1463:E1463"/>
    <mergeCell ref="D1464:E1464"/>
    <mergeCell ref="D1465:E1465"/>
    <mergeCell ref="D1466:E1466"/>
    <mergeCell ref="D1467:E1467"/>
    <mergeCell ref="D1456:E1456"/>
    <mergeCell ref="D1457:E1457"/>
    <mergeCell ref="D1458:E1458"/>
    <mergeCell ref="D1459:E1459"/>
    <mergeCell ref="D1460:E1460"/>
    <mergeCell ref="D1461:E1461"/>
    <mergeCell ref="D1450:E1450"/>
    <mergeCell ref="D1451:E1451"/>
    <mergeCell ref="D1452:E1452"/>
    <mergeCell ref="D1453:E1453"/>
    <mergeCell ref="D1454:E1454"/>
    <mergeCell ref="D1455:E1455"/>
    <mergeCell ref="D1444:E1444"/>
    <mergeCell ref="D1445:E1445"/>
    <mergeCell ref="D1446:E1446"/>
    <mergeCell ref="D1447:E1447"/>
    <mergeCell ref="D1448:E1448"/>
    <mergeCell ref="D1449:E1449"/>
    <mergeCell ref="D1438:E1438"/>
    <mergeCell ref="D1439:E1439"/>
    <mergeCell ref="D1440:E1440"/>
    <mergeCell ref="D1441:E1441"/>
    <mergeCell ref="D1442:E1442"/>
    <mergeCell ref="D1443:E1443"/>
    <mergeCell ref="D1432:E1432"/>
    <mergeCell ref="D1433:E1433"/>
    <mergeCell ref="D1434:E1434"/>
    <mergeCell ref="D1435:E1435"/>
    <mergeCell ref="D1436:E1436"/>
    <mergeCell ref="D1437:E1437"/>
    <mergeCell ref="D1426:E1426"/>
    <mergeCell ref="D1427:E1427"/>
    <mergeCell ref="D1428:E1428"/>
    <mergeCell ref="D1429:E1429"/>
    <mergeCell ref="D1430:E1430"/>
    <mergeCell ref="D1431:E1431"/>
    <mergeCell ref="D1420:E1420"/>
    <mergeCell ref="D1421:E1421"/>
    <mergeCell ref="D1422:E1422"/>
    <mergeCell ref="D1423:E1423"/>
    <mergeCell ref="D1424:E1424"/>
    <mergeCell ref="D1425:E1425"/>
    <mergeCell ref="D1414:E1414"/>
    <mergeCell ref="D1415:E1415"/>
    <mergeCell ref="D1416:E1416"/>
    <mergeCell ref="D1417:E1417"/>
    <mergeCell ref="D1418:E1418"/>
    <mergeCell ref="D1419:E1419"/>
    <mergeCell ref="D1408:E1408"/>
    <mergeCell ref="D1409:E1409"/>
    <mergeCell ref="D1410:E1410"/>
    <mergeCell ref="D1411:E1411"/>
    <mergeCell ref="D1412:E1412"/>
    <mergeCell ref="D1413:E1413"/>
    <mergeCell ref="D1402:E1402"/>
    <mergeCell ref="D1403:E1403"/>
    <mergeCell ref="D1404:E1404"/>
    <mergeCell ref="D1405:E1405"/>
    <mergeCell ref="D1406:E1406"/>
    <mergeCell ref="D1407:E1407"/>
    <mergeCell ref="D1396:E1396"/>
    <mergeCell ref="D1397:E1397"/>
    <mergeCell ref="D1398:E1398"/>
    <mergeCell ref="D1399:E1399"/>
    <mergeCell ref="D1400:E1400"/>
    <mergeCell ref="D1401:E1401"/>
    <mergeCell ref="D1390:E1390"/>
    <mergeCell ref="D1391:E1391"/>
    <mergeCell ref="D1392:E1392"/>
    <mergeCell ref="D1393:E1393"/>
    <mergeCell ref="D1394:E1394"/>
    <mergeCell ref="D1395:E1395"/>
    <mergeCell ref="D1384:E1384"/>
    <mergeCell ref="D1385:E1385"/>
    <mergeCell ref="D1386:E1386"/>
    <mergeCell ref="D1387:E1387"/>
    <mergeCell ref="D1388:E1388"/>
    <mergeCell ref="D1389:E1389"/>
    <mergeCell ref="D1378:E1378"/>
    <mergeCell ref="D1379:E1379"/>
    <mergeCell ref="D1380:E1380"/>
    <mergeCell ref="D1381:E1381"/>
    <mergeCell ref="D1382:E1382"/>
    <mergeCell ref="D1383:E1383"/>
    <mergeCell ref="D1372:E1372"/>
    <mergeCell ref="D1373:E1373"/>
    <mergeCell ref="D1374:E1374"/>
    <mergeCell ref="D1375:E1375"/>
    <mergeCell ref="D1376:E1376"/>
    <mergeCell ref="D1377:E1377"/>
    <mergeCell ref="D1366:E1366"/>
    <mergeCell ref="D1367:E1367"/>
    <mergeCell ref="D1368:E1368"/>
    <mergeCell ref="D1369:E1369"/>
    <mergeCell ref="D1370:E1370"/>
    <mergeCell ref="D1371:E1371"/>
    <mergeCell ref="D1360:E1360"/>
    <mergeCell ref="D1361:E1361"/>
    <mergeCell ref="D1362:E1362"/>
    <mergeCell ref="D1363:E1363"/>
    <mergeCell ref="D1364:E1364"/>
    <mergeCell ref="D1365:E1365"/>
    <mergeCell ref="D1354:E1354"/>
    <mergeCell ref="D1355:E1355"/>
    <mergeCell ref="D1356:E1356"/>
    <mergeCell ref="D1357:E1357"/>
    <mergeCell ref="D1358:E1358"/>
    <mergeCell ref="D1359:E1359"/>
    <mergeCell ref="D1348:E1348"/>
    <mergeCell ref="D1349:E1349"/>
    <mergeCell ref="D1350:E1350"/>
    <mergeCell ref="D1351:E1351"/>
    <mergeCell ref="D1352:E1352"/>
    <mergeCell ref="D1353:E1353"/>
    <mergeCell ref="D1342:E1342"/>
    <mergeCell ref="D1343:E1343"/>
    <mergeCell ref="D1344:E1344"/>
    <mergeCell ref="D1345:E1345"/>
    <mergeCell ref="D1346:E1346"/>
    <mergeCell ref="D1347:E1347"/>
    <mergeCell ref="D1336:E1336"/>
    <mergeCell ref="D1337:E1337"/>
    <mergeCell ref="D1338:E1338"/>
    <mergeCell ref="D1339:E1339"/>
    <mergeCell ref="D1340:E1340"/>
    <mergeCell ref="D1341:E1341"/>
    <mergeCell ref="D1330:E1330"/>
    <mergeCell ref="D1331:E1331"/>
    <mergeCell ref="D1332:E1332"/>
    <mergeCell ref="D1333:E1333"/>
    <mergeCell ref="D1334:E1334"/>
    <mergeCell ref="D1335:E1335"/>
    <mergeCell ref="D1324:E1324"/>
    <mergeCell ref="D1325:E1325"/>
    <mergeCell ref="D1326:E1326"/>
    <mergeCell ref="D1327:E1327"/>
    <mergeCell ref="D1328:E1328"/>
    <mergeCell ref="D1329:E1329"/>
    <mergeCell ref="D1318:E1318"/>
    <mergeCell ref="D1319:E1319"/>
    <mergeCell ref="D1320:E1320"/>
    <mergeCell ref="D1321:E1321"/>
    <mergeCell ref="D1322:E1322"/>
    <mergeCell ref="D1323:E1323"/>
    <mergeCell ref="D1312:E1312"/>
    <mergeCell ref="D1313:E1313"/>
    <mergeCell ref="D1314:E1314"/>
    <mergeCell ref="D1315:E1315"/>
    <mergeCell ref="D1316:E1316"/>
    <mergeCell ref="D1317:E1317"/>
    <mergeCell ref="D1306:E1306"/>
    <mergeCell ref="D1307:E1307"/>
    <mergeCell ref="D1308:E1308"/>
    <mergeCell ref="D1309:E1309"/>
    <mergeCell ref="D1310:E1310"/>
    <mergeCell ref="D1311:E1311"/>
    <mergeCell ref="D1300:E1300"/>
    <mergeCell ref="D1301:E1301"/>
    <mergeCell ref="D1302:E1302"/>
    <mergeCell ref="D1303:E1303"/>
    <mergeCell ref="D1304:E1304"/>
    <mergeCell ref="D1305:E1305"/>
    <mergeCell ref="D1294:E1294"/>
    <mergeCell ref="D1295:E1295"/>
    <mergeCell ref="D1296:E1296"/>
    <mergeCell ref="D1297:E1297"/>
    <mergeCell ref="D1298:E1298"/>
    <mergeCell ref="D1299:E1299"/>
    <mergeCell ref="D1288:E1288"/>
    <mergeCell ref="D1289:E1289"/>
    <mergeCell ref="D1290:E1290"/>
    <mergeCell ref="D1291:E1291"/>
    <mergeCell ref="D1292:E1292"/>
    <mergeCell ref="D1293:E1293"/>
    <mergeCell ref="D1282:E1282"/>
    <mergeCell ref="D1283:E1283"/>
    <mergeCell ref="D1284:E1284"/>
    <mergeCell ref="D1285:E1285"/>
    <mergeCell ref="D1286:E1286"/>
    <mergeCell ref="D1287:E1287"/>
    <mergeCell ref="D1276:E1276"/>
    <mergeCell ref="D1277:E1277"/>
    <mergeCell ref="D1278:E1278"/>
    <mergeCell ref="D1279:E1279"/>
    <mergeCell ref="D1280:E1280"/>
    <mergeCell ref="D1281:E1281"/>
    <mergeCell ref="D1270:E1270"/>
    <mergeCell ref="D1271:E1271"/>
    <mergeCell ref="D1272:E1272"/>
    <mergeCell ref="D1273:E1273"/>
    <mergeCell ref="D1274:E1274"/>
    <mergeCell ref="D1275:E1275"/>
    <mergeCell ref="D1264:E1264"/>
    <mergeCell ref="D1265:E1265"/>
    <mergeCell ref="D1266:E1266"/>
    <mergeCell ref="D1267:E1267"/>
    <mergeCell ref="D1268:E1268"/>
    <mergeCell ref="D1269:E1269"/>
    <mergeCell ref="D1258:E1258"/>
    <mergeCell ref="D1259:E1259"/>
    <mergeCell ref="D1260:E1260"/>
    <mergeCell ref="D1261:E1261"/>
    <mergeCell ref="D1262:E1262"/>
    <mergeCell ref="D1263:E1263"/>
    <mergeCell ref="D1252:E1252"/>
    <mergeCell ref="D1253:E1253"/>
    <mergeCell ref="D1254:E1254"/>
    <mergeCell ref="D1255:E1255"/>
    <mergeCell ref="D1256:E1256"/>
    <mergeCell ref="D1257:E1257"/>
    <mergeCell ref="D1246:E1246"/>
    <mergeCell ref="D1247:E1247"/>
    <mergeCell ref="D1248:E1248"/>
    <mergeCell ref="D1249:E1249"/>
    <mergeCell ref="D1250:E1250"/>
    <mergeCell ref="D1251:E1251"/>
    <mergeCell ref="D1240:E1240"/>
    <mergeCell ref="D1241:E1241"/>
    <mergeCell ref="D1242:E1242"/>
    <mergeCell ref="D1243:E1243"/>
    <mergeCell ref="D1244:E1244"/>
    <mergeCell ref="D1245:E1245"/>
    <mergeCell ref="D1234:E1234"/>
    <mergeCell ref="D1235:E1235"/>
    <mergeCell ref="D1236:E1236"/>
    <mergeCell ref="D1237:E1237"/>
    <mergeCell ref="D1238:E1238"/>
    <mergeCell ref="D1239:E1239"/>
    <mergeCell ref="D1228:E1228"/>
    <mergeCell ref="D1229:E1229"/>
    <mergeCell ref="D1230:E1230"/>
    <mergeCell ref="D1231:E1231"/>
    <mergeCell ref="D1232:E1232"/>
    <mergeCell ref="D1233:E1233"/>
    <mergeCell ref="D1222:E1222"/>
    <mergeCell ref="D1223:E1223"/>
    <mergeCell ref="D1224:E1224"/>
    <mergeCell ref="D1225:E1225"/>
    <mergeCell ref="D1226:E1226"/>
    <mergeCell ref="D1227:E1227"/>
    <mergeCell ref="D1216:E1216"/>
    <mergeCell ref="D1217:E1217"/>
    <mergeCell ref="D1218:E1218"/>
    <mergeCell ref="D1219:E1219"/>
    <mergeCell ref="D1220:E1220"/>
    <mergeCell ref="D1221:E1221"/>
    <mergeCell ref="D1210:E1210"/>
    <mergeCell ref="D1211:E1211"/>
    <mergeCell ref="D1212:E1212"/>
    <mergeCell ref="D1213:E1213"/>
    <mergeCell ref="D1214:E1214"/>
    <mergeCell ref="D1215:E1215"/>
    <mergeCell ref="D1204:E1204"/>
    <mergeCell ref="D1205:E1205"/>
    <mergeCell ref="D1206:E1206"/>
    <mergeCell ref="D1207:E1207"/>
    <mergeCell ref="D1208:E1208"/>
    <mergeCell ref="D1209:E1209"/>
    <mergeCell ref="D1198:E1198"/>
    <mergeCell ref="D1199:E1199"/>
    <mergeCell ref="D1200:E1200"/>
    <mergeCell ref="D1201:E1201"/>
    <mergeCell ref="D1202:E1202"/>
    <mergeCell ref="D1203:E1203"/>
    <mergeCell ref="D1192:E1192"/>
    <mergeCell ref="D1193:E1193"/>
    <mergeCell ref="D1194:E1194"/>
    <mergeCell ref="D1195:E1195"/>
    <mergeCell ref="D1196:E1196"/>
    <mergeCell ref="D1197:E1197"/>
    <mergeCell ref="D1186:E1186"/>
    <mergeCell ref="D1187:E1187"/>
    <mergeCell ref="D1188:E1188"/>
    <mergeCell ref="D1189:E1189"/>
    <mergeCell ref="D1190:E1190"/>
    <mergeCell ref="D1191:E1191"/>
    <mergeCell ref="D1180:E1180"/>
    <mergeCell ref="D1181:E1181"/>
    <mergeCell ref="D1182:E1182"/>
    <mergeCell ref="D1183:E1183"/>
    <mergeCell ref="D1184:E1184"/>
    <mergeCell ref="D1185:E1185"/>
    <mergeCell ref="D1174:E1174"/>
    <mergeCell ref="D1175:E1175"/>
    <mergeCell ref="D1176:E1176"/>
    <mergeCell ref="D1177:E1177"/>
    <mergeCell ref="D1178:E1178"/>
    <mergeCell ref="D1179:E1179"/>
    <mergeCell ref="D1168:E1168"/>
    <mergeCell ref="D1169:E1169"/>
    <mergeCell ref="D1170:E1170"/>
    <mergeCell ref="D1171:E1171"/>
    <mergeCell ref="D1172:E1172"/>
    <mergeCell ref="D1173:E1173"/>
    <mergeCell ref="D1162:E1162"/>
    <mergeCell ref="D1163:E1163"/>
    <mergeCell ref="D1164:E1164"/>
    <mergeCell ref="D1165:E1165"/>
    <mergeCell ref="D1166:E1166"/>
    <mergeCell ref="D1167:E1167"/>
    <mergeCell ref="D1156:E1156"/>
    <mergeCell ref="D1157:E1157"/>
    <mergeCell ref="D1158:E1158"/>
    <mergeCell ref="D1159:E1159"/>
    <mergeCell ref="D1160:E1160"/>
    <mergeCell ref="D1161:E1161"/>
    <mergeCell ref="D1150:E1150"/>
    <mergeCell ref="D1151:E1151"/>
    <mergeCell ref="D1152:E1152"/>
    <mergeCell ref="D1153:E1153"/>
    <mergeCell ref="D1154:E1154"/>
    <mergeCell ref="D1155:E1155"/>
    <mergeCell ref="D1144:E1144"/>
    <mergeCell ref="D1145:E1145"/>
    <mergeCell ref="D1146:E1146"/>
    <mergeCell ref="D1147:E1147"/>
    <mergeCell ref="D1148:E1148"/>
    <mergeCell ref="D1149:E1149"/>
    <mergeCell ref="D1138:E1138"/>
    <mergeCell ref="D1139:E1139"/>
    <mergeCell ref="D1140:E1140"/>
    <mergeCell ref="D1141:E1141"/>
    <mergeCell ref="D1142:E1142"/>
    <mergeCell ref="D1143:E1143"/>
    <mergeCell ref="D1132:E1132"/>
    <mergeCell ref="D1133:E1133"/>
    <mergeCell ref="D1134:E1134"/>
    <mergeCell ref="D1135:E1135"/>
    <mergeCell ref="D1136:E1136"/>
    <mergeCell ref="D1137:E1137"/>
    <mergeCell ref="D1126:E1126"/>
    <mergeCell ref="D1127:E1127"/>
    <mergeCell ref="D1128:E1128"/>
    <mergeCell ref="D1129:E1129"/>
    <mergeCell ref="D1130:E1130"/>
    <mergeCell ref="D1131:E1131"/>
    <mergeCell ref="D1120:E1120"/>
    <mergeCell ref="D1121:E1121"/>
    <mergeCell ref="D1122:E1122"/>
    <mergeCell ref="D1123:E1123"/>
    <mergeCell ref="D1124:E1124"/>
    <mergeCell ref="D1125:E1125"/>
    <mergeCell ref="D1114:E1114"/>
    <mergeCell ref="D1115:E1115"/>
    <mergeCell ref="D1116:E1116"/>
    <mergeCell ref="D1117:E1117"/>
    <mergeCell ref="D1118:E1118"/>
    <mergeCell ref="D1119:E1119"/>
    <mergeCell ref="D1108:E1108"/>
    <mergeCell ref="D1109:E1109"/>
    <mergeCell ref="D1110:E1110"/>
    <mergeCell ref="D1111:E1111"/>
    <mergeCell ref="D1112:E1112"/>
    <mergeCell ref="D1113:E1113"/>
    <mergeCell ref="D1102:E1102"/>
    <mergeCell ref="D1103:E1103"/>
    <mergeCell ref="D1104:E1104"/>
    <mergeCell ref="D1105:E1105"/>
    <mergeCell ref="D1106:E1106"/>
    <mergeCell ref="D1107:E1107"/>
    <mergeCell ref="D1096:E1096"/>
    <mergeCell ref="D1097:E1097"/>
    <mergeCell ref="D1098:E1098"/>
    <mergeCell ref="D1099:E1099"/>
    <mergeCell ref="D1100:E1100"/>
    <mergeCell ref="D1101:E1101"/>
    <mergeCell ref="D1090:E1090"/>
    <mergeCell ref="D1091:E1091"/>
    <mergeCell ref="D1092:E1092"/>
    <mergeCell ref="D1093:E1093"/>
    <mergeCell ref="D1094:E1094"/>
    <mergeCell ref="D1095:E1095"/>
    <mergeCell ref="D1084:E1084"/>
    <mergeCell ref="D1085:E1085"/>
    <mergeCell ref="D1086:E1086"/>
    <mergeCell ref="D1087:E1087"/>
    <mergeCell ref="D1088:E1088"/>
    <mergeCell ref="D1089:E1089"/>
    <mergeCell ref="D1078:E1078"/>
    <mergeCell ref="D1079:E1079"/>
    <mergeCell ref="D1080:E1080"/>
    <mergeCell ref="D1081:E1081"/>
    <mergeCell ref="D1082:E1082"/>
    <mergeCell ref="D1083:E1083"/>
    <mergeCell ref="D1072:E1072"/>
    <mergeCell ref="D1073:E1073"/>
    <mergeCell ref="D1074:E1074"/>
    <mergeCell ref="D1075:E1075"/>
    <mergeCell ref="D1076:E1076"/>
    <mergeCell ref="D1077:E1077"/>
    <mergeCell ref="D1066:E1066"/>
    <mergeCell ref="D1067:E1067"/>
    <mergeCell ref="D1068:E1068"/>
    <mergeCell ref="D1069:E1069"/>
    <mergeCell ref="D1070:E1070"/>
    <mergeCell ref="D1071:E1071"/>
    <mergeCell ref="D1060:E1060"/>
    <mergeCell ref="D1061:E1061"/>
    <mergeCell ref="D1062:E1062"/>
    <mergeCell ref="D1063:E1063"/>
    <mergeCell ref="D1064:E1064"/>
    <mergeCell ref="D1065:E1065"/>
    <mergeCell ref="D1054:E1054"/>
    <mergeCell ref="D1055:E1055"/>
    <mergeCell ref="D1056:E1056"/>
    <mergeCell ref="D1057:E1057"/>
    <mergeCell ref="D1058:E1058"/>
    <mergeCell ref="D1059:E1059"/>
    <mergeCell ref="D1048:E1048"/>
    <mergeCell ref="D1049:E1049"/>
    <mergeCell ref="D1050:E1050"/>
    <mergeCell ref="D1051:E1051"/>
    <mergeCell ref="D1052:E1052"/>
    <mergeCell ref="D1053:E1053"/>
    <mergeCell ref="D1042:E1042"/>
    <mergeCell ref="D1043:E1043"/>
    <mergeCell ref="D1044:E1044"/>
    <mergeCell ref="D1045:E1045"/>
    <mergeCell ref="D1046:E1046"/>
    <mergeCell ref="D1047:E1047"/>
    <mergeCell ref="D1036:E1036"/>
    <mergeCell ref="D1037:E1037"/>
    <mergeCell ref="D1038:E1038"/>
    <mergeCell ref="D1039:E1039"/>
    <mergeCell ref="D1040:E1040"/>
    <mergeCell ref="D1041:E1041"/>
    <mergeCell ref="D1030:E1030"/>
    <mergeCell ref="D1031:E1031"/>
    <mergeCell ref="D1032:E1032"/>
    <mergeCell ref="D1033:E1033"/>
    <mergeCell ref="D1034:E1034"/>
    <mergeCell ref="D1035:E1035"/>
    <mergeCell ref="D1024:E1024"/>
    <mergeCell ref="D1025:E1025"/>
    <mergeCell ref="D1026:E1026"/>
    <mergeCell ref="D1027:E1027"/>
    <mergeCell ref="D1028:E1028"/>
    <mergeCell ref="D1029:E1029"/>
    <mergeCell ref="D1018:E1018"/>
    <mergeCell ref="D1019:E1019"/>
    <mergeCell ref="D1020:E1020"/>
    <mergeCell ref="D1021:E1021"/>
    <mergeCell ref="D1022:E1022"/>
    <mergeCell ref="D1023:E1023"/>
    <mergeCell ref="D1012:E1012"/>
    <mergeCell ref="D1013:E1013"/>
    <mergeCell ref="D1014:E1014"/>
    <mergeCell ref="D1015:E1015"/>
    <mergeCell ref="D1016:E1016"/>
    <mergeCell ref="D1017:E1017"/>
    <mergeCell ref="D1006:E1006"/>
    <mergeCell ref="D1007:E1007"/>
    <mergeCell ref="D1008:E1008"/>
    <mergeCell ref="D1009:E1009"/>
    <mergeCell ref="D1010:E1010"/>
    <mergeCell ref="D1011:E1011"/>
    <mergeCell ref="D1000:E1000"/>
    <mergeCell ref="D1001:E1001"/>
    <mergeCell ref="D1002:E1002"/>
    <mergeCell ref="D1003:E1003"/>
    <mergeCell ref="D1004:E1004"/>
    <mergeCell ref="D1005:E1005"/>
    <mergeCell ref="D994:E994"/>
    <mergeCell ref="D995:E995"/>
    <mergeCell ref="D996:E996"/>
    <mergeCell ref="D997:E997"/>
    <mergeCell ref="D998:E998"/>
    <mergeCell ref="D999:E999"/>
    <mergeCell ref="D988:E988"/>
    <mergeCell ref="D989:E989"/>
    <mergeCell ref="D990:E990"/>
    <mergeCell ref="D991:E991"/>
    <mergeCell ref="D992:E992"/>
    <mergeCell ref="D993:E993"/>
    <mergeCell ref="D982:E982"/>
    <mergeCell ref="D983:E983"/>
    <mergeCell ref="D984:E984"/>
    <mergeCell ref="D985:E985"/>
    <mergeCell ref="D986:E986"/>
    <mergeCell ref="D987:E987"/>
    <mergeCell ref="D976:E976"/>
    <mergeCell ref="D977:E977"/>
    <mergeCell ref="D978:E978"/>
    <mergeCell ref="D979:E979"/>
    <mergeCell ref="D980:E980"/>
    <mergeCell ref="D981:E981"/>
    <mergeCell ref="D970:E970"/>
    <mergeCell ref="D971:E971"/>
    <mergeCell ref="D972:E972"/>
    <mergeCell ref="D973:E973"/>
    <mergeCell ref="D974:E974"/>
    <mergeCell ref="D975:E975"/>
    <mergeCell ref="D964:E964"/>
    <mergeCell ref="D965:E965"/>
    <mergeCell ref="D966:E966"/>
    <mergeCell ref="D967:E967"/>
    <mergeCell ref="D968:E968"/>
    <mergeCell ref="D969:E969"/>
    <mergeCell ref="D958:E958"/>
    <mergeCell ref="D959:E959"/>
    <mergeCell ref="D960:E960"/>
    <mergeCell ref="D961:E961"/>
    <mergeCell ref="D962:E962"/>
    <mergeCell ref="D963:E963"/>
    <mergeCell ref="D952:E952"/>
    <mergeCell ref="D953:E953"/>
    <mergeCell ref="D954:E954"/>
    <mergeCell ref="D955:E955"/>
    <mergeCell ref="D956:E956"/>
    <mergeCell ref="D957:E957"/>
    <mergeCell ref="D946:E946"/>
    <mergeCell ref="D947:E947"/>
    <mergeCell ref="D948:E948"/>
    <mergeCell ref="D949:E949"/>
    <mergeCell ref="D950:E950"/>
    <mergeCell ref="D951:E951"/>
    <mergeCell ref="D940:E940"/>
    <mergeCell ref="D941:E941"/>
    <mergeCell ref="D942:E942"/>
    <mergeCell ref="D943:E943"/>
    <mergeCell ref="D944:E944"/>
    <mergeCell ref="D945:E945"/>
    <mergeCell ref="D934:E934"/>
    <mergeCell ref="D935:E935"/>
    <mergeCell ref="D936:E936"/>
    <mergeCell ref="D937:E937"/>
    <mergeCell ref="D938:E938"/>
    <mergeCell ref="D939:E939"/>
    <mergeCell ref="D928:E928"/>
    <mergeCell ref="D929:E929"/>
    <mergeCell ref="D930:E930"/>
    <mergeCell ref="D931:E931"/>
    <mergeCell ref="D932:E932"/>
    <mergeCell ref="D933:E933"/>
    <mergeCell ref="D922:E922"/>
    <mergeCell ref="D923:E923"/>
    <mergeCell ref="D924:E924"/>
    <mergeCell ref="D925:E925"/>
    <mergeCell ref="D926:E926"/>
    <mergeCell ref="D927:E927"/>
    <mergeCell ref="D916:E916"/>
    <mergeCell ref="D917:E917"/>
    <mergeCell ref="D918:E918"/>
    <mergeCell ref="D919:E919"/>
    <mergeCell ref="D920:E920"/>
    <mergeCell ref="D921:E921"/>
    <mergeCell ref="D910:E910"/>
    <mergeCell ref="D911:E911"/>
    <mergeCell ref="D912:E912"/>
    <mergeCell ref="D913:E913"/>
    <mergeCell ref="D914:E914"/>
    <mergeCell ref="D915:E915"/>
    <mergeCell ref="D904:E904"/>
    <mergeCell ref="D905:E905"/>
    <mergeCell ref="D906:E906"/>
    <mergeCell ref="D907:E907"/>
    <mergeCell ref="D908:E908"/>
    <mergeCell ref="D909:E909"/>
    <mergeCell ref="D898:E898"/>
    <mergeCell ref="D899:E899"/>
    <mergeCell ref="D900:E900"/>
    <mergeCell ref="D901:E901"/>
    <mergeCell ref="D902:E902"/>
    <mergeCell ref="D903:E903"/>
    <mergeCell ref="D892:E892"/>
    <mergeCell ref="D893:E893"/>
    <mergeCell ref="D894:E894"/>
    <mergeCell ref="D895:E895"/>
    <mergeCell ref="D896:E896"/>
    <mergeCell ref="D897:E897"/>
    <mergeCell ref="D886:E886"/>
    <mergeCell ref="D887:E887"/>
    <mergeCell ref="D888:E888"/>
    <mergeCell ref="D889:E889"/>
    <mergeCell ref="D890:E890"/>
    <mergeCell ref="D891:E891"/>
    <mergeCell ref="D880:E880"/>
    <mergeCell ref="D881:E881"/>
    <mergeCell ref="D882:E882"/>
    <mergeCell ref="D883:E883"/>
    <mergeCell ref="D884:E884"/>
    <mergeCell ref="D885:E885"/>
    <mergeCell ref="D874:E874"/>
    <mergeCell ref="D875:E875"/>
    <mergeCell ref="D876:E876"/>
    <mergeCell ref="D877:E877"/>
    <mergeCell ref="D878:E878"/>
    <mergeCell ref="D879:E879"/>
    <mergeCell ref="D868:E868"/>
    <mergeCell ref="D869:E869"/>
    <mergeCell ref="D870:E870"/>
    <mergeCell ref="D871:E871"/>
    <mergeCell ref="D872:E872"/>
    <mergeCell ref="D873:E873"/>
    <mergeCell ref="D862:E862"/>
    <mergeCell ref="D863:E863"/>
    <mergeCell ref="D864:E864"/>
    <mergeCell ref="D865:E865"/>
    <mergeCell ref="D866:E866"/>
    <mergeCell ref="D867:E867"/>
    <mergeCell ref="D856:E856"/>
    <mergeCell ref="D857:E857"/>
    <mergeCell ref="D858:E858"/>
    <mergeCell ref="D859:E859"/>
    <mergeCell ref="D860:E860"/>
    <mergeCell ref="D861:E861"/>
    <mergeCell ref="D850:E850"/>
    <mergeCell ref="D851:E851"/>
    <mergeCell ref="D852:E852"/>
    <mergeCell ref="D853:E853"/>
    <mergeCell ref="D854:E854"/>
    <mergeCell ref="D855:E855"/>
    <mergeCell ref="D844:E844"/>
    <mergeCell ref="D845:E845"/>
    <mergeCell ref="D846:E846"/>
    <mergeCell ref="D847:E847"/>
    <mergeCell ref="D848:E848"/>
    <mergeCell ref="D849:E849"/>
    <mergeCell ref="D838:E838"/>
    <mergeCell ref="D839:E839"/>
    <mergeCell ref="D840:E840"/>
    <mergeCell ref="D841:E841"/>
    <mergeCell ref="D842:E842"/>
    <mergeCell ref="D843:E843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784:E784"/>
    <mergeCell ref="D785:E785"/>
    <mergeCell ref="D786:E786"/>
    <mergeCell ref="D787:E787"/>
    <mergeCell ref="D788:E788"/>
    <mergeCell ref="D789:E789"/>
    <mergeCell ref="D778:E778"/>
    <mergeCell ref="D779:E779"/>
    <mergeCell ref="D780:E780"/>
    <mergeCell ref="D781:E781"/>
    <mergeCell ref="D782:E782"/>
    <mergeCell ref="D783:E783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58:E558"/>
    <mergeCell ref="D559:E559"/>
    <mergeCell ref="C560:D560"/>
    <mergeCell ref="S560:AD560"/>
    <mergeCell ref="C561:D561"/>
    <mergeCell ref="S561:T561"/>
    <mergeCell ref="U561:W561"/>
    <mergeCell ref="X561:Y561"/>
    <mergeCell ref="Z561:AA561"/>
    <mergeCell ref="AB561:AC561"/>
    <mergeCell ref="D552:E552"/>
    <mergeCell ref="D553:E553"/>
    <mergeCell ref="D554:E554"/>
    <mergeCell ref="D555:E555"/>
    <mergeCell ref="D556:E556"/>
    <mergeCell ref="D557:E557"/>
    <mergeCell ref="D546:E546"/>
    <mergeCell ref="D547:E547"/>
    <mergeCell ref="D548:E548"/>
    <mergeCell ref="D549:E549"/>
    <mergeCell ref="D550:E550"/>
    <mergeCell ref="D551:E551"/>
    <mergeCell ref="D543:E543"/>
    <mergeCell ref="C544:D544"/>
    <mergeCell ref="S544:AD544"/>
    <mergeCell ref="C545:D545"/>
    <mergeCell ref="S545:T545"/>
    <mergeCell ref="U545:W545"/>
    <mergeCell ref="X545:Y545"/>
    <mergeCell ref="Z545:AA545"/>
    <mergeCell ref="AB545:AC545"/>
    <mergeCell ref="D540:E540"/>
    <mergeCell ref="C541:D541"/>
    <mergeCell ref="S541:AD541"/>
    <mergeCell ref="C542:D542"/>
    <mergeCell ref="S542:T542"/>
    <mergeCell ref="U542:W542"/>
    <mergeCell ref="X542:Y542"/>
    <mergeCell ref="Z542:AA542"/>
    <mergeCell ref="AB542:AC542"/>
    <mergeCell ref="D537:E537"/>
    <mergeCell ref="C538:D538"/>
    <mergeCell ref="S538:AD538"/>
    <mergeCell ref="C539:D539"/>
    <mergeCell ref="S539:T539"/>
    <mergeCell ref="U539:W539"/>
    <mergeCell ref="X539:Y539"/>
    <mergeCell ref="Z539:AA539"/>
    <mergeCell ref="AB539:AC539"/>
    <mergeCell ref="D534:E534"/>
    <mergeCell ref="C535:D535"/>
    <mergeCell ref="S535:AD535"/>
    <mergeCell ref="C536:D536"/>
    <mergeCell ref="S536:T536"/>
    <mergeCell ref="U536:W536"/>
    <mergeCell ref="X536:Y536"/>
    <mergeCell ref="Z536:AA536"/>
    <mergeCell ref="AB536:AC536"/>
    <mergeCell ref="D531:E531"/>
    <mergeCell ref="C532:D532"/>
    <mergeCell ref="S532:AD532"/>
    <mergeCell ref="C533:D533"/>
    <mergeCell ref="S533:T533"/>
    <mergeCell ref="U533:W533"/>
    <mergeCell ref="X533:Y533"/>
    <mergeCell ref="Z533:AA533"/>
    <mergeCell ref="AB533:AC533"/>
    <mergeCell ref="C529:D529"/>
    <mergeCell ref="S529:AD529"/>
    <mergeCell ref="C530:D530"/>
    <mergeCell ref="S530:T530"/>
    <mergeCell ref="U530:W530"/>
    <mergeCell ref="X530:Y530"/>
    <mergeCell ref="Z530:AA530"/>
    <mergeCell ref="AB530:AC530"/>
    <mergeCell ref="D523:E523"/>
    <mergeCell ref="D524:E524"/>
    <mergeCell ref="D525:E525"/>
    <mergeCell ref="D526:E526"/>
    <mergeCell ref="D527:E527"/>
    <mergeCell ref="D528:E528"/>
    <mergeCell ref="D520:E520"/>
    <mergeCell ref="C521:D521"/>
    <mergeCell ref="S521:AD521"/>
    <mergeCell ref="C522:D522"/>
    <mergeCell ref="S522:T522"/>
    <mergeCell ref="U522:W522"/>
    <mergeCell ref="X522:Y522"/>
    <mergeCell ref="Z522:AA522"/>
    <mergeCell ref="AB522:AC522"/>
    <mergeCell ref="D517:E517"/>
    <mergeCell ref="C518:D518"/>
    <mergeCell ref="S518:AD518"/>
    <mergeCell ref="C519:D519"/>
    <mergeCell ref="S519:T519"/>
    <mergeCell ref="U519:W519"/>
    <mergeCell ref="X519:Y519"/>
    <mergeCell ref="Z519:AA519"/>
    <mergeCell ref="AB519:AC519"/>
    <mergeCell ref="D514:E514"/>
    <mergeCell ref="C515:D515"/>
    <mergeCell ref="S515:AD515"/>
    <mergeCell ref="C516:D516"/>
    <mergeCell ref="S516:T516"/>
    <mergeCell ref="U516:W516"/>
    <mergeCell ref="X516:Y516"/>
    <mergeCell ref="Z516:AA516"/>
    <mergeCell ref="AB516:AC516"/>
    <mergeCell ref="D511:E511"/>
    <mergeCell ref="C512:D512"/>
    <mergeCell ref="S512:AD512"/>
    <mergeCell ref="C513:D513"/>
    <mergeCell ref="S513:T513"/>
    <mergeCell ref="U513:W513"/>
    <mergeCell ref="X513:Y513"/>
    <mergeCell ref="Z513:AA513"/>
    <mergeCell ref="AB513:AC513"/>
    <mergeCell ref="C509:D509"/>
    <mergeCell ref="S509:AD509"/>
    <mergeCell ref="C510:D510"/>
    <mergeCell ref="S510:T510"/>
    <mergeCell ref="U510:W510"/>
    <mergeCell ref="X510:Y510"/>
    <mergeCell ref="Z510:AA510"/>
    <mergeCell ref="AB510:AC510"/>
    <mergeCell ref="D503:E503"/>
    <mergeCell ref="D504:E504"/>
    <mergeCell ref="D505:E505"/>
    <mergeCell ref="D506:E506"/>
    <mergeCell ref="D507:E507"/>
    <mergeCell ref="D508:E508"/>
    <mergeCell ref="D500:E500"/>
    <mergeCell ref="C501:D501"/>
    <mergeCell ref="S501:AD501"/>
    <mergeCell ref="C502:D502"/>
    <mergeCell ref="S502:T502"/>
    <mergeCell ref="U502:W502"/>
    <mergeCell ref="X502:Y502"/>
    <mergeCell ref="Z502:AA502"/>
    <mergeCell ref="AB502:AC502"/>
    <mergeCell ref="D497:E497"/>
    <mergeCell ref="C498:D498"/>
    <mergeCell ref="S498:AD498"/>
    <mergeCell ref="C499:D499"/>
    <mergeCell ref="S499:T499"/>
    <mergeCell ref="U499:W499"/>
    <mergeCell ref="X499:Y499"/>
    <mergeCell ref="Z499:AA499"/>
    <mergeCell ref="AB499:AC499"/>
    <mergeCell ref="S495:AD495"/>
    <mergeCell ref="C496:D496"/>
    <mergeCell ref="S496:T496"/>
    <mergeCell ref="U496:W496"/>
    <mergeCell ref="X496:Y496"/>
    <mergeCell ref="Z496:AA496"/>
    <mergeCell ref="AB496:AC496"/>
    <mergeCell ref="D490:E490"/>
    <mergeCell ref="D491:E491"/>
    <mergeCell ref="D492:E492"/>
    <mergeCell ref="D493:E493"/>
    <mergeCell ref="D494:E494"/>
    <mergeCell ref="C495:D495"/>
    <mergeCell ref="D487:E487"/>
    <mergeCell ref="C488:D488"/>
    <mergeCell ref="S488:AD488"/>
    <mergeCell ref="C489:D489"/>
    <mergeCell ref="S489:T489"/>
    <mergeCell ref="U489:W489"/>
    <mergeCell ref="X489:Y489"/>
    <mergeCell ref="Z489:AA489"/>
    <mergeCell ref="AB489:AC489"/>
    <mergeCell ref="D481:E481"/>
    <mergeCell ref="D482:E482"/>
    <mergeCell ref="D483:E483"/>
    <mergeCell ref="D484:E484"/>
    <mergeCell ref="D485:E485"/>
    <mergeCell ref="D486:E486"/>
    <mergeCell ref="C480:D480"/>
    <mergeCell ref="S480:T480"/>
    <mergeCell ref="U480:W480"/>
    <mergeCell ref="X480:Y480"/>
    <mergeCell ref="Z480:AA480"/>
    <mergeCell ref="AB480:AC480"/>
    <mergeCell ref="D475:E475"/>
    <mergeCell ref="D476:E476"/>
    <mergeCell ref="D477:E477"/>
    <mergeCell ref="D478:E478"/>
    <mergeCell ref="C479:D479"/>
    <mergeCell ref="S479:AD479"/>
    <mergeCell ref="D469:E469"/>
    <mergeCell ref="D470:E470"/>
    <mergeCell ref="D471:E471"/>
    <mergeCell ref="D472:E472"/>
    <mergeCell ref="D473:E473"/>
    <mergeCell ref="D474:E474"/>
    <mergeCell ref="D463:E463"/>
    <mergeCell ref="D464:E464"/>
    <mergeCell ref="D465:E465"/>
    <mergeCell ref="D466:E466"/>
    <mergeCell ref="D467:E467"/>
    <mergeCell ref="D468:E468"/>
    <mergeCell ref="D457:E457"/>
    <mergeCell ref="D458:E458"/>
    <mergeCell ref="D459:E459"/>
    <mergeCell ref="D460:E460"/>
    <mergeCell ref="D461:E461"/>
    <mergeCell ref="D462:E462"/>
    <mergeCell ref="D451:E451"/>
    <mergeCell ref="D452:E452"/>
    <mergeCell ref="D453:E453"/>
    <mergeCell ref="D454:E454"/>
    <mergeCell ref="D455:E455"/>
    <mergeCell ref="D456:E456"/>
    <mergeCell ref="D445:E445"/>
    <mergeCell ref="D446:E446"/>
    <mergeCell ref="D447:E447"/>
    <mergeCell ref="D448:E448"/>
    <mergeCell ref="D449:E449"/>
    <mergeCell ref="D450:E450"/>
    <mergeCell ref="D439:E439"/>
    <mergeCell ref="D440:E440"/>
    <mergeCell ref="D441:E441"/>
    <mergeCell ref="D442:E442"/>
    <mergeCell ref="D443:E443"/>
    <mergeCell ref="D444:E444"/>
    <mergeCell ref="C438:D438"/>
    <mergeCell ref="S438:T438"/>
    <mergeCell ref="U438:W438"/>
    <mergeCell ref="X438:Y438"/>
    <mergeCell ref="Z438:AA438"/>
    <mergeCell ref="AB438:AC438"/>
    <mergeCell ref="D433:E433"/>
    <mergeCell ref="D434:E434"/>
    <mergeCell ref="D435:E435"/>
    <mergeCell ref="D436:E436"/>
    <mergeCell ref="C437:D437"/>
    <mergeCell ref="S437:AD437"/>
    <mergeCell ref="D427:E427"/>
    <mergeCell ref="D428:E428"/>
    <mergeCell ref="D429:E429"/>
    <mergeCell ref="D430:E430"/>
    <mergeCell ref="D431:E431"/>
    <mergeCell ref="D432:E432"/>
    <mergeCell ref="D421:E421"/>
    <mergeCell ref="D422:E422"/>
    <mergeCell ref="D423:E423"/>
    <mergeCell ref="D424:E424"/>
    <mergeCell ref="D425:E425"/>
    <mergeCell ref="D426:E426"/>
    <mergeCell ref="D415:E415"/>
    <mergeCell ref="D416:E416"/>
    <mergeCell ref="D417:E417"/>
    <mergeCell ref="D418:E418"/>
    <mergeCell ref="D419:E419"/>
    <mergeCell ref="D420:E420"/>
    <mergeCell ref="D409:E409"/>
    <mergeCell ref="D410:E410"/>
    <mergeCell ref="D411:E411"/>
    <mergeCell ref="D412:E412"/>
    <mergeCell ref="D413:E413"/>
    <mergeCell ref="D414:E414"/>
    <mergeCell ref="D403:E403"/>
    <mergeCell ref="D404:E404"/>
    <mergeCell ref="D405:E405"/>
    <mergeCell ref="D406:E406"/>
    <mergeCell ref="D407:E407"/>
    <mergeCell ref="D408:E408"/>
    <mergeCell ref="D397:E397"/>
    <mergeCell ref="D398:E398"/>
    <mergeCell ref="D399:E399"/>
    <mergeCell ref="D400:E400"/>
    <mergeCell ref="D401:E401"/>
    <mergeCell ref="D402:E402"/>
    <mergeCell ref="D391:E391"/>
    <mergeCell ref="D392:E392"/>
    <mergeCell ref="D393:E393"/>
    <mergeCell ref="D394:E394"/>
    <mergeCell ref="D395:E395"/>
    <mergeCell ref="D396:E396"/>
    <mergeCell ref="D385:E385"/>
    <mergeCell ref="D386:E386"/>
    <mergeCell ref="D387:E387"/>
    <mergeCell ref="D388:E388"/>
    <mergeCell ref="D389:E389"/>
    <mergeCell ref="D390:E390"/>
    <mergeCell ref="D379:E379"/>
    <mergeCell ref="D380:E380"/>
    <mergeCell ref="D381:E381"/>
    <mergeCell ref="D382:E382"/>
    <mergeCell ref="D383:E383"/>
    <mergeCell ref="D384:E384"/>
    <mergeCell ref="D373:E373"/>
    <mergeCell ref="D374:E374"/>
    <mergeCell ref="D375:E375"/>
    <mergeCell ref="D376:E376"/>
    <mergeCell ref="D377:E377"/>
    <mergeCell ref="D378:E378"/>
    <mergeCell ref="D367:E367"/>
    <mergeCell ref="D368:E368"/>
    <mergeCell ref="D369:E369"/>
    <mergeCell ref="D370:E370"/>
    <mergeCell ref="D371:E371"/>
    <mergeCell ref="D372:E372"/>
    <mergeCell ref="D361:E361"/>
    <mergeCell ref="D362:E362"/>
    <mergeCell ref="D363:E363"/>
    <mergeCell ref="D364:E364"/>
    <mergeCell ref="D365:E365"/>
    <mergeCell ref="D366:E366"/>
    <mergeCell ref="D355:E355"/>
    <mergeCell ref="D356:E356"/>
    <mergeCell ref="D357:E357"/>
    <mergeCell ref="D358:E358"/>
    <mergeCell ref="D359:E359"/>
    <mergeCell ref="D360:E360"/>
    <mergeCell ref="D352:E352"/>
    <mergeCell ref="C353:D353"/>
    <mergeCell ref="S353:AD353"/>
    <mergeCell ref="C354:D354"/>
    <mergeCell ref="S354:T354"/>
    <mergeCell ref="U354:W354"/>
    <mergeCell ref="X354:Y354"/>
    <mergeCell ref="Z354:AA354"/>
    <mergeCell ref="AB354:AC354"/>
    <mergeCell ref="D349:E349"/>
    <mergeCell ref="C350:D350"/>
    <mergeCell ref="S350:AD350"/>
    <mergeCell ref="C351:D351"/>
    <mergeCell ref="S351:T351"/>
    <mergeCell ref="U351:W351"/>
    <mergeCell ref="X351:Y351"/>
    <mergeCell ref="Z351:AA351"/>
    <mergeCell ref="AB351:AC351"/>
    <mergeCell ref="D343:E343"/>
    <mergeCell ref="D344:E344"/>
    <mergeCell ref="D345:E345"/>
    <mergeCell ref="D346:E346"/>
    <mergeCell ref="D347:E347"/>
    <mergeCell ref="D348:E348"/>
    <mergeCell ref="D337:E337"/>
    <mergeCell ref="D338:E338"/>
    <mergeCell ref="D339:E339"/>
    <mergeCell ref="D340:E340"/>
    <mergeCell ref="D341:E341"/>
    <mergeCell ref="D342:E342"/>
    <mergeCell ref="D331:E331"/>
    <mergeCell ref="D332:E332"/>
    <mergeCell ref="D333:E333"/>
    <mergeCell ref="D334:E334"/>
    <mergeCell ref="D335:E335"/>
    <mergeCell ref="D336:E336"/>
    <mergeCell ref="D325:E325"/>
    <mergeCell ref="D326:E326"/>
    <mergeCell ref="D327:E327"/>
    <mergeCell ref="D328:E328"/>
    <mergeCell ref="D329:E329"/>
    <mergeCell ref="D330:E330"/>
    <mergeCell ref="D319:E319"/>
    <mergeCell ref="D320:E320"/>
    <mergeCell ref="D321:E321"/>
    <mergeCell ref="D322:E322"/>
    <mergeCell ref="D323:E323"/>
    <mergeCell ref="D324:E324"/>
    <mergeCell ref="D313:E313"/>
    <mergeCell ref="D314:E314"/>
    <mergeCell ref="D315:E315"/>
    <mergeCell ref="D316:E316"/>
    <mergeCell ref="D317:E317"/>
    <mergeCell ref="D318:E318"/>
    <mergeCell ref="D307:E307"/>
    <mergeCell ref="D308:E308"/>
    <mergeCell ref="D309:E309"/>
    <mergeCell ref="D310:E310"/>
    <mergeCell ref="D311:E311"/>
    <mergeCell ref="D312:E312"/>
    <mergeCell ref="D301:E301"/>
    <mergeCell ref="D302:E302"/>
    <mergeCell ref="D303:E303"/>
    <mergeCell ref="D304:E304"/>
    <mergeCell ref="D305:E305"/>
    <mergeCell ref="D306:E306"/>
    <mergeCell ref="D298:E298"/>
    <mergeCell ref="C299:D299"/>
    <mergeCell ref="S299:AD299"/>
    <mergeCell ref="C300:D300"/>
    <mergeCell ref="S300:T300"/>
    <mergeCell ref="U300:W300"/>
    <mergeCell ref="X300:Y300"/>
    <mergeCell ref="Z300:AA300"/>
    <mergeCell ref="AB300:AC300"/>
    <mergeCell ref="D295:E295"/>
    <mergeCell ref="C296:D296"/>
    <mergeCell ref="S296:AD296"/>
    <mergeCell ref="C297:D297"/>
    <mergeCell ref="S297:T297"/>
    <mergeCell ref="U297:W297"/>
    <mergeCell ref="X297:Y297"/>
    <mergeCell ref="Z297:AA297"/>
    <mergeCell ref="AB297:AC297"/>
    <mergeCell ref="D292:E292"/>
    <mergeCell ref="C293:D293"/>
    <mergeCell ref="S293:AD293"/>
    <mergeCell ref="C294:D294"/>
    <mergeCell ref="S294:T294"/>
    <mergeCell ref="U294:W294"/>
    <mergeCell ref="X294:Y294"/>
    <mergeCell ref="Z294:AA294"/>
    <mergeCell ref="AB294:AC294"/>
    <mergeCell ref="AB288:AC288"/>
    <mergeCell ref="D289:E289"/>
    <mergeCell ref="C290:D290"/>
    <mergeCell ref="S290:AD290"/>
    <mergeCell ref="C291:D291"/>
    <mergeCell ref="S291:T291"/>
    <mergeCell ref="U291:W291"/>
    <mergeCell ref="X291:Y291"/>
    <mergeCell ref="Z291:AA291"/>
    <mergeCell ref="AB291:AC291"/>
    <mergeCell ref="D284:E284"/>
    <mergeCell ref="D285:E285"/>
    <mergeCell ref="D286:E286"/>
    <mergeCell ref="C287:D287"/>
    <mergeCell ref="S287:AD287"/>
    <mergeCell ref="C288:D288"/>
    <mergeCell ref="S288:T288"/>
    <mergeCell ref="U288:W288"/>
    <mergeCell ref="X288:Y288"/>
    <mergeCell ref="Z288:AA288"/>
    <mergeCell ref="D278:E278"/>
    <mergeCell ref="D279:E279"/>
    <mergeCell ref="D280:E280"/>
    <mergeCell ref="D281:E281"/>
    <mergeCell ref="D282:E282"/>
    <mergeCell ref="D283:E283"/>
    <mergeCell ref="D272:E272"/>
    <mergeCell ref="D273:E273"/>
    <mergeCell ref="D274:E274"/>
    <mergeCell ref="D275:E275"/>
    <mergeCell ref="D276:E276"/>
    <mergeCell ref="D277:E277"/>
    <mergeCell ref="D266:E266"/>
    <mergeCell ref="D267:E267"/>
    <mergeCell ref="D268:E268"/>
    <mergeCell ref="D269:E269"/>
    <mergeCell ref="D270:E270"/>
    <mergeCell ref="D271:E271"/>
    <mergeCell ref="D260:E260"/>
    <mergeCell ref="D261:E261"/>
    <mergeCell ref="D262:E262"/>
    <mergeCell ref="D263:E263"/>
    <mergeCell ref="D264:E264"/>
    <mergeCell ref="D265:E265"/>
    <mergeCell ref="D254:E254"/>
    <mergeCell ref="D255:E255"/>
    <mergeCell ref="D256:E256"/>
    <mergeCell ref="D257:E257"/>
    <mergeCell ref="D258:E258"/>
    <mergeCell ref="D259:E259"/>
    <mergeCell ref="S252:AD252"/>
    <mergeCell ref="C253:D253"/>
    <mergeCell ref="S253:T253"/>
    <mergeCell ref="U253:W253"/>
    <mergeCell ref="X253:Y253"/>
    <mergeCell ref="Z253:AA253"/>
    <mergeCell ref="AB253:AC253"/>
    <mergeCell ref="D247:E247"/>
    <mergeCell ref="D248:E248"/>
    <mergeCell ref="D249:E249"/>
    <mergeCell ref="D250:E250"/>
    <mergeCell ref="D251:E251"/>
    <mergeCell ref="C252:D252"/>
    <mergeCell ref="D241:E241"/>
    <mergeCell ref="D242:E242"/>
    <mergeCell ref="D243:E243"/>
    <mergeCell ref="D244:E244"/>
    <mergeCell ref="D245:E245"/>
    <mergeCell ref="D246:E246"/>
    <mergeCell ref="D235:E235"/>
    <mergeCell ref="D236:E236"/>
    <mergeCell ref="D237:E237"/>
    <mergeCell ref="D238:E238"/>
    <mergeCell ref="D239:E239"/>
    <mergeCell ref="D240:E240"/>
    <mergeCell ref="D229:E229"/>
    <mergeCell ref="D230:E230"/>
    <mergeCell ref="D231:E231"/>
    <mergeCell ref="D232:E232"/>
    <mergeCell ref="D233:E233"/>
    <mergeCell ref="D234:E234"/>
    <mergeCell ref="C227:D227"/>
    <mergeCell ref="S227:AD227"/>
    <mergeCell ref="C228:D228"/>
    <mergeCell ref="S228:T228"/>
    <mergeCell ref="U228:W228"/>
    <mergeCell ref="X228:Y228"/>
    <mergeCell ref="Z228:AA228"/>
    <mergeCell ref="AB228:AC228"/>
    <mergeCell ref="D221:E221"/>
    <mergeCell ref="D222:E222"/>
    <mergeCell ref="D223:E223"/>
    <mergeCell ref="D224:E224"/>
    <mergeCell ref="D225:E225"/>
    <mergeCell ref="D226:E226"/>
    <mergeCell ref="D215:E215"/>
    <mergeCell ref="D216:E216"/>
    <mergeCell ref="D217:E217"/>
    <mergeCell ref="D218:E218"/>
    <mergeCell ref="D219:E219"/>
    <mergeCell ref="D220:E220"/>
    <mergeCell ref="D209:E209"/>
    <mergeCell ref="D210:E210"/>
    <mergeCell ref="D211:E211"/>
    <mergeCell ref="D212:E212"/>
    <mergeCell ref="D213:E213"/>
    <mergeCell ref="D214:E214"/>
    <mergeCell ref="D203:E203"/>
    <mergeCell ref="D204:E204"/>
    <mergeCell ref="D205:E205"/>
    <mergeCell ref="D206:E206"/>
    <mergeCell ref="D207:E207"/>
    <mergeCell ref="D208:E208"/>
    <mergeCell ref="D197:E197"/>
    <mergeCell ref="D198:E198"/>
    <mergeCell ref="D199:E199"/>
    <mergeCell ref="D200:E200"/>
    <mergeCell ref="D201:E201"/>
    <mergeCell ref="D202:E202"/>
    <mergeCell ref="D194:E194"/>
    <mergeCell ref="C195:D195"/>
    <mergeCell ref="S195:AD195"/>
    <mergeCell ref="C196:D196"/>
    <mergeCell ref="S196:T196"/>
    <mergeCell ref="U196:W196"/>
    <mergeCell ref="X196:Y196"/>
    <mergeCell ref="Z196:AA196"/>
    <mergeCell ref="AB196:AC196"/>
    <mergeCell ref="D191:E191"/>
    <mergeCell ref="C192:D192"/>
    <mergeCell ref="S192:AD192"/>
    <mergeCell ref="C193:D193"/>
    <mergeCell ref="S193:T193"/>
    <mergeCell ref="U193:W193"/>
    <mergeCell ref="X193:Y193"/>
    <mergeCell ref="Z193:AA193"/>
    <mergeCell ref="AB193:AC193"/>
    <mergeCell ref="D188:E188"/>
    <mergeCell ref="C189:D189"/>
    <mergeCell ref="S189:AD189"/>
    <mergeCell ref="C190:D190"/>
    <mergeCell ref="S190:T190"/>
    <mergeCell ref="U190:W190"/>
    <mergeCell ref="X190:Y190"/>
    <mergeCell ref="Z190:AA190"/>
    <mergeCell ref="AB190:AC190"/>
    <mergeCell ref="D185:E185"/>
    <mergeCell ref="C186:D186"/>
    <mergeCell ref="S186:AD186"/>
    <mergeCell ref="C187:D187"/>
    <mergeCell ref="S187:T187"/>
    <mergeCell ref="U187:W187"/>
    <mergeCell ref="X187:Y187"/>
    <mergeCell ref="Z187:AA187"/>
    <mergeCell ref="AB187:AC187"/>
    <mergeCell ref="D182:E182"/>
    <mergeCell ref="C183:D183"/>
    <mergeCell ref="S183:AD183"/>
    <mergeCell ref="C184:D184"/>
    <mergeCell ref="S184:T184"/>
    <mergeCell ref="U184:W184"/>
    <mergeCell ref="X184:Y184"/>
    <mergeCell ref="Z184:AA184"/>
    <mergeCell ref="AB184:AC184"/>
    <mergeCell ref="D178:E178"/>
    <mergeCell ref="D179:E179"/>
    <mergeCell ref="C180:D180"/>
    <mergeCell ref="S180:AD180"/>
    <mergeCell ref="C181:D181"/>
    <mergeCell ref="S181:T181"/>
    <mergeCell ref="U181:W181"/>
    <mergeCell ref="X181:Y181"/>
    <mergeCell ref="Z181:AA181"/>
    <mergeCell ref="AB181:AC181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C146:D146"/>
    <mergeCell ref="S146:AD146"/>
    <mergeCell ref="C147:D147"/>
    <mergeCell ref="S147:T147"/>
    <mergeCell ref="U147:W147"/>
    <mergeCell ref="X147:Y147"/>
    <mergeCell ref="Z147:AA147"/>
    <mergeCell ref="AB147:AC147"/>
    <mergeCell ref="D140:E140"/>
    <mergeCell ref="D141:E141"/>
    <mergeCell ref="D142:E142"/>
    <mergeCell ref="D143:E143"/>
    <mergeCell ref="D144:E144"/>
    <mergeCell ref="D145:E145"/>
    <mergeCell ref="D134:E134"/>
    <mergeCell ref="D135:E135"/>
    <mergeCell ref="D136:E136"/>
    <mergeCell ref="D137:E137"/>
    <mergeCell ref="D138:E138"/>
    <mergeCell ref="D139:E139"/>
    <mergeCell ref="D128:E128"/>
    <mergeCell ref="D129:E129"/>
    <mergeCell ref="D130:E130"/>
    <mergeCell ref="D131:E131"/>
    <mergeCell ref="D132:E132"/>
    <mergeCell ref="D133:E133"/>
    <mergeCell ref="D122:E122"/>
    <mergeCell ref="D123:E123"/>
    <mergeCell ref="D124:E124"/>
    <mergeCell ref="D125:E125"/>
    <mergeCell ref="D126:E126"/>
    <mergeCell ref="D127:E127"/>
    <mergeCell ref="D116:E116"/>
    <mergeCell ref="D117:E117"/>
    <mergeCell ref="D118:E118"/>
    <mergeCell ref="D119:E119"/>
    <mergeCell ref="D120:E120"/>
    <mergeCell ref="D121:E121"/>
    <mergeCell ref="D110:E110"/>
    <mergeCell ref="D111:E111"/>
    <mergeCell ref="D112:E112"/>
    <mergeCell ref="D113:E113"/>
    <mergeCell ref="D114:E114"/>
    <mergeCell ref="D115:E115"/>
    <mergeCell ref="D104:E104"/>
    <mergeCell ref="D105:E105"/>
    <mergeCell ref="D106:E106"/>
    <mergeCell ref="D107:E107"/>
    <mergeCell ref="D108:E108"/>
    <mergeCell ref="D109:E109"/>
    <mergeCell ref="D98:E98"/>
    <mergeCell ref="D99:E99"/>
    <mergeCell ref="D100:E100"/>
    <mergeCell ref="D101:E101"/>
    <mergeCell ref="D102:E102"/>
    <mergeCell ref="D103:E103"/>
    <mergeCell ref="D92:E92"/>
    <mergeCell ref="D93:E93"/>
    <mergeCell ref="D94:E94"/>
    <mergeCell ref="D95:E95"/>
    <mergeCell ref="D96:E96"/>
    <mergeCell ref="D97:E97"/>
    <mergeCell ref="D86:E86"/>
    <mergeCell ref="D87:E87"/>
    <mergeCell ref="D88:E88"/>
    <mergeCell ref="D89:E89"/>
    <mergeCell ref="D90:E90"/>
    <mergeCell ref="D91:E91"/>
    <mergeCell ref="D80:E80"/>
    <mergeCell ref="D81:E81"/>
    <mergeCell ref="D82:E82"/>
    <mergeCell ref="D83:E83"/>
    <mergeCell ref="D84:E84"/>
    <mergeCell ref="D85:E85"/>
    <mergeCell ref="D74:E74"/>
    <mergeCell ref="D75:E75"/>
    <mergeCell ref="D76:E76"/>
    <mergeCell ref="D77:E77"/>
    <mergeCell ref="D78:E78"/>
    <mergeCell ref="D79:E79"/>
    <mergeCell ref="D68:E68"/>
    <mergeCell ref="D69:E69"/>
    <mergeCell ref="D70:E70"/>
    <mergeCell ref="D71:E71"/>
    <mergeCell ref="D72:E72"/>
    <mergeCell ref="D73:E73"/>
    <mergeCell ref="D62:E62"/>
    <mergeCell ref="D63:E63"/>
    <mergeCell ref="D64:E64"/>
    <mergeCell ref="D65:E65"/>
    <mergeCell ref="D66:E66"/>
    <mergeCell ref="D67:E67"/>
    <mergeCell ref="D56:E56"/>
    <mergeCell ref="D57:E57"/>
    <mergeCell ref="D58:E58"/>
    <mergeCell ref="D59:E59"/>
    <mergeCell ref="D60:E60"/>
    <mergeCell ref="D61:E61"/>
    <mergeCell ref="D53:E53"/>
    <mergeCell ref="C54:D54"/>
    <mergeCell ref="S54:AD54"/>
    <mergeCell ref="C55:D55"/>
    <mergeCell ref="S55:T55"/>
    <mergeCell ref="U55:W55"/>
    <mergeCell ref="X55:Y55"/>
    <mergeCell ref="Z55:AA55"/>
    <mergeCell ref="AB55:AC55"/>
    <mergeCell ref="D50:E50"/>
    <mergeCell ref="C51:D51"/>
    <mergeCell ref="S51:AD51"/>
    <mergeCell ref="C52:D52"/>
    <mergeCell ref="S52:T52"/>
    <mergeCell ref="U52:W52"/>
    <mergeCell ref="X52:Y52"/>
    <mergeCell ref="Z52:AA52"/>
    <mergeCell ref="AB52:AC52"/>
    <mergeCell ref="D47:E47"/>
    <mergeCell ref="C48:D48"/>
    <mergeCell ref="S48:AD48"/>
    <mergeCell ref="C49:D49"/>
    <mergeCell ref="S49:T49"/>
    <mergeCell ref="U49:W49"/>
    <mergeCell ref="X49:Y49"/>
    <mergeCell ref="Z49:AA49"/>
    <mergeCell ref="AB49:AC49"/>
    <mergeCell ref="D41:E41"/>
    <mergeCell ref="D42:E42"/>
    <mergeCell ref="D43:E43"/>
    <mergeCell ref="D44:E44"/>
    <mergeCell ref="D45:E45"/>
    <mergeCell ref="D46:E46"/>
    <mergeCell ref="D35:E35"/>
    <mergeCell ref="D36:E36"/>
    <mergeCell ref="D37:E37"/>
    <mergeCell ref="D38:E38"/>
    <mergeCell ref="D39:E39"/>
    <mergeCell ref="D40:E40"/>
    <mergeCell ref="D29:E29"/>
    <mergeCell ref="D30:E30"/>
    <mergeCell ref="D31:E31"/>
    <mergeCell ref="D32:E32"/>
    <mergeCell ref="D33:E33"/>
    <mergeCell ref="D34:E34"/>
    <mergeCell ref="D23:E23"/>
    <mergeCell ref="D24:E24"/>
    <mergeCell ref="D25:E25"/>
    <mergeCell ref="D26:E26"/>
    <mergeCell ref="D27:E27"/>
    <mergeCell ref="D28:E28"/>
    <mergeCell ref="D20:E20"/>
    <mergeCell ref="C21:D21"/>
    <mergeCell ref="S21:AD21"/>
    <mergeCell ref="C22:D22"/>
    <mergeCell ref="S22:T22"/>
    <mergeCell ref="U22:W22"/>
    <mergeCell ref="X22:Y22"/>
    <mergeCell ref="Z22:AA22"/>
    <mergeCell ref="AB22:AC22"/>
    <mergeCell ref="C18:D18"/>
    <mergeCell ref="S18:AD18"/>
    <mergeCell ref="C19:D19"/>
    <mergeCell ref="S19:T19"/>
    <mergeCell ref="U19:W19"/>
    <mergeCell ref="X19:Y19"/>
    <mergeCell ref="Z19:AA19"/>
    <mergeCell ref="AB19:AC19"/>
    <mergeCell ref="D12:E12"/>
    <mergeCell ref="D13:E13"/>
    <mergeCell ref="D14:E14"/>
    <mergeCell ref="D15:E15"/>
    <mergeCell ref="D16:E16"/>
    <mergeCell ref="D17:E17"/>
    <mergeCell ref="AB6:AC6"/>
    <mergeCell ref="D7:E7"/>
    <mergeCell ref="D8:E8"/>
    <mergeCell ref="D9:E9"/>
    <mergeCell ref="D10:E10"/>
    <mergeCell ref="D11:E11"/>
    <mergeCell ref="C2:D2"/>
    <mergeCell ref="C3:D3"/>
    <mergeCell ref="A4:C4"/>
    <mergeCell ref="C5:D5"/>
    <mergeCell ref="S5:AD5"/>
    <mergeCell ref="C6:D6"/>
    <mergeCell ref="S6:T6"/>
    <mergeCell ref="U6:W6"/>
    <mergeCell ref="X6:Y6"/>
    <mergeCell ref="Z6:AA6"/>
  </mergeCells>
  <pageMargins left="0.25" right="0.25" top="0.25" bottom="0.25" header="0.3" footer="0.3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Thinh Nguyen</dc:creator>
  <cp:lastModifiedBy>Thinh Nguyen</cp:lastModifiedBy>
  <dcterms:created xsi:type="dcterms:W3CDTF">2019-05-15T08:38:17Z</dcterms:created>
  <dcterms:modified xsi:type="dcterms:W3CDTF">2019-05-15T08:38:29Z</dcterms:modified>
</cp:coreProperties>
</file>